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emilyfang/Desktop/clf/healthscore_automation/"/>
    </mc:Choice>
  </mc:AlternateContent>
  <xr:revisionPtr revIDLastSave="0" documentId="13_ncr:1_{9C5EACF3-6606-E545-99FA-20E587EB56ED}" xr6:coauthVersionLast="46" xr6:coauthVersionMax="46" xr10:uidLastSave="{00000000-0000-0000-0000-000000000000}"/>
  <bookViews>
    <workbookView xWindow="0" yWindow="500" windowWidth="15960" windowHeight="15800" xr2:uid="{00000000-000D-0000-FFFF-FFFF00000000}"/>
  </bookViews>
  <sheets>
    <sheet name="Sheet 1 - nextgenacc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23" i="1" l="1"/>
  <c r="C1223" i="1"/>
  <c r="E1222" i="1"/>
  <c r="C1222" i="1"/>
  <c r="E1221" i="1"/>
  <c r="C1221" i="1"/>
  <c r="E1220" i="1"/>
  <c r="C1220" i="1"/>
  <c r="E1219" i="1"/>
  <c r="C1219" i="1"/>
  <c r="E1218" i="1"/>
  <c r="C1218" i="1"/>
  <c r="E1217" i="1"/>
  <c r="C1217" i="1"/>
  <c r="E1216" i="1"/>
  <c r="C1216" i="1"/>
  <c r="E1215" i="1"/>
  <c r="C1215" i="1"/>
  <c r="E1214" i="1"/>
  <c r="C1214" i="1"/>
  <c r="E1213" i="1"/>
  <c r="C1213" i="1"/>
  <c r="E1212" i="1"/>
  <c r="C1212" i="1"/>
  <c r="E1211" i="1"/>
  <c r="C1211" i="1"/>
  <c r="E1210" i="1"/>
  <c r="C1210" i="1"/>
  <c r="E1209" i="1"/>
  <c r="C1209" i="1"/>
  <c r="E1208" i="1"/>
  <c r="C1208" i="1"/>
  <c r="E1207" i="1"/>
  <c r="C1207" i="1"/>
  <c r="E1206" i="1"/>
  <c r="C1206" i="1"/>
  <c r="E1205" i="1"/>
  <c r="C1205" i="1"/>
  <c r="E1204" i="1"/>
  <c r="C1204" i="1"/>
  <c r="E1203" i="1"/>
  <c r="C1203" i="1"/>
  <c r="E1202" i="1"/>
  <c r="C1202" i="1"/>
  <c r="E1201" i="1"/>
  <c r="C1201" i="1"/>
  <c r="E1200" i="1"/>
  <c r="C1200" i="1"/>
  <c r="E1199" i="1"/>
  <c r="C1199" i="1"/>
  <c r="E1198" i="1"/>
  <c r="C1198" i="1"/>
  <c r="E1197" i="1"/>
  <c r="C1197" i="1"/>
  <c r="E1196" i="1"/>
  <c r="C1196" i="1"/>
  <c r="E1195" i="1"/>
  <c r="C1195" i="1"/>
  <c r="E1194" i="1"/>
  <c r="C1194" i="1"/>
  <c r="E1193" i="1"/>
  <c r="C1193" i="1"/>
  <c r="E1192" i="1"/>
  <c r="C1192" i="1"/>
  <c r="E1191" i="1"/>
  <c r="C1191" i="1"/>
  <c r="E1190" i="1"/>
  <c r="C1190" i="1"/>
  <c r="E1189" i="1"/>
  <c r="C1189" i="1"/>
  <c r="E1188" i="1"/>
  <c r="C1188" i="1"/>
  <c r="E1187" i="1"/>
  <c r="C1187" i="1"/>
  <c r="E1186" i="1"/>
  <c r="C1186" i="1"/>
  <c r="E1185" i="1"/>
  <c r="C1185" i="1"/>
  <c r="E1184" i="1"/>
  <c r="C1184" i="1"/>
  <c r="E1183" i="1"/>
  <c r="C1183" i="1"/>
  <c r="E1182" i="1"/>
  <c r="C1182" i="1"/>
  <c r="E1181" i="1"/>
  <c r="C1181" i="1"/>
  <c r="E1180" i="1"/>
  <c r="C1180" i="1"/>
  <c r="E1179" i="1"/>
  <c r="C1179" i="1"/>
  <c r="E1178" i="1"/>
  <c r="C1178" i="1"/>
  <c r="E1177" i="1"/>
  <c r="C1177" i="1"/>
  <c r="E1176" i="1"/>
  <c r="C1176" i="1"/>
  <c r="E1175" i="1"/>
  <c r="C1175" i="1"/>
  <c r="E1174" i="1"/>
  <c r="C1174" i="1"/>
  <c r="E1173" i="1"/>
  <c r="C1173" i="1"/>
  <c r="E1172" i="1"/>
  <c r="C1172" i="1"/>
  <c r="E1171" i="1"/>
  <c r="C1171" i="1"/>
  <c r="E1170" i="1"/>
  <c r="C1170" i="1"/>
  <c r="E1169" i="1"/>
  <c r="C1169" i="1"/>
  <c r="E1168" i="1"/>
  <c r="C1168" i="1"/>
  <c r="E1167" i="1"/>
  <c r="C1167" i="1"/>
  <c r="E1166" i="1"/>
  <c r="C1166" i="1"/>
  <c r="E1165" i="1"/>
  <c r="C1165" i="1"/>
  <c r="E1164" i="1"/>
  <c r="C1164" i="1"/>
  <c r="E1163" i="1"/>
  <c r="C1163" i="1"/>
  <c r="E1162" i="1"/>
  <c r="C1162" i="1"/>
  <c r="E1161" i="1"/>
  <c r="C1161" i="1"/>
  <c r="E1160" i="1"/>
  <c r="C1160" i="1"/>
  <c r="E1159" i="1"/>
  <c r="C1159" i="1"/>
  <c r="E1158" i="1"/>
  <c r="C1158" i="1"/>
  <c r="E1157" i="1"/>
  <c r="C1157" i="1"/>
  <c r="E1156" i="1"/>
  <c r="C1156" i="1"/>
  <c r="E1155" i="1"/>
  <c r="C1155" i="1"/>
  <c r="E1154" i="1"/>
  <c r="C1154" i="1"/>
  <c r="E1153" i="1"/>
  <c r="C1153" i="1"/>
  <c r="E1152" i="1"/>
  <c r="C1152" i="1"/>
  <c r="E1151" i="1"/>
  <c r="C1151" i="1"/>
  <c r="E1150" i="1"/>
  <c r="C1150" i="1"/>
  <c r="E1149" i="1"/>
  <c r="C1149" i="1"/>
  <c r="E1148" i="1"/>
  <c r="C1148" i="1"/>
  <c r="E1147" i="1"/>
  <c r="C1147" i="1"/>
  <c r="E1146" i="1"/>
  <c r="C1146" i="1"/>
  <c r="E1145" i="1"/>
  <c r="C1145" i="1"/>
  <c r="E1144" i="1"/>
  <c r="C1144" i="1"/>
  <c r="E1143" i="1"/>
  <c r="C1143" i="1"/>
  <c r="E1142" i="1"/>
  <c r="C1142" i="1"/>
  <c r="E1141" i="1"/>
  <c r="C1141" i="1"/>
  <c r="E1140" i="1"/>
  <c r="C1140" i="1"/>
  <c r="E1139" i="1"/>
  <c r="C1139" i="1"/>
  <c r="E1138" i="1"/>
  <c r="C1138" i="1"/>
  <c r="E1137" i="1"/>
  <c r="C1137" i="1"/>
  <c r="E1136" i="1"/>
  <c r="C1136" i="1"/>
  <c r="E1135" i="1"/>
  <c r="C1135" i="1"/>
  <c r="E1134" i="1"/>
  <c r="C1134" i="1"/>
  <c r="E1133" i="1"/>
  <c r="C1133" i="1"/>
  <c r="E1132" i="1"/>
  <c r="C1132" i="1"/>
  <c r="E1131" i="1"/>
  <c r="C1131" i="1"/>
  <c r="E1130" i="1"/>
  <c r="C1130" i="1"/>
  <c r="E1129" i="1"/>
  <c r="C1129" i="1"/>
  <c r="E1128" i="1"/>
  <c r="C1128" i="1"/>
  <c r="E1127" i="1"/>
  <c r="C1127" i="1"/>
  <c r="E1126" i="1"/>
  <c r="C1126" i="1"/>
  <c r="E1125" i="1"/>
  <c r="C1125" i="1"/>
  <c r="E1124" i="1"/>
  <c r="C1124" i="1"/>
  <c r="E1123" i="1"/>
  <c r="C1123" i="1"/>
  <c r="E1122" i="1"/>
  <c r="C1122" i="1"/>
  <c r="E1121" i="1"/>
  <c r="C1121" i="1"/>
  <c r="E1120" i="1"/>
  <c r="C1120" i="1"/>
  <c r="E1119" i="1"/>
  <c r="C1119" i="1"/>
  <c r="E1118" i="1"/>
  <c r="C1118" i="1"/>
  <c r="E1117" i="1"/>
  <c r="C1117" i="1"/>
  <c r="E1116" i="1"/>
  <c r="C1116" i="1"/>
  <c r="E1115" i="1"/>
  <c r="C1115" i="1"/>
  <c r="E1114" i="1"/>
  <c r="C1114" i="1"/>
  <c r="E1113" i="1"/>
  <c r="C1113" i="1"/>
  <c r="E1112" i="1"/>
  <c r="C1112" i="1"/>
  <c r="E1111" i="1"/>
  <c r="C1111" i="1"/>
  <c r="E1110" i="1"/>
  <c r="C1110" i="1"/>
  <c r="E1109" i="1"/>
  <c r="C1109" i="1"/>
  <c r="E1108" i="1"/>
  <c r="C1108" i="1"/>
  <c r="E1107" i="1"/>
  <c r="C1107" i="1"/>
  <c r="E1106" i="1"/>
  <c r="C1106" i="1"/>
  <c r="E1105" i="1"/>
  <c r="C1105" i="1"/>
  <c r="E1104" i="1"/>
  <c r="C1104" i="1"/>
  <c r="E1103" i="1"/>
  <c r="C1103" i="1"/>
  <c r="E1102" i="1"/>
  <c r="C1102" i="1"/>
  <c r="E1101" i="1"/>
  <c r="C1101" i="1"/>
  <c r="E1100" i="1"/>
  <c r="C1100" i="1"/>
  <c r="E1099" i="1"/>
  <c r="C1099" i="1"/>
  <c r="E1098" i="1"/>
  <c r="C1098" i="1"/>
  <c r="E1097" i="1"/>
  <c r="C1097" i="1"/>
  <c r="E1096" i="1"/>
  <c r="C1096" i="1"/>
  <c r="E1095" i="1"/>
  <c r="C1095" i="1"/>
  <c r="E1094" i="1"/>
  <c r="C1094" i="1"/>
  <c r="E1093" i="1"/>
  <c r="C1093" i="1"/>
  <c r="E1092" i="1"/>
  <c r="C1092" i="1"/>
  <c r="E1091" i="1"/>
  <c r="C1091" i="1"/>
  <c r="E1090" i="1"/>
  <c r="C1090" i="1"/>
  <c r="E1089" i="1"/>
  <c r="C1089" i="1"/>
  <c r="E1088" i="1"/>
  <c r="C1088" i="1"/>
  <c r="E1087" i="1"/>
  <c r="C1087" i="1"/>
  <c r="E1086" i="1"/>
  <c r="C1086" i="1"/>
  <c r="E1085" i="1"/>
  <c r="C1085" i="1"/>
  <c r="E1084" i="1"/>
  <c r="C1084" i="1"/>
  <c r="E1083" i="1"/>
  <c r="C1083" i="1"/>
  <c r="E1082" i="1"/>
  <c r="C1082" i="1"/>
  <c r="E1081" i="1"/>
  <c r="C1081" i="1"/>
  <c r="E1080" i="1"/>
  <c r="C1080" i="1"/>
  <c r="E1079" i="1"/>
  <c r="C1079" i="1"/>
  <c r="E1078" i="1"/>
  <c r="C1078" i="1"/>
  <c r="E1077" i="1"/>
  <c r="C1077" i="1"/>
  <c r="E1076" i="1"/>
  <c r="C1076" i="1"/>
  <c r="E1075" i="1"/>
  <c r="C1075" i="1"/>
  <c r="E1074" i="1"/>
  <c r="C1074" i="1"/>
  <c r="E1073" i="1"/>
  <c r="C1073" i="1"/>
  <c r="E1072" i="1"/>
  <c r="C1072" i="1"/>
  <c r="E1071" i="1"/>
  <c r="C1071" i="1"/>
  <c r="E1070" i="1"/>
  <c r="C1070" i="1"/>
  <c r="E1069" i="1"/>
  <c r="C1069" i="1"/>
  <c r="E1068" i="1"/>
  <c r="C1068" i="1"/>
  <c r="E1067" i="1"/>
  <c r="C1067" i="1"/>
  <c r="E1066" i="1"/>
  <c r="C1066" i="1"/>
  <c r="E1065" i="1"/>
  <c r="C1065" i="1"/>
  <c r="E1064" i="1"/>
  <c r="C1064" i="1"/>
  <c r="E1063" i="1"/>
  <c r="C1063" i="1"/>
  <c r="E1062" i="1"/>
  <c r="C1062" i="1"/>
  <c r="E1061" i="1"/>
  <c r="C1061" i="1"/>
  <c r="E1060" i="1"/>
  <c r="C1060" i="1"/>
  <c r="E1059" i="1"/>
  <c r="C1059" i="1"/>
  <c r="E1058" i="1"/>
  <c r="C1058" i="1"/>
  <c r="E1057" i="1"/>
  <c r="C1057" i="1"/>
  <c r="E1056" i="1"/>
  <c r="C1056" i="1"/>
  <c r="E1055" i="1"/>
  <c r="C1055" i="1"/>
  <c r="E1054" i="1"/>
  <c r="C1054" i="1"/>
  <c r="E1053" i="1"/>
  <c r="C1053" i="1"/>
  <c r="E1052" i="1"/>
  <c r="C1052" i="1"/>
  <c r="E1051" i="1"/>
  <c r="C1051" i="1"/>
  <c r="E1050" i="1"/>
  <c r="C1050" i="1"/>
  <c r="E1049" i="1"/>
  <c r="C1049" i="1"/>
  <c r="E1048" i="1"/>
  <c r="C1048" i="1"/>
  <c r="E1047" i="1"/>
  <c r="C1047" i="1"/>
  <c r="E1046" i="1"/>
  <c r="C1046" i="1"/>
  <c r="E1045" i="1"/>
  <c r="C1045" i="1"/>
  <c r="E1044" i="1"/>
  <c r="C1044" i="1"/>
  <c r="E1043" i="1"/>
  <c r="C1043" i="1"/>
  <c r="E1042" i="1"/>
  <c r="C1042" i="1"/>
  <c r="E1041" i="1"/>
  <c r="C1041" i="1"/>
  <c r="E1040" i="1"/>
  <c r="C1040" i="1"/>
  <c r="E1039" i="1"/>
  <c r="C1039" i="1"/>
  <c r="E1038" i="1"/>
  <c r="C1038" i="1"/>
  <c r="E1037" i="1"/>
  <c r="C1037" i="1"/>
  <c r="E1036" i="1"/>
  <c r="C1036" i="1"/>
  <c r="E1035" i="1"/>
  <c r="C1035" i="1"/>
  <c r="E1034" i="1"/>
  <c r="C1034" i="1"/>
  <c r="E1033" i="1"/>
  <c r="C1033" i="1"/>
  <c r="E1032" i="1"/>
  <c r="C1032" i="1"/>
  <c r="E1031" i="1"/>
  <c r="C1031" i="1"/>
  <c r="E1030" i="1"/>
  <c r="C1030" i="1"/>
  <c r="E1029" i="1"/>
  <c r="C1029" i="1"/>
  <c r="E1028" i="1"/>
  <c r="C1028" i="1"/>
  <c r="E1027" i="1"/>
  <c r="C1027" i="1"/>
  <c r="E1026" i="1"/>
  <c r="C1026" i="1"/>
  <c r="E1025" i="1"/>
  <c r="C1025" i="1"/>
  <c r="E1024" i="1"/>
  <c r="C1024" i="1"/>
  <c r="E1023" i="1"/>
  <c r="C1023" i="1"/>
  <c r="E1022" i="1"/>
  <c r="C1022" i="1"/>
  <c r="E1021" i="1"/>
  <c r="C1021" i="1"/>
  <c r="E1020" i="1"/>
  <c r="C1020" i="1"/>
  <c r="E1019" i="1"/>
  <c r="C1019" i="1"/>
  <c r="E1018" i="1"/>
  <c r="C1018" i="1"/>
  <c r="E1017" i="1"/>
  <c r="C1017" i="1"/>
  <c r="E1016" i="1"/>
  <c r="C1016" i="1"/>
  <c r="E1015" i="1"/>
  <c r="C1015" i="1"/>
  <c r="E1014" i="1"/>
  <c r="C1014" i="1"/>
  <c r="E1013" i="1"/>
  <c r="C1013" i="1"/>
  <c r="E1012" i="1"/>
  <c r="C1012" i="1"/>
  <c r="E1011" i="1"/>
  <c r="C1011" i="1"/>
  <c r="E1010" i="1"/>
  <c r="C1010" i="1"/>
  <c r="E1009" i="1"/>
  <c r="C1009" i="1"/>
  <c r="E1008" i="1"/>
  <c r="C1008" i="1"/>
  <c r="E1007" i="1"/>
  <c r="C1007" i="1"/>
  <c r="E1006" i="1"/>
  <c r="C1006" i="1"/>
  <c r="E1005" i="1"/>
  <c r="C1005" i="1"/>
  <c r="E1004" i="1"/>
  <c r="C1004" i="1"/>
  <c r="E1003" i="1"/>
  <c r="C1003" i="1"/>
  <c r="E1002" i="1"/>
  <c r="C1002" i="1"/>
  <c r="E1001" i="1"/>
  <c r="C1001" i="1"/>
  <c r="E1000" i="1"/>
  <c r="C1000" i="1"/>
  <c r="E999" i="1"/>
  <c r="C999" i="1"/>
  <c r="E998" i="1"/>
  <c r="C998" i="1"/>
  <c r="E997" i="1"/>
  <c r="C997" i="1"/>
  <c r="E996" i="1"/>
  <c r="C996" i="1"/>
  <c r="E995" i="1"/>
  <c r="C995" i="1"/>
  <c r="E994" i="1"/>
  <c r="C994" i="1"/>
  <c r="E993" i="1"/>
  <c r="C993" i="1"/>
  <c r="E992" i="1"/>
  <c r="C992" i="1"/>
  <c r="E991" i="1"/>
  <c r="C991" i="1"/>
  <c r="E990" i="1"/>
  <c r="C990" i="1"/>
  <c r="E989" i="1"/>
  <c r="C989" i="1"/>
  <c r="E988" i="1"/>
  <c r="C988" i="1"/>
  <c r="E987" i="1"/>
  <c r="C987" i="1"/>
  <c r="E986" i="1"/>
  <c r="C986" i="1"/>
  <c r="E985" i="1"/>
  <c r="C985" i="1"/>
  <c r="E984" i="1"/>
  <c r="C984" i="1"/>
  <c r="E983" i="1"/>
  <c r="C983" i="1"/>
  <c r="E982" i="1"/>
  <c r="C982" i="1"/>
  <c r="E981" i="1"/>
  <c r="C981" i="1"/>
  <c r="E980" i="1"/>
  <c r="C980" i="1"/>
  <c r="E979" i="1"/>
  <c r="C979" i="1"/>
  <c r="E978" i="1"/>
  <c r="C978" i="1"/>
  <c r="E977" i="1"/>
  <c r="C977" i="1"/>
  <c r="E976" i="1"/>
  <c r="C976" i="1"/>
  <c r="E975" i="1"/>
  <c r="C975" i="1"/>
  <c r="E974" i="1"/>
  <c r="C974" i="1"/>
  <c r="E973" i="1"/>
  <c r="C973" i="1"/>
  <c r="E972" i="1"/>
  <c r="C972" i="1"/>
  <c r="E971" i="1"/>
  <c r="C971" i="1"/>
  <c r="E970" i="1"/>
  <c r="C970" i="1"/>
  <c r="E969" i="1"/>
  <c r="C969" i="1"/>
  <c r="E968" i="1"/>
  <c r="C968" i="1"/>
  <c r="E967" i="1"/>
  <c r="C967" i="1"/>
  <c r="E966" i="1"/>
  <c r="C966" i="1"/>
  <c r="E965" i="1"/>
  <c r="C965" i="1"/>
  <c r="E964" i="1"/>
  <c r="C964" i="1"/>
  <c r="E963" i="1"/>
  <c r="C963" i="1"/>
  <c r="E962" i="1"/>
  <c r="C962" i="1"/>
  <c r="E961" i="1"/>
  <c r="C961" i="1"/>
  <c r="E960" i="1"/>
  <c r="C960" i="1"/>
  <c r="E959" i="1"/>
  <c r="C959" i="1"/>
  <c r="E958" i="1"/>
  <c r="C958" i="1"/>
  <c r="E957" i="1"/>
  <c r="C957" i="1"/>
  <c r="E956" i="1"/>
  <c r="C956" i="1"/>
  <c r="E955" i="1"/>
  <c r="C955" i="1"/>
  <c r="E954" i="1"/>
  <c r="C954" i="1"/>
  <c r="E953" i="1"/>
  <c r="C953" i="1"/>
  <c r="E952" i="1"/>
  <c r="C952" i="1"/>
  <c r="E951" i="1"/>
  <c r="C951" i="1"/>
  <c r="E950" i="1"/>
  <c r="C950" i="1"/>
  <c r="E949" i="1"/>
  <c r="C949" i="1"/>
  <c r="E948" i="1"/>
  <c r="C948" i="1"/>
  <c r="E947" i="1"/>
  <c r="C947" i="1"/>
  <c r="E946" i="1"/>
  <c r="C946" i="1"/>
  <c r="E945" i="1"/>
  <c r="C945" i="1"/>
  <c r="E944" i="1"/>
  <c r="C944" i="1"/>
  <c r="E943" i="1"/>
  <c r="C943" i="1"/>
  <c r="E942" i="1"/>
  <c r="C942" i="1"/>
  <c r="E941" i="1"/>
  <c r="C941" i="1"/>
  <c r="E940" i="1"/>
  <c r="C940" i="1"/>
  <c r="E939" i="1"/>
  <c r="C939" i="1"/>
  <c r="E938" i="1"/>
  <c r="C938" i="1"/>
  <c r="E937" i="1"/>
  <c r="C937" i="1"/>
  <c r="E936" i="1"/>
  <c r="C936" i="1"/>
  <c r="E935" i="1"/>
  <c r="C935" i="1"/>
  <c r="E934" i="1"/>
  <c r="C934" i="1"/>
  <c r="E933" i="1"/>
  <c r="C933" i="1"/>
  <c r="E932" i="1"/>
  <c r="C932" i="1"/>
  <c r="E931" i="1"/>
  <c r="C931" i="1"/>
  <c r="E930" i="1"/>
  <c r="C930" i="1"/>
  <c r="E929" i="1"/>
  <c r="C929" i="1"/>
  <c r="E928" i="1"/>
  <c r="C928" i="1"/>
  <c r="E927" i="1"/>
  <c r="C927" i="1"/>
  <c r="E926" i="1"/>
  <c r="C926" i="1"/>
  <c r="E925" i="1"/>
  <c r="C925" i="1"/>
  <c r="E924" i="1"/>
  <c r="C924" i="1"/>
  <c r="E923" i="1"/>
  <c r="C923" i="1"/>
  <c r="E922" i="1"/>
  <c r="C922" i="1"/>
  <c r="E921" i="1"/>
  <c r="C921" i="1"/>
  <c r="E920" i="1"/>
  <c r="C920" i="1"/>
  <c r="E919" i="1"/>
  <c r="C919" i="1"/>
  <c r="E918" i="1"/>
  <c r="C918" i="1"/>
  <c r="E917" i="1"/>
  <c r="C917" i="1"/>
  <c r="E916" i="1"/>
  <c r="C916" i="1"/>
  <c r="E915" i="1"/>
  <c r="C915" i="1"/>
  <c r="E914" i="1"/>
  <c r="C914" i="1"/>
  <c r="E913" i="1"/>
  <c r="C913" i="1"/>
  <c r="E912" i="1"/>
  <c r="C912" i="1"/>
  <c r="E911" i="1"/>
  <c r="C911" i="1"/>
  <c r="E910" i="1"/>
  <c r="C910" i="1"/>
  <c r="E909" i="1"/>
  <c r="C909" i="1"/>
  <c r="E908" i="1"/>
  <c r="C908" i="1"/>
  <c r="E907" i="1"/>
  <c r="C907" i="1"/>
  <c r="E906" i="1"/>
  <c r="C906" i="1"/>
  <c r="E905" i="1"/>
  <c r="C905" i="1"/>
  <c r="E904" i="1"/>
  <c r="C904" i="1"/>
  <c r="E903" i="1"/>
  <c r="C903" i="1"/>
  <c r="E902" i="1"/>
  <c r="C902" i="1"/>
  <c r="E901" i="1"/>
  <c r="C901" i="1"/>
  <c r="E900" i="1"/>
  <c r="C900" i="1"/>
  <c r="E899" i="1"/>
  <c r="C899" i="1"/>
  <c r="E898" i="1"/>
  <c r="C898" i="1"/>
  <c r="E897" i="1"/>
  <c r="C897" i="1"/>
  <c r="E896" i="1"/>
  <c r="C896" i="1"/>
  <c r="E895" i="1"/>
  <c r="C895" i="1"/>
  <c r="E894" i="1"/>
  <c r="C894" i="1"/>
  <c r="E893" i="1"/>
  <c r="C893" i="1"/>
  <c r="E892" i="1"/>
  <c r="C892" i="1"/>
  <c r="E891" i="1"/>
  <c r="C891" i="1"/>
  <c r="E890" i="1"/>
  <c r="C890" i="1"/>
  <c r="E889" i="1"/>
  <c r="C889" i="1"/>
  <c r="E888" i="1"/>
  <c r="C888" i="1"/>
  <c r="E887" i="1"/>
  <c r="C887" i="1"/>
  <c r="E886" i="1"/>
  <c r="C886" i="1"/>
  <c r="E885" i="1"/>
  <c r="C885" i="1"/>
  <c r="E884" i="1"/>
  <c r="C884" i="1"/>
  <c r="E883" i="1"/>
  <c r="C883" i="1"/>
  <c r="E882" i="1"/>
  <c r="C882" i="1"/>
  <c r="E881" i="1"/>
  <c r="C881" i="1"/>
  <c r="E880" i="1"/>
  <c r="C880" i="1"/>
  <c r="E879" i="1"/>
  <c r="C879" i="1"/>
  <c r="E878" i="1"/>
  <c r="C878" i="1"/>
  <c r="E877" i="1"/>
  <c r="C877" i="1"/>
  <c r="E876" i="1"/>
  <c r="C876" i="1"/>
  <c r="E875" i="1"/>
  <c r="C875" i="1"/>
  <c r="E874" i="1"/>
  <c r="C874" i="1"/>
  <c r="E873" i="1"/>
  <c r="C873" i="1"/>
  <c r="E872" i="1"/>
  <c r="C872" i="1"/>
  <c r="E871" i="1"/>
  <c r="C871" i="1"/>
  <c r="E870" i="1"/>
  <c r="C870" i="1"/>
  <c r="E869" i="1"/>
  <c r="C869" i="1"/>
  <c r="E868" i="1"/>
  <c r="C868" i="1"/>
  <c r="E867" i="1"/>
  <c r="C867" i="1"/>
  <c r="E866" i="1"/>
  <c r="C866" i="1"/>
  <c r="E865" i="1"/>
  <c r="C865" i="1"/>
  <c r="E864" i="1"/>
  <c r="C864" i="1"/>
  <c r="E863" i="1"/>
  <c r="C863" i="1"/>
  <c r="E862" i="1"/>
  <c r="C862" i="1"/>
  <c r="E861" i="1"/>
  <c r="C861" i="1"/>
  <c r="E860" i="1"/>
  <c r="C860" i="1"/>
  <c r="E859" i="1"/>
  <c r="C859" i="1"/>
  <c r="E858" i="1"/>
  <c r="C858" i="1"/>
  <c r="E857" i="1"/>
  <c r="C857" i="1"/>
  <c r="E856" i="1"/>
  <c r="C856" i="1"/>
  <c r="E855" i="1"/>
  <c r="C855" i="1"/>
  <c r="E854" i="1"/>
  <c r="C854" i="1"/>
  <c r="E853" i="1"/>
  <c r="C853" i="1"/>
  <c r="E852" i="1"/>
  <c r="C852" i="1"/>
  <c r="E851" i="1"/>
  <c r="C851" i="1"/>
  <c r="E850" i="1"/>
  <c r="C850" i="1"/>
  <c r="E849" i="1"/>
  <c r="C849" i="1"/>
  <c r="E848" i="1"/>
  <c r="C848" i="1"/>
  <c r="E847" i="1"/>
  <c r="C847" i="1"/>
  <c r="E846" i="1"/>
  <c r="C846" i="1"/>
  <c r="E845" i="1"/>
  <c r="C845" i="1"/>
  <c r="E844" i="1"/>
  <c r="C844" i="1"/>
  <c r="E843" i="1"/>
  <c r="C843" i="1"/>
  <c r="E842" i="1"/>
  <c r="C842" i="1"/>
  <c r="E841" i="1"/>
  <c r="C841" i="1"/>
  <c r="E840" i="1"/>
  <c r="C840" i="1"/>
  <c r="E839" i="1"/>
  <c r="C839" i="1"/>
  <c r="E838" i="1"/>
  <c r="C838" i="1"/>
  <c r="E837" i="1"/>
  <c r="C837" i="1"/>
  <c r="E836" i="1"/>
  <c r="C836" i="1"/>
  <c r="E835" i="1"/>
  <c r="C835" i="1"/>
  <c r="E834" i="1"/>
  <c r="C834" i="1"/>
  <c r="E833" i="1"/>
  <c r="C833" i="1"/>
  <c r="E832" i="1"/>
  <c r="C832" i="1"/>
  <c r="E831" i="1"/>
  <c r="C831" i="1"/>
  <c r="E830" i="1"/>
  <c r="C830" i="1"/>
  <c r="E829" i="1"/>
  <c r="C829" i="1"/>
  <c r="E828" i="1"/>
  <c r="C828" i="1"/>
  <c r="E827" i="1"/>
  <c r="C827" i="1"/>
  <c r="E826" i="1"/>
  <c r="C826" i="1"/>
  <c r="E825" i="1"/>
  <c r="C825" i="1"/>
  <c r="E824" i="1"/>
  <c r="C824" i="1"/>
  <c r="E823" i="1"/>
  <c r="C823" i="1"/>
  <c r="E822" i="1"/>
  <c r="C822" i="1"/>
  <c r="E821" i="1"/>
  <c r="C821" i="1"/>
  <c r="E820" i="1"/>
  <c r="C820" i="1"/>
  <c r="E819" i="1"/>
  <c r="C819" i="1"/>
  <c r="E818" i="1"/>
  <c r="C818" i="1"/>
  <c r="E817" i="1"/>
  <c r="C817" i="1"/>
  <c r="E816" i="1"/>
  <c r="C816" i="1"/>
  <c r="E815" i="1"/>
  <c r="C815" i="1"/>
  <c r="E814" i="1"/>
  <c r="C814" i="1"/>
  <c r="E813" i="1"/>
  <c r="C813" i="1"/>
  <c r="E812" i="1"/>
  <c r="C812" i="1"/>
  <c r="E811" i="1"/>
  <c r="C811" i="1"/>
  <c r="E810" i="1"/>
  <c r="C810" i="1"/>
  <c r="E809" i="1"/>
  <c r="C809" i="1"/>
  <c r="E808" i="1"/>
  <c r="C808" i="1"/>
  <c r="E807" i="1"/>
  <c r="C807" i="1"/>
  <c r="E806" i="1"/>
  <c r="C806" i="1"/>
  <c r="E805" i="1"/>
  <c r="C805" i="1"/>
  <c r="E804" i="1"/>
  <c r="C804" i="1"/>
  <c r="E803" i="1"/>
  <c r="C803" i="1"/>
  <c r="E802" i="1"/>
  <c r="C802" i="1"/>
  <c r="E801" i="1"/>
  <c r="C801" i="1"/>
  <c r="E800" i="1"/>
  <c r="C800" i="1"/>
  <c r="E799" i="1"/>
  <c r="C799" i="1"/>
  <c r="E798" i="1"/>
  <c r="C798" i="1"/>
  <c r="E797" i="1"/>
  <c r="C797" i="1"/>
  <c r="E796" i="1"/>
  <c r="C796" i="1"/>
  <c r="E795" i="1"/>
  <c r="C795" i="1"/>
  <c r="E794" i="1"/>
  <c r="C794" i="1"/>
  <c r="E793" i="1"/>
  <c r="C793" i="1"/>
  <c r="E792" i="1"/>
  <c r="C792" i="1"/>
  <c r="E791" i="1"/>
  <c r="C791" i="1"/>
  <c r="E790" i="1"/>
  <c r="C790" i="1"/>
  <c r="E789" i="1"/>
  <c r="C789" i="1"/>
  <c r="E788" i="1"/>
  <c r="C788" i="1"/>
  <c r="E787" i="1"/>
  <c r="C787" i="1"/>
  <c r="E786" i="1"/>
  <c r="C786" i="1"/>
  <c r="E785" i="1"/>
  <c r="C785" i="1"/>
  <c r="E784" i="1"/>
  <c r="C784" i="1"/>
  <c r="E783" i="1"/>
  <c r="C783" i="1"/>
  <c r="E782" i="1"/>
  <c r="C782" i="1"/>
  <c r="E781" i="1"/>
  <c r="C781" i="1"/>
  <c r="E780" i="1"/>
  <c r="C780" i="1"/>
  <c r="E779" i="1"/>
  <c r="C779" i="1"/>
  <c r="E778" i="1"/>
  <c r="C778" i="1"/>
  <c r="E777" i="1"/>
  <c r="C777" i="1"/>
  <c r="E776" i="1"/>
  <c r="C776" i="1"/>
  <c r="E775" i="1"/>
  <c r="C775" i="1"/>
  <c r="E774" i="1"/>
  <c r="C774" i="1"/>
  <c r="E773" i="1"/>
  <c r="C773" i="1"/>
  <c r="E772" i="1"/>
  <c r="C772" i="1"/>
  <c r="E771" i="1"/>
  <c r="C771" i="1"/>
  <c r="E770" i="1"/>
  <c r="C770" i="1"/>
  <c r="E769" i="1"/>
  <c r="C769" i="1"/>
  <c r="E768" i="1"/>
  <c r="C768" i="1"/>
  <c r="E767" i="1"/>
  <c r="C767" i="1"/>
  <c r="E766" i="1"/>
  <c r="C766" i="1"/>
  <c r="E765" i="1"/>
  <c r="C765" i="1"/>
  <c r="E764" i="1"/>
  <c r="C764" i="1"/>
  <c r="E763" i="1"/>
  <c r="C763" i="1"/>
  <c r="E762" i="1"/>
  <c r="C762" i="1"/>
  <c r="E761" i="1"/>
  <c r="C761" i="1"/>
  <c r="E760" i="1"/>
  <c r="C760" i="1"/>
  <c r="E759" i="1"/>
  <c r="C759" i="1"/>
  <c r="E758" i="1"/>
  <c r="C758" i="1"/>
  <c r="E757" i="1"/>
  <c r="C757" i="1"/>
  <c r="E756" i="1"/>
  <c r="C756" i="1"/>
  <c r="E755" i="1"/>
  <c r="C755" i="1"/>
  <c r="E754" i="1"/>
  <c r="C754" i="1"/>
  <c r="E753" i="1"/>
  <c r="C753" i="1"/>
  <c r="E752" i="1"/>
  <c r="C752" i="1"/>
  <c r="E751" i="1"/>
  <c r="C751" i="1"/>
  <c r="E750" i="1"/>
  <c r="C750" i="1"/>
  <c r="E749" i="1"/>
  <c r="C749" i="1"/>
  <c r="E748" i="1"/>
  <c r="C748" i="1"/>
  <c r="E747" i="1"/>
  <c r="C747" i="1"/>
  <c r="E746" i="1"/>
  <c r="C746" i="1"/>
  <c r="E745" i="1"/>
  <c r="C745" i="1"/>
  <c r="E744" i="1"/>
  <c r="C744" i="1"/>
  <c r="E743" i="1"/>
  <c r="C743" i="1"/>
  <c r="E742" i="1"/>
  <c r="C742" i="1"/>
  <c r="E741" i="1"/>
  <c r="C741" i="1"/>
  <c r="E740" i="1"/>
  <c r="C740" i="1"/>
  <c r="E739" i="1"/>
  <c r="C739" i="1"/>
  <c r="E738" i="1"/>
  <c r="C738" i="1"/>
  <c r="E737" i="1"/>
  <c r="C737" i="1"/>
  <c r="E736" i="1"/>
  <c r="C736" i="1"/>
  <c r="E735" i="1"/>
  <c r="C735" i="1"/>
  <c r="E734" i="1"/>
  <c r="C734" i="1"/>
  <c r="E733" i="1"/>
  <c r="C733" i="1"/>
  <c r="E732" i="1"/>
  <c r="C732" i="1"/>
  <c r="E731" i="1"/>
  <c r="C731" i="1"/>
  <c r="E730" i="1"/>
  <c r="C730" i="1"/>
  <c r="E729" i="1"/>
  <c r="C729" i="1"/>
  <c r="E728" i="1"/>
  <c r="C728" i="1"/>
  <c r="E727" i="1"/>
  <c r="C727" i="1"/>
  <c r="E726" i="1"/>
  <c r="C726" i="1"/>
  <c r="E725" i="1"/>
  <c r="C725" i="1"/>
  <c r="E724" i="1"/>
  <c r="C724" i="1"/>
  <c r="E723" i="1"/>
  <c r="C723" i="1"/>
  <c r="E722" i="1"/>
  <c r="C722" i="1"/>
  <c r="E721" i="1"/>
  <c r="C721" i="1"/>
  <c r="E720" i="1"/>
  <c r="C720" i="1"/>
  <c r="E719" i="1"/>
  <c r="C719" i="1"/>
  <c r="E718" i="1"/>
  <c r="C718" i="1"/>
  <c r="E717" i="1"/>
  <c r="C717" i="1"/>
  <c r="E716" i="1"/>
  <c r="C716" i="1"/>
  <c r="E715" i="1"/>
  <c r="C715" i="1"/>
  <c r="E714" i="1"/>
  <c r="C714" i="1"/>
  <c r="E713" i="1"/>
  <c r="C713" i="1"/>
  <c r="E712" i="1"/>
  <c r="C712" i="1"/>
  <c r="E711" i="1"/>
  <c r="C711" i="1"/>
  <c r="E710" i="1"/>
  <c r="C710" i="1"/>
  <c r="E709" i="1"/>
  <c r="C709" i="1"/>
  <c r="E708" i="1"/>
  <c r="C708" i="1"/>
  <c r="E707" i="1"/>
  <c r="C707" i="1"/>
  <c r="E706" i="1"/>
  <c r="C706" i="1"/>
  <c r="E705" i="1"/>
  <c r="C705" i="1"/>
  <c r="E704" i="1"/>
  <c r="C704" i="1"/>
  <c r="E703" i="1"/>
  <c r="C703" i="1"/>
  <c r="E702" i="1"/>
  <c r="C702" i="1"/>
  <c r="E701" i="1"/>
  <c r="C701" i="1"/>
  <c r="E700" i="1"/>
  <c r="C700" i="1"/>
  <c r="E699" i="1"/>
  <c r="C699" i="1"/>
  <c r="E698" i="1"/>
  <c r="C698" i="1"/>
  <c r="E697" i="1"/>
  <c r="C697" i="1"/>
  <c r="E696" i="1"/>
  <c r="C696" i="1"/>
  <c r="E695" i="1"/>
  <c r="C695" i="1"/>
  <c r="E694" i="1"/>
  <c r="C694" i="1"/>
  <c r="E693" i="1"/>
  <c r="C693" i="1"/>
  <c r="E692" i="1"/>
  <c r="C692" i="1"/>
  <c r="E691" i="1"/>
  <c r="C691" i="1"/>
  <c r="E690" i="1"/>
  <c r="C690" i="1"/>
  <c r="E689" i="1"/>
  <c r="C689" i="1"/>
  <c r="E688" i="1"/>
  <c r="C688" i="1"/>
  <c r="E687" i="1"/>
  <c r="C687" i="1"/>
  <c r="E686" i="1"/>
  <c r="C686" i="1"/>
  <c r="E685" i="1"/>
  <c r="C685" i="1"/>
  <c r="E684" i="1"/>
  <c r="C684" i="1"/>
  <c r="E683" i="1"/>
  <c r="C683" i="1"/>
  <c r="E682" i="1"/>
  <c r="C682" i="1"/>
  <c r="E681" i="1"/>
  <c r="C681" i="1"/>
  <c r="E680" i="1"/>
  <c r="C680" i="1"/>
  <c r="E679" i="1"/>
  <c r="C679" i="1"/>
  <c r="E678" i="1"/>
  <c r="C678" i="1"/>
  <c r="E677" i="1"/>
  <c r="C677" i="1"/>
  <c r="E676" i="1"/>
  <c r="C676" i="1"/>
  <c r="E675" i="1"/>
  <c r="C675" i="1"/>
  <c r="E674" i="1"/>
  <c r="C674" i="1"/>
  <c r="E673" i="1"/>
  <c r="C673" i="1"/>
  <c r="E672" i="1"/>
  <c r="C672" i="1"/>
  <c r="E671" i="1"/>
  <c r="C671" i="1"/>
  <c r="E670" i="1"/>
  <c r="C670" i="1"/>
  <c r="E669" i="1"/>
  <c r="C669" i="1"/>
  <c r="E668" i="1"/>
  <c r="C668" i="1"/>
  <c r="E667" i="1"/>
  <c r="C667" i="1"/>
  <c r="E666" i="1"/>
  <c r="C666" i="1"/>
  <c r="E665" i="1"/>
  <c r="C665" i="1"/>
  <c r="E664" i="1"/>
  <c r="C664" i="1"/>
  <c r="E663" i="1"/>
  <c r="C663" i="1"/>
  <c r="E662" i="1"/>
  <c r="C662" i="1"/>
  <c r="E661" i="1"/>
  <c r="C661" i="1"/>
  <c r="E660" i="1"/>
  <c r="C660" i="1"/>
  <c r="E659" i="1"/>
  <c r="C659" i="1"/>
  <c r="E658" i="1"/>
  <c r="C658" i="1"/>
  <c r="E657" i="1"/>
  <c r="C657" i="1"/>
  <c r="E656" i="1"/>
  <c r="C656" i="1"/>
  <c r="E655" i="1"/>
  <c r="C655" i="1"/>
  <c r="E654" i="1"/>
  <c r="C654" i="1"/>
  <c r="E653" i="1"/>
  <c r="C653" i="1"/>
  <c r="E652" i="1"/>
  <c r="C652" i="1"/>
  <c r="E651" i="1"/>
  <c r="C651" i="1"/>
  <c r="E650" i="1"/>
  <c r="C650" i="1"/>
  <c r="E649" i="1"/>
  <c r="C649" i="1"/>
  <c r="E648" i="1"/>
  <c r="C648" i="1"/>
  <c r="E647" i="1"/>
  <c r="C647" i="1"/>
  <c r="E646" i="1"/>
  <c r="C646" i="1"/>
  <c r="E645" i="1"/>
  <c r="C645" i="1"/>
  <c r="E644" i="1"/>
  <c r="C644" i="1"/>
  <c r="E643" i="1"/>
  <c r="C643" i="1"/>
  <c r="E642" i="1"/>
  <c r="C642" i="1"/>
  <c r="E641" i="1"/>
  <c r="C641" i="1"/>
  <c r="E640" i="1"/>
  <c r="C640" i="1"/>
  <c r="E639" i="1"/>
  <c r="C639" i="1"/>
  <c r="E638" i="1"/>
  <c r="C638" i="1"/>
  <c r="E637" i="1"/>
  <c r="C637" i="1"/>
  <c r="E636" i="1"/>
  <c r="C636" i="1"/>
  <c r="E635" i="1"/>
  <c r="C635" i="1"/>
  <c r="E634" i="1"/>
  <c r="C634" i="1"/>
  <c r="E633" i="1"/>
  <c r="C633" i="1"/>
  <c r="E632" i="1"/>
  <c r="C632" i="1"/>
  <c r="E631" i="1"/>
  <c r="C631" i="1"/>
  <c r="E630" i="1"/>
  <c r="C630" i="1"/>
  <c r="E629" i="1"/>
  <c r="C629" i="1"/>
  <c r="E628" i="1"/>
  <c r="C628" i="1"/>
  <c r="E627" i="1"/>
  <c r="C627" i="1"/>
  <c r="E626" i="1"/>
  <c r="C626" i="1"/>
  <c r="E625" i="1"/>
  <c r="C625" i="1"/>
  <c r="E624" i="1"/>
  <c r="C624" i="1"/>
  <c r="E623" i="1"/>
  <c r="C623" i="1"/>
  <c r="E622" i="1"/>
  <c r="C622" i="1"/>
  <c r="E621" i="1"/>
  <c r="C621" i="1"/>
  <c r="E620" i="1"/>
  <c r="C620" i="1"/>
  <c r="E619" i="1"/>
  <c r="C619" i="1"/>
  <c r="E618" i="1"/>
  <c r="C618" i="1"/>
  <c r="E617" i="1"/>
  <c r="C617" i="1"/>
  <c r="E616" i="1"/>
  <c r="C616" i="1"/>
  <c r="E615" i="1"/>
  <c r="C615" i="1"/>
  <c r="E614" i="1"/>
  <c r="C614" i="1"/>
  <c r="E613" i="1"/>
  <c r="C613" i="1"/>
  <c r="E612" i="1"/>
  <c r="C612" i="1"/>
  <c r="E611" i="1"/>
  <c r="C611" i="1"/>
  <c r="E610" i="1"/>
  <c r="C610" i="1"/>
  <c r="E609" i="1"/>
  <c r="C609" i="1"/>
  <c r="E608" i="1"/>
  <c r="C608" i="1"/>
  <c r="E607" i="1"/>
  <c r="C607" i="1"/>
  <c r="E606" i="1"/>
  <c r="C606" i="1"/>
  <c r="E605" i="1"/>
  <c r="C605" i="1"/>
  <c r="E604" i="1"/>
  <c r="C604" i="1"/>
  <c r="E603" i="1"/>
  <c r="C603" i="1"/>
  <c r="E602" i="1"/>
  <c r="C602" i="1"/>
  <c r="E601" i="1"/>
  <c r="C601" i="1"/>
  <c r="E600" i="1"/>
  <c r="C600" i="1"/>
  <c r="E599" i="1"/>
  <c r="C599" i="1"/>
  <c r="E598" i="1"/>
  <c r="C598" i="1"/>
  <c r="E597" i="1"/>
  <c r="C597" i="1"/>
  <c r="E596" i="1"/>
  <c r="C596" i="1"/>
  <c r="E595" i="1"/>
  <c r="C595" i="1"/>
  <c r="E594" i="1"/>
  <c r="C594" i="1"/>
  <c r="E593" i="1"/>
  <c r="C593" i="1"/>
  <c r="E592" i="1"/>
  <c r="C592" i="1"/>
  <c r="E591" i="1"/>
  <c r="C591" i="1"/>
  <c r="E590" i="1"/>
  <c r="C590" i="1"/>
  <c r="E589" i="1"/>
  <c r="C589" i="1"/>
  <c r="E588" i="1"/>
  <c r="C588" i="1"/>
  <c r="E587" i="1"/>
  <c r="C587" i="1"/>
  <c r="E586" i="1"/>
  <c r="C586" i="1"/>
  <c r="E585" i="1"/>
  <c r="C585" i="1"/>
  <c r="E584" i="1"/>
  <c r="C584" i="1"/>
  <c r="E583" i="1"/>
  <c r="C583" i="1"/>
  <c r="E582" i="1"/>
  <c r="C582" i="1"/>
  <c r="E581" i="1"/>
  <c r="C581" i="1"/>
  <c r="E580" i="1"/>
  <c r="C580" i="1"/>
  <c r="E579" i="1"/>
  <c r="C579" i="1"/>
  <c r="E578" i="1"/>
  <c r="C578" i="1"/>
  <c r="E577" i="1"/>
  <c r="C577" i="1"/>
  <c r="E576" i="1"/>
  <c r="C576" i="1"/>
  <c r="E575" i="1"/>
  <c r="C575" i="1"/>
  <c r="E574" i="1"/>
  <c r="C574" i="1"/>
  <c r="E573" i="1"/>
  <c r="C573" i="1"/>
  <c r="E572" i="1"/>
  <c r="C572" i="1"/>
  <c r="E571" i="1"/>
  <c r="C571" i="1"/>
  <c r="E570" i="1"/>
  <c r="C570" i="1"/>
  <c r="E569" i="1"/>
  <c r="C569" i="1"/>
  <c r="E568" i="1"/>
  <c r="C568" i="1"/>
  <c r="E567" i="1"/>
  <c r="C567" i="1"/>
  <c r="E566" i="1"/>
  <c r="C566" i="1"/>
  <c r="E565" i="1"/>
  <c r="C565" i="1"/>
  <c r="E564" i="1"/>
  <c r="C564" i="1"/>
  <c r="E563" i="1"/>
  <c r="C563" i="1"/>
  <c r="E562" i="1"/>
  <c r="C562" i="1"/>
  <c r="E561" i="1"/>
  <c r="C561" i="1"/>
  <c r="E560" i="1"/>
  <c r="C560" i="1"/>
  <c r="E559" i="1"/>
  <c r="C559" i="1"/>
  <c r="E558" i="1"/>
  <c r="C558" i="1"/>
  <c r="E557" i="1"/>
  <c r="C557" i="1"/>
  <c r="E556" i="1"/>
  <c r="C556" i="1"/>
  <c r="E555" i="1"/>
  <c r="C555" i="1"/>
  <c r="E554" i="1"/>
  <c r="C554" i="1"/>
  <c r="E553" i="1"/>
  <c r="C553" i="1"/>
  <c r="E552" i="1"/>
  <c r="C552" i="1"/>
  <c r="E551" i="1"/>
  <c r="C551" i="1"/>
  <c r="E550" i="1"/>
  <c r="C550" i="1"/>
  <c r="E549" i="1"/>
  <c r="C549" i="1"/>
  <c r="E548" i="1"/>
  <c r="C548" i="1"/>
  <c r="E547" i="1"/>
  <c r="C547" i="1"/>
  <c r="E546" i="1"/>
  <c r="C546" i="1"/>
  <c r="E545" i="1"/>
  <c r="C545" i="1"/>
  <c r="E544" i="1"/>
  <c r="C544" i="1"/>
  <c r="E543" i="1"/>
  <c r="C543" i="1"/>
  <c r="E542" i="1"/>
  <c r="C542" i="1"/>
  <c r="E541" i="1"/>
  <c r="C541" i="1"/>
  <c r="E540" i="1"/>
  <c r="C540" i="1"/>
  <c r="E539" i="1"/>
  <c r="C539" i="1"/>
  <c r="E538" i="1"/>
  <c r="C538" i="1"/>
  <c r="E537" i="1"/>
  <c r="C537" i="1"/>
  <c r="E536" i="1"/>
  <c r="C536" i="1"/>
  <c r="E535" i="1"/>
  <c r="C535" i="1"/>
  <c r="E534" i="1"/>
  <c r="C534" i="1"/>
  <c r="E533" i="1"/>
  <c r="C533" i="1"/>
  <c r="E532" i="1"/>
  <c r="C532" i="1"/>
  <c r="E531" i="1"/>
  <c r="C531" i="1"/>
  <c r="E530" i="1"/>
  <c r="C530" i="1"/>
  <c r="E529" i="1"/>
  <c r="C529" i="1"/>
  <c r="E528" i="1"/>
  <c r="C528" i="1"/>
  <c r="E527" i="1"/>
  <c r="C527" i="1"/>
  <c r="E526" i="1"/>
  <c r="C526" i="1"/>
  <c r="E525" i="1"/>
  <c r="C525" i="1"/>
  <c r="E524" i="1"/>
  <c r="C524" i="1"/>
  <c r="E523" i="1"/>
  <c r="C523" i="1"/>
  <c r="E522" i="1"/>
  <c r="C522" i="1"/>
  <c r="E521" i="1"/>
  <c r="C521" i="1"/>
  <c r="E520" i="1"/>
  <c r="C520" i="1"/>
  <c r="E519" i="1"/>
  <c r="C519" i="1"/>
  <c r="E518" i="1"/>
  <c r="C518" i="1"/>
  <c r="E517" i="1"/>
  <c r="C517" i="1"/>
  <c r="E516" i="1"/>
  <c r="C516" i="1"/>
  <c r="E515" i="1"/>
  <c r="C515" i="1"/>
  <c r="E514" i="1"/>
  <c r="C514" i="1"/>
  <c r="E513" i="1"/>
  <c r="C513" i="1"/>
  <c r="E512" i="1"/>
  <c r="C512" i="1"/>
  <c r="E511" i="1"/>
  <c r="C511" i="1"/>
  <c r="E510" i="1"/>
  <c r="C510" i="1"/>
  <c r="E509" i="1"/>
  <c r="C509" i="1"/>
  <c r="E508" i="1"/>
  <c r="C508" i="1"/>
  <c r="E507" i="1"/>
  <c r="C507" i="1"/>
  <c r="E506" i="1"/>
  <c r="C506" i="1"/>
  <c r="E505" i="1"/>
  <c r="C505" i="1"/>
  <c r="E504" i="1"/>
  <c r="C504" i="1"/>
  <c r="E503" i="1"/>
  <c r="C503" i="1"/>
  <c r="E502" i="1"/>
  <c r="C502" i="1"/>
  <c r="E501" i="1"/>
  <c r="C501" i="1"/>
  <c r="E500" i="1"/>
  <c r="C500" i="1"/>
  <c r="E499" i="1"/>
  <c r="C499" i="1"/>
  <c r="E498" i="1"/>
  <c r="C498" i="1"/>
  <c r="E497" i="1"/>
  <c r="C497" i="1"/>
  <c r="E496" i="1"/>
  <c r="C496" i="1"/>
  <c r="E495" i="1"/>
  <c r="C495" i="1"/>
  <c r="E494" i="1"/>
  <c r="C494" i="1"/>
  <c r="E493" i="1"/>
  <c r="C493" i="1"/>
  <c r="E492" i="1"/>
  <c r="C492" i="1"/>
  <c r="E491" i="1"/>
  <c r="C491" i="1"/>
  <c r="E490" i="1"/>
  <c r="C490" i="1"/>
  <c r="E489" i="1"/>
  <c r="C489" i="1"/>
  <c r="E488" i="1"/>
  <c r="C488" i="1"/>
  <c r="E487" i="1"/>
  <c r="C487" i="1"/>
  <c r="E486" i="1"/>
  <c r="C486" i="1"/>
  <c r="E485" i="1"/>
  <c r="C485" i="1"/>
  <c r="E484" i="1"/>
  <c r="C484" i="1"/>
  <c r="E483" i="1"/>
  <c r="C483" i="1"/>
  <c r="E482" i="1"/>
  <c r="C482" i="1"/>
  <c r="E481" i="1"/>
  <c r="C481" i="1"/>
  <c r="E480" i="1"/>
  <c r="C480" i="1"/>
  <c r="E479" i="1"/>
  <c r="C479" i="1"/>
  <c r="E478" i="1"/>
  <c r="C478" i="1"/>
  <c r="E477" i="1"/>
  <c r="C477" i="1"/>
  <c r="E476" i="1"/>
  <c r="C476" i="1"/>
  <c r="E475" i="1"/>
  <c r="C475" i="1"/>
  <c r="E474" i="1"/>
  <c r="C474" i="1"/>
  <c r="E473" i="1"/>
  <c r="C473" i="1"/>
  <c r="E472" i="1"/>
  <c r="C472" i="1"/>
  <c r="E471" i="1"/>
  <c r="C471" i="1"/>
  <c r="E470" i="1"/>
  <c r="C470" i="1"/>
  <c r="E469" i="1"/>
  <c r="C469" i="1"/>
  <c r="E468" i="1"/>
  <c r="C468" i="1"/>
  <c r="E467" i="1"/>
  <c r="C467" i="1"/>
  <c r="E466" i="1"/>
  <c r="C466" i="1"/>
  <c r="E465" i="1"/>
  <c r="C465" i="1"/>
  <c r="E464" i="1"/>
  <c r="C464" i="1"/>
  <c r="E463" i="1"/>
  <c r="C463" i="1"/>
  <c r="E462" i="1"/>
  <c r="C462" i="1"/>
  <c r="E461" i="1"/>
  <c r="C461" i="1"/>
  <c r="E460" i="1"/>
  <c r="C460" i="1"/>
  <c r="E459" i="1"/>
  <c r="C459" i="1"/>
  <c r="E458" i="1"/>
  <c r="C458" i="1"/>
  <c r="E457" i="1"/>
  <c r="C457" i="1"/>
  <c r="E456" i="1"/>
  <c r="C456" i="1"/>
  <c r="E455" i="1"/>
  <c r="C455" i="1"/>
  <c r="E454" i="1"/>
  <c r="C454" i="1"/>
  <c r="E453" i="1"/>
  <c r="C453" i="1"/>
  <c r="E452" i="1"/>
  <c r="C452" i="1"/>
  <c r="E451" i="1"/>
  <c r="C451" i="1"/>
  <c r="E450" i="1"/>
  <c r="C450" i="1"/>
  <c r="E449" i="1"/>
  <c r="C449" i="1"/>
  <c r="E448" i="1"/>
  <c r="C448" i="1"/>
  <c r="E447" i="1"/>
  <c r="C447" i="1"/>
  <c r="E446" i="1"/>
  <c r="C446" i="1"/>
  <c r="E445" i="1"/>
  <c r="C445" i="1"/>
  <c r="E444" i="1"/>
  <c r="C444" i="1"/>
  <c r="E443" i="1"/>
  <c r="C443" i="1"/>
  <c r="E442" i="1"/>
  <c r="C442" i="1"/>
  <c r="E441" i="1"/>
  <c r="C441" i="1"/>
  <c r="E440" i="1"/>
  <c r="C440" i="1"/>
  <c r="E439" i="1"/>
  <c r="C439" i="1"/>
  <c r="E438" i="1"/>
  <c r="C438" i="1"/>
  <c r="E437" i="1"/>
  <c r="C437" i="1"/>
  <c r="E436" i="1"/>
  <c r="C436" i="1"/>
  <c r="E435" i="1"/>
  <c r="C435" i="1"/>
  <c r="E434" i="1"/>
  <c r="C434" i="1"/>
  <c r="E433" i="1"/>
  <c r="C433" i="1"/>
  <c r="E432" i="1"/>
  <c r="C432" i="1"/>
  <c r="E431" i="1"/>
  <c r="C431" i="1"/>
  <c r="E430" i="1"/>
  <c r="C430" i="1"/>
  <c r="E429" i="1"/>
  <c r="C429" i="1"/>
  <c r="E428" i="1"/>
  <c r="C428" i="1"/>
  <c r="E427" i="1"/>
  <c r="C427" i="1"/>
  <c r="E426" i="1"/>
  <c r="C426" i="1"/>
  <c r="E425" i="1"/>
  <c r="C425" i="1"/>
  <c r="E424" i="1"/>
  <c r="C424" i="1"/>
  <c r="E423" i="1"/>
  <c r="C423" i="1"/>
  <c r="E422" i="1"/>
  <c r="C422" i="1"/>
  <c r="E421" i="1"/>
  <c r="C421" i="1"/>
  <c r="E420" i="1"/>
  <c r="C420" i="1"/>
  <c r="E419" i="1"/>
  <c r="C419" i="1"/>
  <c r="E418" i="1"/>
  <c r="C418" i="1"/>
  <c r="E417" i="1"/>
  <c r="C417" i="1"/>
  <c r="E416" i="1"/>
  <c r="C416" i="1"/>
  <c r="E415" i="1"/>
  <c r="C415" i="1"/>
  <c r="E414" i="1"/>
  <c r="C414" i="1"/>
  <c r="E413" i="1"/>
  <c r="C413" i="1"/>
  <c r="E412" i="1"/>
  <c r="C412" i="1"/>
  <c r="E411" i="1"/>
  <c r="C411" i="1"/>
  <c r="E410" i="1"/>
  <c r="C410" i="1"/>
  <c r="E409" i="1"/>
  <c r="C409" i="1"/>
  <c r="E408" i="1"/>
  <c r="C408" i="1"/>
  <c r="E407" i="1"/>
  <c r="C407" i="1"/>
  <c r="E406" i="1"/>
  <c r="C406" i="1"/>
  <c r="E405" i="1"/>
  <c r="C405" i="1"/>
  <c r="E404" i="1"/>
  <c r="C404" i="1"/>
  <c r="E403" i="1"/>
  <c r="C403" i="1"/>
  <c r="E402" i="1"/>
  <c r="C402" i="1"/>
  <c r="E401" i="1"/>
  <c r="C401" i="1"/>
  <c r="E400" i="1"/>
  <c r="C400" i="1"/>
  <c r="E399" i="1"/>
  <c r="C399" i="1"/>
  <c r="E398" i="1"/>
  <c r="C398" i="1"/>
  <c r="E397" i="1"/>
  <c r="C397" i="1"/>
  <c r="E396" i="1"/>
  <c r="C396" i="1"/>
  <c r="E395" i="1"/>
  <c r="C395" i="1"/>
  <c r="E394" i="1"/>
  <c r="C394" i="1"/>
  <c r="E393" i="1"/>
  <c r="C393" i="1"/>
  <c r="E392" i="1"/>
  <c r="C392" i="1"/>
  <c r="E391" i="1"/>
  <c r="C391" i="1"/>
  <c r="E390" i="1"/>
  <c r="C390" i="1"/>
  <c r="E389" i="1"/>
  <c r="C389" i="1"/>
  <c r="E388" i="1"/>
  <c r="C388" i="1"/>
  <c r="E387" i="1"/>
  <c r="C387" i="1"/>
  <c r="E386" i="1"/>
  <c r="C386" i="1"/>
  <c r="E385" i="1"/>
  <c r="C385" i="1"/>
  <c r="E384" i="1"/>
  <c r="C384" i="1"/>
  <c r="E383" i="1"/>
  <c r="C383" i="1"/>
  <c r="E382" i="1"/>
  <c r="C382" i="1"/>
  <c r="E381" i="1"/>
  <c r="C381" i="1"/>
  <c r="E380" i="1"/>
  <c r="C380" i="1"/>
  <c r="E379" i="1"/>
  <c r="C379" i="1"/>
  <c r="E378" i="1"/>
  <c r="C378" i="1"/>
  <c r="E377" i="1"/>
  <c r="C377" i="1"/>
  <c r="E376" i="1"/>
  <c r="C376" i="1"/>
  <c r="E375" i="1"/>
  <c r="C375" i="1"/>
  <c r="E374" i="1"/>
  <c r="C374" i="1"/>
  <c r="E373" i="1"/>
  <c r="C373" i="1"/>
  <c r="E372" i="1"/>
  <c r="C372" i="1"/>
  <c r="E371" i="1"/>
  <c r="C371" i="1"/>
  <c r="E370" i="1"/>
  <c r="C370" i="1"/>
  <c r="E369" i="1"/>
  <c r="C369" i="1"/>
  <c r="E368" i="1"/>
  <c r="C368" i="1"/>
  <c r="E367" i="1"/>
  <c r="C367" i="1"/>
  <c r="E366" i="1"/>
  <c r="C366" i="1"/>
  <c r="E365" i="1"/>
  <c r="C365" i="1"/>
  <c r="E364" i="1"/>
  <c r="C364" i="1"/>
  <c r="E363" i="1"/>
  <c r="C363" i="1"/>
  <c r="E362" i="1"/>
  <c r="C362" i="1"/>
  <c r="E361" i="1"/>
  <c r="C361" i="1"/>
  <c r="E360" i="1"/>
  <c r="C360" i="1"/>
  <c r="E359" i="1"/>
  <c r="C359" i="1"/>
  <c r="E358" i="1"/>
  <c r="C358" i="1"/>
  <c r="E357" i="1"/>
  <c r="C357" i="1"/>
  <c r="E356" i="1"/>
  <c r="C356" i="1"/>
  <c r="E355" i="1"/>
  <c r="C355" i="1"/>
  <c r="E354" i="1"/>
  <c r="C354" i="1"/>
  <c r="E353" i="1"/>
  <c r="C353" i="1"/>
  <c r="E352" i="1"/>
  <c r="C352" i="1"/>
  <c r="E351" i="1"/>
  <c r="C351" i="1"/>
  <c r="E350" i="1"/>
  <c r="C350" i="1"/>
  <c r="E349" i="1"/>
  <c r="C349" i="1"/>
  <c r="E348" i="1"/>
  <c r="C348" i="1"/>
  <c r="E347" i="1"/>
  <c r="C347" i="1"/>
  <c r="E346" i="1"/>
  <c r="C346" i="1"/>
  <c r="E345" i="1"/>
  <c r="C345" i="1"/>
  <c r="E344" i="1"/>
  <c r="C344" i="1"/>
  <c r="E343" i="1"/>
  <c r="C343" i="1"/>
  <c r="E342" i="1"/>
  <c r="C342" i="1"/>
  <c r="E341" i="1"/>
  <c r="C341" i="1"/>
  <c r="E340" i="1"/>
  <c r="C340" i="1"/>
  <c r="E339" i="1"/>
  <c r="C339" i="1"/>
  <c r="E338" i="1"/>
  <c r="C338" i="1"/>
  <c r="E337" i="1"/>
  <c r="C337" i="1"/>
  <c r="E336" i="1"/>
  <c r="C336" i="1"/>
  <c r="E335" i="1"/>
  <c r="C335" i="1"/>
  <c r="E334" i="1"/>
  <c r="C334" i="1"/>
  <c r="E333" i="1"/>
  <c r="C333" i="1"/>
  <c r="E332" i="1"/>
  <c r="C332" i="1"/>
  <c r="E331" i="1"/>
  <c r="C331" i="1"/>
  <c r="E330" i="1"/>
  <c r="C330" i="1"/>
  <c r="E329" i="1"/>
  <c r="C329" i="1"/>
  <c r="E328" i="1"/>
  <c r="C328" i="1"/>
  <c r="E327" i="1"/>
  <c r="C327" i="1"/>
  <c r="E326" i="1"/>
  <c r="C326" i="1"/>
  <c r="E325" i="1"/>
  <c r="C325" i="1"/>
  <c r="E324" i="1"/>
  <c r="C324" i="1"/>
  <c r="E323" i="1"/>
  <c r="C323" i="1"/>
  <c r="E322" i="1"/>
  <c r="C322" i="1"/>
  <c r="E321" i="1"/>
  <c r="C321" i="1"/>
  <c r="E320" i="1"/>
  <c r="C320" i="1"/>
  <c r="E319" i="1"/>
  <c r="C319" i="1"/>
  <c r="E318" i="1"/>
  <c r="C318" i="1"/>
  <c r="E317" i="1"/>
  <c r="C317" i="1"/>
  <c r="E316" i="1"/>
  <c r="C316" i="1"/>
  <c r="E315" i="1"/>
  <c r="C315" i="1"/>
  <c r="E314" i="1"/>
  <c r="C314" i="1"/>
  <c r="E313" i="1"/>
  <c r="C313" i="1"/>
  <c r="E312" i="1"/>
  <c r="C312" i="1"/>
  <c r="E311" i="1"/>
  <c r="C311" i="1"/>
  <c r="E310" i="1"/>
  <c r="C310" i="1"/>
  <c r="E309" i="1"/>
  <c r="C309" i="1"/>
  <c r="E308" i="1"/>
  <c r="C308" i="1"/>
  <c r="E307" i="1"/>
  <c r="C307" i="1"/>
  <c r="E306" i="1"/>
  <c r="C306" i="1"/>
  <c r="E305" i="1"/>
  <c r="C305" i="1"/>
  <c r="E304" i="1"/>
  <c r="C304" i="1"/>
  <c r="E303" i="1"/>
  <c r="C303" i="1"/>
  <c r="E302" i="1"/>
  <c r="C302" i="1"/>
  <c r="E301" i="1"/>
  <c r="C301" i="1"/>
  <c r="E300" i="1"/>
  <c r="C300" i="1"/>
  <c r="E299" i="1"/>
  <c r="C299" i="1"/>
  <c r="E298" i="1"/>
  <c r="C298" i="1"/>
  <c r="E297" i="1"/>
  <c r="C297" i="1"/>
  <c r="E296" i="1"/>
  <c r="C296" i="1"/>
  <c r="E295" i="1"/>
  <c r="C295" i="1"/>
  <c r="E294" i="1"/>
  <c r="C294" i="1"/>
  <c r="E293" i="1"/>
  <c r="C293" i="1"/>
  <c r="E292" i="1"/>
  <c r="C292" i="1"/>
  <c r="E291" i="1"/>
  <c r="C291" i="1"/>
  <c r="E290" i="1"/>
  <c r="C290" i="1"/>
  <c r="E289" i="1"/>
  <c r="C289" i="1"/>
  <c r="E288" i="1"/>
  <c r="C288" i="1"/>
  <c r="E287" i="1"/>
  <c r="C287" i="1"/>
  <c r="E286" i="1"/>
  <c r="C286" i="1"/>
  <c r="E285" i="1"/>
  <c r="C285" i="1"/>
  <c r="E284" i="1"/>
  <c r="C284" i="1"/>
  <c r="E283" i="1"/>
  <c r="C283" i="1"/>
  <c r="E282" i="1"/>
  <c r="C282" i="1"/>
  <c r="E281" i="1"/>
  <c r="C281" i="1"/>
  <c r="E280" i="1"/>
  <c r="C280" i="1"/>
  <c r="E279" i="1"/>
  <c r="C279" i="1"/>
  <c r="E278" i="1"/>
  <c r="C278" i="1"/>
  <c r="E277" i="1"/>
  <c r="C277" i="1"/>
  <c r="E276" i="1"/>
  <c r="C276" i="1"/>
  <c r="E275" i="1"/>
  <c r="C275" i="1"/>
  <c r="E274" i="1"/>
  <c r="C274" i="1"/>
  <c r="E273" i="1"/>
  <c r="C273" i="1"/>
  <c r="E272" i="1"/>
  <c r="C272" i="1"/>
  <c r="E271" i="1"/>
  <c r="C271" i="1"/>
  <c r="E270" i="1"/>
  <c r="C270" i="1"/>
  <c r="E269" i="1"/>
  <c r="C269" i="1"/>
  <c r="E268" i="1"/>
  <c r="C268" i="1"/>
  <c r="E267" i="1"/>
  <c r="C267" i="1"/>
  <c r="E266" i="1"/>
  <c r="C266" i="1"/>
  <c r="E265" i="1"/>
  <c r="C265" i="1"/>
  <c r="E264" i="1"/>
  <c r="C264" i="1"/>
  <c r="E263" i="1"/>
  <c r="C263" i="1"/>
  <c r="E262" i="1"/>
  <c r="C262" i="1"/>
  <c r="E261" i="1"/>
  <c r="C261" i="1"/>
  <c r="E260" i="1"/>
  <c r="C260" i="1"/>
  <c r="E259" i="1"/>
  <c r="C259" i="1"/>
  <c r="E258" i="1"/>
  <c r="C258" i="1"/>
  <c r="E257" i="1"/>
  <c r="C257" i="1"/>
  <c r="E256" i="1"/>
  <c r="C256" i="1"/>
  <c r="E255" i="1"/>
  <c r="C255" i="1"/>
  <c r="E254" i="1"/>
  <c r="C254" i="1"/>
  <c r="E253" i="1"/>
  <c r="C253" i="1"/>
  <c r="E252" i="1"/>
  <c r="C252" i="1"/>
  <c r="E251" i="1"/>
  <c r="C251" i="1"/>
  <c r="E250" i="1"/>
  <c r="C250" i="1"/>
  <c r="E249" i="1"/>
  <c r="C249" i="1"/>
  <c r="E248" i="1"/>
  <c r="C248" i="1"/>
  <c r="E247" i="1"/>
  <c r="C247" i="1"/>
  <c r="E246" i="1"/>
  <c r="C246" i="1"/>
  <c r="E245" i="1"/>
  <c r="C245" i="1"/>
  <c r="E244" i="1"/>
  <c r="C244" i="1"/>
  <c r="E243" i="1"/>
  <c r="C243" i="1"/>
  <c r="E242" i="1"/>
  <c r="C242" i="1"/>
  <c r="E241" i="1"/>
  <c r="C241" i="1"/>
  <c r="E240" i="1"/>
  <c r="C240" i="1"/>
  <c r="E239" i="1"/>
  <c r="C239" i="1"/>
  <c r="E238" i="1"/>
  <c r="C238" i="1"/>
  <c r="E237" i="1"/>
  <c r="C237" i="1"/>
  <c r="E236" i="1"/>
  <c r="C236" i="1"/>
  <c r="E235" i="1"/>
  <c r="C235" i="1"/>
  <c r="E234" i="1"/>
  <c r="C234" i="1"/>
  <c r="E233" i="1"/>
  <c r="C233" i="1"/>
  <c r="E232" i="1"/>
  <c r="C232" i="1"/>
  <c r="E231" i="1"/>
  <c r="C231" i="1"/>
  <c r="E230" i="1"/>
  <c r="C230" i="1"/>
  <c r="E229" i="1"/>
  <c r="C229" i="1"/>
  <c r="E228" i="1"/>
  <c r="C228" i="1"/>
  <c r="E227" i="1"/>
  <c r="C227" i="1"/>
  <c r="E226" i="1"/>
  <c r="C226" i="1"/>
  <c r="E225" i="1"/>
  <c r="C225" i="1"/>
  <c r="E224" i="1"/>
  <c r="C224" i="1"/>
  <c r="E223" i="1"/>
  <c r="C223" i="1"/>
  <c r="E222" i="1"/>
  <c r="C222" i="1"/>
  <c r="E221" i="1"/>
  <c r="C221" i="1"/>
  <c r="E220" i="1"/>
  <c r="C220" i="1"/>
  <c r="E219" i="1"/>
  <c r="C219" i="1"/>
  <c r="E218" i="1"/>
  <c r="C218" i="1"/>
  <c r="E217" i="1"/>
  <c r="C217" i="1"/>
  <c r="E216" i="1"/>
  <c r="C216" i="1"/>
  <c r="E215" i="1"/>
  <c r="C215" i="1"/>
  <c r="E214" i="1"/>
  <c r="C214" i="1"/>
  <c r="E213" i="1"/>
  <c r="C213" i="1"/>
  <c r="E212" i="1"/>
  <c r="C212" i="1"/>
  <c r="E211" i="1"/>
  <c r="C211" i="1"/>
  <c r="E210" i="1"/>
  <c r="C210" i="1"/>
  <c r="E209" i="1"/>
  <c r="C209" i="1"/>
  <c r="E208" i="1"/>
  <c r="C208" i="1"/>
  <c r="E207" i="1"/>
  <c r="C207" i="1"/>
  <c r="E206" i="1"/>
  <c r="C206" i="1"/>
  <c r="E205" i="1"/>
  <c r="C205" i="1"/>
  <c r="E204" i="1"/>
  <c r="C204" i="1"/>
  <c r="E203" i="1"/>
  <c r="C203" i="1"/>
  <c r="E202" i="1"/>
  <c r="C202" i="1"/>
  <c r="E201" i="1"/>
  <c r="C201" i="1"/>
  <c r="E200" i="1"/>
  <c r="C200" i="1"/>
  <c r="E199" i="1"/>
  <c r="C199" i="1"/>
  <c r="E198" i="1"/>
  <c r="C198" i="1"/>
  <c r="E197" i="1"/>
  <c r="C197" i="1"/>
  <c r="E196" i="1"/>
  <c r="C196" i="1"/>
  <c r="E195" i="1"/>
  <c r="C195" i="1"/>
  <c r="E194" i="1"/>
  <c r="C194" i="1"/>
  <c r="E193" i="1"/>
  <c r="C193" i="1"/>
  <c r="E192" i="1"/>
  <c r="C192" i="1"/>
  <c r="E191" i="1"/>
  <c r="C191" i="1"/>
  <c r="E190" i="1"/>
  <c r="C190" i="1"/>
  <c r="E189" i="1"/>
  <c r="C189" i="1"/>
  <c r="E188" i="1"/>
  <c r="C188" i="1"/>
  <c r="E187" i="1"/>
  <c r="C187" i="1"/>
  <c r="E186" i="1"/>
  <c r="C186" i="1"/>
  <c r="E185" i="1"/>
  <c r="C185" i="1"/>
  <c r="E184" i="1"/>
  <c r="C184" i="1"/>
  <c r="E183" i="1"/>
  <c r="C183" i="1"/>
  <c r="E182" i="1"/>
  <c r="C182" i="1"/>
  <c r="E181" i="1"/>
  <c r="C181" i="1"/>
  <c r="E180" i="1"/>
  <c r="C180" i="1"/>
  <c r="E179" i="1"/>
  <c r="C179" i="1"/>
  <c r="E178" i="1"/>
  <c r="C178" i="1"/>
  <c r="E177" i="1"/>
  <c r="C177" i="1"/>
  <c r="E176" i="1"/>
  <c r="C176" i="1"/>
  <c r="E175" i="1"/>
  <c r="C175" i="1"/>
  <c r="E174" i="1"/>
  <c r="C174" i="1"/>
  <c r="E173" i="1"/>
  <c r="C173" i="1"/>
  <c r="E172" i="1"/>
  <c r="C172" i="1"/>
  <c r="E171" i="1"/>
  <c r="C171" i="1"/>
  <c r="E170" i="1"/>
  <c r="C170" i="1"/>
  <c r="E169" i="1"/>
  <c r="C169" i="1"/>
  <c r="E168" i="1"/>
  <c r="C168" i="1"/>
  <c r="E167" i="1"/>
  <c r="C167" i="1"/>
  <c r="E166" i="1"/>
  <c r="C166" i="1"/>
  <c r="E165" i="1"/>
  <c r="C165" i="1"/>
  <c r="E164" i="1"/>
  <c r="C164" i="1"/>
  <c r="E163" i="1"/>
  <c r="C163" i="1"/>
  <c r="E162" i="1"/>
  <c r="C162" i="1"/>
  <c r="E161" i="1"/>
  <c r="C161" i="1"/>
  <c r="E160" i="1"/>
  <c r="C160" i="1"/>
  <c r="E159" i="1"/>
  <c r="C159" i="1"/>
  <c r="E158" i="1"/>
  <c r="C158" i="1"/>
  <c r="E157" i="1"/>
  <c r="C157" i="1"/>
  <c r="E156" i="1"/>
  <c r="C156" i="1"/>
  <c r="E155" i="1"/>
  <c r="C155" i="1"/>
  <c r="E154" i="1"/>
  <c r="C154" i="1"/>
  <c r="E153" i="1"/>
  <c r="C153" i="1"/>
  <c r="E152" i="1"/>
  <c r="C152" i="1"/>
  <c r="E151" i="1"/>
  <c r="C151" i="1"/>
  <c r="E150" i="1"/>
  <c r="C150" i="1"/>
  <c r="E149" i="1"/>
  <c r="C149" i="1"/>
  <c r="E148" i="1"/>
  <c r="C148" i="1"/>
  <c r="E147" i="1"/>
  <c r="C147" i="1"/>
  <c r="E146" i="1"/>
  <c r="C146" i="1"/>
  <c r="E145" i="1"/>
  <c r="C145" i="1"/>
  <c r="E144" i="1"/>
  <c r="C144" i="1"/>
  <c r="E143" i="1"/>
  <c r="C143" i="1"/>
  <c r="E142" i="1"/>
  <c r="C142" i="1"/>
  <c r="E141" i="1"/>
  <c r="C141" i="1"/>
  <c r="E140" i="1"/>
  <c r="C140" i="1"/>
  <c r="E139" i="1"/>
  <c r="C139" i="1"/>
  <c r="E138" i="1"/>
  <c r="C138" i="1"/>
  <c r="E137" i="1"/>
  <c r="C137" i="1"/>
  <c r="E136" i="1"/>
  <c r="C136" i="1"/>
  <c r="E135" i="1"/>
  <c r="C135" i="1"/>
  <c r="E134" i="1"/>
  <c r="C134" i="1"/>
  <c r="E133" i="1"/>
  <c r="C133" i="1"/>
  <c r="E132" i="1"/>
  <c r="C132" i="1"/>
  <c r="E131" i="1"/>
  <c r="C131" i="1"/>
  <c r="E130" i="1"/>
  <c r="C130" i="1"/>
  <c r="E129" i="1"/>
  <c r="C129" i="1"/>
  <c r="E128" i="1"/>
  <c r="C128" i="1"/>
  <c r="E127" i="1"/>
  <c r="C127" i="1"/>
  <c r="E126" i="1"/>
  <c r="C126" i="1"/>
  <c r="E125" i="1"/>
  <c r="C125" i="1"/>
  <c r="E124" i="1"/>
  <c r="C124" i="1"/>
  <c r="E123" i="1"/>
  <c r="C123" i="1"/>
  <c r="E122" i="1"/>
  <c r="C122" i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E91" i="1"/>
  <c r="C91" i="1"/>
  <c r="E90" i="1"/>
  <c r="C90" i="1"/>
  <c r="E89" i="1"/>
  <c r="C89" i="1"/>
  <c r="E88" i="1"/>
  <c r="C88" i="1"/>
  <c r="E87" i="1"/>
  <c r="C87" i="1"/>
  <c r="E86" i="1"/>
  <c r="C86" i="1"/>
  <c r="E85" i="1"/>
  <c r="C85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7" i="1"/>
  <c r="C77" i="1"/>
  <c r="E76" i="1"/>
  <c r="C76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E62" i="1"/>
  <c r="C62" i="1"/>
  <c r="E61" i="1"/>
  <c r="C61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E4" i="1"/>
  <c r="C4" i="1"/>
  <c r="E3" i="1"/>
  <c r="C3" i="1"/>
  <c r="E2" i="1"/>
  <c r="C2" i="1"/>
</calcChain>
</file>

<file path=xl/sharedStrings.xml><?xml version="1.0" encoding="utf-8"?>
<sst xmlns="http://schemas.openxmlformats.org/spreadsheetml/2006/main" count="47750" uniqueCount="1374">
  <si>
    <t>FallOfYear</t>
  </si>
  <si>
    <t>RptngDistrictName</t>
  </si>
  <si>
    <t>ReportingDistrictCode</t>
  </si>
  <si>
    <t>SchoolName</t>
  </si>
  <si>
    <t>SchoolCode</t>
  </si>
  <si>
    <t>SchoolOrgType</t>
  </si>
  <si>
    <t>SchoolLowGrade</t>
  </si>
  <si>
    <t>SchoolHighGrade</t>
  </si>
  <si>
    <t>SchoolTitleIType</t>
  </si>
  <si>
    <t>Category</t>
  </si>
  <si>
    <t>TotalPoints</t>
  </si>
  <si>
    <t>TotalPossiblePoints</t>
  </si>
  <si>
    <t>OutcomeRatePct</t>
  </si>
  <si>
    <t>FinalCategory</t>
  </si>
  <si>
    <t>AchievementGapFlag</t>
  </si>
  <si>
    <t>Ind1ELA_All_Rate</t>
  </si>
  <si>
    <t>Ind1ELA_All_Points</t>
  </si>
  <si>
    <t>Ind1ELA_All_PossiblePoints</t>
  </si>
  <si>
    <t>Ind1ELA_HN_Rate</t>
  </si>
  <si>
    <t>Ind1ELA_NHN_Rate</t>
  </si>
  <si>
    <t>Ind1ELA_HN_Points</t>
  </si>
  <si>
    <t>Ind1ELA_HN_PossiblePoints</t>
  </si>
  <si>
    <t>Ind1Math_All_Rate</t>
  </si>
  <si>
    <t>Ind1Math_All_Points</t>
  </si>
  <si>
    <t>Ind1Math_All_PossiblePoints</t>
  </si>
  <si>
    <t>Ind1Math_NHN_Rate</t>
  </si>
  <si>
    <t>Ind1Math_HN_Rate</t>
  </si>
  <si>
    <t>Ind1Math_HN_Points</t>
  </si>
  <si>
    <t>Ind1Math_HN_PossiblePoints</t>
  </si>
  <si>
    <t>Ind1Sci_All_Rate</t>
  </si>
  <si>
    <t>Ind1Sci_All_Points</t>
  </si>
  <si>
    <t>Ind1Sci_All_PossiblePoints</t>
  </si>
  <si>
    <t>Ind1Sci_HN_Rate</t>
  </si>
  <si>
    <t>Ind1Sci_NHN_Rate</t>
  </si>
  <si>
    <t>Ind1Sci_HN_Points</t>
  </si>
  <si>
    <t>Ind1Sci_HN_PossiblePoints</t>
  </si>
  <si>
    <t>Ind1ELAGap</t>
  </si>
  <si>
    <t>Ind1MathGap</t>
  </si>
  <si>
    <t>Ind1SciGap</t>
  </si>
  <si>
    <t>Ind2ELA_All_Rate</t>
  </si>
  <si>
    <t>Ind2ELA_All_Points</t>
  </si>
  <si>
    <t>Ind2ELA_All_Possiblepoints</t>
  </si>
  <si>
    <t>Ind2Math_All_Rate</t>
  </si>
  <si>
    <t>Ind2Math_All_Points</t>
  </si>
  <si>
    <t>Ind2Math_All_Possiblepoints</t>
  </si>
  <si>
    <t>Ind2ELA_HN_Rate</t>
  </si>
  <si>
    <t>Ind2ELA_NHN_Rate</t>
  </si>
  <si>
    <t>Ind2ELA_HN_Points</t>
  </si>
  <si>
    <t>Ind2ELA_HN_Possiblepoints</t>
  </si>
  <si>
    <t>Ind2Math_HN_Rate</t>
  </si>
  <si>
    <t>Ind2Math_NHN_Rate</t>
  </si>
  <si>
    <t>Ind2Math_HN_Points</t>
  </si>
  <si>
    <t>Ind2Math_HN_Possiblepoints</t>
  </si>
  <si>
    <t>Ind2LEP_LTCY_Rate</t>
  </si>
  <si>
    <t>Ind2LEP_LTCY_Points</t>
  </si>
  <si>
    <t>Ind2LEP_LTCY_PossiblePoints</t>
  </si>
  <si>
    <t>Ind2LEP_ORAL_Rate</t>
  </si>
  <si>
    <t>Ind2LEP_ORAL_Points</t>
  </si>
  <si>
    <t>Ind2LEP_ORAL_PossiblePoints</t>
  </si>
  <si>
    <t>Ind3PartRateFlag</t>
  </si>
  <si>
    <t>Ind3ELA_All_Rate</t>
  </si>
  <si>
    <t>Ind3ELA_HN_Rate</t>
  </si>
  <si>
    <t>Ind3ELA_NHN_Rate</t>
  </si>
  <si>
    <t>Ind3Math_All_Rate</t>
  </si>
  <si>
    <t>Ind3Math_HN_Rate</t>
  </si>
  <si>
    <t>Ind3Math_NHN_Rate</t>
  </si>
  <si>
    <t>Ind3Sci_All_Rate</t>
  </si>
  <si>
    <t>Ind3Sci_HN_Rate</t>
  </si>
  <si>
    <t>Ind3Sci_NHN_Rate</t>
  </si>
  <si>
    <t>Ind4Rate</t>
  </si>
  <si>
    <t>Ind4Points</t>
  </si>
  <si>
    <t>Ind4PossiblePoints</t>
  </si>
  <si>
    <t>Ind4HNRate</t>
  </si>
  <si>
    <t>Ind4HNPoints</t>
  </si>
  <si>
    <t>Ind4HNPossiblePoints</t>
  </si>
  <si>
    <t>Ind5Rate</t>
  </si>
  <si>
    <t>Ind5Points</t>
  </si>
  <si>
    <t>Ind5PossiblePoints</t>
  </si>
  <si>
    <t>Ind6Rate</t>
  </si>
  <si>
    <t>Ind6Points</t>
  </si>
  <si>
    <t>Ind6PossiblePoints</t>
  </si>
  <si>
    <t>Ind7Rate</t>
  </si>
  <si>
    <t>Ind7points</t>
  </si>
  <si>
    <t>Ind7PointsPossible</t>
  </si>
  <si>
    <t>Ind8Rate</t>
  </si>
  <si>
    <t>Ind8Points</t>
  </si>
  <si>
    <t>Ind8PointsPossible</t>
  </si>
  <si>
    <t>GradGapFlag</t>
  </si>
  <si>
    <t>Ind9Rate</t>
  </si>
  <si>
    <t>Ind9Points</t>
  </si>
  <si>
    <t>Ind9PointsPossible</t>
  </si>
  <si>
    <t>Ind10Rate</t>
  </si>
  <si>
    <t>Ind10Points</t>
  </si>
  <si>
    <t>Ind10PossiblePoints</t>
  </si>
  <si>
    <t>Ind11FitnessRate</t>
  </si>
  <si>
    <t>Ind11ParticipationRate</t>
  </si>
  <si>
    <t>Ind11Points</t>
  </si>
  <si>
    <t>Ind11PossiblePoints</t>
  </si>
  <si>
    <t>Ind12Rate</t>
  </si>
  <si>
    <t>Ind12Points</t>
  </si>
  <si>
    <t>Ind12PossiblePoints</t>
  </si>
  <si>
    <t>Grad6YrRateHN</t>
  </si>
  <si>
    <t>Grad6YrRateNHN</t>
  </si>
  <si>
    <t>Grad6YrHNNHNDiff</t>
  </si>
  <si>
    <t>Hurdle_Mean_ELA</t>
  </si>
  <si>
    <t>Hurdle_Mean_Math</t>
  </si>
  <si>
    <t>Hurdle_Mean_Sci</t>
  </si>
  <si>
    <t>Hurdle_Means_Grad</t>
  </si>
  <si>
    <t>CategoryDropFlag</t>
  </si>
  <si>
    <t>Support</t>
  </si>
  <si>
    <t>SupportCategory</t>
  </si>
  <si>
    <t>Distinction</t>
  </si>
  <si>
    <t>DistinctionCategory</t>
  </si>
  <si>
    <t>Perform</t>
  </si>
  <si>
    <t>ELA_ALL_YN</t>
  </si>
  <si>
    <t>Math_ALL_YN</t>
  </si>
  <si>
    <t>ELA_HN_YN</t>
  </si>
  <si>
    <t>Math_HN_YN</t>
  </si>
  <si>
    <t>Improve</t>
  </si>
  <si>
    <t>SupportType</t>
  </si>
  <si>
    <t>schoolyear</t>
  </si>
  <si>
    <t>Bridgeport School District</t>
  </si>
  <si>
    <t>District</t>
  </si>
  <si>
    <t>DistrictTot</t>
  </si>
  <si>
    <t>.</t>
  </si>
  <si>
    <t>2018-19</t>
  </si>
  <si>
    <t>Brookfield School District</t>
  </si>
  <si>
    <t>Eastford School District</t>
  </si>
  <si>
    <t>East Haddam School District</t>
  </si>
  <si>
    <t>Ellington School District</t>
  </si>
  <si>
    <t>Canaan School District</t>
  </si>
  <si>
    <t>Canterbury School District</t>
  </si>
  <si>
    <t>Canton School District</t>
  </si>
  <si>
    <t>North Stonington School District</t>
  </si>
  <si>
    <t>Newington School District</t>
  </si>
  <si>
    <t>East Granby School District</t>
  </si>
  <si>
    <t>New Fairfield School District</t>
  </si>
  <si>
    <t>Milford School District</t>
  </si>
  <si>
    <t>Windsor School District</t>
  </si>
  <si>
    <t>Brooklyn School District</t>
  </si>
  <si>
    <t>Bolton School District</t>
  </si>
  <si>
    <t>Montville School District</t>
  </si>
  <si>
    <t>Waterbury School District</t>
  </si>
  <si>
    <t>Deep River School District</t>
  </si>
  <si>
    <t>Derby School District</t>
  </si>
  <si>
    <t>West Haven School District</t>
  </si>
  <si>
    <t>Easton School District</t>
  </si>
  <si>
    <t>East Windsor School District</t>
  </si>
  <si>
    <t>North Canaan School District</t>
  </si>
  <si>
    <t>North Haven School District</t>
  </si>
  <si>
    <t>Enfield School District</t>
  </si>
  <si>
    <t>Franklin School District</t>
  </si>
  <si>
    <t>Glastonbury School District</t>
  </si>
  <si>
    <t>Orange School District</t>
  </si>
  <si>
    <t>Oxford School District</t>
  </si>
  <si>
    <t>Regional School District 09</t>
  </si>
  <si>
    <t>Regional School District 10</t>
  </si>
  <si>
    <t>Bozrah School District</t>
  </si>
  <si>
    <t>Branford School District</t>
  </si>
  <si>
    <t>Norwalk School District</t>
  </si>
  <si>
    <t>Middletown School District</t>
  </si>
  <si>
    <t>East Hampton School District</t>
  </si>
  <si>
    <t>Norwich Free Academy District</t>
  </si>
  <si>
    <t>The Gilbert School District</t>
  </si>
  <si>
    <t>The Woodstock Academy District</t>
  </si>
  <si>
    <t>New Britain School District</t>
  </si>
  <si>
    <t>Naugatuck School District</t>
  </si>
  <si>
    <t>Bethel School District</t>
  </si>
  <si>
    <t>Mansfield School District</t>
  </si>
  <si>
    <t>Monroe School District</t>
  </si>
  <si>
    <t>Darien School District</t>
  </si>
  <si>
    <t>East Lyme School District</t>
  </si>
  <si>
    <t>Norfolk School District</t>
  </si>
  <si>
    <t>North Branford School District</t>
  </si>
  <si>
    <t>Winchester School District</t>
  </si>
  <si>
    <t>Windham School District</t>
  </si>
  <si>
    <t>Old Saybrook School District</t>
  </si>
  <si>
    <t>Regional School District 07</t>
  </si>
  <si>
    <t>Regional School District 08</t>
  </si>
  <si>
    <t>Weston School District</t>
  </si>
  <si>
    <t>Bloomfield School District</t>
  </si>
  <si>
    <t>Groton School District</t>
  </si>
  <si>
    <t>Marlborough School District</t>
  </si>
  <si>
    <t>Meriden School District</t>
  </si>
  <si>
    <t>Barkhamsted School District</t>
  </si>
  <si>
    <t>Berlin School District</t>
  </si>
  <si>
    <t>Torrington School District</t>
  </si>
  <si>
    <t>Colebrook School District</t>
  </si>
  <si>
    <t>Columbia School District</t>
  </si>
  <si>
    <t>Voluntown School District</t>
  </si>
  <si>
    <t>Wallingford School District</t>
  </si>
  <si>
    <t>Wilton School District</t>
  </si>
  <si>
    <t>Farmington School District</t>
  </si>
  <si>
    <t>Windsor Locks School District</t>
  </si>
  <si>
    <t>Regional School District 06</t>
  </si>
  <si>
    <t>Granby School District</t>
  </si>
  <si>
    <t>Greenwich School District</t>
  </si>
  <si>
    <t>Bethany School District</t>
  </si>
  <si>
    <t>Griswold School District</t>
  </si>
  <si>
    <t>Trumbull School District</t>
  </si>
  <si>
    <t>Cornwall School District</t>
  </si>
  <si>
    <t>Suffield School District</t>
  </si>
  <si>
    <t>Cheshire School District</t>
  </si>
  <si>
    <t>New Canaan School District</t>
  </si>
  <si>
    <t>Cromwell School District</t>
  </si>
  <si>
    <t>New Haven School District</t>
  </si>
  <si>
    <t>Watertown School District</t>
  </si>
  <si>
    <t>New Milford School District</t>
  </si>
  <si>
    <t>Wethersfield School District</t>
  </si>
  <si>
    <t>Fairfield School District</t>
  </si>
  <si>
    <t>Westbrook School District</t>
  </si>
  <si>
    <t>West Hartford School District</t>
  </si>
  <si>
    <t>Woodbridge School District</t>
  </si>
  <si>
    <t>Woodstock School District</t>
  </si>
  <si>
    <t>Thomaston School District</t>
  </si>
  <si>
    <t>Thompson School District</t>
  </si>
  <si>
    <t>Tolland School District</t>
  </si>
  <si>
    <t>East Haven School District</t>
  </si>
  <si>
    <t>Chester School District</t>
  </si>
  <si>
    <t>Clinton School District</t>
  </si>
  <si>
    <t>Colchester School District</t>
  </si>
  <si>
    <t>Union School District</t>
  </si>
  <si>
    <t>Danbury School District</t>
  </si>
  <si>
    <t>Vernon School District</t>
  </si>
  <si>
    <t>Newtown School District</t>
  </si>
  <si>
    <t>Bristol School District</t>
  </si>
  <si>
    <t>Stratford School District</t>
  </si>
  <si>
    <t>Chaplin School District</t>
  </si>
  <si>
    <t>Coventry School District</t>
  </si>
  <si>
    <t>New Hartford School District</t>
  </si>
  <si>
    <t>Waterford School District</t>
  </si>
  <si>
    <t>Andover School District</t>
  </si>
  <si>
    <t>Ansonia School District</t>
  </si>
  <si>
    <t>Ashford School District</t>
  </si>
  <si>
    <t>Avon School District</t>
  </si>
  <si>
    <t>East Hartford School District</t>
  </si>
  <si>
    <t>New London School District</t>
  </si>
  <si>
    <t>Westport School District</t>
  </si>
  <si>
    <t>Willington School District</t>
  </si>
  <si>
    <t>Essex School District</t>
  </si>
  <si>
    <t>Norwich School District</t>
  </si>
  <si>
    <t>Wolcott School District</t>
  </si>
  <si>
    <t>Regional School District 01</t>
  </si>
  <si>
    <t>Regional School District 04</t>
  </si>
  <si>
    <t>Regional School District 05</t>
  </si>
  <si>
    <t>Redding School District</t>
  </si>
  <si>
    <t>Ridgefield School District</t>
  </si>
  <si>
    <t>Regional School District 19</t>
  </si>
  <si>
    <t>Capitol Region Education Council</t>
  </si>
  <si>
    <t>Rocky Hill School District</t>
  </si>
  <si>
    <t>Killingly School District</t>
  </si>
  <si>
    <t>Lebanon School District</t>
  </si>
  <si>
    <t>Ledyard School District</t>
  </si>
  <si>
    <t>Lisbon School District</t>
  </si>
  <si>
    <t>Litchfield School District</t>
  </si>
  <si>
    <t>Madison School District</t>
  </si>
  <si>
    <t>Manchester School District</t>
  </si>
  <si>
    <t>South Windsor School District</t>
  </si>
  <si>
    <t>Sprague School District</t>
  </si>
  <si>
    <t>Stafford School District</t>
  </si>
  <si>
    <t>EdAdvance</t>
  </si>
  <si>
    <t>Cooperative Educational Services</t>
  </si>
  <si>
    <t>Area Cooperative Educational Services</t>
  </si>
  <si>
    <t>Learn</t>
  </si>
  <si>
    <t>Eastern Connecticut Regional Educational Service Center (EASTCONN)</t>
  </si>
  <si>
    <t>Jumoke Academy District</t>
  </si>
  <si>
    <t>Odyssey Community School District</t>
  </si>
  <si>
    <t>Integrated Day Charter School District</t>
  </si>
  <si>
    <t>Interdistrict School for Arts and Comm District</t>
  </si>
  <si>
    <t>Common Ground High School District</t>
  </si>
  <si>
    <t>The Bridge Academy District</t>
  </si>
  <si>
    <t>Side By Side Charter School District</t>
  </si>
  <si>
    <t>Explorations District</t>
  </si>
  <si>
    <t>Hartland School District</t>
  </si>
  <si>
    <t>Salem School District</t>
  </si>
  <si>
    <t>Salisbury School District</t>
  </si>
  <si>
    <t>Scotland School District</t>
  </si>
  <si>
    <t>Seymour School District</t>
  </si>
  <si>
    <t>Sharon School District</t>
  </si>
  <si>
    <t>Shelton School District</t>
  </si>
  <si>
    <t>Sherman School District</t>
  </si>
  <si>
    <t>Simsbury School District</t>
  </si>
  <si>
    <t>Somers School District</t>
  </si>
  <si>
    <t>Southington School District</t>
  </si>
  <si>
    <t>Hamden School District</t>
  </si>
  <si>
    <t>Hampton School District</t>
  </si>
  <si>
    <t>Hartford School District</t>
  </si>
  <si>
    <t>Stamford School District</t>
  </si>
  <si>
    <t>Regional School District 11</t>
  </si>
  <si>
    <t>Regional School District 12</t>
  </si>
  <si>
    <t>Regional School District 13</t>
  </si>
  <si>
    <t>Regional School District 14</t>
  </si>
  <si>
    <t>Regional School District 15</t>
  </si>
  <si>
    <t>Regional School District 16</t>
  </si>
  <si>
    <t>Regional School District 17</t>
  </si>
  <si>
    <t>Regional School District 18</t>
  </si>
  <si>
    <t>Guilford School District</t>
  </si>
  <si>
    <t>Plainfield School District</t>
  </si>
  <si>
    <t>Plainville School District</t>
  </si>
  <si>
    <t>Plymouth School District</t>
  </si>
  <si>
    <t>Pomfret School District</t>
  </si>
  <si>
    <t>Portland School District</t>
  </si>
  <si>
    <t>Preston School District</t>
  </si>
  <si>
    <t>Putnam School District</t>
  </si>
  <si>
    <t>Unified School District #2</t>
  </si>
  <si>
    <t>Connecticut Technical Education and Career System</t>
  </si>
  <si>
    <t>Hebron School District</t>
  </si>
  <si>
    <t>Kent School District</t>
  </si>
  <si>
    <t>Sterling School District</t>
  </si>
  <si>
    <t>Stonington School District</t>
  </si>
  <si>
    <t>Trailblazers Academy District</t>
  </si>
  <si>
    <t>Amistad Academy District</t>
  </si>
  <si>
    <t>New Beginnings Inc Family Academy District</t>
  </si>
  <si>
    <t>Stamford Academy District</t>
  </si>
  <si>
    <t>Park City Prep Charter School District</t>
  </si>
  <si>
    <t>Achievement First Bridgeport Academy District</t>
  </si>
  <si>
    <t>Highville Charter School District</t>
  </si>
  <si>
    <t>Achievement First Hartford Academy District</t>
  </si>
  <si>
    <t>Elm City College Preparatory School District</t>
  </si>
  <si>
    <t>Brass City Charter School District</t>
  </si>
  <si>
    <t>Elm City Montessori School District</t>
  </si>
  <si>
    <t>Great Oaks Charter School District</t>
  </si>
  <si>
    <t>Booker T. Washington Academy District</t>
  </si>
  <si>
    <t>Stamford Charter School for Excellence District</t>
  </si>
  <si>
    <t>Capital Preparatory Harbor School District</t>
  </si>
  <si>
    <t>Unified School District #1</t>
  </si>
  <si>
    <t>Andover Elementary School</t>
  </si>
  <si>
    <t>Public Schools</t>
  </si>
  <si>
    <t>PK</t>
  </si>
  <si>
    <t>Targeted Assistance</t>
  </si>
  <si>
    <t>SchoolTot</t>
  </si>
  <si>
    <t>School of Distinction</t>
  </si>
  <si>
    <t>High Performance</t>
  </si>
  <si>
    <t>Ansonia High School</t>
  </si>
  <si>
    <t>Ansonia Middle School</t>
  </si>
  <si>
    <t>Schoolwide</t>
  </si>
  <si>
    <t>Mead School</t>
  </si>
  <si>
    <t>Prendergast School</t>
  </si>
  <si>
    <t>K</t>
  </si>
  <si>
    <t>Ashford School</t>
  </si>
  <si>
    <t>Avon High School</t>
  </si>
  <si>
    <t>Avon Middle School</t>
  </si>
  <si>
    <t>Pine Grove School</t>
  </si>
  <si>
    <t>Roaring Brook School</t>
  </si>
  <si>
    <t>Thompson Brook School</t>
  </si>
  <si>
    <t>Barkhamsted Elementary School</t>
  </si>
  <si>
    <t>Berlin High School</t>
  </si>
  <si>
    <t>Catherine M. McGee Middle School</t>
  </si>
  <si>
    <t>Emma Hart Willard School</t>
  </si>
  <si>
    <t>Mary E. Griswold School</t>
  </si>
  <si>
    <t>Richard D. Hubbard School</t>
  </si>
  <si>
    <t>Bethany Community School</t>
  </si>
  <si>
    <t>Anna H. Rockwell School</t>
  </si>
  <si>
    <t>Bethel High School</t>
  </si>
  <si>
    <t>Bethel Middle School</t>
  </si>
  <si>
    <t>Frank A. Berry School</t>
  </si>
  <si>
    <t>Ralph M. T. Johnson School</t>
  </si>
  <si>
    <t>Bloomfield High School</t>
  </si>
  <si>
    <t>Carmen Arace Intermediate School</t>
  </si>
  <si>
    <t>Carmen Arace Middle School</t>
  </si>
  <si>
    <t>Global Experience Magnet School</t>
  </si>
  <si>
    <t>Laurel School</t>
  </si>
  <si>
    <t>Learning Academy at Bloomfield</t>
  </si>
  <si>
    <t>Metacomet School</t>
  </si>
  <si>
    <t>Bolton Center School</t>
  </si>
  <si>
    <t>Bolton High School</t>
  </si>
  <si>
    <t>High Performance and Great Improvement</t>
  </si>
  <si>
    <t>Fields Memorial School</t>
  </si>
  <si>
    <t>Branford High School</t>
  </si>
  <si>
    <t>Francis Walsh Intermediate School</t>
  </si>
  <si>
    <t>John B. Sliney School</t>
  </si>
  <si>
    <t>Mary R. Tisko School</t>
  </si>
  <si>
    <t>Mary T. Murphy School</t>
  </si>
  <si>
    <t>Aerospace/Hydrospace, Engineering and Physical Sciences Magnet High School</t>
  </si>
  <si>
    <t>Barnum School</t>
  </si>
  <si>
    <t>Turnaround</t>
  </si>
  <si>
    <t>Accountability Index</t>
  </si>
  <si>
    <t>Bassick High School</t>
  </si>
  <si>
    <t>Accountability Index and Graduation Rate</t>
  </si>
  <si>
    <t>Beardsley School</t>
  </si>
  <si>
    <t>Biotechnology, Research &amp; Zoological Studies Magnet High School</t>
  </si>
  <si>
    <t>Black Rock School</t>
  </si>
  <si>
    <t>Blackham School</t>
  </si>
  <si>
    <t>Bridgeport Military Academy</t>
  </si>
  <si>
    <t>Focus</t>
  </si>
  <si>
    <t>High Needs ELA Performance Index and High Needs Math Performance Index</t>
  </si>
  <si>
    <t>Bryant School</t>
  </si>
  <si>
    <t>Central High School</t>
  </si>
  <si>
    <t>Cesar Batalla School</t>
  </si>
  <si>
    <t>Classical Studies Academy</t>
  </si>
  <si>
    <t>Columbus School</t>
  </si>
  <si>
    <t>Edison School</t>
  </si>
  <si>
    <t>Geraldine Claytor Magnet Academy</t>
  </si>
  <si>
    <t>Geraldine Johnson School</t>
  </si>
  <si>
    <t>Hall School</t>
  </si>
  <si>
    <t>Hallen School</t>
  </si>
  <si>
    <t>High Horizons Magnet School</t>
  </si>
  <si>
    <t>Information Technology &amp; Software Engineering Magnet High School</t>
  </si>
  <si>
    <t>Interdistrict Discovery Magnet School</t>
  </si>
  <si>
    <t>James J. Curiale School</t>
  </si>
  <si>
    <t>Jettie S. Tisdale School</t>
  </si>
  <si>
    <t>John Winthrop School</t>
  </si>
  <si>
    <t>Luis Munoz Marin School</t>
  </si>
  <si>
    <t>Madison School</t>
  </si>
  <si>
    <t>Multicultural Magnet School</t>
  </si>
  <si>
    <t>Park City Magnet School</t>
  </si>
  <si>
    <t>Paul Laurence Dunbar School</t>
  </si>
  <si>
    <t>Read School</t>
  </si>
  <si>
    <t>Roosevelt School</t>
  </si>
  <si>
    <t>Thomas Hooker School</t>
  </si>
  <si>
    <t>Waltersville School</t>
  </si>
  <si>
    <t>Warren Harding High School</t>
  </si>
  <si>
    <t>Wilbur Cross School</t>
  </si>
  <si>
    <t>Bristol Central High School</t>
  </si>
  <si>
    <t>Bristol Eastern High School</t>
  </si>
  <si>
    <t>Chippens Hill Middle School</t>
  </si>
  <si>
    <t>Edgewood School</t>
  </si>
  <si>
    <t>High Needs Math Growth</t>
  </si>
  <si>
    <t>Ellen P. Hubbell School</t>
  </si>
  <si>
    <t>Greene-Hills School</t>
  </si>
  <si>
    <t>Ivy Drive School</t>
  </si>
  <si>
    <t>Mountain View School</t>
  </si>
  <si>
    <t>Northeast Middle School</t>
  </si>
  <si>
    <t>South Side School</t>
  </si>
  <si>
    <t>Stafford School</t>
  </si>
  <si>
    <t>West Bristol School</t>
  </si>
  <si>
    <t>Brookfield High School</t>
  </si>
  <si>
    <t>Center Elementary School</t>
  </si>
  <si>
    <t>Huckleberry Hill Elementary School</t>
  </si>
  <si>
    <t>Whisconier Middle School</t>
  </si>
  <si>
    <t>Brooklyn Elementary School</t>
  </si>
  <si>
    <t>High Growth (High Needs Students) - Math</t>
  </si>
  <si>
    <t>Brooklyn Middle School</t>
  </si>
  <si>
    <t>Lee H. Kellogg School</t>
  </si>
  <si>
    <t>Canterbury Elementary School</t>
  </si>
  <si>
    <t>Dr. Helen Baldwin Middle School</t>
  </si>
  <si>
    <t>Canton High School</t>
  </si>
  <si>
    <t>Canton Intermediate School</t>
  </si>
  <si>
    <t>Canton Middle School</t>
  </si>
  <si>
    <t>Cherry Brook Primary School</t>
  </si>
  <si>
    <t>Chaplin Elementary School</t>
  </si>
  <si>
    <t>Chapman School</t>
  </si>
  <si>
    <t>Cheshire High School</t>
  </si>
  <si>
    <t>Darcey School</t>
  </si>
  <si>
    <t>Dodd Middle School</t>
  </si>
  <si>
    <t>Doolittle School</t>
  </si>
  <si>
    <t>Highland School</t>
  </si>
  <si>
    <t>Norton School</t>
  </si>
  <si>
    <t>High Performance and High Growth (All Students) - ELA &amp; Math and High Growth (High Needs Students) - ELA</t>
  </si>
  <si>
    <t>Chester Elementary School</t>
  </si>
  <si>
    <t>High Performance and High Growth (All Students) - ELA and High Growth (High Needs Students) - ELA</t>
  </si>
  <si>
    <t>Abraham Pierson School</t>
  </si>
  <si>
    <t>High Growth (All Students) - Math and High Growth (High Needs Students) - Math</t>
  </si>
  <si>
    <t>Jared Eliot School</t>
  </si>
  <si>
    <t>Lewin G. Joel Jr. School</t>
  </si>
  <si>
    <t>The Morgan School</t>
  </si>
  <si>
    <t>Bacon Academy</t>
  </si>
  <si>
    <t>Colchester Elementary School</t>
  </si>
  <si>
    <t>Jack Jackter Intermediate School</t>
  </si>
  <si>
    <t>William J. Johnston Middle School</t>
  </si>
  <si>
    <t>Colebrook Consolidated School</t>
  </si>
  <si>
    <t>Horace W. Porter School</t>
  </si>
  <si>
    <t>Cornwall Consolidated School</t>
  </si>
  <si>
    <t>Capt. Nathan Hale School</t>
  </si>
  <si>
    <t>Coventry Academy</t>
  </si>
  <si>
    <t>Coventry Grammar School</t>
  </si>
  <si>
    <t>Coventry High School</t>
  </si>
  <si>
    <t>George Hersey Robertson School</t>
  </si>
  <si>
    <t>High Performance and High Growth (All Students) - ELA &amp; Math and High Growth (High Needs Students) - Math</t>
  </si>
  <si>
    <t>Cromwell High School</t>
  </si>
  <si>
    <t>Cromwell Middle School</t>
  </si>
  <si>
    <t>Edna C. Stevens School</t>
  </si>
  <si>
    <t>Woodside Intermediate School</t>
  </si>
  <si>
    <t>Broadview Middle School</t>
  </si>
  <si>
    <t>Danbury High School</t>
  </si>
  <si>
    <t>Ellsworth Avenue School</t>
  </si>
  <si>
    <t>High Growth (All Students) - Math and High Growth (High Needs Students) - ELA &amp; Math</t>
  </si>
  <si>
    <t>Great Plain School</t>
  </si>
  <si>
    <t>High Performance and High Growth (All Students) - ELA and High Growth (High Needs Students) - ELA &amp; Math</t>
  </si>
  <si>
    <t>Hayestown Avenue School</t>
  </si>
  <si>
    <t>King Street Intermediate School</t>
  </si>
  <si>
    <t>King Street Primary School</t>
  </si>
  <si>
    <t>Mill Ridge Primary School</t>
  </si>
  <si>
    <t>Morris Street School</t>
  </si>
  <si>
    <t>Park Avenue School</t>
  </si>
  <si>
    <t>Pembroke School</t>
  </si>
  <si>
    <t>Rogers Park Middle School</t>
  </si>
  <si>
    <t>Shelter Rock School</t>
  </si>
  <si>
    <t>South Street School</t>
  </si>
  <si>
    <t>Stadley Rough School</t>
  </si>
  <si>
    <t>Western CT Academy of International Studies Elementary Magnet School</t>
  </si>
  <si>
    <t>Westside Middle School Academy</t>
  </si>
  <si>
    <t>Darien High School</t>
  </si>
  <si>
    <t>Hindley Elementary School</t>
  </si>
  <si>
    <t>Holmes Elementary School</t>
  </si>
  <si>
    <t>Middlesex Middle School</t>
  </si>
  <si>
    <t>Ox Ridge Elementary School</t>
  </si>
  <si>
    <t>High Performance and High Growth (All Students) - ELA &amp; Math</t>
  </si>
  <si>
    <t>Royle Elementary School</t>
  </si>
  <si>
    <t>Tokeneke Elementary School</t>
  </si>
  <si>
    <t>High Growth (All Students) - ELA</t>
  </si>
  <si>
    <t>Deep River Elementary School</t>
  </si>
  <si>
    <t>Bradley School</t>
  </si>
  <si>
    <t>Derby High School</t>
  </si>
  <si>
    <t>Derby Middle School</t>
  </si>
  <si>
    <t>Irving School</t>
  </si>
  <si>
    <t>Eastford Elementary School</t>
  </si>
  <si>
    <t>Allgrove School</t>
  </si>
  <si>
    <t>East Granby High School</t>
  </si>
  <si>
    <t>East Granby Middle School</t>
  </si>
  <si>
    <t>R. Dudley Seymour School</t>
  </si>
  <si>
    <t>High Growth (All Students) - ELA &amp; Math and High Growth (High Needs Students) - ELA</t>
  </si>
  <si>
    <t>East Haddam Elementary School</t>
  </si>
  <si>
    <t>Nathan Hale-Ray High School</t>
  </si>
  <si>
    <t>Nathan Hale-Ray Middle School</t>
  </si>
  <si>
    <t>Center School</t>
  </si>
  <si>
    <t>East Hampton High School</t>
  </si>
  <si>
    <t>East Hampton Middle School</t>
  </si>
  <si>
    <t>Memorial School</t>
  </si>
  <si>
    <t>Anna E. Norris School</t>
  </si>
  <si>
    <t>Connecticut IB Academy</t>
  </si>
  <si>
    <t>Dr. Franklin H. Mayberry School</t>
  </si>
  <si>
    <t>Dr. John A. Langford School</t>
  </si>
  <si>
    <t>High Growth (High Needs Students) - ELA</t>
  </si>
  <si>
    <t>Dr. Thomas S. O'Connell School</t>
  </si>
  <si>
    <t>East Hartford High School</t>
  </si>
  <si>
    <t>East Hartford Middle School</t>
  </si>
  <si>
    <t>Governor William Pitkin School</t>
  </si>
  <si>
    <t>High Growth (All Students) - ELA and High Growth (High Needs Students) - ELA</t>
  </si>
  <si>
    <t>Joseph O. Goodwin School</t>
  </si>
  <si>
    <t>Robert J. O'Brien School</t>
  </si>
  <si>
    <t>Silver Lane School</t>
  </si>
  <si>
    <t>Sunset Ridge Middle School</t>
  </si>
  <si>
    <t>Synergy Alternative Program</t>
  </si>
  <si>
    <t>Carbone School/East Haven Academy</t>
  </si>
  <si>
    <t>Deer Run School</t>
  </si>
  <si>
    <t>Dominick H. Ferrara School</t>
  </si>
  <si>
    <t>East Haven High School</t>
  </si>
  <si>
    <t>Grove J. Tuttle School</t>
  </si>
  <si>
    <t>Joseph Melillo Middle School</t>
  </si>
  <si>
    <t>Momauguin School</t>
  </si>
  <si>
    <t>East Lyme High School</t>
  </si>
  <si>
    <t>East Lyme Middle School</t>
  </si>
  <si>
    <t>Flanders School</t>
  </si>
  <si>
    <t>Lillie B. Haynes School</t>
  </si>
  <si>
    <t>High Performance and High Growth (All Students) - Math</t>
  </si>
  <si>
    <t>Niantic Center School</t>
  </si>
  <si>
    <t>Helen Keller Middle School</t>
  </si>
  <si>
    <t>Samuel Staples Elementary School</t>
  </si>
  <si>
    <t>Broad Brook Elementary School</t>
  </si>
  <si>
    <t>East Windsor High School</t>
  </si>
  <si>
    <t>East Windsor Middle School</t>
  </si>
  <si>
    <t>Crystal Lake School</t>
  </si>
  <si>
    <t>Ellington High School</t>
  </si>
  <si>
    <t>Ellington Middle School</t>
  </si>
  <si>
    <t>Windermere School</t>
  </si>
  <si>
    <t>Edgar H. Parkman School</t>
  </si>
  <si>
    <t>Eli Whitney School</t>
  </si>
  <si>
    <t>Enfield High School</t>
  </si>
  <si>
    <t>Enfield Street School</t>
  </si>
  <si>
    <t>Hazardville Memorial School</t>
  </si>
  <si>
    <t>Henry Barnard School</t>
  </si>
  <si>
    <t>John F. Kennedy Middle School</t>
  </si>
  <si>
    <t>Prudence Crandall School</t>
  </si>
  <si>
    <t>Essex Elementary School</t>
  </si>
  <si>
    <t>Burr Elementary School</t>
  </si>
  <si>
    <t>High Growth (All Students) - ELA and High Growth (High Needs Students) - Math</t>
  </si>
  <si>
    <t>Dwight Elementary School</t>
  </si>
  <si>
    <t>Fairfield Ludlowe High School</t>
  </si>
  <si>
    <t>Fairfield Warde High School</t>
  </si>
  <si>
    <t>Fairfield Woods Middle School</t>
  </si>
  <si>
    <t>Holland Hill School</t>
  </si>
  <si>
    <t>Jennings School</t>
  </si>
  <si>
    <t>McKinley School</t>
  </si>
  <si>
    <t>Mill Hill School</t>
  </si>
  <si>
    <t>North Stratfield School</t>
  </si>
  <si>
    <t>Osborn Hill School</t>
  </si>
  <si>
    <t>Riverfield School</t>
  </si>
  <si>
    <t>Roger Ludlowe Middle School</t>
  </si>
  <si>
    <t>Sherman School</t>
  </si>
  <si>
    <t>Stratfield School</t>
  </si>
  <si>
    <t>Tomlinson Middle School</t>
  </si>
  <si>
    <t>East Farms School</t>
  </si>
  <si>
    <t>Farmington High School</t>
  </si>
  <si>
    <t>Irving A. Robbins Middle School</t>
  </si>
  <si>
    <t>Noah Wallace School</t>
  </si>
  <si>
    <t>Union School</t>
  </si>
  <si>
    <t>West District School</t>
  </si>
  <si>
    <t>West Woods Upper Elementary School</t>
  </si>
  <si>
    <t>Franklin Elementary School</t>
  </si>
  <si>
    <t>High Growth (All Students) - Math</t>
  </si>
  <si>
    <t>Buttonball Lane School</t>
  </si>
  <si>
    <t>Gideon Welles School</t>
  </si>
  <si>
    <t>Glastonbury High School</t>
  </si>
  <si>
    <t>Hebron Avenue School</t>
  </si>
  <si>
    <t>Hopewell School</t>
  </si>
  <si>
    <t>High Growth (High Needs Students) - ELA &amp; Math</t>
  </si>
  <si>
    <t>Naubuc School</t>
  </si>
  <si>
    <t>Nayaug Elementary School</t>
  </si>
  <si>
    <t>Smith Middle School</t>
  </si>
  <si>
    <t>Granby Memorial High School</t>
  </si>
  <si>
    <t>Granby Memorial Middle School</t>
  </si>
  <si>
    <t>Kelly Lane Primary School</t>
  </si>
  <si>
    <t>Wells Road Intermediate School</t>
  </si>
  <si>
    <t>Central Middle School</t>
  </si>
  <si>
    <t>Cos Cob School</t>
  </si>
  <si>
    <t>Eastern Middle School</t>
  </si>
  <si>
    <t>Glenville School</t>
  </si>
  <si>
    <t>Greenwich High School</t>
  </si>
  <si>
    <t>Hamilton Avenue School</t>
  </si>
  <si>
    <t>International School At Dundee</t>
  </si>
  <si>
    <t>Julian Curtiss School</t>
  </si>
  <si>
    <t>New Lebanon School</t>
  </si>
  <si>
    <t>North Mianus School</t>
  </si>
  <si>
    <t>High Performance and High Growth (All Students) - ELA &amp; Math and High Growth (High Needs Students) - ELA &amp; Math</t>
  </si>
  <si>
    <t>North Street School</t>
  </si>
  <si>
    <t>Old Greenwich School</t>
  </si>
  <si>
    <t>Parkway School</t>
  </si>
  <si>
    <t>Riverside School</t>
  </si>
  <si>
    <t>Western Middle School</t>
  </si>
  <si>
    <t>Griswold Alternative School</t>
  </si>
  <si>
    <t>Griswold Elementary School</t>
  </si>
  <si>
    <t>Griswold High School</t>
  </si>
  <si>
    <t>Griswold Middle School</t>
  </si>
  <si>
    <t>Carl C. Cutler Middle School</t>
  </si>
  <si>
    <t>Catherine Kolnaski Magnet School</t>
  </si>
  <si>
    <t>Charles Barnum School</t>
  </si>
  <si>
    <t>Claude Chester School</t>
  </si>
  <si>
    <t>High Growth (All Students) - ELA and High Growth (High Needs Students) - ELA &amp; Math</t>
  </si>
  <si>
    <t>Mary Morrisson School</t>
  </si>
  <si>
    <t>Northeast Academy Elementary School</t>
  </si>
  <si>
    <t>Robert E. Fitch High School</t>
  </si>
  <si>
    <t>S. B. Butler School</t>
  </si>
  <si>
    <t>West Side Middle School</t>
  </si>
  <si>
    <t>A. Baldwin Middle School</t>
  </si>
  <si>
    <t>A. W. Cox School</t>
  </si>
  <si>
    <t>Calvin Leete School</t>
  </si>
  <si>
    <t>E. C. Adams Middle School</t>
  </si>
  <si>
    <t>Guilford High School</t>
  </si>
  <si>
    <t>Guilford Lakes School</t>
  </si>
  <si>
    <t>Melissa Jones School</t>
  </si>
  <si>
    <t>High Performance and High Growth (All Students) - Math and High Growth (High Needs Students) - ELA &amp; Math</t>
  </si>
  <si>
    <t>Bear Path School</t>
  </si>
  <si>
    <t>Church Street School</t>
  </si>
  <si>
    <t>Dunbar Hill School</t>
  </si>
  <si>
    <t>Hamden High School</t>
  </si>
  <si>
    <t>Hamden Middle School</t>
  </si>
  <si>
    <t>High Needs ELA Growth</t>
  </si>
  <si>
    <t>Helen Street School</t>
  </si>
  <si>
    <t>Ridge Hill School</t>
  </si>
  <si>
    <t>Shepherd Glen School</t>
  </si>
  <si>
    <t>Spring Glen School</t>
  </si>
  <si>
    <t>West Woods School</t>
  </si>
  <si>
    <t>Hampton Elementary School</t>
  </si>
  <si>
    <t>Betances Learning Lab Magnet School</t>
  </si>
  <si>
    <t>Betances STEM Magnet School</t>
  </si>
  <si>
    <t>Breakthrough Magnet School, North</t>
  </si>
  <si>
    <t>Breakthrough Magnet School, South</t>
  </si>
  <si>
    <t>Bulkeley High School</t>
  </si>
  <si>
    <t>Burns Latino Studies Academy</t>
  </si>
  <si>
    <t>Burr Middle School</t>
  </si>
  <si>
    <t>Capital Community College Magnet Academy</t>
  </si>
  <si>
    <t>Capital Preparatory Magnet School</t>
  </si>
  <si>
    <t>Classical Magnet School</t>
  </si>
  <si>
    <t>Culinary Arts Academy at Weaver High School</t>
  </si>
  <si>
    <t>Dwight-Bellizzi Dual Language Academy</t>
  </si>
  <si>
    <t>Environmental Sciences Magnet at Hooker School</t>
  </si>
  <si>
    <t>Expeditionary Learning Academy at Moylan School</t>
  </si>
  <si>
    <t>Global Communications Academy</t>
  </si>
  <si>
    <t>Great Path Academy at MCC</t>
  </si>
  <si>
    <t>HPHS Engineering and Green Technology Academy</t>
  </si>
  <si>
    <t>HPHS Law and Government Academy</t>
  </si>
  <si>
    <t>HPHS Nursing and Health Sciences Academy</t>
  </si>
  <si>
    <t>Hartford Magnet Trinity College Academy</t>
  </si>
  <si>
    <t>High School, Inc.</t>
  </si>
  <si>
    <t>Journalism and Media Academy</t>
  </si>
  <si>
    <t>Kennelly School</t>
  </si>
  <si>
    <t>Kinsella Magnet School of Performing Arts</t>
  </si>
  <si>
    <t>M. D. Fox School</t>
  </si>
  <si>
    <t>M. L. King, Jr. Middle School</t>
  </si>
  <si>
    <t>McDonough Middle School</t>
  </si>
  <si>
    <t>Milner Middle School</t>
  </si>
  <si>
    <t>Montessori Magnet at Batchelder School</t>
  </si>
  <si>
    <t>Montessori Magnet at Fisher School</t>
  </si>
  <si>
    <t>Naylor/CCSU Leadership Academy</t>
  </si>
  <si>
    <t>Parkville Community School</t>
  </si>
  <si>
    <t>Pathways Academy of Technology and Design</t>
  </si>
  <si>
    <t>Rawson School</t>
  </si>
  <si>
    <t>Renzulli Gifted and Talented Academy</t>
  </si>
  <si>
    <t>SAND School</t>
  </si>
  <si>
    <t>STEM Magnet at Annie Fisher School</t>
  </si>
  <si>
    <t>Sanchez School</t>
  </si>
  <si>
    <t>Sport and Medical Sciences Academy</t>
  </si>
  <si>
    <t>University High School of Science and Engineering</t>
  </si>
  <si>
    <t>Webster Micro Society Magnet School</t>
  </si>
  <si>
    <t>West Middle School</t>
  </si>
  <si>
    <t>Wish Museum School</t>
  </si>
  <si>
    <t>Hartland School</t>
  </si>
  <si>
    <t>High Performance and High Growth (High Needs Students) - ELA &amp; Math</t>
  </si>
  <si>
    <t>Gilead Hill School</t>
  </si>
  <si>
    <t>Hebron Elementary School</t>
  </si>
  <si>
    <t>Kent Center School</t>
  </si>
  <si>
    <t>Killingly Central School</t>
  </si>
  <si>
    <t>Killingly High School</t>
  </si>
  <si>
    <t>Killingly Intermediate School</t>
  </si>
  <si>
    <t>Killingly Memorial School</t>
  </si>
  <si>
    <t>Lebanon Elementary School</t>
  </si>
  <si>
    <t>Lebanon Middle School</t>
  </si>
  <si>
    <t>Lyman Memorial High School</t>
  </si>
  <si>
    <t>Gales Ferry School</t>
  </si>
  <si>
    <t>Gallup Hill School</t>
  </si>
  <si>
    <t>Juliet W. Long School</t>
  </si>
  <si>
    <t>Ledyard Center School</t>
  </si>
  <si>
    <t>Ledyard High School</t>
  </si>
  <si>
    <t>Ledyard Middle School</t>
  </si>
  <si>
    <t>Lisbon Central School</t>
  </si>
  <si>
    <t>Litchfield High School</t>
  </si>
  <si>
    <t>Litchfield Intermediate School</t>
  </si>
  <si>
    <t>Litchfield Middle School</t>
  </si>
  <si>
    <t>Daniel Hand High School</t>
  </si>
  <si>
    <t>Dr. Robert H. Brown Intermediate School</t>
  </si>
  <si>
    <t>Island Avenue Elementary School</t>
  </si>
  <si>
    <t>J. Milton Jeffrey Elementary School</t>
  </si>
  <si>
    <t>Kathleen H. Ryerson Elementary School</t>
  </si>
  <si>
    <t>Walter C. Polson Middle School</t>
  </si>
  <si>
    <t>Bowers School</t>
  </si>
  <si>
    <t>Buckley School</t>
  </si>
  <si>
    <t>Elisabeth M. Bennet Academy</t>
  </si>
  <si>
    <t>Highland Park School</t>
  </si>
  <si>
    <t>Illing Middle School</t>
  </si>
  <si>
    <t>Keeney School</t>
  </si>
  <si>
    <t>Manchester High School</t>
  </si>
  <si>
    <t>Martin School</t>
  </si>
  <si>
    <t>Verplanck School</t>
  </si>
  <si>
    <t>Waddell School</t>
  </si>
  <si>
    <t>Washington School</t>
  </si>
  <si>
    <t>Annie E. Vinton School</t>
  </si>
  <si>
    <t>Dorothy C. Goodwin School</t>
  </si>
  <si>
    <t>High Performance and High Growth (All Students) - ELA</t>
  </si>
  <si>
    <t>Mansfield Middle School</t>
  </si>
  <si>
    <t>Southeast Elementary School</t>
  </si>
  <si>
    <t>Elmer Thienes-Mary Hall Elementary School</t>
  </si>
  <si>
    <t>Benjamin Franklin School</t>
  </si>
  <si>
    <t>Casimir Pulaski School</t>
  </si>
  <si>
    <t>Francis T. Maloney High School</t>
  </si>
  <si>
    <t>Hanover School</t>
  </si>
  <si>
    <t>Israel Putnam School</t>
  </si>
  <si>
    <t>John Barry School</t>
  </si>
  <si>
    <t>Lincoln Middle School</t>
  </si>
  <si>
    <t>Nathan Hale School</t>
  </si>
  <si>
    <t>Orville H. Platt High School</t>
  </si>
  <si>
    <t>Roger Sherman School</t>
  </si>
  <si>
    <t>Washington Middle School</t>
  </si>
  <si>
    <t>Bielefield School</t>
  </si>
  <si>
    <t>Farm Hill School</t>
  </si>
  <si>
    <t>Keigwin Middle School</t>
  </si>
  <si>
    <t>Lawrence School</t>
  </si>
  <si>
    <t>MacDonough School</t>
  </si>
  <si>
    <t>Middletown High School</t>
  </si>
  <si>
    <t>Moody School</t>
  </si>
  <si>
    <t>Snow School</t>
  </si>
  <si>
    <t>Spencer School</t>
  </si>
  <si>
    <t>Wesley School</t>
  </si>
  <si>
    <t>Woodrow Wilson Middle School</t>
  </si>
  <si>
    <t>Calf Pen Meadow School</t>
  </si>
  <si>
    <t>East Shore Middle School</t>
  </si>
  <si>
    <t>Harborside Middle School</t>
  </si>
  <si>
    <t>J. F. Kennedy School</t>
  </si>
  <si>
    <t>Jonathan Law High School</t>
  </si>
  <si>
    <t>Joseph A. Foran High School</t>
  </si>
  <si>
    <t>Live Oaks School</t>
  </si>
  <si>
    <t>Mathewson School</t>
  </si>
  <si>
    <t>Meadowside School</t>
  </si>
  <si>
    <t>Orange Avenue School</t>
  </si>
  <si>
    <t>Orchard Hills School</t>
  </si>
  <si>
    <t>Pumpkin Delight School</t>
  </si>
  <si>
    <t>West Shore Middle School</t>
  </si>
  <si>
    <t>Fawn Hollow Elementary School</t>
  </si>
  <si>
    <t>Jockey Hollow School</t>
  </si>
  <si>
    <t>Masuk High School</t>
  </si>
  <si>
    <t>Monroe Elementary School</t>
  </si>
  <si>
    <t>Stepney Elementary School</t>
  </si>
  <si>
    <t>Dr. Charles E. Murphy School</t>
  </si>
  <si>
    <t>Leonard J. Tyl Middle School</t>
  </si>
  <si>
    <t>Mohegan School</t>
  </si>
  <si>
    <t>Montville High School</t>
  </si>
  <si>
    <t>Oakdale School</t>
  </si>
  <si>
    <t>Andrew Avenue School</t>
  </si>
  <si>
    <t>City Hill Middle School</t>
  </si>
  <si>
    <t>Cross Street Intermediate School</t>
  </si>
  <si>
    <t>Hillside Intermediate School</t>
  </si>
  <si>
    <t>Hop Brook Elementary School</t>
  </si>
  <si>
    <t>Maple Hill School</t>
  </si>
  <si>
    <t>Naugatuck High School</t>
  </si>
  <si>
    <t>Salem School</t>
  </si>
  <si>
    <t>Western School</t>
  </si>
  <si>
    <t>High Performance and High Growth (All Students) - Math and High Growth (High Needs Students) - Math</t>
  </si>
  <si>
    <t>Chamberlain  Elementary School</t>
  </si>
  <si>
    <t>DiLoreto Elementary &amp; Middle School</t>
  </si>
  <si>
    <t>Gaffney Elementary School</t>
  </si>
  <si>
    <t>House of Arts Letters and Science (HALS)  Academy</t>
  </si>
  <si>
    <t>Jefferson Elementary School</t>
  </si>
  <si>
    <t>Lincoln Elementary School</t>
  </si>
  <si>
    <t>New Britain High School</t>
  </si>
  <si>
    <t>Northend Elementary School</t>
  </si>
  <si>
    <t>Pulaski Middle School</t>
  </si>
  <si>
    <t>Slade Middle School</t>
  </si>
  <si>
    <t>Smalley Elementary School</t>
  </si>
  <si>
    <t>Smith Elementary School</t>
  </si>
  <si>
    <t>Vance Elementary School</t>
  </si>
  <si>
    <t>East School</t>
  </si>
  <si>
    <t>New Canaan High School</t>
  </si>
  <si>
    <t>Saxe Middle School</t>
  </si>
  <si>
    <t>South School</t>
  </si>
  <si>
    <t>West School</t>
  </si>
  <si>
    <t>Consolidated School</t>
  </si>
  <si>
    <t>Meeting House Hill School</t>
  </si>
  <si>
    <t>New Fairfield High School</t>
  </si>
  <si>
    <t>New Fairfield Middle School</t>
  </si>
  <si>
    <t>Ann Antolini School</t>
  </si>
  <si>
    <t>Bakerville Consolidated School</t>
  </si>
  <si>
    <t>New Hartford Elementary School</t>
  </si>
  <si>
    <t>Augusta Lewis Troup School</t>
  </si>
  <si>
    <t>Barack H. Obama Magnet University School</t>
  </si>
  <si>
    <t>Barnard Environmental Magnet School</t>
  </si>
  <si>
    <t>Beecher School</t>
  </si>
  <si>
    <t>Benjamin Jepson Magnet School</t>
  </si>
  <si>
    <t>Betsy Ross Arts Magnet School</t>
  </si>
  <si>
    <t>Bishop Woods Architecture and Design Magnet School</t>
  </si>
  <si>
    <t>Brennan Rogers School</t>
  </si>
  <si>
    <t>Celentano BioTech, Health and Medical Magnet School</t>
  </si>
  <si>
    <t>Clinton Avenue School</t>
  </si>
  <si>
    <t>Columbus Family Academy</t>
  </si>
  <si>
    <t>Conte/West Hills Magnet School</t>
  </si>
  <si>
    <t>Cooperative High School - Inter-District Magnet</t>
  </si>
  <si>
    <t>Davis Academy for Arts &amp; Design Innovation</t>
  </si>
  <si>
    <t>East Rock Community Magnet School</t>
  </si>
  <si>
    <t>Engineering - Science University Magnet School</t>
  </si>
  <si>
    <t>Fair Haven School</t>
  </si>
  <si>
    <t>High School In The Community</t>
  </si>
  <si>
    <t>Graduation Rate</t>
  </si>
  <si>
    <t>Hill Central Music Academy</t>
  </si>
  <si>
    <t>Hill Regional Career High School</t>
  </si>
  <si>
    <t>James Hillhouse High School</t>
  </si>
  <si>
    <t>John C. Daniels</t>
  </si>
  <si>
    <t>John S. Martinez Sea and Sky STEM School</t>
  </si>
  <si>
    <t>King/Robinson Magnet School</t>
  </si>
  <si>
    <t>Lincoln-Bassett School</t>
  </si>
  <si>
    <t>Mauro-Sheridan Magnet School</t>
  </si>
  <si>
    <t>Metropolitan Business Academy</t>
  </si>
  <si>
    <t>New Haven Academy</t>
  </si>
  <si>
    <t>Quinnipiac Real World Math STEM School</t>
  </si>
  <si>
    <t>Roberto Clemente Leadership Academy for Global Awareness</t>
  </si>
  <si>
    <t>Ross/Woodward School</t>
  </si>
  <si>
    <t>Sound School</t>
  </si>
  <si>
    <t>Truman School</t>
  </si>
  <si>
    <t>West Rock Authors Academy</t>
  </si>
  <si>
    <t>Wexler/Grant Community School</t>
  </si>
  <si>
    <t>Wilbur Cross High School</t>
  </si>
  <si>
    <t>Worthington Hooker School</t>
  </si>
  <si>
    <t>Anna Reynolds School</t>
  </si>
  <si>
    <t>Elizabeth Green School</t>
  </si>
  <si>
    <t>John Paterson School</t>
  </si>
  <si>
    <t>John Wallace Middle School</t>
  </si>
  <si>
    <t>Martin Kellogg Middle School</t>
  </si>
  <si>
    <t>Newington High School</t>
  </si>
  <si>
    <t>Ruth Chaffee School</t>
  </si>
  <si>
    <t>Bennie Dover Jackson Middle School</t>
  </si>
  <si>
    <t>C.B. Jennings International Elementary Magnet</t>
  </si>
  <si>
    <t>Harbor Elementary School</t>
  </si>
  <si>
    <t>Nathan Hale Arts Magnet School</t>
  </si>
  <si>
    <t>New London High School</t>
  </si>
  <si>
    <t>New London Visual and Performing Arts Magnet School</t>
  </si>
  <si>
    <t>Science and Technology Magnet School of Southeastern Connecticut</t>
  </si>
  <si>
    <t>Winthrop STEM Elementary Magnet School</t>
  </si>
  <si>
    <t>Hill And Plain School</t>
  </si>
  <si>
    <t>New Milford High School</t>
  </si>
  <si>
    <t>Northville Elementary School</t>
  </si>
  <si>
    <t>Sarah Noble Intermediate School</t>
  </si>
  <si>
    <t>Schaghticoke Middle School</t>
  </si>
  <si>
    <t>Hawley Elementary School</t>
  </si>
  <si>
    <t>Head O'Meadow Elementary School</t>
  </si>
  <si>
    <t>Middle Gate Elementary School</t>
  </si>
  <si>
    <t>Newtown High School</t>
  </si>
  <si>
    <t>Newtown Middle School</t>
  </si>
  <si>
    <t>Reed Intermediate School</t>
  </si>
  <si>
    <t>Sandy Hook Elementary School</t>
  </si>
  <si>
    <t>Botelle Elementary School</t>
  </si>
  <si>
    <t>Jerome Harrison School</t>
  </si>
  <si>
    <t>North Branford High School</t>
  </si>
  <si>
    <t>North Branford Intermediate School</t>
  </si>
  <si>
    <t>Totoket Valley Elementary School</t>
  </si>
  <si>
    <t>North Canaan Elementary School</t>
  </si>
  <si>
    <t>Clintonville Elementary School</t>
  </si>
  <si>
    <t>Green Acres Elementary School</t>
  </si>
  <si>
    <t>Montowese Elementary School</t>
  </si>
  <si>
    <t>North Haven High School</t>
  </si>
  <si>
    <t>North Haven Middle School</t>
  </si>
  <si>
    <t>Ridge Road Elementary School</t>
  </si>
  <si>
    <t>North Stonington Elementary School</t>
  </si>
  <si>
    <t>Wheeler High School</t>
  </si>
  <si>
    <t>Brien McMahon High School</t>
  </si>
  <si>
    <t>Brookside Elementary School</t>
  </si>
  <si>
    <t>Center for Global Studies</t>
  </si>
  <si>
    <t>Columbus Magnet School</t>
  </si>
  <si>
    <t>Cranbury Elementary School</t>
  </si>
  <si>
    <t>Fox Run Elementary School</t>
  </si>
  <si>
    <t>Kendall Elementary School</t>
  </si>
  <si>
    <t>Marvin Elementary School</t>
  </si>
  <si>
    <t>Naramake Elementary School</t>
  </si>
  <si>
    <t>Nathan Hale Middle School</t>
  </si>
  <si>
    <t>Norwalk High School</t>
  </si>
  <si>
    <t>Ponus Ridge Middle School</t>
  </si>
  <si>
    <t>Roton Middle School</t>
  </si>
  <si>
    <t>Rowayton School</t>
  </si>
  <si>
    <t>Silvermine Dual Language Magnet School</t>
  </si>
  <si>
    <t>Tracey Magnet School</t>
  </si>
  <si>
    <t>West Rocks Middle School</t>
  </si>
  <si>
    <t>Wolfpit School</t>
  </si>
  <si>
    <t>John B. Stanton School</t>
  </si>
  <si>
    <t>Kelly STEAM Magnet Middle School</t>
  </si>
  <si>
    <t>Moriarty Magnet School</t>
  </si>
  <si>
    <t>Samuel Huntington School</t>
  </si>
  <si>
    <t>Teachers' Memorial Global Studies Magnet Middle School</t>
  </si>
  <si>
    <t>Thomas W. Mahan School</t>
  </si>
  <si>
    <t>Uncas Elementary School</t>
  </si>
  <si>
    <t>Veterans' Memorial School</t>
  </si>
  <si>
    <t>Wequonnoc Magnet School</t>
  </si>
  <si>
    <t>Kathleen E. Goodwin School</t>
  </si>
  <si>
    <t>Old Saybrook Middle School</t>
  </si>
  <si>
    <t>Old Saybrook Senior High School</t>
  </si>
  <si>
    <t>Mary L. Tracy School</t>
  </si>
  <si>
    <t>Peck Place School</t>
  </si>
  <si>
    <t>Race Brook School</t>
  </si>
  <si>
    <t>Turkey Hill School</t>
  </si>
  <si>
    <t>Oxford Center School</t>
  </si>
  <si>
    <t>Oxford High School</t>
  </si>
  <si>
    <t>Oxford Middle School</t>
  </si>
  <si>
    <t>Quaker Farms School</t>
  </si>
  <si>
    <t>Moosup Elementary School</t>
  </si>
  <si>
    <t>Plainfield Central School</t>
  </si>
  <si>
    <t>Plainfield High School</t>
  </si>
  <si>
    <t>Plainfield Memorial School</t>
  </si>
  <si>
    <t>Shepard Hill Elementary School</t>
  </si>
  <si>
    <t>Great Improvement</t>
  </si>
  <si>
    <t>Frank T. Wheeler School</t>
  </si>
  <si>
    <t>Linden Street School</t>
  </si>
  <si>
    <t>Louis Toffolon School</t>
  </si>
  <si>
    <t>Middle School of Plainville</t>
  </si>
  <si>
    <t>Plainville High School</t>
  </si>
  <si>
    <t>Eli Terry Jr. Middle School</t>
  </si>
  <si>
    <t>Harry S. Fisher Elementary School</t>
  </si>
  <si>
    <t>Plymouth Center School</t>
  </si>
  <si>
    <t>Terryville High School</t>
  </si>
  <si>
    <t>Pomfret Community School</t>
  </si>
  <si>
    <t>Brownstone Intermediate School</t>
  </si>
  <si>
    <t>Gildersleeve School</t>
  </si>
  <si>
    <t>Portland High School</t>
  </si>
  <si>
    <t>Portland Middle School</t>
  </si>
  <si>
    <t>Valley View School</t>
  </si>
  <si>
    <t>Preston Plains School</t>
  </si>
  <si>
    <t>Preston Veterans' Memorial School</t>
  </si>
  <si>
    <t>Putnam Elementary School</t>
  </si>
  <si>
    <t>Putnam High School</t>
  </si>
  <si>
    <t>Putnam Middle School</t>
  </si>
  <si>
    <t>John Read Middle School</t>
  </si>
  <si>
    <t>Redding Elementary School</t>
  </si>
  <si>
    <t>Barlow Mountain Elementary School</t>
  </si>
  <si>
    <t>Branchville Elementary School</t>
  </si>
  <si>
    <t>East Ridge Middle School</t>
  </si>
  <si>
    <t>Farmingville Elementary School</t>
  </si>
  <si>
    <t>Ridgebury Elementary School</t>
  </si>
  <si>
    <t>Ridgefield High School</t>
  </si>
  <si>
    <t>Scotland Elementary School</t>
  </si>
  <si>
    <t>Scotts Ridge Middle School</t>
  </si>
  <si>
    <t>Veterans Park Elementary School</t>
  </si>
  <si>
    <t>Albert D. Griswold Middle School</t>
  </si>
  <si>
    <t>Myrtle H. Stevens School</t>
  </si>
  <si>
    <t>Rocky Hill High School</t>
  </si>
  <si>
    <t>West Hill School</t>
  </si>
  <si>
    <t>Salem Elementary School</t>
  </si>
  <si>
    <t>Salisbury Central School</t>
  </si>
  <si>
    <t>Bungay School</t>
  </si>
  <si>
    <t>Chatfield-LoPresti School</t>
  </si>
  <si>
    <t>Seymour High School</t>
  </si>
  <si>
    <t>Seymour Middle School</t>
  </si>
  <si>
    <t>Sharon Center School</t>
  </si>
  <si>
    <t>Booth Hill School</t>
  </si>
  <si>
    <t>Elizabeth Shelton School</t>
  </si>
  <si>
    <t>Intermediate School</t>
  </si>
  <si>
    <t>Long Hill School</t>
  </si>
  <si>
    <t>Perry Hill Elementary School</t>
  </si>
  <si>
    <t>Shelton High School</t>
  </si>
  <si>
    <t>Sunnyside School</t>
  </si>
  <si>
    <t>Central School</t>
  </si>
  <si>
    <t>Henry James Memorial School</t>
  </si>
  <si>
    <t>Latimer Lane School</t>
  </si>
  <si>
    <t>Simsbury High School</t>
  </si>
  <si>
    <t>Squadron Line School</t>
  </si>
  <si>
    <t>Tariffville School</t>
  </si>
  <si>
    <t>Tootin' Hills School</t>
  </si>
  <si>
    <t>Mabelle B. Avery Middle School</t>
  </si>
  <si>
    <t>Somers Elementary School</t>
  </si>
  <si>
    <t>Somers High School</t>
  </si>
  <si>
    <t>Derynoski Elementary School</t>
  </si>
  <si>
    <t>Flanders Elementary School</t>
  </si>
  <si>
    <t>Hatton Elementary School</t>
  </si>
  <si>
    <t>Joseph A. Depaolo Middle School</t>
  </si>
  <si>
    <t>Oshana Elementary School</t>
  </si>
  <si>
    <t>South End Elementary School</t>
  </si>
  <si>
    <t>Southington High School</t>
  </si>
  <si>
    <t>Strong Elementary School</t>
  </si>
  <si>
    <t>Thalberg Elementary School</t>
  </si>
  <si>
    <t>Urbin T. Kelley School</t>
  </si>
  <si>
    <t>Eli Terry School</t>
  </si>
  <si>
    <t>Orchard Hill School</t>
  </si>
  <si>
    <t>Philip R. Smith School</t>
  </si>
  <si>
    <t>Pleasant Valley School</t>
  </si>
  <si>
    <t>South Windsor High School</t>
  </si>
  <si>
    <t>Timothy Edwards School</t>
  </si>
  <si>
    <t>Sayles School</t>
  </si>
  <si>
    <t>Stafford Elementary School</t>
  </si>
  <si>
    <t>Stafford High School</t>
  </si>
  <si>
    <t>Stafford Middle School</t>
  </si>
  <si>
    <t>Staffordville School</t>
  </si>
  <si>
    <t>West Stafford School</t>
  </si>
  <si>
    <t>Cloonan School</t>
  </si>
  <si>
    <t>Davenport Ridge School</t>
  </si>
  <si>
    <t>Dolan School</t>
  </si>
  <si>
    <t>Hart School</t>
  </si>
  <si>
    <t>Julia A. Stark School</t>
  </si>
  <si>
    <t>K. T. Murphy School</t>
  </si>
  <si>
    <t>Newfield School</t>
  </si>
  <si>
    <t>Northeast School</t>
  </si>
  <si>
    <t>Rippowam Middle School</t>
  </si>
  <si>
    <t>Rogers International School</t>
  </si>
  <si>
    <t>Roxbury School</t>
  </si>
  <si>
    <t>Scofield Middle School</t>
  </si>
  <si>
    <t>Springdale School</t>
  </si>
  <si>
    <t>Stamford High School</t>
  </si>
  <si>
    <t>Stillmeadow School</t>
  </si>
  <si>
    <t>Strawberry Hill an ext. of Rogers International</t>
  </si>
  <si>
    <t>The Academy of Information, Technology &amp; Engineering</t>
  </si>
  <si>
    <t>Toquam Magnet School</t>
  </si>
  <si>
    <t>Turn of River School</t>
  </si>
  <si>
    <t>Westhill High School</t>
  </si>
  <si>
    <t>Westover School</t>
  </si>
  <si>
    <t>Sterling Community School</t>
  </si>
  <si>
    <t>Deans Mill School</t>
  </si>
  <si>
    <t>Pawcatuck Middle School</t>
  </si>
  <si>
    <t>Stonington High School</t>
  </si>
  <si>
    <t>Stonington Middle School</t>
  </si>
  <si>
    <t>West Broad Street School</t>
  </si>
  <si>
    <t>West Vine Street School</t>
  </si>
  <si>
    <t>Bunnell High School</t>
  </si>
  <si>
    <t>Chapel School</t>
  </si>
  <si>
    <t>David Wooster Middle School</t>
  </si>
  <si>
    <t>Franklin School</t>
  </si>
  <si>
    <t>Harry B. Flood Middle School</t>
  </si>
  <si>
    <t>Lordship School</t>
  </si>
  <si>
    <t>Nichols School</t>
  </si>
  <si>
    <t>Second Hill Lane School</t>
  </si>
  <si>
    <t>Stratford Academy - Johnson House</t>
  </si>
  <si>
    <t>Stratford Academy - Victoria Soto School</t>
  </si>
  <si>
    <t>Stratford High School</t>
  </si>
  <si>
    <t>Wilcoxson School</t>
  </si>
  <si>
    <t>A. Ward Spaulding School</t>
  </si>
  <si>
    <t>McAlister Intermediate School</t>
  </si>
  <si>
    <t>Suffield High School</t>
  </si>
  <si>
    <t>Suffield Middle School</t>
  </si>
  <si>
    <t>Thomaston Center School</t>
  </si>
  <si>
    <t>Thomaston High School</t>
  </si>
  <si>
    <t>Mary R. Fisher Elementary School</t>
  </si>
  <si>
    <t>Thompson Middle School</t>
  </si>
  <si>
    <t>Tourtellotte Memorial High School</t>
  </si>
  <si>
    <t>Birch Grove Primary School</t>
  </si>
  <si>
    <t>Tolland High School</t>
  </si>
  <si>
    <t>Tolland Intermediate School</t>
  </si>
  <si>
    <t>Tolland Middle School</t>
  </si>
  <si>
    <t>Forbes School</t>
  </si>
  <si>
    <t>Southwest School</t>
  </si>
  <si>
    <t>Torringford School</t>
  </si>
  <si>
    <t>Torrington High School</t>
  </si>
  <si>
    <t>Torrington Middle School</t>
  </si>
  <si>
    <t>Vogel-Wetmore School</t>
  </si>
  <si>
    <t>Daniels Farm School</t>
  </si>
  <si>
    <t>Frenchtown Elementary School</t>
  </si>
  <si>
    <t>Hillcrest Middle School</t>
  </si>
  <si>
    <t>Jane Ryan School</t>
  </si>
  <si>
    <t>Madison Middle School</t>
  </si>
  <si>
    <t>Middlebrook School</t>
  </si>
  <si>
    <t>Tashua School</t>
  </si>
  <si>
    <t>Trumbull High School</t>
  </si>
  <si>
    <t>Center Road School</t>
  </si>
  <si>
    <t>Lake Street School</t>
  </si>
  <si>
    <t>Maple Street School</t>
  </si>
  <si>
    <t>Rockville High School</t>
  </si>
  <si>
    <t>Skinner Road School</t>
  </si>
  <si>
    <t>Vernon Center Middle School</t>
  </si>
  <si>
    <t>Voluntown Elementary School</t>
  </si>
  <si>
    <t>Cook Hill School</t>
  </si>
  <si>
    <t>Dag Hammarskjold Middle School</t>
  </si>
  <si>
    <t>Evarts C. Stevens School</t>
  </si>
  <si>
    <t>James H. Moran Middle School</t>
  </si>
  <si>
    <t>Lyman Hall High School</t>
  </si>
  <si>
    <t>Mark T. Sheehan High School</t>
  </si>
  <si>
    <t>Mary G. Fritz Elementary School of Yalesville</t>
  </si>
  <si>
    <t>Moses Y. Beach School</t>
  </si>
  <si>
    <t>Parker Farms School</t>
  </si>
  <si>
    <t>Pond Hill School</t>
  </si>
  <si>
    <t>Rock Hill School</t>
  </si>
  <si>
    <t>B. W. Tinker School</t>
  </si>
  <si>
    <t>Bucks Hill School</t>
  </si>
  <si>
    <t>Bunker Hill School</t>
  </si>
  <si>
    <t>Carrington School</t>
  </si>
  <si>
    <t>Crosby High School</t>
  </si>
  <si>
    <t>Driggs School</t>
  </si>
  <si>
    <t>Duggan School</t>
  </si>
  <si>
    <t>F. J. Kingsbury School</t>
  </si>
  <si>
    <t>Gilmartin School</t>
  </si>
  <si>
    <t>H. S. Chase School</t>
  </si>
  <si>
    <t>Hopeville School</t>
  </si>
  <si>
    <t>John F. Kennedy High School</t>
  </si>
  <si>
    <t>Maloney Interdistrict Magnet School</t>
  </si>
  <si>
    <t>Margaret M. Generali Elementary School</t>
  </si>
  <si>
    <t>Michael F. Wallace Middle School</t>
  </si>
  <si>
    <t>North End Middle School</t>
  </si>
  <si>
    <t>Reed School</t>
  </si>
  <si>
    <t>Regan School</t>
  </si>
  <si>
    <t>Rotella Interdistrict Magnet School</t>
  </si>
  <si>
    <t>Sprague School</t>
  </si>
  <si>
    <t>Walsh School</t>
  </si>
  <si>
    <t>Waterbury Arts Magnet School (High)</t>
  </si>
  <si>
    <t>Waterbury Arts Magnet School (Middle)</t>
  </si>
  <si>
    <t>Waterbury Career Academy</t>
  </si>
  <si>
    <t>Wendell L. Cross School</t>
  </si>
  <si>
    <t>Wilby High School</t>
  </si>
  <si>
    <t>Woodrow Wilson School</t>
  </si>
  <si>
    <t>Clark Lane Middle School</t>
  </si>
  <si>
    <t>Great Neck Elementary School</t>
  </si>
  <si>
    <t>Oswegatchie Elementary School</t>
  </si>
  <si>
    <t>Quaker Hill Elementary School</t>
  </si>
  <si>
    <t>Waterford High School</t>
  </si>
  <si>
    <t>Fletcher W. Judson School</t>
  </si>
  <si>
    <t>John Trumbull Primary School</t>
  </si>
  <si>
    <t>Polk School</t>
  </si>
  <si>
    <t>Swift Middle School</t>
  </si>
  <si>
    <t>Watertown High School</t>
  </si>
  <si>
    <t>Daisy Ingraham School</t>
  </si>
  <si>
    <t>Westbrook High School</t>
  </si>
  <si>
    <t>Westbrook Middle School</t>
  </si>
  <si>
    <t>Aiken School</t>
  </si>
  <si>
    <t>Braeburn School</t>
  </si>
  <si>
    <t>Bristow Middle School</t>
  </si>
  <si>
    <t>Bugbee School</t>
  </si>
  <si>
    <t>Charter Oak International Academy</t>
  </si>
  <si>
    <t>Conard High School</t>
  </si>
  <si>
    <t>Duffy School</t>
  </si>
  <si>
    <t>Hall High School</t>
  </si>
  <si>
    <t>King Philip Middle School</t>
  </si>
  <si>
    <t>Morley School</t>
  </si>
  <si>
    <t>Norfeldt School</t>
  </si>
  <si>
    <t>Sedgwick Middle School</t>
  </si>
  <si>
    <t>Smith School</t>
  </si>
  <si>
    <t>Webster Hill School</t>
  </si>
  <si>
    <t>Whiting Lane School</t>
  </si>
  <si>
    <t>High Growth (All Students) - ELA &amp; Math and High Growth (High Needs Students) - ELA &amp; Math</t>
  </si>
  <si>
    <t>Wolcott School</t>
  </si>
  <si>
    <t>Alma E. Pagels School</t>
  </si>
  <si>
    <t>Carrigan 5/6 Intermediate School</t>
  </si>
  <si>
    <t>Edith E. Mackrille School</t>
  </si>
  <si>
    <t>Forest School</t>
  </si>
  <si>
    <t>Harry M. Bailey Middle School</t>
  </si>
  <si>
    <t>Savin Rock Community School</t>
  </si>
  <si>
    <t>Seth G. Haley School</t>
  </si>
  <si>
    <t>West Haven High School</t>
  </si>
  <si>
    <t>Hurlbutt Elementary School</t>
  </si>
  <si>
    <t>Weston High School</t>
  </si>
  <si>
    <t>Weston Intermediate School</t>
  </si>
  <si>
    <t>Weston Middle School</t>
  </si>
  <si>
    <t>Bedford Middle School</t>
  </si>
  <si>
    <t>Coleytown Elementary School</t>
  </si>
  <si>
    <t>Coleytown Middle School</t>
  </si>
  <si>
    <t>Green's Farms School</t>
  </si>
  <si>
    <t>King's Highway Elementary School</t>
  </si>
  <si>
    <t>Long Lots School</t>
  </si>
  <si>
    <t>Saugatuck Elementary School</t>
  </si>
  <si>
    <t>Staples High School</t>
  </si>
  <si>
    <t>Alfred W. Hanmer School</t>
  </si>
  <si>
    <t>Charles Wright School</t>
  </si>
  <si>
    <t>Emerson-Williams School</t>
  </si>
  <si>
    <t>Highcrest School</t>
  </si>
  <si>
    <t>Samuel B. Webb Elementary School</t>
  </si>
  <si>
    <t>Silas Deane Middle School</t>
  </si>
  <si>
    <t>Wethersfield High School</t>
  </si>
  <si>
    <t>Hall Memorial School</t>
  </si>
  <si>
    <t>Cider Mill School</t>
  </si>
  <si>
    <t>Miller-Driscoll School</t>
  </si>
  <si>
    <t>Wilton High School</t>
  </si>
  <si>
    <t>Batcheller Early Education Center</t>
  </si>
  <si>
    <t>Pearson School</t>
  </si>
  <si>
    <t>Charles H. Barrows STEM Academy</t>
  </si>
  <si>
    <t>Natchaug School</t>
  </si>
  <si>
    <t>North Windham School</t>
  </si>
  <si>
    <t>W. B. Sweeney School</t>
  </si>
  <si>
    <t>Windham Center School</t>
  </si>
  <si>
    <t>Windham High School</t>
  </si>
  <si>
    <t>Windham Middle School</t>
  </si>
  <si>
    <t>Windham STEPS Academy</t>
  </si>
  <si>
    <t>Clover Street School</t>
  </si>
  <si>
    <t>John F. Kennedy School</t>
  </si>
  <si>
    <t>Oliver Ellsworth School</t>
  </si>
  <si>
    <t>Poquonock Elementary School</t>
  </si>
  <si>
    <t>Sage Park Middle School</t>
  </si>
  <si>
    <t>Windsor High School</t>
  </si>
  <si>
    <t>South Elementary School</t>
  </si>
  <si>
    <t>Windsor Locks High School</t>
  </si>
  <si>
    <t>Windsor Locks Middle School</t>
  </si>
  <si>
    <t>Alcott School</t>
  </si>
  <si>
    <t>Frisbie School</t>
  </si>
  <si>
    <t>Tyrrell Middle School</t>
  </si>
  <si>
    <t>Wakelee School</t>
  </si>
  <si>
    <t>Wolcott High School</t>
  </si>
  <si>
    <t>Beecher Road School</t>
  </si>
  <si>
    <t>Woodstock Elementary School</t>
  </si>
  <si>
    <t>Woodstock Middle School</t>
  </si>
  <si>
    <t>Housatonic Valley Regional High School</t>
  </si>
  <si>
    <t>Regional Schools</t>
  </si>
  <si>
    <t>John Winthrop Middle School</t>
  </si>
  <si>
    <t>Valley Regional High School</t>
  </si>
  <si>
    <t>Amity Middle School: Bethany</t>
  </si>
  <si>
    <t>Amity Middle School: Orange</t>
  </si>
  <si>
    <t>Amity Regional High School</t>
  </si>
  <si>
    <t>Goshen Center School</t>
  </si>
  <si>
    <t>James Morris School</t>
  </si>
  <si>
    <t>Wamogo Regional High School</t>
  </si>
  <si>
    <t>Warren Elementary School</t>
  </si>
  <si>
    <t>Northwestern Regional High School</t>
  </si>
  <si>
    <t>Northwestern Regional Middle School</t>
  </si>
  <si>
    <t>RHAM High School</t>
  </si>
  <si>
    <t>RHAM Middle School</t>
  </si>
  <si>
    <t>Joel Barlow High School</t>
  </si>
  <si>
    <t>Har-Bur Middle School</t>
  </si>
  <si>
    <t>Harwinton Consolidated School</t>
  </si>
  <si>
    <t>Lake Garda Elementary School</t>
  </si>
  <si>
    <t>Lewis S. Mills High School</t>
  </si>
  <si>
    <t>Parish Hill High School</t>
  </si>
  <si>
    <t>High Needs ELA Growth and High Needs Math Growth</t>
  </si>
  <si>
    <t>Booth Free School</t>
  </si>
  <si>
    <t>Shepaug Valley School</t>
  </si>
  <si>
    <t>The Burnham School</t>
  </si>
  <si>
    <t>Washington Primary School</t>
  </si>
  <si>
    <t>Coginchaug Regional High School</t>
  </si>
  <si>
    <t>Frank Ward Strong School</t>
  </si>
  <si>
    <t>Frederick Brewster School</t>
  </si>
  <si>
    <t>John Lyman School</t>
  </si>
  <si>
    <t>Middlefield Memorial School</t>
  </si>
  <si>
    <t>Bethlehem Elementary School</t>
  </si>
  <si>
    <t>Mitchell Elementary School</t>
  </si>
  <si>
    <t>Nonnewaug High School</t>
  </si>
  <si>
    <t>Woodbury Middle School</t>
  </si>
  <si>
    <t>Gainfield Elementary School</t>
  </si>
  <si>
    <t>Long Meadow Elementary School</t>
  </si>
  <si>
    <t>Memorial Middle School</t>
  </si>
  <si>
    <t>Middlebury Elementary School</t>
  </si>
  <si>
    <t>Pomperaug Regional High School</t>
  </si>
  <si>
    <t>Pomperaug School</t>
  </si>
  <si>
    <t>Rochambeau Middle School</t>
  </si>
  <si>
    <t>Laurel Ledge School</t>
  </si>
  <si>
    <t>Long River Middle School</t>
  </si>
  <si>
    <t>Prospect Elementary School</t>
  </si>
  <si>
    <t>Woodland Regional High School</t>
  </si>
  <si>
    <t>Burr District Elementary School</t>
  </si>
  <si>
    <t>Haddam Elementary School</t>
  </si>
  <si>
    <t>Haddam-Killingworth High School</t>
  </si>
  <si>
    <t>Haddam-Killingworth Middle School</t>
  </si>
  <si>
    <t>Killingworth Elementary School</t>
  </si>
  <si>
    <t>Lyme Consolidated School</t>
  </si>
  <si>
    <t>Lyme-Old Lyme High School</t>
  </si>
  <si>
    <t>Lyme-Old Lyme Middle School</t>
  </si>
  <si>
    <t>Mile Creek School</t>
  </si>
  <si>
    <t>E. O. Smith High School</t>
  </si>
  <si>
    <t>Academy of Aerospace and Engineering Elementary</t>
  </si>
  <si>
    <t>Regional Education Service Center Schools</t>
  </si>
  <si>
    <t>Academy of Aerospace and Engineering</t>
  </si>
  <si>
    <t>Academy of Science and Innovation</t>
  </si>
  <si>
    <t>Ana Grace Academy of the Arts Elementary School</t>
  </si>
  <si>
    <t>Civic Leadership High School</t>
  </si>
  <si>
    <t>High Needs Math Performance Index</t>
  </si>
  <si>
    <t>Discovery Academy</t>
  </si>
  <si>
    <t>Glastonbury/East Hartford Magnet School</t>
  </si>
  <si>
    <t>Greater Hartford Academy of  the Arts High School - Full Day</t>
  </si>
  <si>
    <t>Greater Hartford Academy of the Arts Magnet Middle</t>
  </si>
  <si>
    <t>International Magnet School for Global Citizenship</t>
  </si>
  <si>
    <t>Metropolitan Learning Center for Global and International Studies</t>
  </si>
  <si>
    <t>Montessori Magnet School</t>
  </si>
  <si>
    <t>Museum Academy</t>
  </si>
  <si>
    <t>Reggio Magnet School of the Arts</t>
  </si>
  <si>
    <t>Two Rivers Magnet Middle School</t>
  </si>
  <si>
    <t>University of Hartford Magnet School</t>
  </si>
  <si>
    <t>Six-Six Magnet School</t>
  </si>
  <si>
    <t>Thomas Edison Magnet Middle School</t>
  </si>
  <si>
    <t>Wintergreen Interdistrict  Magnet School</t>
  </si>
  <si>
    <t>Connecticut River Academy at Goodwin University</t>
  </si>
  <si>
    <t>Dual Language &amp; Arts Magnet Middle School</t>
  </si>
  <si>
    <t>Marine Science Magnet High School</t>
  </si>
  <si>
    <t>Regional Multicultural Magnet School</t>
  </si>
  <si>
    <t>Riverside Magnet School at Goodwin University</t>
  </si>
  <si>
    <t>The Friendship School</t>
  </si>
  <si>
    <t>Three Rivers Middle College Magnet School</t>
  </si>
  <si>
    <t>Arts at the Capitol Theater Magnet School (ACT)</t>
  </si>
  <si>
    <t>Quinebaug Middle College</t>
  </si>
  <si>
    <t>Jumoke Academy</t>
  </si>
  <si>
    <t>Public Charter Schools</t>
  </si>
  <si>
    <t>Odyssey Community School</t>
  </si>
  <si>
    <t>Integrated Day Charter School</t>
  </si>
  <si>
    <t>Interdistrict School For Arts And Communication</t>
  </si>
  <si>
    <t>Common Ground High School</t>
  </si>
  <si>
    <t>The Bridge Academy</t>
  </si>
  <si>
    <t>Side By Side Charter School</t>
  </si>
  <si>
    <t>Explorations</t>
  </si>
  <si>
    <t>Trailblazers Academy</t>
  </si>
  <si>
    <t>Amistad Academy</t>
  </si>
  <si>
    <t>New Beginnings Inc Family Academy</t>
  </si>
  <si>
    <t>Stamford Academy</t>
  </si>
  <si>
    <t>Park City Prep Charter School</t>
  </si>
  <si>
    <t>Achievement First Bridgeport Academy</t>
  </si>
  <si>
    <t>Highville Charter School</t>
  </si>
  <si>
    <t>Achievement First Hartford Academy</t>
  </si>
  <si>
    <t>Elm City College Preparatory School</t>
  </si>
  <si>
    <t>Brass City Charter School</t>
  </si>
  <si>
    <t>Elm City Montessori School</t>
  </si>
  <si>
    <t>Great Oaks Charter School</t>
  </si>
  <si>
    <t>Booker T. Washington Academy</t>
  </si>
  <si>
    <t>Stamford Charter School for Excellence</t>
  </si>
  <si>
    <t>Capital Preparatory Harbor School</t>
  </si>
  <si>
    <t>Bridgeport Correctional Center</t>
  </si>
  <si>
    <t>State Agency Facilities</t>
  </si>
  <si>
    <t>Cheshire Correctional Institution</t>
  </si>
  <si>
    <t>Corrigan/Radgowski Correctional Institution</t>
  </si>
  <si>
    <t>Garner Correctional Institution</t>
  </si>
  <si>
    <t>MacDougall/Walker Correctional Institution</t>
  </si>
  <si>
    <t>Manson Youth Institution</t>
  </si>
  <si>
    <t>Northern Correctional Institution</t>
  </si>
  <si>
    <t>Osborn Correctional Institution</t>
  </si>
  <si>
    <t>Robinson Correctional Institution</t>
  </si>
  <si>
    <t>Willard/Cybulski Correctional Institution</t>
  </si>
  <si>
    <t>York Correctional Institution</t>
  </si>
  <si>
    <t>Children's Place School</t>
  </si>
  <si>
    <t>Riverview School</t>
  </si>
  <si>
    <t>A. I. Prince Technical High School</t>
  </si>
  <si>
    <t>CT Technical Education and Career Schools</t>
  </si>
  <si>
    <t>Bullard-Havens Technical High School</t>
  </si>
  <si>
    <t>E. C. Goodwin Technical High School</t>
  </si>
  <si>
    <t>Eli Whitney Technical High School</t>
  </si>
  <si>
    <t>Ella T. Grasso Technical High School</t>
  </si>
  <si>
    <t>Emmett O'Brien Technical High School</t>
  </si>
  <si>
    <t>H. C. Wilcox Technical High School</t>
  </si>
  <si>
    <t>H. H. Ellis Technical High School</t>
  </si>
  <si>
    <t>Henry Abbott Technical High School</t>
  </si>
  <si>
    <t>Howell Cheney Technical High School</t>
  </si>
  <si>
    <t>J. M. Wright Technical High School</t>
  </si>
  <si>
    <t>Norwich Technical High School</t>
  </si>
  <si>
    <t>Oliver Wolcott Technical High School</t>
  </si>
  <si>
    <t>Platt Technical High School</t>
  </si>
  <si>
    <t>Vinal Technical High School</t>
  </si>
  <si>
    <t>W. F. Kaynor Technical High School</t>
  </si>
  <si>
    <t>Windham Technical High School</t>
  </si>
  <si>
    <t>Norwich Free Academy</t>
  </si>
  <si>
    <t>Endowed and Incorporated Academies Schools</t>
  </si>
  <si>
    <t>The Gilbert School</t>
  </si>
  <si>
    <t>The Woodstock Academy</t>
  </si>
  <si>
    <t>State of Connecticut</t>
  </si>
  <si>
    <t>StateTot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</si>
</sst>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0"/>
      <color indexed="8"/>
      <name val="Helvetica Neue"/>
    </font>
    <font>
      <b/>
      <sz val="10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12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9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0" fillId="0" borderId="2" xfId="0" applyNumberFormat="1" applyFont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164" fontId="1" fillId="2" borderId="1" xfId="0" applyNumberFormat="1" applyFont="1" applyFill="1" applyBorder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164" fontId="0" fillId="0" borderId="3" xfId="0" applyNumberFormat="1" applyFont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Q1223"/>
  <sheetViews>
    <sheetView showGridLines="0" tabSelected="1" workbookViewId="0">
      <selection activeCell="D5" sqref="D5"/>
    </sheetView>
  </sheetViews>
  <sheetFormatPr baseColWidth="10" defaultColWidth="8.33203125" defaultRowHeight="20" customHeight="1" x14ac:dyDescent="0.15"/>
  <cols>
    <col min="1" max="1" width="33.33203125" style="1" customWidth="1"/>
    <col min="2" max="2" width="26.33203125" style="1" customWidth="1"/>
    <col min="3" max="3" width="18" style="1" customWidth="1"/>
    <col min="4" max="4" width="11" style="1" customWidth="1"/>
    <col min="5" max="5" width="10.6640625" style="1" customWidth="1"/>
    <col min="6" max="6" width="12.83203125" style="1" customWidth="1"/>
    <col min="7" max="7" width="14.33203125" style="1" customWidth="1"/>
    <col min="8" max="8" width="14.6640625" style="1" customWidth="1"/>
    <col min="9" max="9" width="13.6640625" style="1" customWidth="1"/>
    <col min="10" max="10" width="9" style="1" customWidth="1"/>
    <col min="11" max="11" width="11.1640625" style="1" customWidth="1"/>
    <col min="12" max="12" width="16" style="1" customWidth="1"/>
    <col min="13" max="13" width="14.33203125" style="1" customWidth="1"/>
    <col min="14" max="14" width="11.83203125" style="1" customWidth="1"/>
    <col min="15" max="15" width="17.5" style="1" customWidth="1"/>
    <col min="16" max="16" width="14.6640625" style="1" customWidth="1"/>
    <col min="17" max="17" width="16" style="1" customWidth="1"/>
    <col min="18" max="18" width="22.33203125" style="1" customWidth="1"/>
    <col min="19" max="19" width="15.33203125" style="1" customWidth="1"/>
    <col min="20" max="21" width="16.5" style="1" customWidth="1"/>
    <col min="22" max="22" width="22.83203125" style="1" customWidth="1"/>
    <col min="23" max="23" width="15.5" style="1" customWidth="1"/>
    <col min="24" max="24" width="16.6640625" style="1" customWidth="1"/>
    <col min="25" max="25" width="23" style="1" customWidth="1"/>
    <col min="26" max="26" width="17.33203125" style="1" customWidth="1"/>
    <col min="27" max="27" width="16" style="1" customWidth="1"/>
    <col min="28" max="28" width="17.33203125" style="1" customWidth="1"/>
    <col min="29" max="29" width="23.6640625" style="1" customWidth="1"/>
    <col min="30" max="30" width="14" style="1" customWidth="1"/>
    <col min="31" max="31" width="15.33203125" style="1" customWidth="1"/>
    <col min="32" max="32" width="21.6640625" style="1" customWidth="1"/>
    <col min="33" max="33" width="14.6640625" style="1" customWidth="1"/>
    <col min="34" max="35" width="15.83203125" style="1" customWidth="1"/>
    <col min="36" max="36" width="22.1640625" style="1" customWidth="1"/>
    <col min="37" max="37" width="11" style="1" customWidth="1"/>
    <col min="38" max="38" width="11.6640625" style="1" customWidth="1"/>
    <col min="39" max="39" width="10.1640625" style="1" customWidth="1"/>
    <col min="40" max="40" width="14.6640625" style="1" customWidth="1"/>
    <col min="41" max="41" width="16" style="1" customWidth="1"/>
    <col min="42" max="42" width="22.1640625" style="1" customWidth="1"/>
    <col min="43" max="43" width="15.5" style="1" customWidth="1"/>
    <col min="44" max="44" width="16.6640625" style="1" customWidth="1"/>
    <col min="45" max="45" width="23" style="1" customWidth="1"/>
    <col min="46" max="46" width="15.33203125" style="1" customWidth="1"/>
    <col min="47" max="48" width="16.5" style="1" customWidth="1"/>
    <col min="49" max="49" width="22.83203125" style="1" customWidth="1"/>
    <col min="50" max="50" width="16" style="1" customWidth="1"/>
    <col min="51" max="52" width="17.33203125" style="1" customWidth="1"/>
    <col min="53" max="53" width="23.5" style="1" customWidth="1"/>
    <col min="54" max="54" width="16.83203125" style="1" customWidth="1"/>
    <col min="55" max="55" width="18.1640625" style="1" customWidth="1"/>
    <col min="56" max="56" width="24.5" style="1" customWidth="1"/>
    <col min="57" max="57" width="17.33203125" style="1" customWidth="1"/>
    <col min="58" max="58" width="18.5" style="1" customWidth="1"/>
    <col min="59" max="59" width="24.83203125" style="1" customWidth="1"/>
    <col min="60" max="60" width="14.5" style="1" customWidth="1"/>
    <col min="61" max="61" width="14.6640625" style="1" customWidth="1"/>
    <col min="62" max="62" width="15.33203125" style="1" customWidth="1"/>
    <col min="63" max="63" width="16.5" style="1" customWidth="1"/>
    <col min="64" max="64" width="15.5" style="1" customWidth="1"/>
    <col min="65" max="65" width="16" style="1" customWidth="1"/>
    <col min="66" max="66" width="17.33203125" style="1" customWidth="1"/>
    <col min="67" max="67" width="14" style="1" customWidth="1"/>
    <col min="68" max="68" width="14.6640625" style="1" customWidth="1"/>
    <col min="69" max="69" width="15.83203125" style="1" customWidth="1"/>
    <col min="70" max="70" width="8.5" style="1" customWidth="1"/>
    <col min="71" max="71" width="9.5" style="1" customWidth="1"/>
    <col min="72" max="72" width="15.83203125" style="1" customWidth="1"/>
    <col min="73" max="73" width="10.6640625" style="1" customWidth="1"/>
    <col min="74" max="74" width="11.83203125" style="1" customWidth="1"/>
    <col min="75" max="75" width="18.1640625" style="1" customWidth="1"/>
    <col min="76" max="76" width="8.5" style="1" customWidth="1"/>
    <col min="77" max="77" width="9.5" style="1" customWidth="1"/>
    <col min="78" max="78" width="15.83203125" style="1" customWidth="1"/>
    <col min="79" max="79" width="8.5" style="1" customWidth="1"/>
    <col min="80" max="80" width="9.5" style="1" customWidth="1"/>
    <col min="81" max="81" width="15.83203125" style="1" customWidth="1"/>
    <col min="82" max="82" width="8.5" style="1" customWidth="1"/>
    <col min="83" max="83" width="9.33203125" style="1" customWidth="1"/>
    <col min="84" max="84" width="15.83203125" style="1" customWidth="1"/>
    <col min="85" max="85" width="8.5" style="1" customWidth="1"/>
    <col min="86" max="86" width="10.33203125" style="1" customWidth="1"/>
    <col min="87" max="87" width="15.83203125" style="1" customWidth="1"/>
    <col min="88" max="88" width="11.5" style="1" customWidth="1"/>
    <col min="89" max="89" width="8.5" style="1" customWidth="1"/>
    <col min="90" max="90" width="10.33203125" style="1" customWidth="1"/>
    <col min="91" max="91" width="15.83203125" style="1" customWidth="1"/>
    <col min="92" max="92" width="9.1640625" style="1" customWidth="1"/>
    <col min="93" max="93" width="10.33203125" style="1" customWidth="1"/>
    <col min="94" max="94" width="16.6640625" style="1" customWidth="1"/>
    <col min="95" max="95" width="14.5" style="1" customWidth="1"/>
    <col min="96" max="96" width="18.5" style="1" customWidth="1"/>
    <col min="97" max="97" width="10.33203125" style="1" customWidth="1"/>
    <col min="98" max="98" width="16.6640625" style="1" customWidth="1"/>
    <col min="99" max="99" width="9.1640625" style="1" customWidth="1"/>
    <col min="100" max="100" width="10.33203125" style="1" customWidth="1"/>
    <col min="101" max="101" width="16.6640625" style="1" customWidth="1"/>
    <col min="102" max="102" width="13.6640625" style="1" customWidth="1"/>
    <col min="103" max="103" width="14.83203125" style="1" customWidth="1"/>
    <col min="104" max="104" width="16.33203125" style="1" customWidth="1"/>
    <col min="105" max="105" width="15.1640625" style="1" customWidth="1"/>
    <col min="106" max="106" width="16" style="1" customWidth="1"/>
    <col min="107" max="107" width="14.5" style="1" customWidth="1"/>
    <col min="108" max="108" width="16.83203125" style="1" customWidth="1"/>
    <col min="109" max="109" width="15.1640625" style="1" customWidth="1"/>
    <col min="110" max="110" width="7.5" style="1" customWidth="1"/>
    <col min="111" max="111" width="14.33203125" style="1" customWidth="1"/>
    <col min="112" max="112" width="9.33203125" style="1" customWidth="1"/>
    <col min="113" max="113" width="16.1640625" style="1" customWidth="1"/>
    <col min="114" max="114" width="7.5" style="1" customWidth="1"/>
    <col min="115" max="115" width="11.33203125" style="1" customWidth="1"/>
    <col min="116" max="116" width="12.1640625" style="1" customWidth="1"/>
    <col min="117" max="117" width="10.83203125" style="1" customWidth="1"/>
    <col min="118" max="118" width="11.6640625" style="1" customWidth="1"/>
    <col min="119" max="119" width="7.5" style="1" customWidth="1"/>
    <col min="120" max="120" width="11" style="1" customWidth="1"/>
    <col min="121" max="121" width="9.6640625" style="1" customWidth="1"/>
    <col min="122" max="122" width="8.33203125" style="1" customWidth="1"/>
    <col min="123" max="16384" width="8.33203125" style="1"/>
  </cols>
  <sheetData>
    <row r="1" spans="1:121" ht="20" customHeight="1" x14ac:dyDescent="0.15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91</v>
      </c>
      <c r="CO1" s="4" t="s">
        <v>92</v>
      </c>
      <c r="CP1" s="4" t="s">
        <v>93</v>
      </c>
      <c r="CQ1" s="4" t="s">
        <v>94</v>
      </c>
      <c r="CR1" s="4" t="s">
        <v>95</v>
      </c>
      <c r="CS1" s="4" t="s">
        <v>96</v>
      </c>
      <c r="CT1" s="4" t="s">
        <v>97</v>
      </c>
      <c r="CU1" s="4" t="s">
        <v>98</v>
      </c>
      <c r="CV1" s="4" t="s">
        <v>99</v>
      </c>
      <c r="CW1" s="4" t="s">
        <v>100</v>
      </c>
      <c r="CX1" s="4" t="s">
        <v>101</v>
      </c>
      <c r="CY1" s="4" t="s">
        <v>102</v>
      </c>
      <c r="CZ1" s="4" t="s">
        <v>103</v>
      </c>
      <c r="DA1" s="4" t="s">
        <v>104</v>
      </c>
      <c r="DB1" s="4" t="s">
        <v>105</v>
      </c>
      <c r="DC1" s="4" t="s">
        <v>106</v>
      </c>
      <c r="DD1" s="4" t="s">
        <v>107</v>
      </c>
      <c r="DE1" s="4" t="s">
        <v>108</v>
      </c>
      <c r="DF1" s="4" t="s">
        <v>109</v>
      </c>
      <c r="DG1" s="4" t="s">
        <v>110</v>
      </c>
      <c r="DH1" s="4" t="s">
        <v>111</v>
      </c>
      <c r="DI1" s="4" t="s">
        <v>112</v>
      </c>
      <c r="DJ1" s="4" t="s">
        <v>113</v>
      </c>
      <c r="DK1" s="4" t="s">
        <v>114</v>
      </c>
      <c r="DL1" s="4" t="s">
        <v>115</v>
      </c>
      <c r="DM1" s="4" t="s">
        <v>116</v>
      </c>
      <c r="DN1" s="4" t="s">
        <v>117</v>
      </c>
      <c r="DO1" s="4" t="s">
        <v>118</v>
      </c>
      <c r="DP1" s="4" t="s">
        <v>119</v>
      </c>
      <c r="DQ1" s="4" t="s">
        <v>120</v>
      </c>
    </row>
    <row r="2" spans="1:121" ht="20" customHeight="1" x14ac:dyDescent="0.15">
      <c r="A2" s="5">
        <v>2018</v>
      </c>
      <c r="B2" s="3" t="s">
        <v>121</v>
      </c>
      <c r="C2" s="4" t="str">
        <f t="shared" ref="C2:C256" si="0">"0150011"</f>
        <v>0150011</v>
      </c>
      <c r="D2" s="4" t="s">
        <v>122</v>
      </c>
      <c r="E2" s="4" t="str">
        <f t="shared" ref="E2:E202" si="1">"0000000"</f>
        <v>0000000</v>
      </c>
      <c r="F2" s="4" t="s">
        <v>122</v>
      </c>
      <c r="G2" s="4" t="s">
        <v>122</v>
      </c>
      <c r="H2" s="4" t="s">
        <v>122</v>
      </c>
      <c r="I2" s="6"/>
      <c r="J2" s="4" t="s">
        <v>123</v>
      </c>
      <c r="K2" s="7">
        <v>887.21770000000004</v>
      </c>
      <c r="L2" s="7">
        <v>1450</v>
      </c>
      <c r="M2" s="7">
        <v>61.187427999999997</v>
      </c>
      <c r="N2" s="4" t="s">
        <v>124</v>
      </c>
      <c r="O2" s="7">
        <v>0</v>
      </c>
      <c r="P2" s="7">
        <v>54.307437999999998</v>
      </c>
      <c r="Q2" s="7">
        <v>36.204957999999998</v>
      </c>
      <c r="R2" s="7">
        <v>50</v>
      </c>
      <c r="S2" s="7">
        <v>52.315897999999997</v>
      </c>
      <c r="T2" s="7">
        <v>63.412596000000001</v>
      </c>
      <c r="U2" s="7">
        <v>34.877265000000001</v>
      </c>
      <c r="V2" s="7">
        <v>50</v>
      </c>
      <c r="W2" s="7">
        <v>46.399853</v>
      </c>
      <c r="X2" s="7">
        <v>30.933235</v>
      </c>
      <c r="Y2" s="7">
        <v>50</v>
      </c>
      <c r="Z2" s="7">
        <v>54.813437</v>
      </c>
      <c r="AA2" s="7">
        <v>44.559283000000001</v>
      </c>
      <c r="AB2" s="7">
        <v>29.706188999999998</v>
      </c>
      <c r="AC2" s="7">
        <v>50</v>
      </c>
      <c r="AD2" s="7">
        <v>48.663266999999998</v>
      </c>
      <c r="AE2" s="7">
        <v>32.442177999999998</v>
      </c>
      <c r="AF2" s="7">
        <v>50</v>
      </c>
      <c r="AG2" s="7">
        <v>46.902611999999998</v>
      </c>
      <c r="AH2" s="7">
        <v>55.517812999999997</v>
      </c>
      <c r="AI2" s="7">
        <v>31.268408000000001</v>
      </c>
      <c r="AJ2" s="7">
        <v>50</v>
      </c>
      <c r="AK2" s="7">
        <v>11.09</v>
      </c>
      <c r="AL2" s="7">
        <v>10.25</v>
      </c>
      <c r="AM2" s="7">
        <v>8.61</v>
      </c>
      <c r="AN2" s="7">
        <v>0.53382099999999999</v>
      </c>
      <c r="AO2" s="7">
        <v>53.382088000000003</v>
      </c>
      <c r="AP2" s="7">
        <v>100</v>
      </c>
      <c r="AQ2" s="7">
        <v>0.52615299999999998</v>
      </c>
      <c r="AR2" s="7">
        <v>52.615276000000001</v>
      </c>
      <c r="AS2" s="7">
        <v>100</v>
      </c>
      <c r="AT2" s="7">
        <v>0.52443899999999999</v>
      </c>
      <c r="AU2" s="7">
        <v>0.57599800000000001</v>
      </c>
      <c r="AV2" s="7">
        <v>52.443913999999999</v>
      </c>
      <c r="AW2" s="7">
        <v>100</v>
      </c>
      <c r="AX2" s="7">
        <v>0.51794399999999996</v>
      </c>
      <c r="AY2" s="7">
        <v>0.56301000000000001</v>
      </c>
      <c r="AZ2" s="7">
        <v>51.794437000000002</v>
      </c>
      <c r="BA2" s="7">
        <v>100</v>
      </c>
      <c r="BB2" s="7">
        <v>0.53875300000000004</v>
      </c>
      <c r="BC2" s="7">
        <v>26.937667999999999</v>
      </c>
      <c r="BD2" s="7">
        <v>50</v>
      </c>
      <c r="BE2" s="7">
        <v>0.46003100000000002</v>
      </c>
      <c r="BF2" s="7">
        <v>23.001546999999999</v>
      </c>
      <c r="BG2" s="7">
        <v>50</v>
      </c>
      <c r="BH2" s="7">
        <v>0</v>
      </c>
      <c r="BI2" s="7">
        <v>0.98691700000000004</v>
      </c>
      <c r="BJ2" s="7">
        <v>0.98550899999999997</v>
      </c>
      <c r="BK2" s="7">
        <v>0.99360000000000004</v>
      </c>
      <c r="BL2" s="7">
        <v>0.98624500000000004</v>
      </c>
      <c r="BM2" s="7">
        <v>0.98492299999999999</v>
      </c>
      <c r="BN2" s="7">
        <v>0.99252099999999999</v>
      </c>
      <c r="BO2" s="7">
        <v>0.97477599999999998</v>
      </c>
      <c r="BP2" s="7">
        <v>0.972418</v>
      </c>
      <c r="BQ2" s="7">
        <v>0.98441199999999995</v>
      </c>
      <c r="BR2" s="7">
        <v>0.18839700000000001</v>
      </c>
      <c r="BS2" s="7">
        <v>22.320616999999999</v>
      </c>
      <c r="BT2" s="7">
        <v>50</v>
      </c>
      <c r="BU2" s="7">
        <v>0.208208</v>
      </c>
      <c r="BV2" s="7">
        <v>18.358471999999999</v>
      </c>
      <c r="BW2" s="7">
        <v>50</v>
      </c>
      <c r="BX2" s="7">
        <v>0.54727199999999998</v>
      </c>
      <c r="BY2" s="7">
        <v>36.484797999999998</v>
      </c>
      <c r="BZ2" s="7">
        <v>50</v>
      </c>
      <c r="CA2" s="7">
        <v>0.16868</v>
      </c>
      <c r="CB2" s="7">
        <v>11.245314</v>
      </c>
      <c r="CC2" s="7">
        <v>50</v>
      </c>
      <c r="CD2" s="7">
        <v>0.71330899999999997</v>
      </c>
      <c r="CE2" s="7">
        <v>37.941986999999997</v>
      </c>
      <c r="CF2" s="7">
        <v>50</v>
      </c>
      <c r="CG2" s="7">
        <v>0.75103699999999995</v>
      </c>
      <c r="CH2" s="7">
        <v>79.897589999999994</v>
      </c>
      <c r="CI2" s="7">
        <v>100</v>
      </c>
      <c r="CJ2" s="7">
        <v>0</v>
      </c>
      <c r="CK2" s="7">
        <v>0.73131000000000002</v>
      </c>
      <c r="CL2" s="7">
        <v>77.798951000000002</v>
      </c>
      <c r="CM2" s="7">
        <v>100</v>
      </c>
      <c r="CN2" s="7">
        <v>0.60399999999999998</v>
      </c>
      <c r="CO2" s="7">
        <v>80.592592999999994</v>
      </c>
      <c r="CP2" s="7">
        <v>100</v>
      </c>
      <c r="CQ2" s="7">
        <v>0.52303599999999995</v>
      </c>
      <c r="CR2" s="7">
        <v>0.97199199999999997</v>
      </c>
      <c r="CS2" s="7">
        <v>34.869045999999997</v>
      </c>
      <c r="CT2" s="7">
        <v>50</v>
      </c>
      <c r="CU2" s="7">
        <v>0.385214</v>
      </c>
      <c r="CV2" s="7">
        <v>32.101166999999997</v>
      </c>
      <c r="CW2" s="7">
        <v>50</v>
      </c>
      <c r="CX2" s="7">
        <v>0.73131000000000002</v>
      </c>
      <c r="CY2" s="4" t="s">
        <v>124</v>
      </c>
      <c r="CZ2" s="4" t="s">
        <v>124</v>
      </c>
      <c r="DA2" s="7">
        <v>15.389535</v>
      </c>
      <c r="DB2" s="7">
        <v>17.608319000000002</v>
      </c>
      <c r="DC2" s="7">
        <v>16.064022999999999</v>
      </c>
      <c r="DD2" s="7">
        <v>11.115401</v>
      </c>
      <c r="DE2" s="4" t="s">
        <v>124</v>
      </c>
      <c r="DF2" s="6"/>
      <c r="DG2" s="6"/>
      <c r="DH2" s="6"/>
      <c r="DI2" s="6"/>
      <c r="DJ2" s="4" t="s">
        <v>124</v>
      </c>
      <c r="DK2" s="4" t="s">
        <v>124</v>
      </c>
      <c r="DL2" s="4" t="s">
        <v>124</v>
      </c>
      <c r="DM2" s="4" t="s">
        <v>124</v>
      </c>
      <c r="DN2" s="4" t="s">
        <v>124</v>
      </c>
      <c r="DO2" s="4" t="s">
        <v>124</v>
      </c>
      <c r="DP2" s="6"/>
      <c r="DQ2" s="4" t="s">
        <v>125</v>
      </c>
    </row>
    <row r="3" spans="1:121" ht="20" customHeight="1" x14ac:dyDescent="0.15">
      <c r="A3" s="5">
        <v>2018</v>
      </c>
      <c r="B3" s="3" t="s">
        <v>126</v>
      </c>
      <c r="C3" s="4" t="str">
        <f t="shared" ref="C3:C288" si="2">"0180011"</f>
        <v>0180011</v>
      </c>
      <c r="D3" s="4" t="s">
        <v>122</v>
      </c>
      <c r="E3" s="4" t="str">
        <f t="shared" si="1"/>
        <v>0000000</v>
      </c>
      <c r="F3" s="4" t="s">
        <v>122</v>
      </c>
      <c r="G3" s="4" t="s">
        <v>122</v>
      </c>
      <c r="H3" s="4" t="s">
        <v>122</v>
      </c>
      <c r="I3" s="6"/>
      <c r="J3" s="4" t="s">
        <v>123</v>
      </c>
      <c r="K3" s="7">
        <v>1229.0023630000001</v>
      </c>
      <c r="L3" s="7">
        <v>1450</v>
      </c>
      <c r="M3" s="7">
        <v>84.758784000000006</v>
      </c>
      <c r="N3" s="4" t="s">
        <v>124</v>
      </c>
      <c r="O3" s="7">
        <v>0</v>
      </c>
      <c r="P3" s="7">
        <v>72.999046000000007</v>
      </c>
      <c r="Q3" s="7">
        <v>48.666029999999999</v>
      </c>
      <c r="R3" s="7">
        <v>50</v>
      </c>
      <c r="S3" s="7">
        <v>62.753655000000002</v>
      </c>
      <c r="T3" s="7">
        <v>75</v>
      </c>
      <c r="U3" s="7">
        <v>41.835769999999997</v>
      </c>
      <c r="V3" s="7">
        <v>50</v>
      </c>
      <c r="W3" s="7">
        <v>70.562889999999996</v>
      </c>
      <c r="X3" s="7">
        <v>47.041925999999997</v>
      </c>
      <c r="Y3" s="7">
        <v>50</v>
      </c>
      <c r="Z3" s="7">
        <v>75</v>
      </c>
      <c r="AA3" s="7">
        <v>61.299163</v>
      </c>
      <c r="AB3" s="7">
        <v>40.866109000000002</v>
      </c>
      <c r="AC3" s="7">
        <v>50</v>
      </c>
      <c r="AD3" s="7">
        <v>70.584306999999995</v>
      </c>
      <c r="AE3" s="7">
        <v>47.056204999999999</v>
      </c>
      <c r="AF3" s="7">
        <v>50</v>
      </c>
      <c r="AG3" s="7">
        <v>61.342722999999999</v>
      </c>
      <c r="AH3" s="7">
        <v>75</v>
      </c>
      <c r="AI3" s="7">
        <v>40.895147999999999</v>
      </c>
      <c r="AJ3" s="7">
        <v>50</v>
      </c>
      <c r="AK3" s="7">
        <v>12.24</v>
      </c>
      <c r="AL3" s="7">
        <v>13.7</v>
      </c>
      <c r="AM3" s="7">
        <v>13.65</v>
      </c>
      <c r="AN3" s="7">
        <v>0.65032100000000004</v>
      </c>
      <c r="AO3" s="7">
        <v>65.032111999999998</v>
      </c>
      <c r="AP3" s="7">
        <v>100</v>
      </c>
      <c r="AQ3" s="7">
        <v>0.76744999999999997</v>
      </c>
      <c r="AR3" s="7">
        <v>76.745034000000004</v>
      </c>
      <c r="AS3" s="7">
        <v>100</v>
      </c>
      <c r="AT3" s="7">
        <v>0.57708599999999999</v>
      </c>
      <c r="AU3" s="7">
        <v>0.68214200000000003</v>
      </c>
      <c r="AV3" s="7">
        <v>57.708570999999999</v>
      </c>
      <c r="AW3" s="7">
        <v>100</v>
      </c>
      <c r="AX3" s="7">
        <v>0.73893500000000001</v>
      </c>
      <c r="AY3" s="7">
        <v>0.77976900000000005</v>
      </c>
      <c r="AZ3" s="7">
        <v>73.893522000000004</v>
      </c>
      <c r="BA3" s="7">
        <v>100</v>
      </c>
      <c r="BB3" s="7">
        <v>0.79159500000000005</v>
      </c>
      <c r="BC3" s="7">
        <v>39.579732</v>
      </c>
      <c r="BD3" s="7">
        <v>50</v>
      </c>
      <c r="BE3" s="7">
        <v>0.62793299999999996</v>
      </c>
      <c r="BF3" s="7">
        <v>31.396661999999999</v>
      </c>
      <c r="BG3" s="7">
        <v>50</v>
      </c>
      <c r="BH3" s="7">
        <v>0</v>
      </c>
      <c r="BI3" s="7">
        <v>0.96348299999999998</v>
      </c>
      <c r="BJ3" s="7">
        <v>0.95501000000000003</v>
      </c>
      <c r="BK3" s="7">
        <v>0.96791400000000005</v>
      </c>
      <c r="BL3" s="7">
        <v>0.96137600000000001</v>
      </c>
      <c r="BM3" s="7">
        <v>0.95091999999999999</v>
      </c>
      <c r="BN3" s="7">
        <v>0.96684499999999995</v>
      </c>
      <c r="BO3" s="7">
        <v>0.96864700000000004</v>
      </c>
      <c r="BP3" s="7">
        <v>0.97073200000000004</v>
      </c>
      <c r="BQ3" s="7">
        <v>0.96758100000000002</v>
      </c>
      <c r="BR3" s="7">
        <v>4.6959000000000001E-2</v>
      </c>
      <c r="BS3" s="7">
        <v>50</v>
      </c>
      <c r="BT3" s="7">
        <v>50</v>
      </c>
      <c r="BU3" s="7">
        <v>8.3028000000000005E-2</v>
      </c>
      <c r="BV3" s="7">
        <v>43.394382999999998</v>
      </c>
      <c r="BW3" s="7">
        <v>50</v>
      </c>
      <c r="BX3" s="7">
        <v>0.94724200000000003</v>
      </c>
      <c r="BY3" s="7">
        <v>50</v>
      </c>
      <c r="BZ3" s="7">
        <v>50</v>
      </c>
      <c r="CA3" s="7">
        <v>0.68345299999999998</v>
      </c>
      <c r="CB3" s="7">
        <v>45.563549000000002</v>
      </c>
      <c r="CC3" s="7">
        <v>50</v>
      </c>
      <c r="CD3" s="7">
        <v>0.95698899999999998</v>
      </c>
      <c r="CE3" s="7">
        <v>50</v>
      </c>
      <c r="CF3" s="7">
        <v>50</v>
      </c>
      <c r="CG3" s="7">
        <v>0.96226400000000001</v>
      </c>
      <c r="CH3" s="7">
        <v>100</v>
      </c>
      <c r="CI3" s="7">
        <v>100</v>
      </c>
      <c r="CJ3" s="7">
        <v>0</v>
      </c>
      <c r="CK3" s="7">
        <v>0.90196100000000001</v>
      </c>
      <c r="CL3" s="7">
        <v>95.953275000000005</v>
      </c>
      <c r="CM3" s="7">
        <v>100</v>
      </c>
      <c r="CN3" s="7">
        <v>0.86499999999999999</v>
      </c>
      <c r="CO3" s="7">
        <v>100</v>
      </c>
      <c r="CP3" s="7">
        <v>100</v>
      </c>
      <c r="CQ3" s="7">
        <v>0.50061500000000003</v>
      </c>
      <c r="CR3" s="7">
        <v>0.98545499999999997</v>
      </c>
      <c r="CS3" s="7">
        <v>33.374333999999998</v>
      </c>
      <c r="CT3" s="7">
        <v>50</v>
      </c>
      <c r="CU3" s="7">
        <v>0.60295799999999999</v>
      </c>
      <c r="CV3" s="7">
        <v>50</v>
      </c>
      <c r="CW3" s="7">
        <v>50</v>
      </c>
      <c r="CX3" s="7">
        <v>0.90196100000000001</v>
      </c>
      <c r="CY3" s="7">
        <v>0.94</v>
      </c>
      <c r="CZ3" s="7">
        <v>3.8039000000000003E-2</v>
      </c>
      <c r="DA3" s="7">
        <v>15.389535</v>
      </c>
      <c r="DB3" s="7">
        <v>17.608319000000002</v>
      </c>
      <c r="DC3" s="7">
        <v>16.064022999999999</v>
      </c>
      <c r="DD3" s="7">
        <v>11.115401</v>
      </c>
      <c r="DE3" s="4" t="s">
        <v>124</v>
      </c>
      <c r="DF3" s="6"/>
      <c r="DG3" s="6"/>
      <c r="DH3" s="6"/>
      <c r="DI3" s="6"/>
      <c r="DJ3" s="4" t="s">
        <v>124</v>
      </c>
      <c r="DK3" s="4" t="s">
        <v>124</v>
      </c>
      <c r="DL3" s="4" t="s">
        <v>124</v>
      </c>
      <c r="DM3" s="4" t="s">
        <v>124</v>
      </c>
      <c r="DN3" s="4" t="s">
        <v>124</v>
      </c>
      <c r="DO3" s="4" t="s">
        <v>124</v>
      </c>
      <c r="DP3" s="6"/>
      <c r="DQ3" s="4" t="s">
        <v>125</v>
      </c>
    </row>
    <row r="4" spans="1:121" ht="20" customHeight="1" x14ac:dyDescent="0.15">
      <c r="A4" s="5">
        <v>2018</v>
      </c>
      <c r="B4" s="3" t="s">
        <v>127</v>
      </c>
      <c r="C4" s="4" t="str">
        <f t="shared" ref="C4:C359" si="3">"0390011"</f>
        <v>0390011</v>
      </c>
      <c r="D4" s="4" t="s">
        <v>122</v>
      </c>
      <c r="E4" s="4" t="str">
        <f t="shared" si="1"/>
        <v>0000000</v>
      </c>
      <c r="F4" s="4" t="s">
        <v>122</v>
      </c>
      <c r="G4" s="4" t="s">
        <v>122</v>
      </c>
      <c r="H4" s="4" t="s">
        <v>122</v>
      </c>
      <c r="I4" s="6"/>
      <c r="J4" s="4" t="s">
        <v>123</v>
      </c>
      <c r="K4" s="7">
        <v>607.31827099999998</v>
      </c>
      <c r="L4" s="7">
        <v>800</v>
      </c>
      <c r="M4" s="7">
        <v>75.914783999999997</v>
      </c>
      <c r="N4" s="4" t="s">
        <v>124</v>
      </c>
      <c r="O4" s="7">
        <v>0</v>
      </c>
      <c r="P4" s="7">
        <v>71.095335000000006</v>
      </c>
      <c r="Q4" s="7">
        <v>47.396889999999999</v>
      </c>
      <c r="R4" s="7">
        <v>50</v>
      </c>
      <c r="S4" s="7">
        <v>66.505219999999994</v>
      </c>
      <c r="T4" s="7">
        <v>75</v>
      </c>
      <c r="U4" s="7">
        <v>44.336812999999999</v>
      </c>
      <c r="V4" s="7">
        <v>50</v>
      </c>
      <c r="W4" s="7">
        <v>69.862830000000002</v>
      </c>
      <c r="X4" s="7">
        <v>46.575220000000002</v>
      </c>
      <c r="Y4" s="7">
        <v>50</v>
      </c>
      <c r="Z4" s="7">
        <v>74.345657000000003</v>
      </c>
      <c r="AA4" s="7">
        <v>64.614641000000006</v>
      </c>
      <c r="AB4" s="7">
        <v>43.076427000000002</v>
      </c>
      <c r="AC4" s="7">
        <v>50</v>
      </c>
      <c r="AD4" s="7">
        <v>63.388733000000002</v>
      </c>
      <c r="AE4" s="7">
        <v>42.259155</v>
      </c>
      <c r="AF4" s="7">
        <v>50</v>
      </c>
      <c r="AG4" s="4" t="s">
        <v>124</v>
      </c>
      <c r="AH4" s="7">
        <v>66.355951000000005</v>
      </c>
      <c r="AI4" s="4" t="s">
        <v>124</v>
      </c>
      <c r="AJ4" s="4" t="s">
        <v>124</v>
      </c>
      <c r="AK4" s="7">
        <v>8.49</v>
      </c>
      <c r="AL4" s="7">
        <v>9.73</v>
      </c>
      <c r="AM4" s="4" t="s">
        <v>124</v>
      </c>
      <c r="AN4" s="7">
        <v>0.53627100000000005</v>
      </c>
      <c r="AO4" s="7">
        <v>53.627130999999999</v>
      </c>
      <c r="AP4" s="7">
        <v>100</v>
      </c>
      <c r="AQ4" s="7">
        <v>0.67723199999999995</v>
      </c>
      <c r="AR4" s="7">
        <v>67.723198999999994</v>
      </c>
      <c r="AS4" s="7">
        <v>100</v>
      </c>
      <c r="AT4" s="7">
        <v>0.53748300000000004</v>
      </c>
      <c r="AU4" s="7">
        <v>0.53512199999999999</v>
      </c>
      <c r="AV4" s="7">
        <v>53.748272</v>
      </c>
      <c r="AW4" s="7">
        <v>100</v>
      </c>
      <c r="AX4" s="7">
        <v>0.674404</v>
      </c>
      <c r="AY4" s="7">
        <v>0.67991500000000005</v>
      </c>
      <c r="AZ4" s="7">
        <v>67.440411999999995</v>
      </c>
      <c r="BA4" s="7">
        <v>100</v>
      </c>
      <c r="BB4" s="4" t="s">
        <v>124</v>
      </c>
      <c r="BC4" s="4" t="s">
        <v>124</v>
      </c>
      <c r="BD4" s="4" t="s">
        <v>124</v>
      </c>
      <c r="BE4" s="4" t="s">
        <v>124</v>
      </c>
      <c r="BF4" s="4" t="s">
        <v>124</v>
      </c>
      <c r="BG4" s="4" t="s">
        <v>124</v>
      </c>
      <c r="BH4" s="7">
        <v>0</v>
      </c>
      <c r="BI4" s="7">
        <v>1</v>
      </c>
      <c r="BJ4" s="7">
        <v>1</v>
      </c>
      <c r="BK4" s="7">
        <v>1</v>
      </c>
      <c r="BL4" s="7">
        <v>1</v>
      </c>
      <c r="BM4" s="7">
        <v>1</v>
      </c>
      <c r="BN4" s="7">
        <v>1</v>
      </c>
      <c r="BO4" s="7">
        <v>1</v>
      </c>
      <c r="BP4" s="4" t="s">
        <v>124</v>
      </c>
      <c r="BQ4" s="7">
        <v>1</v>
      </c>
      <c r="BR4" s="7">
        <v>4.1096000000000001E-2</v>
      </c>
      <c r="BS4" s="7">
        <v>50</v>
      </c>
      <c r="BT4" s="7">
        <v>50</v>
      </c>
      <c r="BU4" s="7">
        <v>4.4117999999999997E-2</v>
      </c>
      <c r="BV4" s="7">
        <v>50</v>
      </c>
      <c r="BW4" s="7">
        <v>50</v>
      </c>
      <c r="BX4" s="4" t="s">
        <v>124</v>
      </c>
      <c r="BY4" s="4" t="s">
        <v>124</v>
      </c>
      <c r="BZ4" s="4" t="s">
        <v>124</v>
      </c>
      <c r="CA4" s="4" t="s">
        <v>124</v>
      </c>
      <c r="CB4" s="4" t="s">
        <v>124</v>
      </c>
      <c r="CC4" s="4" t="s">
        <v>124</v>
      </c>
      <c r="CD4" s="4" t="s">
        <v>124</v>
      </c>
      <c r="CE4" s="4" t="s">
        <v>124</v>
      </c>
      <c r="CF4" s="4" t="s">
        <v>124</v>
      </c>
      <c r="CG4" s="4" t="s">
        <v>124</v>
      </c>
      <c r="CH4" s="4" t="s">
        <v>124</v>
      </c>
      <c r="CI4" s="4" t="s">
        <v>124</v>
      </c>
      <c r="CJ4" s="4" t="s">
        <v>124</v>
      </c>
      <c r="CK4" s="4" t="s">
        <v>124</v>
      </c>
      <c r="CL4" s="4" t="s">
        <v>124</v>
      </c>
      <c r="CM4" s="4" t="s">
        <v>124</v>
      </c>
      <c r="CN4" s="4" t="s">
        <v>124</v>
      </c>
      <c r="CO4" s="4" t="s">
        <v>124</v>
      </c>
      <c r="CP4" s="4" t="s">
        <v>124</v>
      </c>
      <c r="CQ4" s="7">
        <v>0.61702100000000004</v>
      </c>
      <c r="CR4" s="7">
        <v>0.94</v>
      </c>
      <c r="CS4" s="7">
        <v>41.134751999999999</v>
      </c>
      <c r="CT4" s="7">
        <v>50</v>
      </c>
      <c r="CU4" s="4" t="s">
        <v>124</v>
      </c>
      <c r="CV4" s="4" t="s">
        <v>124</v>
      </c>
      <c r="CW4" s="4" t="s">
        <v>124</v>
      </c>
      <c r="CX4" s="4" t="s">
        <v>124</v>
      </c>
      <c r="CY4" s="4" t="s">
        <v>124</v>
      </c>
      <c r="CZ4" s="4" t="s">
        <v>124</v>
      </c>
      <c r="DA4" s="7">
        <v>15.389535</v>
      </c>
      <c r="DB4" s="7">
        <v>17.608319000000002</v>
      </c>
      <c r="DC4" s="7">
        <v>16.064022999999999</v>
      </c>
      <c r="DD4" s="4" t="s">
        <v>124</v>
      </c>
      <c r="DE4" s="4" t="s">
        <v>124</v>
      </c>
      <c r="DF4" s="6"/>
      <c r="DG4" s="6"/>
      <c r="DH4" s="6"/>
      <c r="DI4" s="6"/>
      <c r="DJ4" s="4" t="s">
        <v>124</v>
      </c>
      <c r="DK4" s="4" t="s">
        <v>124</v>
      </c>
      <c r="DL4" s="4" t="s">
        <v>124</v>
      </c>
      <c r="DM4" s="4" t="s">
        <v>124</v>
      </c>
      <c r="DN4" s="4" t="s">
        <v>124</v>
      </c>
      <c r="DO4" s="4" t="s">
        <v>124</v>
      </c>
      <c r="DP4" s="6"/>
      <c r="DQ4" s="4" t="s">
        <v>125</v>
      </c>
    </row>
    <row r="5" spans="1:121" ht="20" customHeight="1" x14ac:dyDescent="0.15">
      <c r="A5" s="5">
        <v>2018</v>
      </c>
      <c r="B5" s="3" t="s">
        <v>128</v>
      </c>
      <c r="C5" s="4" t="str">
        <f t="shared" ref="C5:C364" si="4">"0410011"</f>
        <v>0410011</v>
      </c>
      <c r="D5" s="4" t="s">
        <v>122</v>
      </c>
      <c r="E5" s="4" t="str">
        <f t="shared" si="1"/>
        <v>0000000</v>
      </c>
      <c r="F5" s="4" t="s">
        <v>122</v>
      </c>
      <c r="G5" s="4" t="s">
        <v>122</v>
      </c>
      <c r="H5" s="4" t="s">
        <v>122</v>
      </c>
      <c r="I5" s="6"/>
      <c r="J5" s="4" t="s">
        <v>123</v>
      </c>
      <c r="K5" s="7">
        <v>1109.746333</v>
      </c>
      <c r="L5" s="7">
        <v>1350</v>
      </c>
      <c r="M5" s="7">
        <v>82.203432000000006</v>
      </c>
      <c r="N5" s="4" t="s">
        <v>124</v>
      </c>
      <c r="O5" s="7">
        <v>0</v>
      </c>
      <c r="P5" s="7">
        <v>73.938706999999994</v>
      </c>
      <c r="Q5" s="7">
        <v>49.292470999999999</v>
      </c>
      <c r="R5" s="7">
        <v>50</v>
      </c>
      <c r="S5" s="7">
        <v>65.331518000000003</v>
      </c>
      <c r="T5" s="7">
        <v>75</v>
      </c>
      <c r="U5" s="7">
        <v>43.554344999999998</v>
      </c>
      <c r="V5" s="7">
        <v>50</v>
      </c>
      <c r="W5" s="7">
        <v>67.616928999999999</v>
      </c>
      <c r="X5" s="7">
        <v>45.077953000000001</v>
      </c>
      <c r="Y5" s="7">
        <v>50</v>
      </c>
      <c r="Z5" s="7">
        <v>72.274795999999995</v>
      </c>
      <c r="AA5" s="7">
        <v>58.801192999999998</v>
      </c>
      <c r="AB5" s="7">
        <v>39.200795999999997</v>
      </c>
      <c r="AC5" s="7">
        <v>50</v>
      </c>
      <c r="AD5" s="7">
        <v>67.636978999999997</v>
      </c>
      <c r="AE5" s="7">
        <v>45.091318999999999</v>
      </c>
      <c r="AF5" s="7">
        <v>50</v>
      </c>
      <c r="AG5" s="7">
        <v>59.688701000000002</v>
      </c>
      <c r="AH5" s="7">
        <v>70.836285000000004</v>
      </c>
      <c r="AI5" s="7">
        <v>39.792468</v>
      </c>
      <c r="AJ5" s="7">
        <v>50</v>
      </c>
      <c r="AK5" s="7">
        <v>9.66</v>
      </c>
      <c r="AL5" s="7">
        <v>13.47</v>
      </c>
      <c r="AM5" s="7">
        <v>11.14</v>
      </c>
      <c r="AN5" s="7">
        <v>0.66315199999999996</v>
      </c>
      <c r="AO5" s="7">
        <v>66.315207999999998</v>
      </c>
      <c r="AP5" s="7">
        <v>100</v>
      </c>
      <c r="AQ5" s="7">
        <v>0.66435299999999997</v>
      </c>
      <c r="AR5" s="7">
        <v>66.435276999999999</v>
      </c>
      <c r="AS5" s="7">
        <v>100</v>
      </c>
      <c r="AT5" s="7">
        <v>0.63939299999999999</v>
      </c>
      <c r="AU5" s="7">
        <v>0.67554800000000004</v>
      </c>
      <c r="AV5" s="7">
        <v>63.939292999999999</v>
      </c>
      <c r="AW5" s="7">
        <v>100</v>
      </c>
      <c r="AX5" s="7">
        <v>0.643841</v>
      </c>
      <c r="AY5" s="7">
        <v>0.67501500000000003</v>
      </c>
      <c r="AZ5" s="7">
        <v>64.384140000000002</v>
      </c>
      <c r="BA5" s="7">
        <v>100</v>
      </c>
      <c r="BB5" s="4" t="s">
        <v>124</v>
      </c>
      <c r="BC5" s="4" t="s">
        <v>124</v>
      </c>
      <c r="BD5" s="4" t="s">
        <v>124</v>
      </c>
      <c r="BE5" s="4" t="s">
        <v>124</v>
      </c>
      <c r="BF5" s="4" t="s">
        <v>124</v>
      </c>
      <c r="BG5" s="4" t="s">
        <v>124</v>
      </c>
      <c r="BH5" s="7">
        <v>0</v>
      </c>
      <c r="BI5" s="7">
        <v>0.99245300000000003</v>
      </c>
      <c r="BJ5" s="7">
        <v>1</v>
      </c>
      <c r="BK5" s="7">
        <v>0.98840600000000001</v>
      </c>
      <c r="BL5" s="7">
        <v>0.98301899999999998</v>
      </c>
      <c r="BM5" s="7">
        <v>0.98918899999999998</v>
      </c>
      <c r="BN5" s="7">
        <v>0.97970999999999997</v>
      </c>
      <c r="BO5" s="7">
        <v>0.99557499999999999</v>
      </c>
      <c r="BP5" s="7">
        <v>1</v>
      </c>
      <c r="BQ5" s="7">
        <v>0.99375000000000002</v>
      </c>
      <c r="BR5" s="7">
        <v>4.1965000000000002E-2</v>
      </c>
      <c r="BS5" s="7">
        <v>50</v>
      </c>
      <c r="BT5" s="7">
        <v>50</v>
      </c>
      <c r="BU5" s="7">
        <v>6.7873000000000003E-2</v>
      </c>
      <c r="BV5" s="7">
        <v>46.425339000000001</v>
      </c>
      <c r="BW5" s="7">
        <v>50</v>
      </c>
      <c r="BX5" s="7">
        <v>0.980769</v>
      </c>
      <c r="BY5" s="7">
        <v>50</v>
      </c>
      <c r="BZ5" s="7">
        <v>50</v>
      </c>
      <c r="CA5" s="7">
        <v>0.50641000000000003</v>
      </c>
      <c r="CB5" s="7">
        <v>33.760683999999998</v>
      </c>
      <c r="CC5" s="7">
        <v>50</v>
      </c>
      <c r="CD5" s="7">
        <v>1</v>
      </c>
      <c r="CE5" s="7">
        <v>50</v>
      </c>
      <c r="CF5" s="7">
        <v>50</v>
      </c>
      <c r="CG5" s="7">
        <v>0.92857100000000004</v>
      </c>
      <c r="CH5" s="7">
        <v>98.784194999999997</v>
      </c>
      <c r="CI5" s="7">
        <v>100</v>
      </c>
      <c r="CJ5" s="7">
        <v>0</v>
      </c>
      <c r="CK5" s="7">
        <v>0.91304300000000005</v>
      </c>
      <c r="CL5" s="7">
        <v>97.132284999999996</v>
      </c>
      <c r="CM5" s="7">
        <v>100</v>
      </c>
      <c r="CN5" s="7">
        <v>0.55600000000000005</v>
      </c>
      <c r="CO5" s="7">
        <v>74.074073999999996</v>
      </c>
      <c r="CP5" s="7">
        <v>100</v>
      </c>
      <c r="CQ5" s="7">
        <v>0.54729700000000003</v>
      </c>
      <c r="CR5" s="7">
        <v>0.94267500000000004</v>
      </c>
      <c r="CS5" s="7">
        <v>36.486485999999999</v>
      </c>
      <c r="CT5" s="7">
        <v>50</v>
      </c>
      <c r="CU5" s="7">
        <v>0.69062500000000004</v>
      </c>
      <c r="CV5" s="7">
        <v>50</v>
      </c>
      <c r="CW5" s="7">
        <v>50</v>
      </c>
      <c r="CX5" s="7">
        <v>0.91304300000000005</v>
      </c>
      <c r="CY5" s="7">
        <v>0.94</v>
      </c>
      <c r="CZ5" s="7">
        <v>2.6956999999999998E-2</v>
      </c>
      <c r="DA5" s="7">
        <v>15.389535</v>
      </c>
      <c r="DB5" s="7">
        <v>17.608319000000002</v>
      </c>
      <c r="DC5" s="7">
        <v>16.064022999999999</v>
      </c>
      <c r="DD5" s="7">
        <v>11.115401</v>
      </c>
      <c r="DE5" s="4" t="s">
        <v>124</v>
      </c>
      <c r="DF5" s="6"/>
      <c r="DG5" s="6"/>
      <c r="DH5" s="6"/>
      <c r="DI5" s="6"/>
      <c r="DJ5" s="4" t="s">
        <v>124</v>
      </c>
      <c r="DK5" s="4" t="s">
        <v>124</v>
      </c>
      <c r="DL5" s="4" t="s">
        <v>124</v>
      </c>
      <c r="DM5" s="4" t="s">
        <v>124</v>
      </c>
      <c r="DN5" s="4" t="s">
        <v>124</v>
      </c>
      <c r="DO5" s="4" t="s">
        <v>124</v>
      </c>
      <c r="DP5" s="6"/>
      <c r="DQ5" s="4" t="s">
        <v>125</v>
      </c>
    </row>
    <row r="6" spans="1:121" ht="20" customHeight="1" x14ac:dyDescent="0.15">
      <c r="A6" s="5">
        <v>2018</v>
      </c>
      <c r="B6" s="3" t="s">
        <v>129</v>
      </c>
      <c r="C6" s="4" t="str">
        <f t="shared" ref="C6:C401" si="5">"0480011"</f>
        <v>0480011</v>
      </c>
      <c r="D6" s="4" t="s">
        <v>122</v>
      </c>
      <c r="E6" s="4" t="str">
        <f t="shared" si="1"/>
        <v>0000000</v>
      </c>
      <c r="F6" s="4" t="s">
        <v>122</v>
      </c>
      <c r="G6" s="4" t="s">
        <v>122</v>
      </c>
      <c r="H6" s="4" t="s">
        <v>122</v>
      </c>
      <c r="I6" s="6"/>
      <c r="J6" s="4" t="s">
        <v>123</v>
      </c>
      <c r="K6" s="7">
        <v>1173.431429</v>
      </c>
      <c r="L6" s="7">
        <v>1450</v>
      </c>
      <c r="M6" s="7">
        <v>80.926304999999999</v>
      </c>
      <c r="N6" s="4" t="s">
        <v>124</v>
      </c>
      <c r="O6" s="7">
        <v>1</v>
      </c>
      <c r="P6" s="7">
        <v>73.156119000000004</v>
      </c>
      <c r="Q6" s="7">
        <v>48.770746000000003</v>
      </c>
      <c r="R6" s="7">
        <v>50</v>
      </c>
      <c r="S6" s="7">
        <v>60.155918</v>
      </c>
      <c r="T6" s="7">
        <v>75</v>
      </c>
      <c r="U6" s="7">
        <v>40.103945000000003</v>
      </c>
      <c r="V6" s="7">
        <v>50</v>
      </c>
      <c r="W6" s="7">
        <v>70.453717999999995</v>
      </c>
      <c r="X6" s="7">
        <v>46.969146000000002</v>
      </c>
      <c r="Y6" s="7">
        <v>50</v>
      </c>
      <c r="Z6" s="7">
        <v>75</v>
      </c>
      <c r="AA6" s="7">
        <v>56.537382999999998</v>
      </c>
      <c r="AB6" s="7">
        <v>37.691589</v>
      </c>
      <c r="AC6" s="7">
        <v>50</v>
      </c>
      <c r="AD6" s="7">
        <v>72.302272000000002</v>
      </c>
      <c r="AE6" s="7">
        <v>48.201515000000001</v>
      </c>
      <c r="AF6" s="7">
        <v>50</v>
      </c>
      <c r="AG6" s="7">
        <v>61.279905999999997</v>
      </c>
      <c r="AH6" s="7">
        <v>75</v>
      </c>
      <c r="AI6" s="7">
        <v>40.853270999999999</v>
      </c>
      <c r="AJ6" s="7">
        <v>50</v>
      </c>
      <c r="AK6" s="7">
        <v>14.84</v>
      </c>
      <c r="AL6" s="7">
        <v>18.46</v>
      </c>
      <c r="AM6" s="7">
        <v>13.72</v>
      </c>
      <c r="AN6" s="7">
        <v>0.59501000000000004</v>
      </c>
      <c r="AO6" s="7">
        <v>59.500951000000001</v>
      </c>
      <c r="AP6" s="7">
        <v>100</v>
      </c>
      <c r="AQ6" s="7">
        <v>0.681508</v>
      </c>
      <c r="AR6" s="7">
        <v>68.150830999999997</v>
      </c>
      <c r="AS6" s="7">
        <v>100</v>
      </c>
      <c r="AT6" s="7">
        <v>0.56111100000000003</v>
      </c>
      <c r="AU6" s="7">
        <v>0.60730700000000004</v>
      </c>
      <c r="AV6" s="7">
        <v>56.111061999999997</v>
      </c>
      <c r="AW6" s="7">
        <v>100</v>
      </c>
      <c r="AX6" s="7">
        <v>0.62720299999999995</v>
      </c>
      <c r="AY6" s="7">
        <v>0.70096599999999998</v>
      </c>
      <c r="AZ6" s="7">
        <v>62.720297000000002</v>
      </c>
      <c r="BA6" s="7">
        <v>100</v>
      </c>
      <c r="BB6" s="7">
        <v>0.78707000000000005</v>
      </c>
      <c r="BC6" s="7">
        <v>39.353495000000002</v>
      </c>
      <c r="BD6" s="7">
        <v>50</v>
      </c>
      <c r="BE6" s="7">
        <v>0.65563099999999996</v>
      </c>
      <c r="BF6" s="7">
        <v>32.781548999999998</v>
      </c>
      <c r="BG6" s="7">
        <v>50</v>
      </c>
      <c r="BH6" s="7">
        <v>0</v>
      </c>
      <c r="BI6" s="7">
        <v>0.99015500000000001</v>
      </c>
      <c r="BJ6" s="7">
        <v>0.97841699999999998</v>
      </c>
      <c r="BK6" s="7">
        <v>0.99502500000000005</v>
      </c>
      <c r="BL6" s="7">
        <v>0.99015500000000001</v>
      </c>
      <c r="BM6" s="7">
        <v>0.97841699999999998</v>
      </c>
      <c r="BN6" s="7">
        <v>0.99502500000000005</v>
      </c>
      <c r="BO6" s="7">
        <v>0.98694899999999997</v>
      </c>
      <c r="BP6" s="7">
        <v>0.96470599999999995</v>
      </c>
      <c r="BQ6" s="7">
        <v>0.99548499999999995</v>
      </c>
      <c r="BR6" s="7">
        <v>7.5465000000000004E-2</v>
      </c>
      <c r="BS6" s="7">
        <v>44.907091000000001</v>
      </c>
      <c r="BT6" s="7">
        <v>50</v>
      </c>
      <c r="BU6" s="7">
        <v>0.160167</v>
      </c>
      <c r="BV6" s="7">
        <v>27.966574000000001</v>
      </c>
      <c r="BW6" s="7">
        <v>50</v>
      </c>
      <c r="BX6" s="7">
        <v>0.94559599999999999</v>
      </c>
      <c r="BY6" s="7">
        <v>50</v>
      </c>
      <c r="BZ6" s="7">
        <v>50</v>
      </c>
      <c r="CA6" s="7">
        <v>0.531088</v>
      </c>
      <c r="CB6" s="7">
        <v>35.405872000000002</v>
      </c>
      <c r="CC6" s="7">
        <v>50</v>
      </c>
      <c r="CD6" s="7">
        <v>0.95724500000000001</v>
      </c>
      <c r="CE6" s="7">
        <v>50</v>
      </c>
      <c r="CF6" s="7">
        <v>50</v>
      </c>
      <c r="CG6" s="7">
        <v>0.96685100000000002</v>
      </c>
      <c r="CH6" s="7">
        <v>100</v>
      </c>
      <c r="CI6" s="7">
        <v>100</v>
      </c>
      <c r="CJ6" s="7">
        <v>0</v>
      </c>
      <c r="CK6" s="7">
        <v>0.91428600000000004</v>
      </c>
      <c r="CL6" s="7">
        <v>97.264437999999998</v>
      </c>
      <c r="CM6" s="7">
        <v>100</v>
      </c>
      <c r="CN6" s="7">
        <v>0.75700000000000001</v>
      </c>
      <c r="CO6" s="7">
        <v>100</v>
      </c>
      <c r="CP6" s="7">
        <v>100</v>
      </c>
      <c r="CQ6" s="7">
        <v>0.55018599999999995</v>
      </c>
      <c r="CR6" s="7">
        <v>0.98655300000000001</v>
      </c>
      <c r="CS6" s="7">
        <v>36.679057999999998</v>
      </c>
      <c r="CT6" s="7">
        <v>50</v>
      </c>
      <c r="CU6" s="7">
        <v>0.6</v>
      </c>
      <c r="CV6" s="7">
        <v>50</v>
      </c>
      <c r="CW6" s="7">
        <v>50</v>
      </c>
      <c r="CX6" s="7">
        <v>0.91428600000000004</v>
      </c>
      <c r="CY6" s="7">
        <v>0.94</v>
      </c>
      <c r="CZ6" s="7">
        <v>2.5714000000000001E-2</v>
      </c>
      <c r="DA6" s="7">
        <v>15.389535</v>
      </c>
      <c r="DB6" s="7">
        <v>17.608319000000002</v>
      </c>
      <c r="DC6" s="7">
        <v>16.064022999999999</v>
      </c>
      <c r="DD6" s="7">
        <v>11.115401</v>
      </c>
      <c r="DE6" s="4" t="s">
        <v>124</v>
      </c>
      <c r="DF6" s="6"/>
      <c r="DG6" s="6"/>
      <c r="DH6" s="6"/>
      <c r="DI6" s="6"/>
      <c r="DJ6" s="4" t="s">
        <v>124</v>
      </c>
      <c r="DK6" s="4" t="s">
        <v>124</v>
      </c>
      <c r="DL6" s="4" t="s">
        <v>124</v>
      </c>
      <c r="DM6" s="4" t="s">
        <v>124</v>
      </c>
      <c r="DN6" s="4" t="s">
        <v>124</v>
      </c>
      <c r="DO6" s="4" t="s">
        <v>124</v>
      </c>
      <c r="DP6" s="6"/>
      <c r="DQ6" s="4" t="s">
        <v>125</v>
      </c>
    </row>
    <row r="7" spans="1:121" ht="20" customHeight="1" x14ac:dyDescent="0.15">
      <c r="A7" s="5">
        <v>2018</v>
      </c>
      <c r="B7" s="3" t="s">
        <v>130</v>
      </c>
      <c r="C7" s="4" t="str">
        <f t="shared" ref="C7:C294" si="6">"0210011"</f>
        <v>0210011</v>
      </c>
      <c r="D7" s="4" t="s">
        <v>122</v>
      </c>
      <c r="E7" s="4" t="str">
        <f t="shared" si="1"/>
        <v>0000000</v>
      </c>
      <c r="F7" s="4" t="s">
        <v>122</v>
      </c>
      <c r="G7" s="4" t="s">
        <v>122</v>
      </c>
      <c r="H7" s="4" t="s">
        <v>122</v>
      </c>
      <c r="I7" s="6"/>
      <c r="J7" s="4" t="s">
        <v>123</v>
      </c>
      <c r="K7" s="7">
        <v>329.16262999999998</v>
      </c>
      <c r="L7" s="7">
        <v>450</v>
      </c>
      <c r="M7" s="7">
        <v>73.147250999999997</v>
      </c>
      <c r="N7" s="4" t="s">
        <v>124</v>
      </c>
      <c r="O7" s="7">
        <v>0</v>
      </c>
      <c r="P7" s="7">
        <v>76.292077000000006</v>
      </c>
      <c r="Q7" s="7">
        <v>50</v>
      </c>
      <c r="R7" s="7">
        <v>50</v>
      </c>
      <c r="S7" s="4" t="s">
        <v>124</v>
      </c>
      <c r="T7" s="7">
        <v>75</v>
      </c>
      <c r="U7" s="4" t="s">
        <v>124</v>
      </c>
      <c r="V7" s="4" t="s">
        <v>124</v>
      </c>
      <c r="W7" s="7">
        <v>66.500680000000003</v>
      </c>
      <c r="X7" s="7">
        <v>44.333786000000003</v>
      </c>
      <c r="Y7" s="7">
        <v>50</v>
      </c>
      <c r="Z7" s="7">
        <v>72.727650999999994</v>
      </c>
      <c r="AA7" s="4" t="s">
        <v>124</v>
      </c>
      <c r="AB7" s="4" t="s">
        <v>124</v>
      </c>
      <c r="AC7" s="4" t="s">
        <v>124</v>
      </c>
      <c r="AD7" s="4" t="s">
        <v>124</v>
      </c>
      <c r="AE7" s="4" t="s">
        <v>124</v>
      </c>
      <c r="AF7" s="4" t="s">
        <v>124</v>
      </c>
      <c r="AG7" s="4" t="s">
        <v>124</v>
      </c>
      <c r="AH7" s="4" t="s">
        <v>124</v>
      </c>
      <c r="AI7" s="4" t="s">
        <v>124</v>
      </c>
      <c r="AJ7" s="4" t="s">
        <v>124</v>
      </c>
      <c r="AK7" s="4" t="s">
        <v>124</v>
      </c>
      <c r="AL7" s="4" t="s">
        <v>124</v>
      </c>
      <c r="AM7" s="4" t="s">
        <v>124</v>
      </c>
      <c r="AN7" s="7">
        <v>0.64334800000000003</v>
      </c>
      <c r="AO7" s="7">
        <v>64.334785999999994</v>
      </c>
      <c r="AP7" s="7">
        <v>100</v>
      </c>
      <c r="AQ7" s="7">
        <v>0.67356799999999994</v>
      </c>
      <c r="AR7" s="7">
        <v>67.356802000000002</v>
      </c>
      <c r="AS7" s="7">
        <v>100</v>
      </c>
      <c r="AT7" s="4" t="s">
        <v>124</v>
      </c>
      <c r="AU7" s="7">
        <v>0.65602199999999999</v>
      </c>
      <c r="AV7" s="4" t="s">
        <v>124</v>
      </c>
      <c r="AW7" s="4" t="s">
        <v>124</v>
      </c>
      <c r="AX7" s="4" t="s">
        <v>124</v>
      </c>
      <c r="AY7" s="7">
        <v>0.68669400000000003</v>
      </c>
      <c r="AZ7" s="4" t="s">
        <v>124</v>
      </c>
      <c r="BA7" s="4" t="s">
        <v>124</v>
      </c>
      <c r="BB7" s="4" t="s">
        <v>124</v>
      </c>
      <c r="BC7" s="4" t="s">
        <v>124</v>
      </c>
      <c r="BD7" s="4" t="s">
        <v>124</v>
      </c>
      <c r="BE7" s="4" t="s">
        <v>124</v>
      </c>
      <c r="BF7" s="4" t="s">
        <v>124</v>
      </c>
      <c r="BG7" s="4" t="s">
        <v>124</v>
      </c>
      <c r="BH7" s="7">
        <v>0</v>
      </c>
      <c r="BI7" s="7">
        <v>0.97727299999999995</v>
      </c>
      <c r="BJ7" s="4" t="s">
        <v>124</v>
      </c>
      <c r="BK7" s="7">
        <v>1</v>
      </c>
      <c r="BL7" s="7">
        <v>0.97727299999999995</v>
      </c>
      <c r="BM7" s="4" t="s">
        <v>124</v>
      </c>
      <c r="BN7" s="7">
        <v>1</v>
      </c>
      <c r="BO7" s="4" t="s">
        <v>124</v>
      </c>
      <c r="BP7" s="4" t="s">
        <v>124</v>
      </c>
      <c r="BQ7" s="4" t="s">
        <v>124</v>
      </c>
      <c r="BR7" s="7">
        <v>0.117647</v>
      </c>
      <c r="BS7" s="7">
        <v>36.470587999999999</v>
      </c>
      <c r="BT7" s="7">
        <v>50</v>
      </c>
      <c r="BU7" s="7">
        <v>0.2</v>
      </c>
      <c r="BV7" s="7">
        <v>20</v>
      </c>
      <c r="BW7" s="7">
        <v>50</v>
      </c>
      <c r="BX7" s="4" t="s">
        <v>124</v>
      </c>
      <c r="BY7" s="4" t="s">
        <v>124</v>
      </c>
      <c r="BZ7" s="4" t="s">
        <v>124</v>
      </c>
      <c r="CA7" s="4" t="s">
        <v>124</v>
      </c>
      <c r="CB7" s="4" t="s">
        <v>124</v>
      </c>
      <c r="CC7" s="4" t="s">
        <v>124</v>
      </c>
      <c r="CD7" s="4" t="s">
        <v>124</v>
      </c>
      <c r="CE7" s="4" t="s">
        <v>124</v>
      </c>
      <c r="CF7" s="4" t="s">
        <v>124</v>
      </c>
      <c r="CG7" s="4" t="s">
        <v>124</v>
      </c>
      <c r="CH7" s="4" t="s">
        <v>124</v>
      </c>
      <c r="CI7" s="4" t="s">
        <v>124</v>
      </c>
      <c r="CJ7" s="4" t="s">
        <v>124</v>
      </c>
      <c r="CK7" s="4" t="s">
        <v>124</v>
      </c>
      <c r="CL7" s="4" t="s">
        <v>124</v>
      </c>
      <c r="CM7" s="4" t="s">
        <v>124</v>
      </c>
      <c r="CN7" s="4" t="s">
        <v>124</v>
      </c>
      <c r="CO7" s="4" t="s">
        <v>124</v>
      </c>
      <c r="CP7" s="4" t="s">
        <v>124</v>
      </c>
      <c r="CQ7" s="7">
        <v>0.7</v>
      </c>
      <c r="CR7" s="7">
        <v>1</v>
      </c>
      <c r="CS7" s="7">
        <v>46.666666999999997</v>
      </c>
      <c r="CT7" s="7">
        <v>50</v>
      </c>
      <c r="CU7" s="4" t="s">
        <v>124</v>
      </c>
      <c r="CV7" s="4" t="s">
        <v>124</v>
      </c>
      <c r="CW7" s="4" t="s">
        <v>124</v>
      </c>
      <c r="CX7" s="4" t="s">
        <v>124</v>
      </c>
      <c r="CY7" s="4" t="s">
        <v>124</v>
      </c>
      <c r="CZ7" s="4" t="s">
        <v>124</v>
      </c>
      <c r="DA7" s="7">
        <v>15.389535</v>
      </c>
      <c r="DB7" s="7">
        <v>17.608319000000002</v>
      </c>
      <c r="DC7" s="7">
        <v>16.064022999999999</v>
      </c>
      <c r="DD7" s="4" t="s">
        <v>124</v>
      </c>
      <c r="DE7" s="4" t="s">
        <v>124</v>
      </c>
      <c r="DF7" s="6"/>
      <c r="DG7" s="6"/>
      <c r="DH7" s="6"/>
      <c r="DI7" s="6"/>
      <c r="DJ7" s="4" t="s">
        <v>124</v>
      </c>
      <c r="DK7" s="4" t="s">
        <v>124</v>
      </c>
      <c r="DL7" s="4" t="s">
        <v>124</v>
      </c>
      <c r="DM7" s="4" t="s">
        <v>124</v>
      </c>
      <c r="DN7" s="4" t="s">
        <v>124</v>
      </c>
      <c r="DO7" s="4" t="s">
        <v>124</v>
      </c>
      <c r="DP7" s="6"/>
      <c r="DQ7" s="4" t="s">
        <v>125</v>
      </c>
    </row>
    <row r="8" spans="1:121" ht="20" customHeight="1" x14ac:dyDescent="0.15">
      <c r="A8" s="5">
        <v>2018</v>
      </c>
      <c r="B8" s="3" t="s">
        <v>131</v>
      </c>
      <c r="C8" s="4" t="str">
        <f t="shared" ref="C8:C295" si="7">"0220011"</f>
        <v>0220011</v>
      </c>
      <c r="D8" s="4" t="s">
        <v>122</v>
      </c>
      <c r="E8" s="4" t="str">
        <f t="shared" si="1"/>
        <v>0000000</v>
      </c>
      <c r="F8" s="4" t="s">
        <v>122</v>
      </c>
      <c r="G8" s="4" t="s">
        <v>122</v>
      </c>
      <c r="H8" s="4" t="s">
        <v>122</v>
      </c>
      <c r="I8" s="6"/>
      <c r="J8" s="4" t="s">
        <v>123</v>
      </c>
      <c r="K8" s="7">
        <v>652.78650500000003</v>
      </c>
      <c r="L8" s="7">
        <v>900</v>
      </c>
      <c r="M8" s="7">
        <v>72.531834000000003</v>
      </c>
      <c r="N8" s="4" t="s">
        <v>124</v>
      </c>
      <c r="O8" s="7">
        <v>0</v>
      </c>
      <c r="P8" s="7">
        <v>70.098169999999996</v>
      </c>
      <c r="Q8" s="7">
        <v>46.732114000000003</v>
      </c>
      <c r="R8" s="7">
        <v>50</v>
      </c>
      <c r="S8" s="7">
        <v>64.084457999999998</v>
      </c>
      <c r="T8" s="7">
        <v>74.568890999999994</v>
      </c>
      <c r="U8" s="7">
        <v>42.722971999999999</v>
      </c>
      <c r="V8" s="7">
        <v>50</v>
      </c>
      <c r="W8" s="7">
        <v>63.587091999999998</v>
      </c>
      <c r="X8" s="7">
        <v>42.391393999999998</v>
      </c>
      <c r="Y8" s="7">
        <v>50</v>
      </c>
      <c r="Z8" s="7">
        <v>67.574173000000002</v>
      </c>
      <c r="AA8" s="7">
        <v>58.176053000000003</v>
      </c>
      <c r="AB8" s="7">
        <v>38.784035000000003</v>
      </c>
      <c r="AC8" s="7">
        <v>50</v>
      </c>
      <c r="AD8" s="7">
        <v>66.702934999999997</v>
      </c>
      <c r="AE8" s="7">
        <v>44.468623000000001</v>
      </c>
      <c r="AF8" s="7">
        <v>50</v>
      </c>
      <c r="AG8" s="7">
        <v>59.291190999999998</v>
      </c>
      <c r="AH8" s="7">
        <v>72.034189999999995</v>
      </c>
      <c r="AI8" s="7">
        <v>39.527461000000002</v>
      </c>
      <c r="AJ8" s="7">
        <v>50</v>
      </c>
      <c r="AK8" s="7">
        <v>10.48</v>
      </c>
      <c r="AL8" s="7">
        <v>9.39</v>
      </c>
      <c r="AM8" s="7">
        <v>12.74</v>
      </c>
      <c r="AN8" s="7">
        <v>0.56407099999999999</v>
      </c>
      <c r="AO8" s="7">
        <v>56.407063000000001</v>
      </c>
      <c r="AP8" s="7">
        <v>100</v>
      </c>
      <c r="AQ8" s="7">
        <v>0.60407699999999998</v>
      </c>
      <c r="AR8" s="7">
        <v>60.407719999999998</v>
      </c>
      <c r="AS8" s="7">
        <v>100</v>
      </c>
      <c r="AT8" s="7">
        <v>0.52651499999999996</v>
      </c>
      <c r="AU8" s="7">
        <v>0.59009400000000001</v>
      </c>
      <c r="AV8" s="7">
        <v>52.651471000000001</v>
      </c>
      <c r="AW8" s="7">
        <v>100</v>
      </c>
      <c r="AX8" s="7">
        <v>0.57983300000000004</v>
      </c>
      <c r="AY8" s="7">
        <v>0.62068500000000004</v>
      </c>
      <c r="AZ8" s="7">
        <v>57.983299000000002</v>
      </c>
      <c r="BA8" s="7">
        <v>100</v>
      </c>
      <c r="BB8" s="4" t="s">
        <v>124</v>
      </c>
      <c r="BC8" s="4" t="s">
        <v>124</v>
      </c>
      <c r="BD8" s="4" t="s">
        <v>124</v>
      </c>
      <c r="BE8" s="4" t="s">
        <v>124</v>
      </c>
      <c r="BF8" s="4" t="s">
        <v>124</v>
      </c>
      <c r="BG8" s="4" t="s">
        <v>124</v>
      </c>
      <c r="BH8" s="7">
        <v>0</v>
      </c>
      <c r="BI8" s="7">
        <v>0.99278</v>
      </c>
      <c r="BJ8" s="7">
        <v>0.98387100000000005</v>
      </c>
      <c r="BK8" s="7">
        <v>1</v>
      </c>
      <c r="BL8" s="7">
        <v>0.98916999999999999</v>
      </c>
      <c r="BM8" s="7">
        <v>0.97580599999999995</v>
      </c>
      <c r="BN8" s="7">
        <v>1</v>
      </c>
      <c r="BO8" s="7">
        <v>1</v>
      </c>
      <c r="BP8" s="7">
        <v>1</v>
      </c>
      <c r="BQ8" s="7">
        <v>1</v>
      </c>
      <c r="BR8" s="7">
        <v>6.5115999999999993E-2</v>
      </c>
      <c r="BS8" s="7">
        <v>46.976743999999997</v>
      </c>
      <c r="BT8" s="7">
        <v>50</v>
      </c>
      <c r="BU8" s="7">
        <v>7.1429000000000006E-2</v>
      </c>
      <c r="BV8" s="7">
        <v>45.714286000000001</v>
      </c>
      <c r="BW8" s="7">
        <v>50</v>
      </c>
      <c r="BX8" s="4" t="s">
        <v>124</v>
      </c>
      <c r="BY8" s="4" t="s">
        <v>124</v>
      </c>
      <c r="BZ8" s="4" t="s">
        <v>124</v>
      </c>
      <c r="CA8" s="4" t="s">
        <v>124</v>
      </c>
      <c r="CB8" s="4" t="s">
        <v>124</v>
      </c>
      <c r="CC8" s="4" t="s">
        <v>124</v>
      </c>
      <c r="CD8" s="7">
        <v>0.97368399999999999</v>
      </c>
      <c r="CE8" s="7">
        <v>50</v>
      </c>
      <c r="CF8" s="7">
        <v>50</v>
      </c>
      <c r="CG8" s="4" t="s">
        <v>124</v>
      </c>
      <c r="CH8" s="4" t="s">
        <v>124</v>
      </c>
      <c r="CI8" s="4" t="s">
        <v>124</v>
      </c>
      <c r="CJ8" s="4" t="s">
        <v>124</v>
      </c>
      <c r="CK8" s="4" t="s">
        <v>124</v>
      </c>
      <c r="CL8" s="4" t="s">
        <v>124</v>
      </c>
      <c r="CM8" s="4" t="s">
        <v>124</v>
      </c>
      <c r="CN8" s="4" t="s">
        <v>124</v>
      </c>
      <c r="CO8" s="4" t="s">
        <v>124</v>
      </c>
      <c r="CP8" s="4" t="s">
        <v>124</v>
      </c>
      <c r="CQ8" s="7">
        <v>0.42029</v>
      </c>
      <c r="CR8" s="7">
        <v>0.95833299999999999</v>
      </c>
      <c r="CS8" s="7">
        <v>28.019324000000001</v>
      </c>
      <c r="CT8" s="7">
        <v>50</v>
      </c>
      <c r="CU8" s="4" t="s">
        <v>124</v>
      </c>
      <c r="CV8" s="4" t="s">
        <v>124</v>
      </c>
      <c r="CW8" s="4" t="s">
        <v>124</v>
      </c>
      <c r="CX8" s="4" t="s">
        <v>124</v>
      </c>
      <c r="CY8" s="4" t="s">
        <v>124</v>
      </c>
      <c r="CZ8" s="4" t="s">
        <v>124</v>
      </c>
      <c r="DA8" s="7">
        <v>15.389535</v>
      </c>
      <c r="DB8" s="7">
        <v>17.608319000000002</v>
      </c>
      <c r="DC8" s="7">
        <v>16.064022999999999</v>
      </c>
      <c r="DD8" s="4" t="s">
        <v>124</v>
      </c>
      <c r="DE8" s="4" t="s">
        <v>124</v>
      </c>
      <c r="DF8" s="6"/>
      <c r="DG8" s="6"/>
      <c r="DH8" s="6"/>
      <c r="DI8" s="6"/>
      <c r="DJ8" s="4" t="s">
        <v>124</v>
      </c>
      <c r="DK8" s="4" t="s">
        <v>124</v>
      </c>
      <c r="DL8" s="4" t="s">
        <v>124</v>
      </c>
      <c r="DM8" s="4" t="s">
        <v>124</v>
      </c>
      <c r="DN8" s="4" t="s">
        <v>124</v>
      </c>
      <c r="DO8" s="4" t="s">
        <v>124</v>
      </c>
      <c r="DP8" s="6"/>
      <c r="DQ8" s="4" t="s">
        <v>125</v>
      </c>
    </row>
    <row r="9" spans="1:121" ht="20" customHeight="1" x14ac:dyDescent="0.15">
      <c r="A9" s="5">
        <v>2018</v>
      </c>
      <c r="B9" s="3" t="s">
        <v>132</v>
      </c>
      <c r="C9" s="4" t="str">
        <f t="shared" ref="C9:C297" si="8">"0230011"</f>
        <v>0230011</v>
      </c>
      <c r="D9" s="4" t="s">
        <v>122</v>
      </c>
      <c r="E9" s="4" t="str">
        <f t="shared" si="1"/>
        <v>0000000</v>
      </c>
      <c r="F9" s="4" t="s">
        <v>122</v>
      </c>
      <c r="G9" s="4" t="s">
        <v>122</v>
      </c>
      <c r="H9" s="4" t="s">
        <v>122</v>
      </c>
      <c r="I9" s="6"/>
      <c r="J9" s="4" t="s">
        <v>123</v>
      </c>
      <c r="K9" s="7">
        <v>1112.9049419999999</v>
      </c>
      <c r="L9" s="7">
        <v>1350</v>
      </c>
      <c r="M9" s="7">
        <v>82.437403000000003</v>
      </c>
      <c r="N9" s="4" t="s">
        <v>124</v>
      </c>
      <c r="O9" s="7">
        <v>1</v>
      </c>
      <c r="P9" s="7">
        <v>75.546047000000002</v>
      </c>
      <c r="Q9" s="7">
        <v>50</v>
      </c>
      <c r="R9" s="7">
        <v>50</v>
      </c>
      <c r="S9" s="7">
        <v>60.258571000000003</v>
      </c>
      <c r="T9" s="7">
        <v>75</v>
      </c>
      <c r="U9" s="7">
        <v>40.172381000000001</v>
      </c>
      <c r="V9" s="7">
        <v>50</v>
      </c>
      <c r="W9" s="7">
        <v>72.454808999999997</v>
      </c>
      <c r="X9" s="7">
        <v>48.303206000000003</v>
      </c>
      <c r="Y9" s="7">
        <v>50</v>
      </c>
      <c r="Z9" s="7">
        <v>75</v>
      </c>
      <c r="AA9" s="7">
        <v>56.107959999999999</v>
      </c>
      <c r="AB9" s="7">
        <v>37.405307000000001</v>
      </c>
      <c r="AC9" s="7">
        <v>50</v>
      </c>
      <c r="AD9" s="7">
        <v>74.021354000000002</v>
      </c>
      <c r="AE9" s="7">
        <v>49.347569999999997</v>
      </c>
      <c r="AF9" s="7">
        <v>50</v>
      </c>
      <c r="AG9" s="7">
        <v>60.077941000000003</v>
      </c>
      <c r="AH9" s="7">
        <v>75</v>
      </c>
      <c r="AI9" s="7">
        <v>40.051960999999999</v>
      </c>
      <c r="AJ9" s="7">
        <v>50</v>
      </c>
      <c r="AK9" s="7">
        <v>14.74</v>
      </c>
      <c r="AL9" s="7">
        <v>18.89</v>
      </c>
      <c r="AM9" s="7">
        <v>14.92</v>
      </c>
      <c r="AN9" s="7">
        <v>0.60600699999999996</v>
      </c>
      <c r="AO9" s="7">
        <v>60.600698999999999</v>
      </c>
      <c r="AP9" s="7">
        <v>100</v>
      </c>
      <c r="AQ9" s="7">
        <v>0.65144000000000002</v>
      </c>
      <c r="AR9" s="7">
        <v>65.144003999999995</v>
      </c>
      <c r="AS9" s="7">
        <v>100</v>
      </c>
      <c r="AT9" s="7">
        <v>0.44811499999999999</v>
      </c>
      <c r="AU9" s="7">
        <v>0.657667</v>
      </c>
      <c r="AV9" s="7">
        <v>44.811506999999999</v>
      </c>
      <c r="AW9" s="7">
        <v>100</v>
      </c>
      <c r="AX9" s="7">
        <v>0.486288</v>
      </c>
      <c r="AY9" s="7">
        <v>0.70560100000000003</v>
      </c>
      <c r="AZ9" s="7">
        <v>48.62876</v>
      </c>
      <c r="BA9" s="7">
        <v>100</v>
      </c>
      <c r="BB9" s="4" t="s">
        <v>124</v>
      </c>
      <c r="BC9" s="4" t="s">
        <v>124</v>
      </c>
      <c r="BD9" s="4" t="s">
        <v>124</v>
      </c>
      <c r="BE9" s="4" t="s">
        <v>124</v>
      </c>
      <c r="BF9" s="4" t="s">
        <v>124</v>
      </c>
      <c r="BG9" s="4" t="s">
        <v>124</v>
      </c>
      <c r="BH9" s="7">
        <v>1</v>
      </c>
      <c r="BI9" s="7">
        <v>0.98579899999999998</v>
      </c>
      <c r="BJ9" s="7">
        <v>0.96832600000000002</v>
      </c>
      <c r="BK9" s="7">
        <v>0.99198699999999995</v>
      </c>
      <c r="BL9" s="7">
        <v>0.98343199999999997</v>
      </c>
      <c r="BM9" s="7">
        <v>0.96380100000000002</v>
      </c>
      <c r="BN9" s="7">
        <v>0.99038499999999996</v>
      </c>
      <c r="BO9" s="7">
        <v>0.98050099999999996</v>
      </c>
      <c r="BP9" s="7">
        <v>0.94680900000000001</v>
      </c>
      <c r="BQ9" s="7">
        <v>0.99245300000000003</v>
      </c>
      <c r="BR9" s="7">
        <v>5.5081999999999999E-2</v>
      </c>
      <c r="BS9" s="7">
        <v>48.983606999999999</v>
      </c>
      <c r="BT9" s="7">
        <v>50</v>
      </c>
      <c r="BU9" s="7">
        <v>0.12328799999999999</v>
      </c>
      <c r="BV9" s="7">
        <v>35.342466000000002</v>
      </c>
      <c r="BW9" s="7">
        <v>50</v>
      </c>
      <c r="BX9" s="7">
        <v>0.75744699999999998</v>
      </c>
      <c r="BY9" s="7">
        <v>50</v>
      </c>
      <c r="BZ9" s="7">
        <v>50</v>
      </c>
      <c r="CA9" s="7">
        <v>0.67234000000000005</v>
      </c>
      <c r="CB9" s="7">
        <v>44.822695000000003</v>
      </c>
      <c r="CC9" s="7">
        <v>50</v>
      </c>
      <c r="CD9" s="7">
        <v>0.97489499999999996</v>
      </c>
      <c r="CE9" s="7">
        <v>50</v>
      </c>
      <c r="CF9" s="7">
        <v>50</v>
      </c>
      <c r="CG9" s="7">
        <v>0.94827600000000001</v>
      </c>
      <c r="CH9" s="7">
        <v>100</v>
      </c>
      <c r="CI9" s="7">
        <v>100</v>
      </c>
      <c r="CJ9" s="7">
        <v>0</v>
      </c>
      <c r="CK9" s="7">
        <v>0.93333299999999997</v>
      </c>
      <c r="CL9" s="7">
        <v>99.290779999999998</v>
      </c>
      <c r="CM9" s="7">
        <v>100</v>
      </c>
      <c r="CN9" s="7">
        <v>0.86399999999999999</v>
      </c>
      <c r="CO9" s="7">
        <v>100</v>
      </c>
      <c r="CP9" s="7">
        <v>100</v>
      </c>
      <c r="CQ9" s="7">
        <v>0.80083000000000004</v>
      </c>
      <c r="CR9" s="7">
        <v>0.95825000000000005</v>
      </c>
      <c r="CS9" s="7">
        <v>50</v>
      </c>
      <c r="CT9" s="7">
        <v>50</v>
      </c>
      <c r="CU9" s="7">
        <v>0.67820800000000003</v>
      </c>
      <c r="CV9" s="7">
        <v>50</v>
      </c>
      <c r="CW9" s="7">
        <v>50</v>
      </c>
      <c r="CX9" s="7">
        <v>0.93333299999999997</v>
      </c>
      <c r="CY9" s="7">
        <v>0.94</v>
      </c>
      <c r="CZ9" s="7">
        <v>6.6670000000000002E-3</v>
      </c>
      <c r="DA9" s="7">
        <v>15.389535</v>
      </c>
      <c r="DB9" s="7">
        <v>17.608319000000002</v>
      </c>
      <c r="DC9" s="7">
        <v>16.064022999999999</v>
      </c>
      <c r="DD9" s="7">
        <v>11.115401</v>
      </c>
      <c r="DE9" s="4" t="s">
        <v>124</v>
      </c>
      <c r="DF9" s="6"/>
      <c r="DG9" s="6"/>
      <c r="DH9" s="6"/>
      <c r="DI9" s="6"/>
      <c r="DJ9" s="4" t="s">
        <v>124</v>
      </c>
      <c r="DK9" s="4" t="s">
        <v>124</v>
      </c>
      <c r="DL9" s="4" t="s">
        <v>124</v>
      </c>
      <c r="DM9" s="4" t="s">
        <v>124</v>
      </c>
      <c r="DN9" s="4" t="s">
        <v>124</v>
      </c>
      <c r="DO9" s="4" t="s">
        <v>124</v>
      </c>
      <c r="DP9" s="6"/>
      <c r="DQ9" s="4" t="s">
        <v>125</v>
      </c>
    </row>
    <row r="10" spans="1:121" ht="20" customHeight="1" x14ac:dyDescent="0.15">
      <c r="A10" s="5">
        <v>2018</v>
      </c>
      <c r="B10" s="3" t="s">
        <v>133</v>
      </c>
      <c r="C10" s="4" t="str">
        <f t="shared" ref="C10:C743" si="9">"1020011"</f>
        <v>1020011</v>
      </c>
      <c r="D10" s="4" t="s">
        <v>122</v>
      </c>
      <c r="E10" s="4" t="str">
        <f t="shared" si="1"/>
        <v>0000000</v>
      </c>
      <c r="F10" s="4" t="s">
        <v>122</v>
      </c>
      <c r="G10" s="4" t="s">
        <v>122</v>
      </c>
      <c r="H10" s="4" t="s">
        <v>122</v>
      </c>
      <c r="I10" s="6"/>
      <c r="J10" s="4" t="s">
        <v>123</v>
      </c>
      <c r="K10" s="7">
        <v>1001.104552</v>
      </c>
      <c r="L10" s="7">
        <v>1250</v>
      </c>
      <c r="M10" s="7">
        <v>80.088363999999999</v>
      </c>
      <c r="N10" s="4" t="s">
        <v>124</v>
      </c>
      <c r="O10" s="7">
        <v>0</v>
      </c>
      <c r="P10" s="7">
        <v>79.562488999999999</v>
      </c>
      <c r="Q10" s="7">
        <v>50</v>
      </c>
      <c r="R10" s="7">
        <v>50</v>
      </c>
      <c r="S10" s="7">
        <v>67.476095999999998</v>
      </c>
      <c r="T10" s="7">
        <v>75</v>
      </c>
      <c r="U10" s="7">
        <v>44.984063999999996</v>
      </c>
      <c r="V10" s="7">
        <v>50</v>
      </c>
      <c r="W10" s="7">
        <v>77.878016000000002</v>
      </c>
      <c r="X10" s="7">
        <v>50</v>
      </c>
      <c r="Y10" s="7">
        <v>50</v>
      </c>
      <c r="Z10" s="7">
        <v>75</v>
      </c>
      <c r="AA10" s="7">
        <v>65.461684000000005</v>
      </c>
      <c r="AB10" s="7">
        <v>43.641123</v>
      </c>
      <c r="AC10" s="7">
        <v>50</v>
      </c>
      <c r="AD10" s="7">
        <v>79.690189000000004</v>
      </c>
      <c r="AE10" s="7">
        <v>50</v>
      </c>
      <c r="AF10" s="7">
        <v>50</v>
      </c>
      <c r="AG10" s="7">
        <v>69.364097000000001</v>
      </c>
      <c r="AH10" s="7">
        <v>75</v>
      </c>
      <c r="AI10" s="7">
        <v>46.242730999999999</v>
      </c>
      <c r="AJ10" s="7">
        <v>50</v>
      </c>
      <c r="AK10" s="7">
        <v>7.52</v>
      </c>
      <c r="AL10" s="7">
        <v>9.5299999999999994</v>
      </c>
      <c r="AM10" s="7">
        <v>5.63</v>
      </c>
      <c r="AN10" s="7">
        <v>0.66746700000000003</v>
      </c>
      <c r="AO10" s="7">
        <v>66.746724999999998</v>
      </c>
      <c r="AP10" s="7">
        <v>100</v>
      </c>
      <c r="AQ10" s="7">
        <v>0.68779699999999999</v>
      </c>
      <c r="AR10" s="7">
        <v>68.779701000000003</v>
      </c>
      <c r="AS10" s="7">
        <v>100</v>
      </c>
      <c r="AT10" s="7">
        <v>0.53702300000000003</v>
      </c>
      <c r="AU10" s="7">
        <v>0.69333100000000003</v>
      </c>
      <c r="AV10" s="7">
        <v>53.702319000000003</v>
      </c>
      <c r="AW10" s="7">
        <v>100</v>
      </c>
      <c r="AX10" s="7">
        <v>0.52573199999999998</v>
      </c>
      <c r="AY10" s="7">
        <v>0.71993099999999999</v>
      </c>
      <c r="AZ10" s="7">
        <v>52.573228999999998</v>
      </c>
      <c r="BA10" s="7">
        <v>100</v>
      </c>
      <c r="BB10" s="4" t="s">
        <v>124</v>
      </c>
      <c r="BC10" s="4" t="s">
        <v>124</v>
      </c>
      <c r="BD10" s="4" t="s">
        <v>124</v>
      </c>
      <c r="BE10" s="4" t="s">
        <v>124</v>
      </c>
      <c r="BF10" s="4" t="s">
        <v>124</v>
      </c>
      <c r="BG10" s="4" t="s">
        <v>124</v>
      </c>
      <c r="BH10" s="7">
        <v>0</v>
      </c>
      <c r="BI10" s="7">
        <v>0.98984799999999995</v>
      </c>
      <c r="BJ10" s="7">
        <v>1</v>
      </c>
      <c r="BK10" s="7">
        <v>0.98753899999999994</v>
      </c>
      <c r="BL10" s="7">
        <v>0.98984799999999995</v>
      </c>
      <c r="BM10" s="7">
        <v>1</v>
      </c>
      <c r="BN10" s="7">
        <v>0.98753899999999994</v>
      </c>
      <c r="BO10" s="7">
        <v>1</v>
      </c>
      <c r="BP10" s="7">
        <v>1</v>
      </c>
      <c r="BQ10" s="7">
        <v>1</v>
      </c>
      <c r="BR10" s="7">
        <v>7.2752999999999998E-2</v>
      </c>
      <c r="BS10" s="7">
        <v>45.449357999999997</v>
      </c>
      <c r="BT10" s="7">
        <v>50</v>
      </c>
      <c r="BU10" s="7">
        <v>0.154362</v>
      </c>
      <c r="BV10" s="7">
        <v>29.127517000000001</v>
      </c>
      <c r="BW10" s="7">
        <v>50</v>
      </c>
      <c r="BX10" s="7">
        <v>0.69791700000000001</v>
      </c>
      <c r="BY10" s="7">
        <v>46.527777999999998</v>
      </c>
      <c r="BZ10" s="7">
        <v>50</v>
      </c>
      <c r="CA10" s="7">
        <v>0.53125</v>
      </c>
      <c r="CB10" s="7">
        <v>35.416666999999997</v>
      </c>
      <c r="CC10" s="7">
        <v>50</v>
      </c>
      <c r="CD10" s="7">
        <v>0.96521699999999999</v>
      </c>
      <c r="CE10" s="7">
        <v>50</v>
      </c>
      <c r="CF10" s="7">
        <v>50</v>
      </c>
      <c r="CG10" s="7">
        <v>0.93333299999999997</v>
      </c>
      <c r="CH10" s="7">
        <v>99.290779999999998</v>
      </c>
      <c r="CI10" s="7">
        <v>100</v>
      </c>
      <c r="CJ10" s="7">
        <v>0</v>
      </c>
      <c r="CK10" s="4" t="s">
        <v>124</v>
      </c>
      <c r="CL10" s="4" t="s">
        <v>124</v>
      </c>
      <c r="CM10" s="4" t="s">
        <v>124</v>
      </c>
      <c r="CN10" s="7">
        <v>0.68899999999999995</v>
      </c>
      <c r="CO10" s="7">
        <v>91.851851999999994</v>
      </c>
      <c r="CP10" s="7">
        <v>100</v>
      </c>
      <c r="CQ10" s="7">
        <v>0.41176499999999999</v>
      </c>
      <c r="CR10" s="7">
        <v>1.0258620000000001</v>
      </c>
      <c r="CS10" s="7">
        <v>27.450980000000001</v>
      </c>
      <c r="CT10" s="7">
        <v>50</v>
      </c>
      <c r="CU10" s="7">
        <v>0.59183699999999995</v>
      </c>
      <c r="CV10" s="7">
        <v>49.319727999999998</v>
      </c>
      <c r="CW10" s="7">
        <v>50</v>
      </c>
      <c r="CX10" s="4" t="s">
        <v>124</v>
      </c>
      <c r="CY10" s="4" t="s">
        <v>124</v>
      </c>
      <c r="CZ10" s="4" t="s">
        <v>124</v>
      </c>
      <c r="DA10" s="7">
        <v>15.389535</v>
      </c>
      <c r="DB10" s="7">
        <v>17.608319000000002</v>
      </c>
      <c r="DC10" s="7">
        <v>16.064022999999999</v>
      </c>
      <c r="DD10" s="7">
        <v>11.115401</v>
      </c>
      <c r="DE10" s="4" t="s">
        <v>124</v>
      </c>
      <c r="DF10" s="6"/>
      <c r="DG10" s="6"/>
      <c r="DH10" s="6"/>
      <c r="DI10" s="6"/>
      <c r="DJ10" s="4" t="s">
        <v>124</v>
      </c>
      <c r="DK10" s="4" t="s">
        <v>124</v>
      </c>
      <c r="DL10" s="4" t="s">
        <v>124</v>
      </c>
      <c r="DM10" s="4" t="s">
        <v>124</v>
      </c>
      <c r="DN10" s="4" t="s">
        <v>124</v>
      </c>
      <c r="DO10" s="4" t="s">
        <v>124</v>
      </c>
      <c r="DP10" s="6"/>
      <c r="DQ10" s="4" t="s">
        <v>125</v>
      </c>
    </row>
    <row r="11" spans="1:121" ht="20" customHeight="1" x14ac:dyDescent="0.15">
      <c r="A11" s="5">
        <v>2018</v>
      </c>
      <c r="B11" s="3" t="s">
        <v>134</v>
      </c>
      <c r="C11" s="4" t="str">
        <f t="shared" ref="C11:C704" si="10">"0940011"</f>
        <v>0940011</v>
      </c>
      <c r="D11" s="4" t="s">
        <v>122</v>
      </c>
      <c r="E11" s="4" t="str">
        <f t="shared" si="1"/>
        <v>0000000</v>
      </c>
      <c r="F11" s="4" t="s">
        <v>122</v>
      </c>
      <c r="G11" s="4" t="s">
        <v>122</v>
      </c>
      <c r="H11" s="4" t="s">
        <v>122</v>
      </c>
      <c r="I11" s="6"/>
      <c r="J11" s="4" t="s">
        <v>123</v>
      </c>
      <c r="K11" s="7">
        <v>1143.375258</v>
      </c>
      <c r="L11" s="7">
        <v>1450</v>
      </c>
      <c r="M11" s="7">
        <v>78.853465999999997</v>
      </c>
      <c r="N11" s="4" t="s">
        <v>124</v>
      </c>
      <c r="O11" s="7">
        <v>0</v>
      </c>
      <c r="P11" s="7">
        <v>67.817121999999998</v>
      </c>
      <c r="Q11" s="7">
        <v>45.211415000000002</v>
      </c>
      <c r="R11" s="7">
        <v>50</v>
      </c>
      <c r="S11" s="7">
        <v>60.979137000000001</v>
      </c>
      <c r="T11" s="7">
        <v>73.257853999999995</v>
      </c>
      <c r="U11" s="7">
        <v>40.652757999999999</v>
      </c>
      <c r="V11" s="7">
        <v>50</v>
      </c>
      <c r="W11" s="7">
        <v>65.265884999999997</v>
      </c>
      <c r="X11" s="7">
        <v>43.510590000000001</v>
      </c>
      <c r="Y11" s="7">
        <v>50</v>
      </c>
      <c r="Z11" s="7">
        <v>71.014556999999996</v>
      </c>
      <c r="AA11" s="7">
        <v>58.001213</v>
      </c>
      <c r="AB11" s="7">
        <v>38.667475000000003</v>
      </c>
      <c r="AC11" s="7">
        <v>50</v>
      </c>
      <c r="AD11" s="7">
        <v>63.355922</v>
      </c>
      <c r="AE11" s="7">
        <v>42.237282</v>
      </c>
      <c r="AF11" s="7">
        <v>50</v>
      </c>
      <c r="AG11" s="7">
        <v>57.961651000000003</v>
      </c>
      <c r="AH11" s="7">
        <v>67.719708999999995</v>
      </c>
      <c r="AI11" s="7">
        <v>38.641100000000002</v>
      </c>
      <c r="AJ11" s="7">
        <v>50</v>
      </c>
      <c r="AK11" s="7">
        <v>12.27</v>
      </c>
      <c r="AL11" s="7">
        <v>13.01</v>
      </c>
      <c r="AM11" s="7">
        <v>9.75</v>
      </c>
      <c r="AN11" s="7">
        <v>0.53480300000000003</v>
      </c>
      <c r="AO11" s="7">
        <v>53.480251000000003</v>
      </c>
      <c r="AP11" s="7">
        <v>100</v>
      </c>
      <c r="AQ11" s="7">
        <v>0.63475300000000001</v>
      </c>
      <c r="AR11" s="7">
        <v>63.475298000000002</v>
      </c>
      <c r="AS11" s="7">
        <v>100</v>
      </c>
      <c r="AT11" s="7">
        <v>0.51839199999999996</v>
      </c>
      <c r="AU11" s="7">
        <v>0.54596900000000004</v>
      </c>
      <c r="AV11" s="7">
        <v>51.839218000000002</v>
      </c>
      <c r="AW11" s="7">
        <v>100</v>
      </c>
      <c r="AX11" s="7">
        <v>0.59261600000000003</v>
      </c>
      <c r="AY11" s="7">
        <v>0.66331799999999996</v>
      </c>
      <c r="AZ11" s="7">
        <v>59.261634000000001</v>
      </c>
      <c r="BA11" s="7">
        <v>100</v>
      </c>
      <c r="BB11" s="7">
        <v>0.74666999999999994</v>
      </c>
      <c r="BC11" s="7">
        <v>37.333494000000002</v>
      </c>
      <c r="BD11" s="7">
        <v>50</v>
      </c>
      <c r="BE11" s="7">
        <v>0.51509899999999997</v>
      </c>
      <c r="BF11" s="7">
        <v>25.754971999999999</v>
      </c>
      <c r="BG11" s="7">
        <v>50</v>
      </c>
      <c r="BH11" s="7">
        <v>0</v>
      </c>
      <c r="BI11" s="7">
        <v>0.99639999999999995</v>
      </c>
      <c r="BJ11" s="7">
        <v>0.99407699999999999</v>
      </c>
      <c r="BK11" s="7">
        <v>0.99834599999999996</v>
      </c>
      <c r="BL11" s="7">
        <v>0.993699</v>
      </c>
      <c r="BM11" s="7">
        <v>0.98914100000000005</v>
      </c>
      <c r="BN11" s="7">
        <v>0.99751900000000004</v>
      </c>
      <c r="BO11" s="7">
        <v>0.98130799999999996</v>
      </c>
      <c r="BP11" s="7">
        <v>0.98630099999999998</v>
      </c>
      <c r="BQ11" s="7">
        <v>0.97714299999999998</v>
      </c>
      <c r="BR11" s="7">
        <v>5.6697999999999998E-2</v>
      </c>
      <c r="BS11" s="7">
        <v>48.660311</v>
      </c>
      <c r="BT11" s="7">
        <v>50</v>
      </c>
      <c r="BU11" s="7">
        <v>9.5560999999999993E-2</v>
      </c>
      <c r="BV11" s="7">
        <v>40.887793000000002</v>
      </c>
      <c r="BW11" s="7">
        <v>50</v>
      </c>
      <c r="BX11" s="7">
        <v>0.82325599999999999</v>
      </c>
      <c r="BY11" s="7">
        <v>50</v>
      </c>
      <c r="BZ11" s="7">
        <v>50</v>
      </c>
      <c r="CA11" s="7">
        <v>0.51937999999999995</v>
      </c>
      <c r="CB11" s="7">
        <v>34.625323000000002</v>
      </c>
      <c r="CC11" s="7">
        <v>50</v>
      </c>
      <c r="CD11" s="7">
        <v>0.95890399999999998</v>
      </c>
      <c r="CE11" s="7">
        <v>50</v>
      </c>
      <c r="CF11" s="7">
        <v>50</v>
      </c>
      <c r="CG11" s="7">
        <v>0.95049499999999998</v>
      </c>
      <c r="CH11" s="7">
        <v>100</v>
      </c>
      <c r="CI11" s="7">
        <v>100</v>
      </c>
      <c r="CJ11" s="7">
        <v>0</v>
      </c>
      <c r="CK11" s="7">
        <v>0.90434800000000004</v>
      </c>
      <c r="CL11" s="7">
        <v>96.207216000000003</v>
      </c>
      <c r="CM11" s="7">
        <v>100</v>
      </c>
      <c r="CN11" s="7">
        <v>0.753</v>
      </c>
      <c r="CO11" s="7">
        <v>100</v>
      </c>
      <c r="CP11" s="7">
        <v>100</v>
      </c>
      <c r="CQ11" s="7">
        <v>0.49393700000000001</v>
      </c>
      <c r="CR11" s="7">
        <v>0.95817200000000002</v>
      </c>
      <c r="CS11" s="7">
        <v>32.929130000000001</v>
      </c>
      <c r="CT11" s="7">
        <v>50</v>
      </c>
      <c r="CU11" s="7">
        <v>0.62931700000000002</v>
      </c>
      <c r="CV11" s="7">
        <v>50</v>
      </c>
      <c r="CW11" s="7">
        <v>50</v>
      </c>
      <c r="CX11" s="7">
        <v>0.90434800000000004</v>
      </c>
      <c r="CY11" s="7">
        <v>0.94</v>
      </c>
      <c r="CZ11" s="7">
        <v>3.5652000000000003E-2</v>
      </c>
      <c r="DA11" s="7">
        <v>15.389535</v>
      </c>
      <c r="DB11" s="7">
        <v>17.608319000000002</v>
      </c>
      <c r="DC11" s="7">
        <v>16.064022999999999</v>
      </c>
      <c r="DD11" s="7">
        <v>11.115401</v>
      </c>
      <c r="DE11" s="4" t="s">
        <v>124</v>
      </c>
      <c r="DF11" s="6"/>
      <c r="DG11" s="6"/>
      <c r="DH11" s="6"/>
      <c r="DI11" s="6"/>
      <c r="DJ11" s="4" t="s">
        <v>124</v>
      </c>
      <c r="DK11" s="4" t="s">
        <v>124</v>
      </c>
      <c r="DL11" s="4" t="s">
        <v>124</v>
      </c>
      <c r="DM11" s="4" t="s">
        <v>124</v>
      </c>
      <c r="DN11" s="4" t="s">
        <v>124</v>
      </c>
      <c r="DO11" s="4" t="s">
        <v>124</v>
      </c>
      <c r="DP11" s="6"/>
      <c r="DQ11" s="4" t="s">
        <v>125</v>
      </c>
    </row>
    <row r="12" spans="1:121" ht="20" customHeight="1" x14ac:dyDescent="0.15">
      <c r="A12" s="5">
        <v>2018</v>
      </c>
      <c r="B12" s="3" t="s">
        <v>135</v>
      </c>
      <c r="C12" s="4" t="str">
        <f t="shared" ref="C12:C360" si="11">"0400011"</f>
        <v>0400011</v>
      </c>
      <c r="D12" s="4" t="s">
        <v>122</v>
      </c>
      <c r="E12" s="4" t="str">
        <f t="shared" si="1"/>
        <v>0000000</v>
      </c>
      <c r="F12" s="4" t="s">
        <v>122</v>
      </c>
      <c r="G12" s="4" t="s">
        <v>122</v>
      </c>
      <c r="H12" s="4" t="s">
        <v>122</v>
      </c>
      <c r="I12" s="6"/>
      <c r="J12" s="4" t="s">
        <v>123</v>
      </c>
      <c r="K12" s="7">
        <v>1056.9619700000001</v>
      </c>
      <c r="L12" s="7">
        <v>1250</v>
      </c>
      <c r="M12" s="7">
        <v>84.556957999999995</v>
      </c>
      <c r="N12" s="4" t="s">
        <v>124</v>
      </c>
      <c r="O12" s="7">
        <v>0</v>
      </c>
      <c r="P12" s="7">
        <v>76.876070999999996</v>
      </c>
      <c r="Q12" s="7">
        <v>50</v>
      </c>
      <c r="R12" s="7">
        <v>50</v>
      </c>
      <c r="S12" s="7">
        <v>66.262873999999996</v>
      </c>
      <c r="T12" s="7">
        <v>75</v>
      </c>
      <c r="U12" s="7">
        <v>44.175249000000001</v>
      </c>
      <c r="V12" s="7">
        <v>50</v>
      </c>
      <c r="W12" s="7">
        <v>72.798158999999998</v>
      </c>
      <c r="X12" s="7">
        <v>48.532105999999999</v>
      </c>
      <c r="Y12" s="7">
        <v>50</v>
      </c>
      <c r="Z12" s="7">
        <v>75</v>
      </c>
      <c r="AA12" s="7">
        <v>60.117736000000001</v>
      </c>
      <c r="AB12" s="7">
        <v>40.078490000000002</v>
      </c>
      <c r="AC12" s="7">
        <v>50</v>
      </c>
      <c r="AD12" s="7">
        <v>78.456768999999994</v>
      </c>
      <c r="AE12" s="7">
        <v>50</v>
      </c>
      <c r="AF12" s="7">
        <v>50</v>
      </c>
      <c r="AG12" s="7">
        <v>70.4084</v>
      </c>
      <c r="AH12" s="7">
        <v>75</v>
      </c>
      <c r="AI12" s="7">
        <v>46.938932999999999</v>
      </c>
      <c r="AJ12" s="7">
        <v>50</v>
      </c>
      <c r="AK12" s="7">
        <v>8.73</v>
      </c>
      <c r="AL12" s="7">
        <v>14.88</v>
      </c>
      <c r="AM12" s="7">
        <v>4.59</v>
      </c>
      <c r="AN12" s="7">
        <v>0.72121500000000005</v>
      </c>
      <c r="AO12" s="7">
        <v>72.121544999999998</v>
      </c>
      <c r="AP12" s="7">
        <v>100</v>
      </c>
      <c r="AQ12" s="7">
        <v>0.71483799999999997</v>
      </c>
      <c r="AR12" s="7">
        <v>71.483777000000003</v>
      </c>
      <c r="AS12" s="7">
        <v>100</v>
      </c>
      <c r="AT12" s="7">
        <v>0.65553499999999998</v>
      </c>
      <c r="AU12" s="7">
        <v>0.74502400000000002</v>
      </c>
      <c r="AV12" s="7">
        <v>65.553532000000004</v>
      </c>
      <c r="AW12" s="7">
        <v>100</v>
      </c>
      <c r="AX12" s="7">
        <v>0.62971200000000005</v>
      </c>
      <c r="AY12" s="7">
        <v>0.74498600000000004</v>
      </c>
      <c r="AZ12" s="7">
        <v>62.971207</v>
      </c>
      <c r="BA12" s="7">
        <v>100</v>
      </c>
      <c r="BB12" s="4" t="s">
        <v>124</v>
      </c>
      <c r="BC12" s="4" t="s">
        <v>124</v>
      </c>
      <c r="BD12" s="4" t="s">
        <v>124</v>
      </c>
      <c r="BE12" s="4" t="s">
        <v>124</v>
      </c>
      <c r="BF12" s="4" t="s">
        <v>124</v>
      </c>
      <c r="BG12" s="4" t="s">
        <v>124</v>
      </c>
      <c r="BH12" s="7">
        <v>0</v>
      </c>
      <c r="BI12" s="7">
        <v>0.99556500000000003</v>
      </c>
      <c r="BJ12" s="7">
        <v>1</v>
      </c>
      <c r="BK12" s="7">
        <v>0.99363100000000004</v>
      </c>
      <c r="BL12" s="7">
        <v>0.993363</v>
      </c>
      <c r="BM12" s="7">
        <v>0.99270099999999994</v>
      </c>
      <c r="BN12" s="7">
        <v>0.99365099999999995</v>
      </c>
      <c r="BO12" s="7">
        <v>0.99019599999999997</v>
      </c>
      <c r="BP12" s="7">
        <v>1</v>
      </c>
      <c r="BQ12" s="7">
        <v>0.98666699999999996</v>
      </c>
      <c r="BR12" s="7">
        <v>5.7851E-2</v>
      </c>
      <c r="BS12" s="7">
        <v>48.429752000000001</v>
      </c>
      <c r="BT12" s="7">
        <v>50</v>
      </c>
      <c r="BU12" s="7">
        <v>0.142259</v>
      </c>
      <c r="BV12" s="7">
        <v>31.548117000000001</v>
      </c>
      <c r="BW12" s="7">
        <v>50</v>
      </c>
      <c r="BX12" s="7">
        <v>0.92366400000000004</v>
      </c>
      <c r="BY12" s="7">
        <v>50</v>
      </c>
      <c r="BZ12" s="7">
        <v>50</v>
      </c>
      <c r="CA12" s="7">
        <v>0.54961800000000005</v>
      </c>
      <c r="CB12" s="7">
        <v>36.641221000000002</v>
      </c>
      <c r="CC12" s="7">
        <v>50</v>
      </c>
      <c r="CD12" s="7">
        <v>0.98412699999999997</v>
      </c>
      <c r="CE12" s="7">
        <v>50</v>
      </c>
      <c r="CF12" s="7">
        <v>50</v>
      </c>
      <c r="CG12" s="7">
        <v>0.94915300000000002</v>
      </c>
      <c r="CH12" s="7">
        <v>100</v>
      </c>
      <c r="CI12" s="7">
        <v>100</v>
      </c>
      <c r="CJ12" s="7">
        <v>0</v>
      </c>
      <c r="CK12" s="4" t="s">
        <v>124</v>
      </c>
      <c r="CL12" s="4" t="s">
        <v>124</v>
      </c>
      <c r="CM12" s="4" t="s">
        <v>124</v>
      </c>
      <c r="CN12" s="7">
        <v>0.84199999999999997</v>
      </c>
      <c r="CO12" s="7">
        <v>100</v>
      </c>
      <c r="CP12" s="7">
        <v>100</v>
      </c>
      <c r="CQ12" s="7">
        <v>0.60363599999999995</v>
      </c>
      <c r="CR12" s="7">
        <v>0.98566299999999996</v>
      </c>
      <c r="CS12" s="7">
        <v>40.242424</v>
      </c>
      <c r="CT12" s="7">
        <v>50</v>
      </c>
      <c r="CU12" s="7">
        <v>0.57894699999999999</v>
      </c>
      <c r="CV12" s="7">
        <v>48.245614000000003</v>
      </c>
      <c r="CW12" s="7">
        <v>50</v>
      </c>
      <c r="CX12" s="4" t="s">
        <v>124</v>
      </c>
      <c r="CY12" s="4" t="s">
        <v>124</v>
      </c>
      <c r="CZ12" s="4" t="s">
        <v>124</v>
      </c>
      <c r="DA12" s="7">
        <v>15.389535</v>
      </c>
      <c r="DB12" s="7">
        <v>17.608319000000002</v>
      </c>
      <c r="DC12" s="7">
        <v>16.064022999999999</v>
      </c>
      <c r="DD12" s="7">
        <v>11.115401</v>
      </c>
      <c r="DE12" s="4" t="s">
        <v>124</v>
      </c>
      <c r="DF12" s="6"/>
      <c r="DG12" s="6"/>
      <c r="DH12" s="6"/>
      <c r="DI12" s="6"/>
      <c r="DJ12" s="4" t="s">
        <v>124</v>
      </c>
      <c r="DK12" s="4" t="s">
        <v>124</v>
      </c>
      <c r="DL12" s="4" t="s">
        <v>124</v>
      </c>
      <c r="DM12" s="4" t="s">
        <v>124</v>
      </c>
      <c r="DN12" s="4" t="s">
        <v>124</v>
      </c>
      <c r="DO12" s="4" t="s">
        <v>124</v>
      </c>
      <c r="DP12" s="6"/>
      <c r="DQ12" s="4" t="s">
        <v>125</v>
      </c>
    </row>
    <row r="13" spans="1:121" ht="20" customHeight="1" x14ac:dyDescent="0.15">
      <c r="A13" s="5">
        <v>2018</v>
      </c>
      <c r="B13" s="3" t="s">
        <v>136</v>
      </c>
      <c r="C13" s="4" t="str">
        <f t="shared" ref="C13:C658" si="12">"0910011"</f>
        <v>0910011</v>
      </c>
      <c r="D13" s="4" t="s">
        <v>122</v>
      </c>
      <c r="E13" s="4" t="str">
        <f t="shared" si="1"/>
        <v>0000000</v>
      </c>
      <c r="F13" s="4" t="s">
        <v>122</v>
      </c>
      <c r="G13" s="4" t="s">
        <v>122</v>
      </c>
      <c r="H13" s="4" t="s">
        <v>122</v>
      </c>
      <c r="I13" s="6"/>
      <c r="J13" s="4" t="s">
        <v>123</v>
      </c>
      <c r="K13" s="7">
        <v>1161.613049</v>
      </c>
      <c r="L13" s="7">
        <v>1450</v>
      </c>
      <c r="M13" s="7">
        <v>80.111244999999997</v>
      </c>
      <c r="N13" s="4" t="s">
        <v>124</v>
      </c>
      <c r="O13" s="7">
        <v>0</v>
      </c>
      <c r="P13" s="7">
        <v>75.060104999999993</v>
      </c>
      <c r="Q13" s="7">
        <v>50</v>
      </c>
      <c r="R13" s="7">
        <v>50</v>
      </c>
      <c r="S13" s="7">
        <v>63.934806999999999</v>
      </c>
      <c r="T13" s="7">
        <v>75</v>
      </c>
      <c r="U13" s="7">
        <v>42.623204999999999</v>
      </c>
      <c r="V13" s="7">
        <v>50</v>
      </c>
      <c r="W13" s="7">
        <v>71.488220999999996</v>
      </c>
      <c r="X13" s="7">
        <v>47.658814</v>
      </c>
      <c r="Y13" s="7">
        <v>50</v>
      </c>
      <c r="Z13" s="7">
        <v>75</v>
      </c>
      <c r="AA13" s="7">
        <v>60.157566000000003</v>
      </c>
      <c r="AB13" s="7">
        <v>40.105043999999999</v>
      </c>
      <c r="AC13" s="7">
        <v>50</v>
      </c>
      <c r="AD13" s="7">
        <v>68.561700000000002</v>
      </c>
      <c r="AE13" s="7">
        <v>45.707799999999999</v>
      </c>
      <c r="AF13" s="7">
        <v>50</v>
      </c>
      <c r="AG13" s="7">
        <v>59.754306999999997</v>
      </c>
      <c r="AH13" s="7">
        <v>71.466014000000001</v>
      </c>
      <c r="AI13" s="7">
        <v>39.836205</v>
      </c>
      <c r="AJ13" s="7">
        <v>50</v>
      </c>
      <c r="AK13" s="7">
        <v>11.06</v>
      </c>
      <c r="AL13" s="7">
        <v>14.84</v>
      </c>
      <c r="AM13" s="7">
        <v>11.71</v>
      </c>
      <c r="AN13" s="7">
        <v>0.62107299999999999</v>
      </c>
      <c r="AO13" s="7">
        <v>62.107295999999998</v>
      </c>
      <c r="AP13" s="7">
        <v>100</v>
      </c>
      <c r="AQ13" s="7">
        <v>0.65481999999999996</v>
      </c>
      <c r="AR13" s="7">
        <v>65.481983</v>
      </c>
      <c r="AS13" s="7">
        <v>100</v>
      </c>
      <c r="AT13" s="7">
        <v>0.485238</v>
      </c>
      <c r="AU13" s="7">
        <v>0.66594500000000001</v>
      </c>
      <c r="AV13" s="7">
        <v>48.523815999999997</v>
      </c>
      <c r="AW13" s="7">
        <v>100</v>
      </c>
      <c r="AX13" s="7">
        <v>0.53577699999999995</v>
      </c>
      <c r="AY13" s="7">
        <v>0.69421500000000003</v>
      </c>
      <c r="AZ13" s="7">
        <v>53.577706999999997</v>
      </c>
      <c r="BA13" s="7">
        <v>100</v>
      </c>
      <c r="BB13" s="7">
        <v>0.65825699999999998</v>
      </c>
      <c r="BC13" s="7">
        <v>32.912852999999998</v>
      </c>
      <c r="BD13" s="7">
        <v>50</v>
      </c>
      <c r="BE13" s="7">
        <v>0.62696499999999999</v>
      </c>
      <c r="BF13" s="7">
        <v>31.348272000000001</v>
      </c>
      <c r="BG13" s="7">
        <v>50</v>
      </c>
      <c r="BH13" s="7">
        <v>1</v>
      </c>
      <c r="BI13" s="7">
        <v>0.984707</v>
      </c>
      <c r="BJ13" s="7">
        <v>0.96551699999999996</v>
      </c>
      <c r="BK13" s="7">
        <v>0.99184099999999997</v>
      </c>
      <c r="BL13" s="7">
        <v>0.98215799999999998</v>
      </c>
      <c r="BM13" s="7">
        <v>0.96238199999999996</v>
      </c>
      <c r="BN13" s="7">
        <v>0.98951</v>
      </c>
      <c r="BO13" s="7">
        <v>0.97868200000000005</v>
      </c>
      <c r="BP13" s="7">
        <v>0.93984999999999996</v>
      </c>
      <c r="BQ13" s="7">
        <v>0.99216700000000002</v>
      </c>
      <c r="BR13" s="7">
        <v>3.8550000000000001E-2</v>
      </c>
      <c r="BS13" s="7">
        <v>50</v>
      </c>
      <c r="BT13" s="7">
        <v>50</v>
      </c>
      <c r="BU13" s="7">
        <v>6.3414999999999999E-2</v>
      </c>
      <c r="BV13" s="7">
        <v>47.317073000000001</v>
      </c>
      <c r="BW13" s="7">
        <v>50</v>
      </c>
      <c r="BX13" s="7">
        <v>0.97607699999999997</v>
      </c>
      <c r="BY13" s="7">
        <v>50</v>
      </c>
      <c r="BZ13" s="7">
        <v>50</v>
      </c>
      <c r="CA13" s="7">
        <v>0.62679399999999996</v>
      </c>
      <c r="CB13" s="7">
        <v>41.786284000000002</v>
      </c>
      <c r="CC13" s="7">
        <v>50</v>
      </c>
      <c r="CD13" s="7">
        <v>0.96666700000000005</v>
      </c>
      <c r="CE13" s="7">
        <v>50</v>
      </c>
      <c r="CF13" s="7">
        <v>50</v>
      </c>
      <c r="CG13" s="7">
        <v>0.96601899999999996</v>
      </c>
      <c r="CH13" s="7">
        <v>100</v>
      </c>
      <c r="CI13" s="7">
        <v>100</v>
      </c>
      <c r="CJ13" s="7">
        <v>0</v>
      </c>
      <c r="CK13" s="7">
        <v>0.87234</v>
      </c>
      <c r="CL13" s="7">
        <v>92.802172999999996</v>
      </c>
      <c r="CM13" s="7">
        <v>100</v>
      </c>
      <c r="CN13" s="7">
        <v>0.83199999999999996</v>
      </c>
      <c r="CO13" s="7">
        <v>100</v>
      </c>
      <c r="CP13" s="7">
        <v>100</v>
      </c>
      <c r="CQ13" s="7">
        <v>0.61320799999999998</v>
      </c>
      <c r="CR13" s="7">
        <v>0.96363600000000005</v>
      </c>
      <c r="CS13" s="7">
        <v>40.880502999999997</v>
      </c>
      <c r="CT13" s="7">
        <v>50</v>
      </c>
      <c r="CU13" s="7">
        <v>0.34732800000000003</v>
      </c>
      <c r="CV13" s="7">
        <v>28.944019999999998</v>
      </c>
      <c r="CW13" s="7">
        <v>50</v>
      </c>
      <c r="CX13" s="7">
        <v>0.87234</v>
      </c>
      <c r="CY13" s="7">
        <v>0.94</v>
      </c>
      <c r="CZ13" s="7">
        <v>6.7659999999999998E-2</v>
      </c>
      <c r="DA13" s="7">
        <v>15.389535</v>
      </c>
      <c r="DB13" s="7">
        <v>17.608319000000002</v>
      </c>
      <c r="DC13" s="7">
        <v>16.064022999999999</v>
      </c>
      <c r="DD13" s="7">
        <v>11.115401</v>
      </c>
      <c r="DE13" s="4" t="s">
        <v>124</v>
      </c>
      <c r="DF13" s="6"/>
      <c r="DG13" s="6"/>
      <c r="DH13" s="6"/>
      <c r="DI13" s="6"/>
      <c r="DJ13" s="4" t="s">
        <v>124</v>
      </c>
      <c r="DK13" s="4" t="s">
        <v>124</v>
      </c>
      <c r="DL13" s="4" t="s">
        <v>124</v>
      </c>
      <c r="DM13" s="4" t="s">
        <v>124</v>
      </c>
      <c r="DN13" s="4" t="s">
        <v>124</v>
      </c>
      <c r="DO13" s="4" t="s">
        <v>124</v>
      </c>
      <c r="DP13" s="6"/>
      <c r="DQ13" s="4" t="s">
        <v>125</v>
      </c>
    </row>
    <row r="14" spans="1:121" ht="20" customHeight="1" x14ac:dyDescent="0.15">
      <c r="A14" s="5">
        <v>2018</v>
      </c>
      <c r="B14" s="3" t="s">
        <v>137</v>
      </c>
      <c r="C14" s="4" t="str">
        <f t="shared" ref="C14:C607" si="13">"0840011"</f>
        <v>0840011</v>
      </c>
      <c r="D14" s="4" t="s">
        <v>122</v>
      </c>
      <c r="E14" s="4" t="str">
        <f t="shared" si="1"/>
        <v>0000000</v>
      </c>
      <c r="F14" s="4" t="s">
        <v>122</v>
      </c>
      <c r="G14" s="4" t="s">
        <v>122</v>
      </c>
      <c r="H14" s="4" t="s">
        <v>122</v>
      </c>
      <c r="I14" s="6"/>
      <c r="J14" s="4" t="s">
        <v>123</v>
      </c>
      <c r="K14" s="7">
        <v>1183.6863109999999</v>
      </c>
      <c r="L14" s="7">
        <v>1450</v>
      </c>
      <c r="M14" s="7">
        <v>81.633538999999999</v>
      </c>
      <c r="N14" s="4" t="s">
        <v>124</v>
      </c>
      <c r="O14" s="7">
        <v>0</v>
      </c>
      <c r="P14" s="7">
        <v>72.515894000000003</v>
      </c>
      <c r="Q14" s="7">
        <v>48.343929000000003</v>
      </c>
      <c r="R14" s="7">
        <v>50</v>
      </c>
      <c r="S14" s="7">
        <v>64.806811999999994</v>
      </c>
      <c r="T14" s="7">
        <v>75</v>
      </c>
      <c r="U14" s="7">
        <v>43.204540999999999</v>
      </c>
      <c r="V14" s="7">
        <v>50</v>
      </c>
      <c r="W14" s="7">
        <v>68.998130000000003</v>
      </c>
      <c r="X14" s="7">
        <v>45.998753000000001</v>
      </c>
      <c r="Y14" s="7">
        <v>50</v>
      </c>
      <c r="Z14" s="7">
        <v>74.389920000000004</v>
      </c>
      <c r="AA14" s="7">
        <v>60.183548000000002</v>
      </c>
      <c r="AB14" s="7">
        <v>40.122366</v>
      </c>
      <c r="AC14" s="7">
        <v>50</v>
      </c>
      <c r="AD14" s="7">
        <v>67.188962000000004</v>
      </c>
      <c r="AE14" s="7">
        <v>44.792642000000001</v>
      </c>
      <c r="AF14" s="7">
        <v>50</v>
      </c>
      <c r="AG14" s="7">
        <v>59.875647999999998</v>
      </c>
      <c r="AH14" s="7">
        <v>71.623323999999997</v>
      </c>
      <c r="AI14" s="7">
        <v>39.917098000000003</v>
      </c>
      <c r="AJ14" s="7">
        <v>50</v>
      </c>
      <c r="AK14" s="7">
        <v>10.19</v>
      </c>
      <c r="AL14" s="7">
        <v>14.2</v>
      </c>
      <c r="AM14" s="7">
        <v>11.74</v>
      </c>
      <c r="AN14" s="7">
        <v>0.66559699999999999</v>
      </c>
      <c r="AO14" s="7">
        <v>66.559701000000004</v>
      </c>
      <c r="AP14" s="7">
        <v>100</v>
      </c>
      <c r="AQ14" s="7">
        <v>0.65282499999999999</v>
      </c>
      <c r="AR14" s="7">
        <v>65.282526000000004</v>
      </c>
      <c r="AS14" s="7">
        <v>100</v>
      </c>
      <c r="AT14" s="7">
        <v>0.64872600000000002</v>
      </c>
      <c r="AU14" s="7">
        <v>0.67488400000000004</v>
      </c>
      <c r="AV14" s="7">
        <v>64.872590000000002</v>
      </c>
      <c r="AW14" s="7">
        <v>100</v>
      </c>
      <c r="AX14" s="7">
        <v>0.59792699999999999</v>
      </c>
      <c r="AY14" s="7">
        <v>0.68286400000000003</v>
      </c>
      <c r="AZ14" s="7">
        <v>59.792743999999999</v>
      </c>
      <c r="BA14" s="7">
        <v>100</v>
      </c>
      <c r="BB14" s="7">
        <v>0.80769100000000005</v>
      </c>
      <c r="BC14" s="7">
        <v>40.384535999999997</v>
      </c>
      <c r="BD14" s="7">
        <v>50</v>
      </c>
      <c r="BE14" s="7">
        <v>0.59214599999999995</v>
      </c>
      <c r="BF14" s="7">
        <v>29.607296000000002</v>
      </c>
      <c r="BG14" s="7">
        <v>50</v>
      </c>
      <c r="BH14" s="7">
        <v>0</v>
      </c>
      <c r="BI14" s="7">
        <v>0.97092599999999996</v>
      </c>
      <c r="BJ14" s="7">
        <v>0.96715600000000002</v>
      </c>
      <c r="BK14" s="7">
        <v>0.97334799999999999</v>
      </c>
      <c r="BL14" s="7">
        <v>0.972279</v>
      </c>
      <c r="BM14" s="7">
        <v>0.96629200000000004</v>
      </c>
      <c r="BN14" s="7">
        <v>0.97612399999999999</v>
      </c>
      <c r="BO14" s="7">
        <v>0.95759399999999995</v>
      </c>
      <c r="BP14" s="7">
        <v>0.95381499999999997</v>
      </c>
      <c r="BQ14" s="7">
        <v>0.95994999999999997</v>
      </c>
      <c r="BR14" s="7">
        <v>8.3996000000000001E-2</v>
      </c>
      <c r="BS14" s="7">
        <v>43.200740000000003</v>
      </c>
      <c r="BT14" s="7">
        <v>50</v>
      </c>
      <c r="BU14" s="7">
        <v>0.13964399999999999</v>
      </c>
      <c r="BV14" s="7">
        <v>32.071129999999997</v>
      </c>
      <c r="BW14" s="7">
        <v>50</v>
      </c>
      <c r="BX14" s="7">
        <v>0.90311799999999998</v>
      </c>
      <c r="BY14" s="7">
        <v>50</v>
      </c>
      <c r="BZ14" s="7">
        <v>50</v>
      </c>
      <c r="CA14" s="7">
        <v>0.51893100000000003</v>
      </c>
      <c r="CB14" s="7">
        <v>34.595396999999998</v>
      </c>
      <c r="CC14" s="7">
        <v>50</v>
      </c>
      <c r="CD14" s="7">
        <v>0.92181999999999997</v>
      </c>
      <c r="CE14" s="7">
        <v>49.032995</v>
      </c>
      <c r="CF14" s="7">
        <v>50</v>
      </c>
      <c r="CG14" s="7">
        <v>0.93135000000000001</v>
      </c>
      <c r="CH14" s="7">
        <v>99.079798999999994</v>
      </c>
      <c r="CI14" s="7">
        <v>100</v>
      </c>
      <c r="CJ14" s="7">
        <v>0</v>
      </c>
      <c r="CK14" s="7">
        <v>0.92432400000000003</v>
      </c>
      <c r="CL14" s="7">
        <v>98.332374999999999</v>
      </c>
      <c r="CM14" s="7">
        <v>100</v>
      </c>
      <c r="CN14" s="7">
        <v>0.747</v>
      </c>
      <c r="CO14" s="7">
        <v>99.539170999999996</v>
      </c>
      <c r="CP14" s="7">
        <v>100</v>
      </c>
      <c r="CQ14" s="7">
        <v>0.68632099999999996</v>
      </c>
      <c r="CR14" s="7">
        <v>0.96254300000000004</v>
      </c>
      <c r="CS14" s="7">
        <v>45.754716999999999</v>
      </c>
      <c r="CT14" s="7">
        <v>50</v>
      </c>
      <c r="CU14" s="7">
        <v>0.51841499999999996</v>
      </c>
      <c r="CV14" s="7">
        <v>43.201264999999999</v>
      </c>
      <c r="CW14" s="7">
        <v>50</v>
      </c>
      <c r="CX14" s="7">
        <v>0.92432400000000003</v>
      </c>
      <c r="CY14" s="7">
        <v>0.94</v>
      </c>
      <c r="CZ14" s="7">
        <v>1.5675999999999999E-2</v>
      </c>
      <c r="DA14" s="7">
        <v>15.389535</v>
      </c>
      <c r="DB14" s="7">
        <v>17.608319000000002</v>
      </c>
      <c r="DC14" s="7">
        <v>16.064022999999999</v>
      </c>
      <c r="DD14" s="7">
        <v>11.115401</v>
      </c>
      <c r="DE14" s="4" t="s">
        <v>124</v>
      </c>
      <c r="DF14" s="6"/>
      <c r="DG14" s="6"/>
      <c r="DH14" s="6"/>
      <c r="DI14" s="6"/>
      <c r="DJ14" s="4" t="s">
        <v>124</v>
      </c>
      <c r="DK14" s="4" t="s">
        <v>124</v>
      </c>
      <c r="DL14" s="4" t="s">
        <v>124</v>
      </c>
      <c r="DM14" s="4" t="s">
        <v>124</v>
      </c>
      <c r="DN14" s="4" t="s">
        <v>124</v>
      </c>
      <c r="DO14" s="4" t="s">
        <v>124</v>
      </c>
      <c r="DP14" s="6"/>
      <c r="DQ14" s="4" t="s">
        <v>125</v>
      </c>
    </row>
    <row r="15" spans="1:121" ht="20" customHeight="1" x14ac:dyDescent="0.15">
      <c r="A15" s="5">
        <v>2018</v>
      </c>
      <c r="B15" s="3" t="s">
        <v>138</v>
      </c>
      <c r="C15" s="4" t="str">
        <f t="shared" ref="C15:C1067" si="14">"1640011"</f>
        <v>1640011</v>
      </c>
      <c r="D15" s="4" t="s">
        <v>122</v>
      </c>
      <c r="E15" s="4" t="str">
        <f t="shared" si="1"/>
        <v>0000000</v>
      </c>
      <c r="F15" s="4" t="s">
        <v>122</v>
      </c>
      <c r="G15" s="4" t="s">
        <v>122</v>
      </c>
      <c r="H15" s="4" t="s">
        <v>122</v>
      </c>
      <c r="I15" s="6"/>
      <c r="J15" s="4" t="s">
        <v>123</v>
      </c>
      <c r="K15" s="7">
        <v>1100.011078</v>
      </c>
      <c r="L15" s="7">
        <v>1450</v>
      </c>
      <c r="M15" s="7">
        <v>75.862832999999995</v>
      </c>
      <c r="N15" s="4" t="s">
        <v>124</v>
      </c>
      <c r="O15" s="7">
        <v>0</v>
      </c>
      <c r="P15" s="7">
        <v>62.454608</v>
      </c>
      <c r="Q15" s="7">
        <v>41.636405000000003</v>
      </c>
      <c r="R15" s="7">
        <v>50</v>
      </c>
      <c r="S15" s="7">
        <v>55.503914999999999</v>
      </c>
      <c r="T15" s="7">
        <v>70.163392000000002</v>
      </c>
      <c r="U15" s="7">
        <v>37.002609999999997</v>
      </c>
      <c r="V15" s="7">
        <v>50</v>
      </c>
      <c r="W15" s="7">
        <v>60.203839000000002</v>
      </c>
      <c r="X15" s="7">
        <v>40.135891999999998</v>
      </c>
      <c r="Y15" s="7">
        <v>50</v>
      </c>
      <c r="Z15" s="7">
        <v>68.086701000000005</v>
      </c>
      <c r="AA15" s="7">
        <v>53.073517000000002</v>
      </c>
      <c r="AB15" s="7">
        <v>35.382345000000001</v>
      </c>
      <c r="AC15" s="7">
        <v>50</v>
      </c>
      <c r="AD15" s="7">
        <v>61.978107999999999</v>
      </c>
      <c r="AE15" s="7">
        <v>41.318739000000001</v>
      </c>
      <c r="AF15" s="7">
        <v>50</v>
      </c>
      <c r="AG15" s="7">
        <v>55.114773999999997</v>
      </c>
      <c r="AH15" s="7">
        <v>69.382774999999995</v>
      </c>
      <c r="AI15" s="7">
        <v>36.743183000000002</v>
      </c>
      <c r="AJ15" s="7">
        <v>50</v>
      </c>
      <c r="AK15" s="7">
        <v>14.65</v>
      </c>
      <c r="AL15" s="7">
        <v>15.01</v>
      </c>
      <c r="AM15" s="7">
        <v>14.26</v>
      </c>
      <c r="AN15" s="7">
        <v>0.607518</v>
      </c>
      <c r="AO15" s="7">
        <v>60.751815000000001</v>
      </c>
      <c r="AP15" s="7">
        <v>100</v>
      </c>
      <c r="AQ15" s="7">
        <v>0.72860000000000003</v>
      </c>
      <c r="AR15" s="7">
        <v>72.859954000000002</v>
      </c>
      <c r="AS15" s="7">
        <v>100</v>
      </c>
      <c r="AT15" s="7">
        <v>0.58519600000000005</v>
      </c>
      <c r="AU15" s="7">
        <v>0.62890699999999999</v>
      </c>
      <c r="AV15" s="7">
        <v>58.519606000000003</v>
      </c>
      <c r="AW15" s="7">
        <v>100</v>
      </c>
      <c r="AX15" s="7">
        <v>0.68906500000000004</v>
      </c>
      <c r="AY15" s="7">
        <v>0.76632</v>
      </c>
      <c r="AZ15" s="7">
        <v>68.906535000000005</v>
      </c>
      <c r="BA15" s="7">
        <v>100</v>
      </c>
      <c r="BB15" s="7">
        <v>0.53636399999999995</v>
      </c>
      <c r="BC15" s="7">
        <v>26.818194999999999</v>
      </c>
      <c r="BD15" s="7">
        <v>50</v>
      </c>
      <c r="BE15" s="7">
        <v>0.618896</v>
      </c>
      <c r="BF15" s="7">
        <v>30.944776999999998</v>
      </c>
      <c r="BG15" s="7">
        <v>50</v>
      </c>
      <c r="BH15" s="7">
        <v>0</v>
      </c>
      <c r="BI15" s="7">
        <v>0.97721999999999998</v>
      </c>
      <c r="BJ15" s="7">
        <v>0.96432399999999996</v>
      </c>
      <c r="BK15" s="7">
        <v>0.99237600000000004</v>
      </c>
      <c r="BL15" s="7">
        <v>0.97194599999999998</v>
      </c>
      <c r="BM15" s="7">
        <v>0.95675699999999997</v>
      </c>
      <c r="BN15" s="7">
        <v>0.98982199999999998</v>
      </c>
      <c r="BO15" s="7">
        <v>0.97096000000000005</v>
      </c>
      <c r="BP15" s="7">
        <v>0.95316199999999995</v>
      </c>
      <c r="BQ15" s="7">
        <v>0.99178100000000002</v>
      </c>
      <c r="BR15" s="7">
        <v>9.6543000000000004E-2</v>
      </c>
      <c r="BS15" s="7">
        <v>40.691372999999999</v>
      </c>
      <c r="BT15" s="7">
        <v>50</v>
      </c>
      <c r="BU15" s="7">
        <v>0.145981</v>
      </c>
      <c r="BV15" s="7">
        <v>30.803782999999999</v>
      </c>
      <c r="BW15" s="7">
        <v>50</v>
      </c>
      <c r="BX15" s="7">
        <v>0.71803300000000003</v>
      </c>
      <c r="BY15" s="7">
        <v>47.868851999999997</v>
      </c>
      <c r="BZ15" s="7">
        <v>50</v>
      </c>
      <c r="CA15" s="7">
        <v>0.30163899999999999</v>
      </c>
      <c r="CB15" s="7">
        <v>20.109290000000001</v>
      </c>
      <c r="CC15" s="7">
        <v>50</v>
      </c>
      <c r="CD15" s="7">
        <v>0.89215699999999998</v>
      </c>
      <c r="CE15" s="7">
        <v>47.455151999999998</v>
      </c>
      <c r="CF15" s="7">
        <v>50</v>
      </c>
      <c r="CG15" s="7">
        <v>0.89032299999999998</v>
      </c>
      <c r="CH15" s="7">
        <v>94.715168000000006</v>
      </c>
      <c r="CI15" s="7">
        <v>100</v>
      </c>
      <c r="CJ15" s="7">
        <v>0</v>
      </c>
      <c r="CK15" s="7">
        <v>0.86861299999999997</v>
      </c>
      <c r="CL15" s="7">
        <v>92.405653000000001</v>
      </c>
      <c r="CM15" s="7">
        <v>100</v>
      </c>
      <c r="CN15" s="7">
        <v>0.69299999999999995</v>
      </c>
      <c r="CO15" s="7">
        <v>92.413792999999998</v>
      </c>
      <c r="CP15" s="7">
        <v>100</v>
      </c>
      <c r="CQ15" s="7">
        <v>0.55084699999999998</v>
      </c>
      <c r="CR15" s="7">
        <v>0.91561599999999999</v>
      </c>
      <c r="CS15" s="7">
        <v>36.723163999999997</v>
      </c>
      <c r="CT15" s="7">
        <v>50</v>
      </c>
      <c r="CU15" s="7">
        <v>0.54965799999999998</v>
      </c>
      <c r="CV15" s="7">
        <v>45.804794999999999</v>
      </c>
      <c r="CW15" s="7">
        <v>50</v>
      </c>
      <c r="CX15" s="7">
        <v>0.86861299999999997</v>
      </c>
      <c r="CY15" s="7">
        <v>0.94</v>
      </c>
      <c r="CZ15" s="7">
        <v>7.1387000000000006E-2</v>
      </c>
      <c r="DA15" s="7">
        <v>15.389535</v>
      </c>
      <c r="DB15" s="7">
        <v>17.608319000000002</v>
      </c>
      <c r="DC15" s="7">
        <v>16.064022999999999</v>
      </c>
      <c r="DD15" s="7">
        <v>11.115401</v>
      </c>
      <c r="DE15" s="4" t="s">
        <v>124</v>
      </c>
      <c r="DF15" s="6"/>
      <c r="DG15" s="6"/>
      <c r="DH15" s="6"/>
      <c r="DI15" s="6"/>
      <c r="DJ15" s="4" t="s">
        <v>124</v>
      </c>
      <c r="DK15" s="4" t="s">
        <v>124</v>
      </c>
      <c r="DL15" s="4" t="s">
        <v>124</v>
      </c>
      <c r="DM15" s="4" t="s">
        <v>124</v>
      </c>
      <c r="DN15" s="4" t="s">
        <v>124</v>
      </c>
      <c r="DO15" s="4" t="s">
        <v>124</v>
      </c>
      <c r="DP15" s="6"/>
      <c r="DQ15" s="4" t="s">
        <v>125</v>
      </c>
    </row>
    <row r="16" spans="1:121" ht="20" customHeight="1" x14ac:dyDescent="0.15">
      <c r="A16" s="5">
        <v>2018</v>
      </c>
      <c r="B16" s="3" t="s">
        <v>139</v>
      </c>
      <c r="C16" s="4" t="str">
        <f t="shared" ref="C16:C292" si="15">"0190011"</f>
        <v>0190011</v>
      </c>
      <c r="D16" s="4" t="s">
        <v>122</v>
      </c>
      <c r="E16" s="4" t="str">
        <f t="shared" si="1"/>
        <v>0000000</v>
      </c>
      <c r="F16" s="4" t="s">
        <v>122</v>
      </c>
      <c r="G16" s="4" t="s">
        <v>122</v>
      </c>
      <c r="H16" s="4" t="s">
        <v>122</v>
      </c>
      <c r="I16" s="6"/>
      <c r="J16" s="4" t="s">
        <v>123</v>
      </c>
      <c r="K16" s="7">
        <v>671.32216200000005</v>
      </c>
      <c r="L16" s="7">
        <v>900</v>
      </c>
      <c r="M16" s="7">
        <v>74.591351000000003</v>
      </c>
      <c r="N16" s="4" t="s">
        <v>124</v>
      </c>
      <c r="O16" s="7">
        <v>0</v>
      </c>
      <c r="P16" s="7">
        <v>72.508628000000002</v>
      </c>
      <c r="Q16" s="7">
        <v>48.339086000000002</v>
      </c>
      <c r="R16" s="7">
        <v>50</v>
      </c>
      <c r="S16" s="7">
        <v>64.236901000000003</v>
      </c>
      <c r="T16" s="7">
        <v>75</v>
      </c>
      <c r="U16" s="7">
        <v>42.824601000000001</v>
      </c>
      <c r="V16" s="7">
        <v>50</v>
      </c>
      <c r="W16" s="7">
        <v>64.999433999999994</v>
      </c>
      <c r="X16" s="7">
        <v>43.332956000000003</v>
      </c>
      <c r="Y16" s="7">
        <v>50</v>
      </c>
      <c r="Z16" s="7">
        <v>71.904079999999993</v>
      </c>
      <c r="AA16" s="7">
        <v>56.557198</v>
      </c>
      <c r="AB16" s="7">
        <v>37.704799000000001</v>
      </c>
      <c r="AC16" s="7">
        <v>50</v>
      </c>
      <c r="AD16" s="7">
        <v>74.399820000000005</v>
      </c>
      <c r="AE16" s="7">
        <v>49.599879999999999</v>
      </c>
      <c r="AF16" s="7">
        <v>50</v>
      </c>
      <c r="AG16" s="7">
        <v>65.005089999999996</v>
      </c>
      <c r="AH16" s="7">
        <v>75</v>
      </c>
      <c r="AI16" s="7">
        <v>43.336725999999999</v>
      </c>
      <c r="AJ16" s="7">
        <v>50</v>
      </c>
      <c r="AK16" s="7">
        <v>10.76</v>
      </c>
      <c r="AL16" s="7">
        <v>15.34</v>
      </c>
      <c r="AM16" s="7">
        <v>9.99</v>
      </c>
      <c r="AN16" s="7">
        <v>0.57562599999999997</v>
      </c>
      <c r="AO16" s="7">
        <v>57.562561000000002</v>
      </c>
      <c r="AP16" s="7">
        <v>100</v>
      </c>
      <c r="AQ16" s="7">
        <v>0.62151000000000001</v>
      </c>
      <c r="AR16" s="7">
        <v>62.150979</v>
      </c>
      <c r="AS16" s="7">
        <v>100</v>
      </c>
      <c r="AT16" s="7">
        <v>0.58350000000000002</v>
      </c>
      <c r="AU16" s="7">
        <v>0.570133</v>
      </c>
      <c r="AV16" s="7">
        <v>58.349952000000002</v>
      </c>
      <c r="AW16" s="7">
        <v>100</v>
      </c>
      <c r="AX16" s="7">
        <v>0.59641599999999995</v>
      </c>
      <c r="AY16" s="7">
        <v>0.63911600000000002</v>
      </c>
      <c r="AZ16" s="7">
        <v>59.641641</v>
      </c>
      <c r="BA16" s="7">
        <v>100</v>
      </c>
      <c r="BB16" s="4" t="s">
        <v>124</v>
      </c>
      <c r="BC16" s="4" t="s">
        <v>124</v>
      </c>
      <c r="BD16" s="4" t="s">
        <v>124</v>
      </c>
      <c r="BE16" s="4" t="s">
        <v>124</v>
      </c>
      <c r="BF16" s="4" t="s">
        <v>124</v>
      </c>
      <c r="BG16" s="4" t="s">
        <v>124</v>
      </c>
      <c r="BH16" s="7">
        <v>0</v>
      </c>
      <c r="BI16" s="7">
        <v>0.99631700000000001</v>
      </c>
      <c r="BJ16" s="7">
        <v>0.99187000000000003</v>
      </c>
      <c r="BK16" s="7">
        <v>1</v>
      </c>
      <c r="BL16" s="7">
        <v>0.99631700000000001</v>
      </c>
      <c r="BM16" s="7">
        <v>0.99187000000000003</v>
      </c>
      <c r="BN16" s="7">
        <v>1</v>
      </c>
      <c r="BO16" s="7">
        <v>0.995305</v>
      </c>
      <c r="BP16" s="7">
        <v>0.98734200000000005</v>
      </c>
      <c r="BQ16" s="7">
        <v>1</v>
      </c>
      <c r="BR16" s="7">
        <v>5.604E-2</v>
      </c>
      <c r="BS16" s="7">
        <v>48.792029999999997</v>
      </c>
      <c r="BT16" s="7">
        <v>50</v>
      </c>
      <c r="BU16" s="7">
        <v>0.102426</v>
      </c>
      <c r="BV16" s="7">
        <v>39.514825000000002</v>
      </c>
      <c r="BW16" s="7">
        <v>50</v>
      </c>
      <c r="BX16" s="4" t="s">
        <v>124</v>
      </c>
      <c r="BY16" s="4" t="s">
        <v>124</v>
      </c>
      <c r="BZ16" s="4" t="s">
        <v>124</v>
      </c>
      <c r="CA16" s="4" t="s">
        <v>124</v>
      </c>
      <c r="CB16" s="4" t="s">
        <v>124</v>
      </c>
      <c r="CC16" s="4" t="s">
        <v>124</v>
      </c>
      <c r="CD16" s="7">
        <v>0.915663</v>
      </c>
      <c r="CE16" s="7">
        <v>48.705460000000002</v>
      </c>
      <c r="CF16" s="7">
        <v>50</v>
      </c>
      <c r="CG16" s="4" t="s">
        <v>124</v>
      </c>
      <c r="CH16" s="4" t="s">
        <v>124</v>
      </c>
      <c r="CI16" s="4" t="s">
        <v>124</v>
      </c>
      <c r="CJ16" s="4" t="s">
        <v>124</v>
      </c>
      <c r="CK16" s="4" t="s">
        <v>124</v>
      </c>
      <c r="CL16" s="4" t="s">
        <v>124</v>
      </c>
      <c r="CM16" s="4" t="s">
        <v>124</v>
      </c>
      <c r="CN16" s="4" t="s">
        <v>124</v>
      </c>
      <c r="CO16" s="4" t="s">
        <v>124</v>
      </c>
      <c r="CP16" s="4" t="s">
        <v>124</v>
      </c>
      <c r="CQ16" s="7">
        <v>0.47199999999999998</v>
      </c>
      <c r="CR16" s="7">
        <v>0.93984999999999996</v>
      </c>
      <c r="CS16" s="7">
        <v>31.466667000000001</v>
      </c>
      <c r="CT16" s="7">
        <v>50</v>
      </c>
      <c r="CU16" s="4" t="s">
        <v>124</v>
      </c>
      <c r="CV16" s="4" t="s">
        <v>124</v>
      </c>
      <c r="CW16" s="4" t="s">
        <v>124</v>
      </c>
      <c r="CX16" s="4" t="s">
        <v>124</v>
      </c>
      <c r="CY16" s="4" t="s">
        <v>124</v>
      </c>
      <c r="CZ16" s="4" t="s">
        <v>124</v>
      </c>
      <c r="DA16" s="7">
        <v>15.389535</v>
      </c>
      <c r="DB16" s="7">
        <v>17.608319000000002</v>
      </c>
      <c r="DC16" s="7">
        <v>16.064022999999999</v>
      </c>
      <c r="DD16" s="4" t="s">
        <v>124</v>
      </c>
      <c r="DE16" s="4" t="s">
        <v>124</v>
      </c>
      <c r="DF16" s="6"/>
      <c r="DG16" s="6"/>
      <c r="DH16" s="6"/>
      <c r="DI16" s="6"/>
      <c r="DJ16" s="4" t="s">
        <v>124</v>
      </c>
      <c r="DK16" s="4" t="s">
        <v>124</v>
      </c>
      <c r="DL16" s="4" t="s">
        <v>124</v>
      </c>
      <c r="DM16" s="4" t="s">
        <v>124</v>
      </c>
      <c r="DN16" s="4" t="s">
        <v>124</v>
      </c>
      <c r="DO16" s="4" t="s">
        <v>124</v>
      </c>
      <c r="DP16" s="6"/>
      <c r="DQ16" s="4" t="s">
        <v>125</v>
      </c>
    </row>
    <row r="17" spans="1:121" ht="20" customHeight="1" x14ac:dyDescent="0.15">
      <c r="A17" s="5">
        <v>2018</v>
      </c>
      <c r="B17" s="3" t="s">
        <v>140</v>
      </c>
      <c r="C17" s="4" t="str">
        <f t="shared" ref="C17:C234" si="16">"0120011"</f>
        <v>0120011</v>
      </c>
      <c r="D17" s="4" t="s">
        <v>122</v>
      </c>
      <c r="E17" s="4" t="str">
        <f t="shared" si="1"/>
        <v>0000000</v>
      </c>
      <c r="F17" s="4" t="s">
        <v>122</v>
      </c>
      <c r="G17" s="4" t="s">
        <v>122</v>
      </c>
      <c r="H17" s="4" t="s">
        <v>122</v>
      </c>
      <c r="I17" s="6"/>
      <c r="J17" s="4" t="s">
        <v>123</v>
      </c>
      <c r="K17" s="7">
        <v>989.25786100000005</v>
      </c>
      <c r="L17" s="7">
        <v>1250</v>
      </c>
      <c r="M17" s="7">
        <v>79.140629000000004</v>
      </c>
      <c r="N17" s="4" t="s">
        <v>124</v>
      </c>
      <c r="O17" s="7">
        <v>1</v>
      </c>
      <c r="P17" s="7">
        <v>74.892921999999999</v>
      </c>
      <c r="Q17" s="7">
        <v>49.928615000000001</v>
      </c>
      <c r="R17" s="7">
        <v>50</v>
      </c>
      <c r="S17" s="7">
        <v>62.349843999999997</v>
      </c>
      <c r="T17" s="7">
        <v>75</v>
      </c>
      <c r="U17" s="7">
        <v>41.566561999999998</v>
      </c>
      <c r="V17" s="7">
        <v>50</v>
      </c>
      <c r="W17" s="7">
        <v>70.699254999999994</v>
      </c>
      <c r="X17" s="7">
        <v>47.132837000000002</v>
      </c>
      <c r="Y17" s="7">
        <v>50</v>
      </c>
      <c r="Z17" s="7">
        <v>75</v>
      </c>
      <c r="AA17" s="7">
        <v>57.37086</v>
      </c>
      <c r="AB17" s="7">
        <v>38.247239999999998</v>
      </c>
      <c r="AC17" s="7">
        <v>50</v>
      </c>
      <c r="AD17" s="7">
        <v>74.817374000000001</v>
      </c>
      <c r="AE17" s="7">
        <v>49.878248999999997</v>
      </c>
      <c r="AF17" s="7">
        <v>50</v>
      </c>
      <c r="AG17" s="7">
        <v>60.845556000000002</v>
      </c>
      <c r="AH17" s="7">
        <v>75</v>
      </c>
      <c r="AI17" s="7">
        <v>40.563704000000001</v>
      </c>
      <c r="AJ17" s="7">
        <v>50</v>
      </c>
      <c r="AK17" s="7">
        <v>12.65</v>
      </c>
      <c r="AL17" s="7">
        <v>17.62</v>
      </c>
      <c r="AM17" s="7">
        <v>14.15</v>
      </c>
      <c r="AN17" s="7">
        <v>0.58909100000000003</v>
      </c>
      <c r="AO17" s="7">
        <v>58.909056999999997</v>
      </c>
      <c r="AP17" s="7">
        <v>100</v>
      </c>
      <c r="AQ17" s="7">
        <v>0.61204700000000001</v>
      </c>
      <c r="AR17" s="7">
        <v>61.204704</v>
      </c>
      <c r="AS17" s="7">
        <v>100</v>
      </c>
      <c r="AT17" s="7">
        <v>0.52349299999999999</v>
      </c>
      <c r="AU17" s="7">
        <v>0.61576900000000001</v>
      </c>
      <c r="AV17" s="7">
        <v>52.349302000000002</v>
      </c>
      <c r="AW17" s="7">
        <v>100</v>
      </c>
      <c r="AX17" s="7">
        <v>0.49428899999999998</v>
      </c>
      <c r="AY17" s="7">
        <v>0.65937599999999996</v>
      </c>
      <c r="AZ17" s="7">
        <v>49.428927000000002</v>
      </c>
      <c r="BA17" s="7">
        <v>100</v>
      </c>
      <c r="BB17" s="4" t="s">
        <v>124</v>
      </c>
      <c r="BC17" s="4" t="s">
        <v>124</v>
      </c>
      <c r="BD17" s="4" t="s">
        <v>124</v>
      </c>
      <c r="BE17" s="4" t="s">
        <v>124</v>
      </c>
      <c r="BF17" s="4" t="s">
        <v>124</v>
      </c>
      <c r="BG17" s="4" t="s">
        <v>124</v>
      </c>
      <c r="BH17" s="7">
        <v>0</v>
      </c>
      <c r="BI17" s="7">
        <v>0.983294</v>
      </c>
      <c r="BJ17" s="7">
        <v>0.992537</v>
      </c>
      <c r="BK17" s="7">
        <v>0.97894700000000001</v>
      </c>
      <c r="BL17" s="7">
        <v>0.98090699999999997</v>
      </c>
      <c r="BM17" s="7">
        <v>0.98507500000000003</v>
      </c>
      <c r="BN17" s="7">
        <v>0.97894700000000001</v>
      </c>
      <c r="BO17" s="7">
        <v>0.98958299999999999</v>
      </c>
      <c r="BP17" s="7">
        <v>0.98360700000000001</v>
      </c>
      <c r="BQ17" s="7">
        <v>0.99236599999999997</v>
      </c>
      <c r="BR17" s="7">
        <v>5.0518E-2</v>
      </c>
      <c r="BS17" s="7">
        <v>49.896372999999997</v>
      </c>
      <c r="BT17" s="7">
        <v>50</v>
      </c>
      <c r="BU17" s="7">
        <v>0.130435</v>
      </c>
      <c r="BV17" s="7">
        <v>33.913043000000002</v>
      </c>
      <c r="BW17" s="7">
        <v>50</v>
      </c>
      <c r="BX17" s="7">
        <v>0.76800000000000002</v>
      </c>
      <c r="BY17" s="7">
        <v>50</v>
      </c>
      <c r="BZ17" s="7">
        <v>50</v>
      </c>
      <c r="CA17" s="7">
        <v>0.504</v>
      </c>
      <c r="CB17" s="7">
        <v>33.6</v>
      </c>
      <c r="CC17" s="7">
        <v>50</v>
      </c>
      <c r="CD17" s="7">
        <v>0.96183200000000002</v>
      </c>
      <c r="CE17" s="7">
        <v>50</v>
      </c>
      <c r="CF17" s="7">
        <v>50</v>
      </c>
      <c r="CG17" s="7">
        <v>0.97499999999999998</v>
      </c>
      <c r="CH17" s="7">
        <v>100</v>
      </c>
      <c r="CI17" s="7">
        <v>100</v>
      </c>
      <c r="CJ17" s="7">
        <v>0</v>
      </c>
      <c r="CK17" s="4" t="s">
        <v>124</v>
      </c>
      <c r="CL17" s="4" t="s">
        <v>124</v>
      </c>
      <c r="CM17" s="4" t="s">
        <v>124</v>
      </c>
      <c r="CN17" s="7">
        <v>0.84799999999999998</v>
      </c>
      <c r="CO17" s="7">
        <v>100</v>
      </c>
      <c r="CP17" s="7">
        <v>100</v>
      </c>
      <c r="CQ17" s="7">
        <v>0.50204099999999996</v>
      </c>
      <c r="CR17" s="7">
        <v>0.96456699999999995</v>
      </c>
      <c r="CS17" s="7">
        <v>33.469388000000002</v>
      </c>
      <c r="CT17" s="7">
        <v>50</v>
      </c>
      <c r="CU17" s="7">
        <v>0.59003799999999995</v>
      </c>
      <c r="CV17" s="7">
        <v>49.16986</v>
      </c>
      <c r="CW17" s="7">
        <v>50</v>
      </c>
      <c r="CX17" s="4" t="s">
        <v>124</v>
      </c>
      <c r="CY17" s="4" t="s">
        <v>124</v>
      </c>
      <c r="CZ17" s="4" t="s">
        <v>124</v>
      </c>
      <c r="DA17" s="7">
        <v>15.389535</v>
      </c>
      <c r="DB17" s="7">
        <v>17.608319000000002</v>
      </c>
      <c r="DC17" s="7">
        <v>16.064022999999999</v>
      </c>
      <c r="DD17" s="7">
        <v>11.115401</v>
      </c>
      <c r="DE17" s="4" t="s">
        <v>124</v>
      </c>
      <c r="DF17" s="6"/>
      <c r="DG17" s="6"/>
      <c r="DH17" s="6"/>
      <c r="DI17" s="6"/>
      <c r="DJ17" s="4" t="s">
        <v>124</v>
      </c>
      <c r="DK17" s="4" t="s">
        <v>124</v>
      </c>
      <c r="DL17" s="4" t="s">
        <v>124</v>
      </c>
      <c r="DM17" s="4" t="s">
        <v>124</v>
      </c>
      <c r="DN17" s="4" t="s">
        <v>124</v>
      </c>
      <c r="DO17" s="4" t="s">
        <v>124</v>
      </c>
      <c r="DP17" s="6"/>
      <c r="DQ17" s="4" t="s">
        <v>125</v>
      </c>
    </row>
    <row r="18" spans="1:121" ht="20" customHeight="1" x14ac:dyDescent="0.15">
      <c r="A18" s="5">
        <v>2018</v>
      </c>
      <c r="B18" s="3" t="s">
        <v>141</v>
      </c>
      <c r="C18" s="4" t="str">
        <f t="shared" ref="C18:C625" si="17">"0860011"</f>
        <v>0860011</v>
      </c>
      <c r="D18" s="4" t="s">
        <v>122</v>
      </c>
      <c r="E18" s="4" t="str">
        <f t="shared" si="1"/>
        <v>0000000</v>
      </c>
      <c r="F18" s="4" t="s">
        <v>122</v>
      </c>
      <c r="G18" s="4" t="s">
        <v>122</v>
      </c>
      <c r="H18" s="4" t="s">
        <v>122</v>
      </c>
      <c r="I18" s="6"/>
      <c r="J18" s="4" t="s">
        <v>123</v>
      </c>
      <c r="K18" s="7">
        <v>1129.627659</v>
      </c>
      <c r="L18" s="7">
        <v>1450</v>
      </c>
      <c r="M18" s="7">
        <v>77.905355999999998</v>
      </c>
      <c r="N18" s="4" t="s">
        <v>124</v>
      </c>
      <c r="O18" s="7">
        <v>0</v>
      </c>
      <c r="P18" s="7">
        <v>71.048777000000001</v>
      </c>
      <c r="Q18" s="7">
        <v>47.365850999999999</v>
      </c>
      <c r="R18" s="7">
        <v>50</v>
      </c>
      <c r="S18" s="7">
        <v>65.057087999999993</v>
      </c>
      <c r="T18" s="7">
        <v>75</v>
      </c>
      <c r="U18" s="7">
        <v>43.371392</v>
      </c>
      <c r="V18" s="7">
        <v>50</v>
      </c>
      <c r="W18" s="7">
        <v>67.595212000000004</v>
      </c>
      <c r="X18" s="7">
        <v>45.063473999999999</v>
      </c>
      <c r="Y18" s="7">
        <v>50</v>
      </c>
      <c r="Z18" s="7">
        <v>73.902974</v>
      </c>
      <c r="AA18" s="7">
        <v>61.775280000000002</v>
      </c>
      <c r="AB18" s="7">
        <v>41.183520000000001</v>
      </c>
      <c r="AC18" s="7">
        <v>50</v>
      </c>
      <c r="AD18" s="7">
        <v>65.816911000000005</v>
      </c>
      <c r="AE18" s="7">
        <v>43.877941</v>
      </c>
      <c r="AF18" s="7">
        <v>50</v>
      </c>
      <c r="AG18" s="7">
        <v>60.366875999999998</v>
      </c>
      <c r="AH18" s="7">
        <v>71.157066999999998</v>
      </c>
      <c r="AI18" s="7">
        <v>40.244584000000003</v>
      </c>
      <c r="AJ18" s="7">
        <v>50</v>
      </c>
      <c r="AK18" s="7">
        <v>9.94</v>
      </c>
      <c r="AL18" s="7">
        <v>12.12</v>
      </c>
      <c r="AM18" s="7">
        <v>10.79</v>
      </c>
      <c r="AN18" s="7">
        <v>0.62323099999999998</v>
      </c>
      <c r="AO18" s="7">
        <v>62.323079</v>
      </c>
      <c r="AP18" s="7">
        <v>100</v>
      </c>
      <c r="AQ18" s="7">
        <v>0.63988900000000004</v>
      </c>
      <c r="AR18" s="7">
        <v>63.988875999999998</v>
      </c>
      <c r="AS18" s="7">
        <v>100</v>
      </c>
      <c r="AT18" s="7">
        <v>0.57883799999999996</v>
      </c>
      <c r="AU18" s="7">
        <v>0.665551</v>
      </c>
      <c r="AV18" s="7">
        <v>57.883845999999998</v>
      </c>
      <c r="AW18" s="7">
        <v>100</v>
      </c>
      <c r="AX18" s="7">
        <v>0.59106199999999998</v>
      </c>
      <c r="AY18" s="7">
        <v>0.68643100000000001</v>
      </c>
      <c r="AZ18" s="7">
        <v>59.106189000000001</v>
      </c>
      <c r="BA18" s="7">
        <v>100</v>
      </c>
      <c r="BB18" s="7">
        <v>0.70841799999999999</v>
      </c>
      <c r="BC18" s="7">
        <v>35.420907999999997</v>
      </c>
      <c r="BD18" s="7">
        <v>50</v>
      </c>
      <c r="BE18" s="7">
        <v>0.68078499999999997</v>
      </c>
      <c r="BF18" s="7">
        <v>34.039250000000003</v>
      </c>
      <c r="BG18" s="7">
        <v>50</v>
      </c>
      <c r="BH18" s="7">
        <v>0</v>
      </c>
      <c r="BI18" s="7">
        <v>0.989286</v>
      </c>
      <c r="BJ18" s="7">
        <v>0.98154399999999997</v>
      </c>
      <c r="BK18" s="7">
        <v>0.99809199999999998</v>
      </c>
      <c r="BL18" s="7">
        <v>0.98747799999999997</v>
      </c>
      <c r="BM18" s="7">
        <v>0.97986600000000001</v>
      </c>
      <c r="BN18" s="7">
        <v>0.99616899999999997</v>
      </c>
      <c r="BO18" s="7">
        <v>0.98632799999999998</v>
      </c>
      <c r="BP18" s="7">
        <v>0.98455599999999999</v>
      </c>
      <c r="BQ18" s="7">
        <v>0.98814199999999996</v>
      </c>
      <c r="BR18" s="7">
        <v>8.4478999999999999E-2</v>
      </c>
      <c r="BS18" s="7">
        <v>43.104126000000001</v>
      </c>
      <c r="BT18" s="7">
        <v>50</v>
      </c>
      <c r="BU18" s="7">
        <v>0.12784100000000001</v>
      </c>
      <c r="BV18" s="7">
        <v>34.431818</v>
      </c>
      <c r="BW18" s="7">
        <v>50</v>
      </c>
      <c r="BX18" s="7">
        <v>0.91216200000000003</v>
      </c>
      <c r="BY18" s="7">
        <v>50</v>
      </c>
      <c r="BZ18" s="7">
        <v>50</v>
      </c>
      <c r="CA18" s="7">
        <v>0.36486499999999999</v>
      </c>
      <c r="CB18" s="7">
        <v>24.324324000000001</v>
      </c>
      <c r="CC18" s="7">
        <v>50</v>
      </c>
      <c r="CD18" s="7">
        <v>0.96187699999999998</v>
      </c>
      <c r="CE18" s="7">
        <v>50</v>
      </c>
      <c r="CF18" s="7">
        <v>50</v>
      </c>
      <c r="CG18" s="7">
        <v>0.91160200000000002</v>
      </c>
      <c r="CH18" s="7">
        <v>96.978959000000003</v>
      </c>
      <c r="CI18" s="7">
        <v>100</v>
      </c>
      <c r="CJ18" s="7">
        <v>0</v>
      </c>
      <c r="CK18" s="7">
        <v>0.88043499999999997</v>
      </c>
      <c r="CL18" s="7">
        <v>93.663274999999999</v>
      </c>
      <c r="CM18" s="7">
        <v>100</v>
      </c>
      <c r="CN18" s="7">
        <v>0.64800000000000002</v>
      </c>
      <c r="CO18" s="7">
        <v>86.363636</v>
      </c>
      <c r="CP18" s="7">
        <v>100</v>
      </c>
      <c r="CQ18" s="7">
        <v>0.41242000000000001</v>
      </c>
      <c r="CR18" s="7">
        <v>0.969136</v>
      </c>
      <c r="CS18" s="7">
        <v>27.494692000000001</v>
      </c>
      <c r="CT18" s="7">
        <v>50</v>
      </c>
      <c r="CU18" s="7">
        <v>0.59277500000000005</v>
      </c>
      <c r="CV18" s="7">
        <v>49.397919999999999</v>
      </c>
      <c r="CW18" s="7">
        <v>50</v>
      </c>
      <c r="CX18" s="7">
        <v>0.88043499999999997</v>
      </c>
      <c r="CY18" s="7">
        <v>0.94</v>
      </c>
      <c r="CZ18" s="7">
        <v>5.9565E-2</v>
      </c>
      <c r="DA18" s="7">
        <v>15.389535</v>
      </c>
      <c r="DB18" s="7">
        <v>17.608319000000002</v>
      </c>
      <c r="DC18" s="7">
        <v>16.064022999999999</v>
      </c>
      <c r="DD18" s="7">
        <v>11.115401</v>
      </c>
      <c r="DE18" s="4" t="s">
        <v>124</v>
      </c>
      <c r="DF18" s="6"/>
      <c r="DG18" s="6"/>
      <c r="DH18" s="6"/>
      <c r="DI18" s="6"/>
      <c r="DJ18" s="4" t="s">
        <v>124</v>
      </c>
      <c r="DK18" s="4" t="s">
        <v>124</v>
      </c>
      <c r="DL18" s="4" t="s">
        <v>124</v>
      </c>
      <c r="DM18" s="4" t="s">
        <v>124</v>
      </c>
      <c r="DN18" s="4" t="s">
        <v>124</v>
      </c>
      <c r="DO18" s="4" t="s">
        <v>124</v>
      </c>
      <c r="DP18" s="6"/>
      <c r="DQ18" s="4" t="s">
        <v>125</v>
      </c>
    </row>
    <row r="19" spans="1:121" ht="20" customHeight="1" x14ac:dyDescent="0.15">
      <c r="A19" s="5">
        <v>2018</v>
      </c>
      <c r="B19" s="3" t="s">
        <v>142</v>
      </c>
      <c r="C19" s="4" t="str">
        <f t="shared" ref="C19:C965" si="18">"1510011"</f>
        <v>1510011</v>
      </c>
      <c r="D19" s="4" t="s">
        <v>122</v>
      </c>
      <c r="E19" s="4" t="str">
        <f t="shared" si="1"/>
        <v>0000000</v>
      </c>
      <c r="F19" s="4" t="s">
        <v>122</v>
      </c>
      <c r="G19" s="4" t="s">
        <v>122</v>
      </c>
      <c r="H19" s="4" t="s">
        <v>122</v>
      </c>
      <c r="I19" s="6"/>
      <c r="J19" s="4" t="s">
        <v>123</v>
      </c>
      <c r="K19" s="7">
        <v>936.49708599999997</v>
      </c>
      <c r="L19" s="7">
        <v>1450</v>
      </c>
      <c r="M19" s="7">
        <v>64.586005999999998</v>
      </c>
      <c r="N19" s="4" t="s">
        <v>124</v>
      </c>
      <c r="O19" s="7">
        <v>0</v>
      </c>
      <c r="P19" s="7">
        <v>55.607323999999998</v>
      </c>
      <c r="Q19" s="7">
        <v>37.071550000000002</v>
      </c>
      <c r="R19" s="7">
        <v>50</v>
      </c>
      <c r="S19" s="7">
        <v>54.105547000000001</v>
      </c>
      <c r="T19" s="7">
        <v>68.982174000000001</v>
      </c>
      <c r="U19" s="7">
        <v>36.070363999999998</v>
      </c>
      <c r="V19" s="7">
        <v>50</v>
      </c>
      <c r="W19" s="7">
        <v>48.575006000000002</v>
      </c>
      <c r="X19" s="7">
        <v>32.383336999999997</v>
      </c>
      <c r="Y19" s="7">
        <v>50</v>
      </c>
      <c r="Z19" s="7">
        <v>61.651014000000004</v>
      </c>
      <c r="AA19" s="7">
        <v>47.106045000000002</v>
      </c>
      <c r="AB19" s="7">
        <v>31.404029999999999</v>
      </c>
      <c r="AC19" s="7">
        <v>50</v>
      </c>
      <c r="AD19" s="7">
        <v>51.164658000000003</v>
      </c>
      <c r="AE19" s="7">
        <v>34.109772</v>
      </c>
      <c r="AF19" s="7">
        <v>50</v>
      </c>
      <c r="AG19" s="7">
        <v>50.047407999999997</v>
      </c>
      <c r="AH19" s="7">
        <v>60.896107999999998</v>
      </c>
      <c r="AI19" s="7">
        <v>33.364938000000002</v>
      </c>
      <c r="AJ19" s="7">
        <v>50</v>
      </c>
      <c r="AK19" s="7">
        <v>14.87</v>
      </c>
      <c r="AL19" s="7">
        <v>14.54</v>
      </c>
      <c r="AM19" s="7">
        <v>10.84</v>
      </c>
      <c r="AN19" s="7">
        <v>0.57836500000000002</v>
      </c>
      <c r="AO19" s="7">
        <v>57.836517000000001</v>
      </c>
      <c r="AP19" s="7">
        <v>100</v>
      </c>
      <c r="AQ19" s="7">
        <v>0.53766899999999995</v>
      </c>
      <c r="AR19" s="7">
        <v>53.766858999999997</v>
      </c>
      <c r="AS19" s="7">
        <v>100</v>
      </c>
      <c r="AT19" s="7">
        <v>0.57002699999999995</v>
      </c>
      <c r="AU19" s="7">
        <v>0.65908500000000003</v>
      </c>
      <c r="AV19" s="7">
        <v>57.002709000000003</v>
      </c>
      <c r="AW19" s="7">
        <v>100</v>
      </c>
      <c r="AX19" s="7">
        <v>0.53283599999999998</v>
      </c>
      <c r="AY19" s="7">
        <v>0.58437700000000004</v>
      </c>
      <c r="AZ19" s="7">
        <v>53.283645999999997</v>
      </c>
      <c r="BA19" s="7">
        <v>100</v>
      </c>
      <c r="BB19" s="7">
        <v>0.50541999999999998</v>
      </c>
      <c r="BC19" s="7">
        <v>25.270977999999999</v>
      </c>
      <c r="BD19" s="7">
        <v>50</v>
      </c>
      <c r="BE19" s="7">
        <v>0.44548599999999999</v>
      </c>
      <c r="BF19" s="7">
        <v>22.274287999999999</v>
      </c>
      <c r="BG19" s="7">
        <v>50</v>
      </c>
      <c r="BH19" s="7">
        <v>0</v>
      </c>
      <c r="BI19" s="7">
        <v>0.98714299999999999</v>
      </c>
      <c r="BJ19" s="7">
        <v>0.98624900000000004</v>
      </c>
      <c r="BK19" s="7">
        <v>0.99502999999999997</v>
      </c>
      <c r="BL19" s="7">
        <v>0.986622</v>
      </c>
      <c r="BM19" s="7">
        <v>0.98577999999999999</v>
      </c>
      <c r="BN19" s="7">
        <v>0.99403600000000003</v>
      </c>
      <c r="BO19" s="7">
        <v>0.98491200000000001</v>
      </c>
      <c r="BP19" s="7">
        <v>0.98398699999999995</v>
      </c>
      <c r="BQ19" s="7">
        <v>0.99287400000000003</v>
      </c>
      <c r="BR19" s="7">
        <v>0.15597900000000001</v>
      </c>
      <c r="BS19" s="7">
        <v>28.804158999999999</v>
      </c>
      <c r="BT19" s="7">
        <v>50</v>
      </c>
      <c r="BU19" s="7">
        <v>0.16855100000000001</v>
      </c>
      <c r="BV19" s="7">
        <v>26.289864000000001</v>
      </c>
      <c r="BW19" s="7">
        <v>50</v>
      </c>
      <c r="BX19" s="7">
        <v>0.60581099999999999</v>
      </c>
      <c r="BY19" s="7">
        <v>40.387394999999998</v>
      </c>
      <c r="BZ19" s="7">
        <v>50</v>
      </c>
      <c r="CA19" s="7">
        <v>0.12012100000000001</v>
      </c>
      <c r="CB19" s="7">
        <v>8.0080950000000009</v>
      </c>
      <c r="CC19" s="7">
        <v>50</v>
      </c>
      <c r="CD19" s="7">
        <v>0.80885200000000002</v>
      </c>
      <c r="CE19" s="7">
        <v>43.024059999999999</v>
      </c>
      <c r="CF19" s="7">
        <v>50</v>
      </c>
      <c r="CG19" s="7">
        <v>0.76693999999999996</v>
      </c>
      <c r="CH19" s="7">
        <v>81.589327999999995</v>
      </c>
      <c r="CI19" s="7">
        <v>100</v>
      </c>
      <c r="CJ19" s="7">
        <v>1</v>
      </c>
      <c r="CK19" s="7">
        <v>0.75115200000000004</v>
      </c>
      <c r="CL19" s="7">
        <v>79.909795000000003</v>
      </c>
      <c r="CM19" s="7">
        <v>100</v>
      </c>
      <c r="CN19" s="7">
        <v>0.65100000000000002</v>
      </c>
      <c r="CO19" s="7">
        <v>86.815920000000006</v>
      </c>
      <c r="CP19" s="7">
        <v>100</v>
      </c>
      <c r="CQ19" s="7">
        <v>0.51944699999999999</v>
      </c>
      <c r="CR19" s="7">
        <v>1.032667</v>
      </c>
      <c r="CS19" s="7">
        <v>34.62979</v>
      </c>
      <c r="CT19" s="7">
        <v>50</v>
      </c>
      <c r="CU19" s="7">
        <v>0.39839599999999997</v>
      </c>
      <c r="CV19" s="7">
        <v>33.199691000000001</v>
      </c>
      <c r="CW19" s="7">
        <v>50</v>
      </c>
      <c r="CX19" s="7">
        <v>0.75115200000000004</v>
      </c>
      <c r="CY19" s="7">
        <v>0.88888900000000004</v>
      </c>
      <c r="CZ19" s="7">
        <v>0.137737</v>
      </c>
      <c r="DA19" s="7">
        <v>15.389535</v>
      </c>
      <c r="DB19" s="7">
        <v>17.608319000000002</v>
      </c>
      <c r="DC19" s="7">
        <v>16.064022999999999</v>
      </c>
      <c r="DD19" s="7">
        <v>11.115401</v>
      </c>
      <c r="DE19" s="4" t="s">
        <v>124</v>
      </c>
      <c r="DF19" s="6"/>
      <c r="DG19" s="6"/>
      <c r="DH19" s="6"/>
      <c r="DI19" s="6"/>
      <c r="DJ19" s="4" t="s">
        <v>124</v>
      </c>
      <c r="DK19" s="4" t="s">
        <v>124</v>
      </c>
      <c r="DL19" s="4" t="s">
        <v>124</v>
      </c>
      <c r="DM19" s="4" t="s">
        <v>124</v>
      </c>
      <c r="DN19" s="4" t="s">
        <v>124</v>
      </c>
      <c r="DO19" s="4" t="s">
        <v>124</v>
      </c>
      <c r="DP19" s="6"/>
      <c r="DQ19" s="4" t="s">
        <v>125</v>
      </c>
    </row>
    <row r="20" spans="1:121" ht="20" customHeight="1" x14ac:dyDescent="0.15">
      <c r="A20" s="5">
        <v>2018</v>
      </c>
      <c r="B20" s="3" t="s">
        <v>143</v>
      </c>
      <c r="C20" s="4" t="str">
        <f t="shared" ref="C20:C354" si="19">"0360011"</f>
        <v>0360011</v>
      </c>
      <c r="D20" s="4" t="s">
        <v>122</v>
      </c>
      <c r="E20" s="4" t="str">
        <f>"0000000"</f>
        <v>0000000</v>
      </c>
      <c r="F20" s="4" t="s">
        <v>122</v>
      </c>
      <c r="G20" s="4" t="s">
        <v>122</v>
      </c>
      <c r="H20" s="4" t="s">
        <v>122</v>
      </c>
      <c r="I20" s="6"/>
      <c r="J20" s="4" t="s">
        <v>123</v>
      </c>
      <c r="K20" s="7">
        <v>654.72551499999997</v>
      </c>
      <c r="L20" s="7">
        <v>800</v>
      </c>
      <c r="M20" s="7">
        <v>81.840688999999998</v>
      </c>
      <c r="N20" s="4" t="s">
        <v>124</v>
      </c>
      <c r="O20" s="7">
        <v>0</v>
      </c>
      <c r="P20" s="7">
        <v>77.763588999999996</v>
      </c>
      <c r="Q20" s="7">
        <v>50</v>
      </c>
      <c r="R20" s="7">
        <v>50</v>
      </c>
      <c r="S20" s="7">
        <v>70.790107000000006</v>
      </c>
      <c r="T20" s="7">
        <v>75</v>
      </c>
      <c r="U20" s="7">
        <v>47.193404999999998</v>
      </c>
      <c r="V20" s="7">
        <v>50</v>
      </c>
      <c r="W20" s="7">
        <v>79.071746000000005</v>
      </c>
      <c r="X20" s="7">
        <v>50</v>
      </c>
      <c r="Y20" s="7">
        <v>50</v>
      </c>
      <c r="Z20" s="7">
        <v>75</v>
      </c>
      <c r="AA20" s="7">
        <v>72.326300000000003</v>
      </c>
      <c r="AB20" s="7">
        <v>48.217533000000003</v>
      </c>
      <c r="AC20" s="7">
        <v>50</v>
      </c>
      <c r="AD20" s="7">
        <v>73.376344000000003</v>
      </c>
      <c r="AE20" s="7">
        <v>48.917563000000001</v>
      </c>
      <c r="AF20" s="7">
        <v>50</v>
      </c>
      <c r="AG20" s="4" t="s">
        <v>124</v>
      </c>
      <c r="AH20" s="4" t="s">
        <v>124</v>
      </c>
      <c r="AI20" s="4" t="s">
        <v>124</v>
      </c>
      <c r="AJ20" s="4" t="s">
        <v>124</v>
      </c>
      <c r="AK20" s="7">
        <v>4.2</v>
      </c>
      <c r="AL20" s="7">
        <v>2.67</v>
      </c>
      <c r="AM20" s="4" t="s">
        <v>124</v>
      </c>
      <c r="AN20" s="7">
        <v>0.63374299999999995</v>
      </c>
      <c r="AO20" s="7">
        <v>63.374339999999997</v>
      </c>
      <c r="AP20" s="7">
        <v>100</v>
      </c>
      <c r="AQ20" s="7">
        <v>0.78485199999999999</v>
      </c>
      <c r="AR20" s="7">
        <v>78.485161000000005</v>
      </c>
      <c r="AS20" s="7">
        <v>100</v>
      </c>
      <c r="AT20" s="7">
        <v>0.53260600000000002</v>
      </c>
      <c r="AU20" s="7">
        <v>0.702206</v>
      </c>
      <c r="AV20" s="7">
        <v>53.260598999999999</v>
      </c>
      <c r="AW20" s="7">
        <v>100</v>
      </c>
      <c r="AX20" s="7">
        <v>0.653609</v>
      </c>
      <c r="AY20" s="7">
        <v>0.87369200000000002</v>
      </c>
      <c r="AZ20" s="7">
        <v>65.360947999999993</v>
      </c>
      <c r="BA20" s="7">
        <v>100</v>
      </c>
      <c r="BB20" s="4" t="s">
        <v>124</v>
      </c>
      <c r="BC20" s="4" t="s">
        <v>124</v>
      </c>
      <c r="BD20" s="4" t="s">
        <v>124</v>
      </c>
      <c r="BE20" s="4" t="s">
        <v>124</v>
      </c>
      <c r="BF20" s="4" t="s">
        <v>124</v>
      </c>
      <c r="BG20" s="4" t="s">
        <v>124</v>
      </c>
      <c r="BH20" s="7">
        <v>0</v>
      </c>
      <c r="BI20" s="7">
        <v>1</v>
      </c>
      <c r="BJ20" s="7">
        <v>1</v>
      </c>
      <c r="BK20" s="7">
        <v>1</v>
      </c>
      <c r="BL20" s="7">
        <v>1</v>
      </c>
      <c r="BM20" s="7">
        <v>1</v>
      </c>
      <c r="BN20" s="7">
        <v>1</v>
      </c>
      <c r="BO20" s="7">
        <v>1</v>
      </c>
      <c r="BP20" s="4" t="s">
        <v>124</v>
      </c>
      <c r="BQ20" s="4" t="s">
        <v>124</v>
      </c>
      <c r="BR20" s="7">
        <v>2.8570999999999999E-2</v>
      </c>
      <c r="BS20" s="7">
        <v>50</v>
      </c>
      <c r="BT20" s="7">
        <v>50</v>
      </c>
      <c r="BU20" s="7">
        <v>5.042E-2</v>
      </c>
      <c r="BV20" s="7">
        <v>49.915965999999997</v>
      </c>
      <c r="BW20" s="7">
        <v>50</v>
      </c>
      <c r="BX20" s="4" t="s">
        <v>124</v>
      </c>
      <c r="BY20" s="4" t="s">
        <v>124</v>
      </c>
      <c r="BZ20" s="4" t="s">
        <v>124</v>
      </c>
      <c r="CA20" s="4" t="s">
        <v>124</v>
      </c>
      <c r="CB20" s="4" t="s">
        <v>124</v>
      </c>
      <c r="CC20" s="4" t="s">
        <v>124</v>
      </c>
      <c r="CD20" s="4" t="s">
        <v>124</v>
      </c>
      <c r="CE20" s="4" t="s">
        <v>124</v>
      </c>
      <c r="CF20" s="4" t="s">
        <v>124</v>
      </c>
      <c r="CG20" s="4" t="s">
        <v>124</v>
      </c>
      <c r="CH20" s="4" t="s">
        <v>124</v>
      </c>
      <c r="CI20" s="4" t="s">
        <v>124</v>
      </c>
      <c r="CJ20" s="4" t="s">
        <v>124</v>
      </c>
      <c r="CK20" s="4" t="s">
        <v>124</v>
      </c>
      <c r="CL20" s="4" t="s">
        <v>124</v>
      </c>
      <c r="CM20" s="4" t="s">
        <v>124</v>
      </c>
      <c r="CN20" s="4" t="s">
        <v>124</v>
      </c>
      <c r="CO20" s="4" t="s">
        <v>124</v>
      </c>
      <c r="CP20" s="4" t="s">
        <v>124</v>
      </c>
      <c r="CQ20" s="7">
        <v>0.84337300000000004</v>
      </c>
      <c r="CR20" s="7">
        <v>0.98809499999999995</v>
      </c>
      <c r="CS20" s="7">
        <v>50</v>
      </c>
      <c r="CT20" s="7">
        <v>50</v>
      </c>
      <c r="CU20" s="4" t="s">
        <v>124</v>
      </c>
      <c r="CV20" s="4" t="s">
        <v>124</v>
      </c>
      <c r="CW20" s="4" t="s">
        <v>124</v>
      </c>
      <c r="CX20" s="4" t="s">
        <v>124</v>
      </c>
      <c r="CY20" s="4" t="s">
        <v>124</v>
      </c>
      <c r="CZ20" s="4" t="s">
        <v>124</v>
      </c>
      <c r="DA20" s="7">
        <v>15.389535</v>
      </c>
      <c r="DB20" s="7">
        <v>17.608319000000002</v>
      </c>
      <c r="DC20" s="7">
        <v>16.064022999999999</v>
      </c>
      <c r="DD20" s="4" t="s">
        <v>124</v>
      </c>
      <c r="DE20" s="4" t="s">
        <v>124</v>
      </c>
      <c r="DF20" s="6"/>
      <c r="DG20" s="6"/>
      <c r="DH20" s="6"/>
      <c r="DI20" s="6"/>
      <c r="DJ20" s="4" t="s">
        <v>124</v>
      </c>
      <c r="DK20" s="4" t="s">
        <v>124</v>
      </c>
      <c r="DL20" s="4" t="s">
        <v>124</v>
      </c>
      <c r="DM20" s="4" t="s">
        <v>124</v>
      </c>
      <c r="DN20" s="4" t="s">
        <v>124</v>
      </c>
      <c r="DO20" s="4" t="s">
        <v>124</v>
      </c>
      <c r="DP20" s="6"/>
      <c r="DQ20" s="4" t="s">
        <v>125</v>
      </c>
    </row>
    <row r="21" spans="1:121" ht="20" customHeight="1" x14ac:dyDescent="0.15">
      <c r="A21" s="5">
        <v>2018</v>
      </c>
      <c r="B21" s="3" t="s">
        <v>144</v>
      </c>
      <c r="C21" s="4" t="str">
        <f t="shared" ref="C21:C355" si="20">"0370011"</f>
        <v>0370011</v>
      </c>
      <c r="D21" s="4" t="s">
        <v>122</v>
      </c>
      <c r="E21" s="4" t="str">
        <f t="shared" si="1"/>
        <v>0000000</v>
      </c>
      <c r="F21" s="4" t="s">
        <v>122</v>
      </c>
      <c r="G21" s="4" t="s">
        <v>122</v>
      </c>
      <c r="H21" s="4" t="s">
        <v>122</v>
      </c>
      <c r="I21" s="6"/>
      <c r="J21" s="4" t="s">
        <v>123</v>
      </c>
      <c r="K21" s="7">
        <v>999.45968200000004</v>
      </c>
      <c r="L21" s="7">
        <v>1450</v>
      </c>
      <c r="M21" s="7">
        <v>68.928253999999995</v>
      </c>
      <c r="N21" s="4" t="s">
        <v>124</v>
      </c>
      <c r="O21" s="7">
        <v>0</v>
      </c>
      <c r="P21" s="7">
        <v>57.295456999999999</v>
      </c>
      <c r="Q21" s="7">
        <v>38.196970999999998</v>
      </c>
      <c r="R21" s="7">
        <v>50</v>
      </c>
      <c r="S21" s="7">
        <v>52.918464</v>
      </c>
      <c r="T21" s="7">
        <v>66.756043000000005</v>
      </c>
      <c r="U21" s="7">
        <v>35.278976</v>
      </c>
      <c r="V21" s="7">
        <v>50</v>
      </c>
      <c r="W21" s="7">
        <v>52.446570999999999</v>
      </c>
      <c r="X21" s="7">
        <v>34.964379999999998</v>
      </c>
      <c r="Y21" s="7">
        <v>50</v>
      </c>
      <c r="Z21" s="7">
        <v>62.095996</v>
      </c>
      <c r="AA21" s="7">
        <v>47.991453</v>
      </c>
      <c r="AB21" s="7">
        <v>31.994302000000001</v>
      </c>
      <c r="AC21" s="7">
        <v>50</v>
      </c>
      <c r="AD21" s="7">
        <v>54.237735000000001</v>
      </c>
      <c r="AE21" s="7">
        <v>36.15849</v>
      </c>
      <c r="AF21" s="7">
        <v>50</v>
      </c>
      <c r="AG21" s="7">
        <v>50.280313</v>
      </c>
      <c r="AH21" s="7">
        <v>61.756835000000002</v>
      </c>
      <c r="AI21" s="7">
        <v>33.520209000000001</v>
      </c>
      <c r="AJ21" s="7">
        <v>50</v>
      </c>
      <c r="AK21" s="7">
        <v>13.83</v>
      </c>
      <c r="AL21" s="7">
        <v>14.1</v>
      </c>
      <c r="AM21" s="7">
        <v>11.47</v>
      </c>
      <c r="AN21" s="7">
        <v>0.48846600000000001</v>
      </c>
      <c r="AO21" s="7">
        <v>48.846567999999998</v>
      </c>
      <c r="AP21" s="7">
        <v>100</v>
      </c>
      <c r="AQ21" s="7">
        <v>0.55701000000000001</v>
      </c>
      <c r="AR21" s="7">
        <v>55.701033000000002</v>
      </c>
      <c r="AS21" s="7">
        <v>100</v>
      </c>
      <c r="AT21" s="7">
        <v>0.47079500000000002</v>
      </c>
      <c r="AU21" s="7">
        <v>0.526393</v>
      </c>
      <c r="AV21" s="7">
        <v>47.079501999999998</v>
      </c>
      <c r="AW21" s="7">
        <v>100</v>
      </c>
      <c r="AX21" s="7">
        <v>0.53335999999999995</v>
      </c>
      <c r="AY21" s="7">
        <v>0.60791700000000004</v>
      </c>
      <c r="AZ21" s="7">
        <v>53.335977999999997</v>
      </c>
      <c r="BA21" s="7">
        <v>100</v>
      </c>
      <c r="BB21" s="7">
        <v>0.82709999999999995</v>
      </c>
      <c r="BC21" s="7">
        <v>41.355001999999999</v>
      </c>
      <c r="BD21" s="7">
        <v>50</v>
      </c>
      <c r="BE21" s="7">
        <v>0.75699799999999995</v>
      </c>
      <c r="BF21" s="7">
        <v>37.849921999999999</v>
      </c>
      <c r="BG21" s="7">
        <v>50</v>
      </c>
      <c r="BH21" s="7">
        <v>0</v>
      </c>
      <c r="BI21" s="7">
        <v>0.98803200000000002</v>
      </c>
      <c r="BJ21" s="7">
        <v>0.98473299999999997</v>
      </c>
      <c r="BK21" s="7">
        <v>0.995614</v>
      </c>
      <c r="BL21" s="7">
        <v>0.98936199999999996</v>
      </c>
      <c r="BM21" s="7">
        <v>0.98664099999999999</v>
      </c>
      <c r="BN21" s="7">
        <v>0.995614</v>
      </c>
      <c r="BO21" s="7">
        <v>0.97077899999999995</v>
      </c>
      <c r="BP21" s="7">
        <v>0.96097600000000005</v>
      </c>
      <c r="BQ21" s="7">
        <v>0.99029100000000003</v>
      </c>
      <c r="BR21" s="7">
        <v>0.113043</v>
      </c>
      <c r="BS21" s="7">
        <v>37.391303999999998</v>
      </c>
      <c r="BT21" s="7">
        <v>50</v>
      </c>
      <c r="BU21" s="7">
        <v>0.134021</v>
      </c>
      <c r="BV21" s="7">
        <v>33.195875999999998</v>
      </c>
      <c r="BW21" s="7">
        <v>50</v>
      </c>
      <c r="BX21" s="7">
        <v>0.66257699999999997</v>
      </c>
      <c r="BY21" s="7">
        <v>44.171779000000001</v>
      </c>
      <c r="BZ21" s="7">
        <v>50</v>
      </c>
      <c r="CA21" s="7">
        <v>0.17791399999999999</v>
      </c>
      <c r="CB21" s="7">
        <v>11.860941</v>
      </c>
      <c r="CC21" s="7">
        <v>50</v>
      </c>
      <c r="CD21" s="7">
        <v>0.85499999999999998</v>
      </c>
      <c r="CE21" s="7">
        <v>45.478723000000002</v>
      </c>
      <c r="CF21" s="7">
        <v>50</v>
      </c>
      <c r="CG21" s="7">
        <v>0.79207899999999998</v>
      </c>
      <c r="CH21" s="7">
        <v>84.263745999999998</v>
      </c>
      <c r="CI21" s="7">
        <v>100</v>
      </c>
      <c r="CJ21" s="7">
        <v>1</v>
      </c>
      <c r="CK21" s="7">
        <v>0.80555600000000005</v>
      </c>
      <c r="CL21" s="7">
        <v>85.697400000000002</v>
      </c>
      <c r="CM21" s="7">
        <v>100</v>
      </c>
      <c r="CN21" s="7">
        <v>0.57099999999999995</v>
      </c>
      <c r="CO21" s="7">
        <v>76.190476000000004</v>
      </c>
      <c r="CP21" s="7">
        <v>100</v>
      </c>
      <c r="CQ21" s="7">
        <v>0.55392200000000003</v>
      </c>
      <c r="CR21" s="7">
        <v>0.99512199999999995</v>
      </c>
      <c r="CS21" s="7">
        <v>36.928105000000002</v>
      </c>
      <c r="CT21" s="7">
        <v>50</v>
      </c>
      <c r="CU21" s="7">
        <v>0.63141999999999998</v>
      </c>
      <c r="CV21" s="7">
        <v>50</v>
      </c>
      <c r="CW21" s="7">
        <v>50</v>
      </c>
      <c r="CX21" s="7">
        <v>0.80555600000000005</v>
      </c>
      <c r="CY21" s="7">
        <v>0.92</v>
      </c>
      <c r="CZ21" s="7">
        <v>0.114444</v>
      </c>
      <c r="DA21" s="7">
        <v>15.389535</v>
      </c>
      <c r="DB21" s="7">
        <v>17.608319000000002</v>
      </c>
      <c r="DC21" s="7">
        <v>16.064022999999999</v>
      </c>
      <c r="DD21" s="7">
        <v>11.115401</v>
      </c>
      <c r="DE21" s="4" t="s">
        <v>124</v>
      </c>
      <c r="DF21" s="6"/>
      <c r="DG21" s="6"/>
      <c r="DH21" s="6"/>
      <c r="DI21" s="6"/>
      <c r="DJ21" s="4" t="s">
        <v>124</v>
      </c>
      <c r="DK21" s="4" t="s">
        <v>124</v>
      </c>
      <c r="DL21" s="4" t="s">
        <v>124</v>
      </c>
      <c r="DM21" s="4" t="s">
        <v>124</v>
      </c>
      <c r="DN21" s="4" t="s">
        <v>124</v>
      </c>
      <c r="DO21" s="4" t="s">
        <v>124</v>
      </c>
      <c r="DP21" s="6"/>
      <c r="DQ21" s="4" t="s">
        <v>125</v>
      </c>
    </row>
    <row r="22" spans="1:121" ht="20" customHeight="1" x14ac:dyDescent="0.15">
      <c r="A22" s="5">
        <v>2018</v>
      </c>
      <c r="B22" s="3" t="s">
        <v>145</v>
      </c>
      <c r="C22" s="4" t="str">
        <f>"1560011"</f>
        <v>1560011</v>
      </c>
      <c r="D22" s="4" t="s">
        <v>122</v>
      </c>
      <c r="E22" s="4" t="str">
        <f>"0000000"</f>
        <v>0000000</v>
      </c>
      <c r="F22" s="4" t="s">
        <v>122</v>
      </c>
      <c r="G22" s="4" t="s">
        <v>122</v>
      </c>
      <c r="H22" s="4" t="s">
        <v>122</v>
      </c>
      <c r="I22" s="6"/>
      <c r="J22" s="4" t="s">
        <v>123</v>
      </c>
      <c r="K22" s="7">
        <v>1035.8364200000001</v>
      </c>
      <c r="L22" s="7">
        <v>1450</v>
      </c>
      <c r="M22" s="7">
        <v>71.436993999999999</v>
      </c>
      <c r="N22" s="4" t="s">
        <v>124</v>
      </c>
      <c r="O22" s="7">
        <v>0</v>
      </c>
      <c r="P22" s="7">
        <v>64.351410000000001</v>
      </c>
      <c r="Q22" s="7">
        <v>42.900939999999999</v>
      </c>
      <c r="R22" s="7">
        <v>50</v>
      </c>
      <c r="S22" s="7">
        <v>60.991686999999999</v>
      </c>
      <c r="T22" s="7">
        <v>71.943127000000004</v>
      </c>
      <c r="U22" s="7">
        <v>40.661124999999998</v>
      </c>
      <c r="V22" s="7">
        <v>50</v>
      </c>
      <c r="W22" s="7">
        <v>60.222313</v>
      </c>
      <c r="X22" s="7">
        <v>40.148209000000001</v>
      </c>
      <c r="Y22" s="7">
        <v>50</v>
      </c>
      <c r="Z22" s="7">
        <v>67.662704000000005</v>
      </c>
      <c r="AA22" s="7">
        <v>56.910209999999999</v>
      </c>
      <c r="AB22" s="7">
        <v>37.94014</v>
      </c>
      <c r="AC22" s="7">
        <v>50</v>
      </c>
      <c r="AD22" s="7">
        <v>59.494674000000003</v>
      </c>
      <c r="AE22" s="7">
        <v>39.663116000000002</v>
      </c>
      <c r="AF22" s="7">
        <v>50</v>
      </c>
      <c r="AG22" s="7">
        <v>56.194873000000001</v>
      </c>
      <c r="AH22" s="7">
        <v>66.054424999999995</v>
      </c>
      <c r="AI22" s="7">
        <v>37.463248999999998</v>
      </c>
      <c r="AJ22" s="7">
        <v>50</v>
      </c>
      <c r="AK22" s="7">
        <v>10.95</v>
      </c>
      <c r="AL22" s="7">
        <v>10.75</v>
      </c>
      <c r="AM22" s="7">
        <v>9.85</v>
      </c>
      <c r="AN22" s="7">
        <v>0.59682999999999997</v>
      </c>
      <c r="AO22" s="7">
        <v>59.683028</v>
      </c>
      <c r="AP22" s="7">
        <v>100</v>
      </c>
      <c r="AQ22" s="7">
        <v>0.62210200000000004</v>
      </c>
      <c r="AR22" s="7">
        <v>62.210219000000002</v>
      </c>
      <c r="AS22" s="7">
        <v>100</v>
      </c>
      <c r="AT22" s="7">
        <v>0.58465699999999998</v>
      </c>
      <c r="AU22" s="7">
        <v>0.62002199999999996</v>
      </c>
      <c r="AV22" s="7">
        <v>58.465694999999997</v>
      </c>
      <c r="AW22" s="7">
        <v>100</v>
      </c>
      <c r="AX22" s="7">
        <v>0.61585199999999996</v>
      </c>
      <c r="AY22" s="7">
        <v>0.633938</v>
      </c>
      <c r="AZ22" s="7">
        <v>61.585245999999998</v>
      </c>
      <c r="BA22" s="7">
        <v>100</v>
      </c>
      <c r="BB22" s="7">
        <v>0.77539100000000005</v>
      </c>
      <c r="BC22" s="7">
        <v>38.769539000000002</v>
      </c>
      <c r="BD22" s="7">
        <v>50</v>
      </c>
      <c r="BE22" s="7">
        <v>0.57180200000000003</v>
      </c>
      <c r="BF22" s="7">
        <v>28.590109999999999</v>
      </c>
      <c r="BG22" s="7">
        <v>50</v>
      </c>
      <c r="BH22" s="7">
        <v>0</v>
      </c>
      <c r="BI22" s="7">
        <v>0.982456</v>
      </c>
      <c r="BJ22" s="7">
        <v>0.98004400000000003</v>
      </c>
      <c r="BK22" s="7">
        <v>0.98826000000000003</v>
      </c>
      <c r="BL22" s="7">
        <v>0.97932300000000005</v>
      </c>
      <c r="BM22" s="7">
        <v>0.97515499999999999</v>
      </c>
      <c r="BN22" s="7">
        <v>0.98933899999999997</v>
      </c>
      <c r="BO22" s="7">
        <v>0.97551900000000002</v>
      </c>
      <c r="BP22" s="7">
        <v>0.96746200000000004</v>
      </c>
      <c r="BQ22" s="7">
        <v>0.99295800000000001</v>
      </c>
      <c r="BR22" s="7">
        <v>0.13638700000000001</v>
      </c>
      <c r="BS22" s="7">
        <v>32.722594000000001</v>
      </c>
      <c r="BT22" s="7">
        <v>50</v>
      </c>
      <c r="BU22" s="7">
        <v>0.166043</v>
      </c>
      <c r="BV22" s="7">
        <v>26.791323999999999</v>
      </c>
      <c r="BW22" s="7">
        <v>50</v>
      </c>
      <c r="BX22" s="7">
        <v>0.64928300000000005</v>
      </c>
      <c r="BY22" s="7">
        <v>43.285527999999999</v>
      </c>
      <c r="BZ22" s="7">
        <v>50</v>
      </c>
      <c r="CA22" s="7">
        <v>0.20338999999999999</v>
      </c>
      <c r="CB22" s="7">
        <v>13.559322</v>
      </c>
      <c r="CC22" s="7">
        <v>50</v>
      </c>
      <c r="CD22" s="7">
        <v>0.89954299999999998</v>
      </c>
      <c r="CE22" s="7">
        <v>47.848052000000003</v>
      </c>
      <c r="CF22" s="7">
        <v>50</v>
      </c>
      <c r="CG22" s="7">
        <v>0.82211500000000004</v>
      </c>
      <c r="CH22" s="7">
        <v>87.459083000000007</v>
      </c>
      <c r="CI22" s="7">
        <v>100</v>
      </c>
      <c r="CJ22" s="7">
        <v>1</v>
      </c>
      <c r="CK22" s="7">
        <v>0.79192499999999999</v>
      </c>
      <c r="CL22" s="7">
        <v>84.247389999999996</v>
      </c>
      <c r="CM22" s="7">
        <v>100</v>
      </c>
      <c r="CN22" s="7">
        <v>0.66400000000000003</v>
      </c>
      <c r="CO22" s="7">
        <v>88.512241000000003</v>
      </c>
      <c r="CP22" s="7">
        <v>100</v>
      </c>
      <c r="CQ22" s="7">
        <v>0.45578600000000002</v>
      </c>
      <c r="CR22" s="7">
        <v>0.95793099999999998</v>
      </c>
      <c r="CS22" s="7">
        <v>30.385757000000002</v>
      </c>
      <c r="CT22" s="7">
        <v>50</v>
      </c>
      <c r="CU22" s="7">
        <v>0.39533400000000002</v>
      </c>
      <c r="CV22" s="7">
        <v>32.944515000000003</v>
      </c>
      <c r="CW22" s="7">
        <v>50</v>
      </c>
      <c r="CX22" s="7">
        <v>0.79192499999999999</v>
      </c>
      <c r="CY22" s="7">
        <v>0.90441199999999999</v>
      </c>
      <c r="CZ22" s="7">
        <v>0.112486</v>
      </c>
      <c r="DA22" s="7">
        <v>15.389535</v>
      </c>
      <c r="DB22" s="7">
        <v>17.608319000000002</v>
      </c>
      <c r="DC22" s="7">
        <v>16.064022999999999</v>
      </c>
      <c r="DD22" s="7">
        <v>11.115401</v>
      </c>
      <c r="DE22" s="4" t="s">
        <v>124</v>
      </c>
      <c r="DF22" s="6"/>
      <c r="DG22" s="6"/>
      <c r="DH22" s="6"/>
      <c r="DI22" s="6"/>
      <c r="DJ22" s="4" t="s">
        <v>124</v>
      </c>
      <c r="DK22" s="4" t="s">
        <v>124</v>
      </c>
      <c r="DL22" s="4" t="s">
        <v>124</v>
      </c>
      <c r="DM22" s="4" t="s">
        <v>124</v>
      </c>
      <c r="DN22" s="4" t="s">
        <v>124</v>
      </c>
      <c r="DO22" s="4" t="s">
        <v>124</v>
      </c>
      <c r="DP22" s="6"/>
      <c r="DQ22" s="4" t="s">
        <v>125</v>
      </c>
    </row>
    <row r="23" spans="1:121" ht="20" customHeight="1" x14ac:dyDescent="0.15">
      <c r="A23" s="5">
        <v>2018</v>
      </c>
      <c r="B23" s="3" t="s">
        <v>146</v>
      </c>
      <c r="C23" s="4" t="str">
        <f t="shared" ref="C23:C396" si="21">"0460011"</f>
        <v>0460011</v>
      </c>
      <c r="D23" s="4" t="s">
        <v>122</v>
      </c>
      <c r="E23" s="4" t="str">
        <f t="shared" si="1"/>
        <v>0000000</v>
      </c>
      <c r="F23" s="4" t="s">
        <v>122</v>
      </c>
      <c r="G23" s="4" t="s">
        <v>122</v>
      </c>
      <c r="H23" s="4" t="s">
        <v>122</v>
      </c>
      <c r="I23" s="6"/>
      <c r="J23" s="4" t="s">
        <v>123</v>
      </c>
      <c r="K23" s="7">
        <v>734.15605500000004</v>
      </c>
      <c r="L23" s="7">
        <v>900</v>
      </c>
      <c r="M23" s="7">
        <v>81.572895000000003</v>
      </c>
      <c r="N23" s="4" t="s">
        <v>124</v>
      </c>
      <c r="O23" s="7">
        <v>0</v>
      </c>
      <c r="P23" s="7">
        <v>82.586931000000007</v>
      </c>
      <c r="Q23" s="7">
        <v>50</v>
      </c>
      <c r="R23" s="7">
        <v>50</v>
      </c>
      <c r="S23" s="7">
        <v>71.015958999999995</v>
      </c>
      <c r="T23" s="7">
        <v>75</v>
      </c>
      <c r="U23" s="7">
        <v>47.343972999999998</v>
      </c>
      <c r="V23" s="7">
        <v>50</v>
      </c>
      <c r="W23" s="7">
        <v>78.074285000000003</v>
      </c>
      <c r="X23" s="7">
        <v>50</v>
      </c>
      <c r="Y23" s="7">
        <v>50</v>
      </c>
      <c r="Z23" s="7">
        <v>75</v>
      </c>
      <c r="AA23" s="7">
        <v>66.005060999999998</v>
      </c>
      <c r="AB23" s="7">
        <v>44.003374000000001</v>
      </c>
      <c r="AC23" s="7">
        <v>50</v>
      </c>
      <c r="AD23" s="7">
        <v>75.112386000000001</v>
      </c>
      <c r="AE23" s="7">
        <v>50</v>
      </c>
      <c r="AF23" s="7">
        <v>50</v>
      </c>
      <c r="AG23" s="7">
        <v>65.828823</v>
      </c>
      <c r="AH23" s="7">
        <v>75</v>
      </c>
      <c r="AI23" s="7">
        <v>43.885882000000002</v>
      </c>
      <c r="AJ23" s="7">
        <v>50</v>
      </c>
      <c r="AK23" s="7">
        <v>3.98</v>
      </c>
      <c r="AL23" s="7">
        <v>8.99</v>
      </c>
      <c r="AM23" s="7">
        <v>9.17</v>
      </c>
      <c r="AN23" s="7">
        <v>0.686033</v>
      </c>
      <c r="AO23" s="7">
        <v>68.603296999999998</v>
      </c>
      <c r="AP23" s="7">
        <v>100</v>
      </c>
      <c r="AQ23" s="7">
        <v>0.69620000000000004</v>
      </c>
      <c r="AR23" s="7">
        <v>69.619985</v>
      </c>
      <c r="AS23" s="7">
        <v>100</v>
      </c>
      <c r="AT23" s="7">
        <v>0.57232000000000005</v>
      </c>
      <c r="AU23" s="7">
        <v>0.72029500000000002</v>
      </c>
      <c r="AV23" s="7">
        <v>57.231954000000002</v>
      </c>
      <c r="AW23" s="7">
        <v>100</v>
      </c>
      <c r="AX23" s="7">
        <v>0.618062</v>
      </c>
      <c r="AY23" s="7">
        <v>0.71947899999999998</v>
      </c>
      <c r="AZ23" s="7">
        <v>61.806232999999999</v>
      </c>
      <c r="BA23" s="7">
        <v>100</v>
      </c>
      <c r="BB23" s="4" t="s">
        <v>124</v>
      </c>
      <c r="BC23" s="4" t="s">
        <v>124</v>
      </c>
      <c r="BD23" s="4" t="s">
        <v>124</v>
      </c>
      <c r="BE23" s="4" t="s">
        <v>124</v>
      </c>
      <c r="BF23" s="4" t="s">
        <v>124</v>
      </c>
      <c r="BG23" s="4" t="s">
        <v>124</v>
      </c>
      <c r="BH23" s="7">
        <v>1</v>
      </c>
      <c r="BI23" s="7">
        <v>0.980769</v>
      </c>
      <c r="BJ23" s="7">
        <v>0.95731699999999997</v>
      </c>
      <c r="BK23" s="7">
        <v>0.98912999999999995</v>
      </c>
      <c r="BL23" s="7">
        <v>0.97756399999999999</v>
      </c>
      <c r="BM23" s="7">
        <v>0.94512200000000002</v>
      </c>
      <c r="BN23" s="7">
        <v>0.98912999999999995</v>
      </c>
      <c r="BO23" s="7">
        <v>0.98214299999999999</v>
      </c>
      <c r="BP23" s="7">
        <v>0.94736799999999999</v>
      </c>
      <c r="BQ23" s="7">
        <v>0.99401200000000001</v>
      </c>
      <c r="BR23" s="7">
        <v>4.0862999999999997E-2</v>
      </c>
      <c r="BS23" s="7">
        <v>50</v>
      </c>
      <c r="BT23" s="7">
        <v>50</v>
      </c>
      <c r="BU23" s="7">
        <v>6.25E-2</v>
      </c>
      <c r="BV23" s="7">
        <v>47.5</v>
      </c>
      <c r="BW23" s="7">
        <v>50</v>
      </c>
      <c r="BX23" s="4" t="s">
        <v>124</v>
      </c>
      <c r="BY23" s="4" t="s">
        <v>124</v>
      </c>
      <c r="BZ23" s="4" t="s">
        <v>124</v>
      </c>
      <c r="CA23" s="4" t="s">
        <v>124</v>
      </c>
      <c r="CB23" s="4" t="s">
        <v>124</v>
      </c>
      <c r="CC23" s="4" t="s">
        <v>124</v>
      </c>
      <c r="CD23" s="7">
        <v>0.98876399999999998</v>
      </c>
      <c r="CE23" s="7">
        <v>50</v>
      </c>
      <c r="CF23" s="7">
        <v>50</v>
      </c>
      <c r="CG23" s="4" t="s">
        <v>124</v>
      </c>
      <c r="CH23" s="4" t="s">
        <v>124</v>
      </c>
      <c r="CI23" s="4" t="s">
        <v>124</v>
      </c>
      <c r="CJ23" s="4" t="s">
        <v>124</v>
      </c>
      <c r="CK23" s="4" t="s">
        <v>124</v>
      </c>
      <c r="CL23" s="4" t="s">
        <v>124</v>
      </c>
      <c r="CM23" s="4" t="s">
        <v>124</v>
      </c>
      <c r="CN23" s="4" t="s">
        <v>124</v>
      </c>
      <c r="CO23" s="4" t="s">
        <v>124</v>
      </c>
      <c r="CP23" s="4" t="s">
        <v>124</v>
      </c>
      <c r="CQ23" s="7">
        <v>0.66242000000000001</v>
      </c>
      <c r="CR23" s="7">
        <v>0.95731699999999997</v>
      </c>
      <c r="CS23" s="7">
        <v>44.161358999999997</v>
      </c>
      <c r="CT23" s="7">
        <v>50</v>
      </c>
      <c r="CU23" s="4" t="s">
        <v>124</v>
      </c>
      <c r="CV23" s="4" t="s">
        <v>124</v>
      </c>
      <c r="CW23" s="4" t="s">
        <v>124</v>
      </c>
      <c r="CX23" s="4" t="s">
        <v>124</v>
      </c>
      <c r="CY23" s="4" t="s">
        <v>124</v>
      </c>
      <c r="CZ23" s="4" t="s">
        <v>124</v>
      </c>
      <c r="DA23" s="7">
        <v>15.389535</v>
      </c>
      <c r="DB23" s="7">
        <v>17.608319000000002</v>
      </c>
      <c r="DC23" s="7">
        <v>16.064022999999999</v>
      </c>
      <c r="DD23" s="4" t="s">
        <v>124</v>
      </c>
      <c r="DE23" s="4" t="s">
        <v>124</v>
      </c>
      <c r="DF23" s="6"/>
      <c r="DG23" s="6"/>
      <c r="DH23" s="6"/>
      <c r="DI23" s="6"/>
      <c r="DJ23" s="4" t="s">
        <v>124</v>
      </c>
      <c r="DK23" s="4" t="s">
        <v>124</v>
      </c>
      <c r="DL23" s="4" t="s">
        <v>124</v>
      </c>
      <c r="DM23" s="4" t="s">
        <v>124</v>
      </c>
      <c r="DN23" s="4" t="s">
        <v>124</v>
      </c>
      <c r="DO23" s="4" t="s">
        <v>124</v>
      </c>
      <c r="DP23" s="6"/>
      <c r="DQ23" s="4" t="s">
        <v>125</v>
      </c>
    </row>
    <row r="24" spans="1:121" ht="20" customHeight="1" x14ac:dyDescent="0.15">
      <c r="A24" s="5">
        <v>2018</v>
      </c>
      <c r="B24" s="3" t="s">
        <v>147</v>
      </c>
      <c r="C24" s="4" t="str">
        <f t="shared" ref="C24:C398" si="22">"0470011"</f>
        <v>0470011</v>
      </c>
      <c r="D24" s="4" t="s">
        <v>122</v>
      </c>
      <c r="E24" s="4" t="str">
        <f t="shared" si="1"/>
        <v>0000000</v>
      </c>
      <c r="F24" s="4" t="s">
        <v>122</v>
      </c>
      <c r="G24" s="4" t="s">
        <v>122</v>
      </c>
      <c r="H24" s="4" t="s">
        <v>122</v>
      </c>
      <c r="I24" s="6"/>
      <c r="J24" s="4" t="s">
        <v>123</v>
      </c>
      <c r="K24" s="7">
        <v>966.59503199999995</v>
      </c>
      <c r="L24" s="7">
        <v>1450</v>
      </c>
      <c r="M24" s="7">
        <v>66.661726000000002</v>
      </c>
      <c r="N24" s="4" t="s">
        <v>124</v>
      </c>
      <c r="O24" s="7">
        <v>0</v>
      </c>
      <c r="P24" s="7">
        <v>60.513916000000002</v>
      </c>
      <c r="Q24" s="7">
        <v>40.342610999999998</v>
      </c>
      <c r="R24" s="7">
        <v>50</v>
      </c>
      <c r="S24" s="7">
        <v>55.505768000000003</v>
      </c>
      <c r="T24" s="7">
        <v>68.623557000000005</v>
      </c>
      <c r="U24" s="7">
        <v>37.003844999999998</v>
      </c>
      <c r="V24" s="7">
        <v>50</v>
      </c>
      <c r="W24" s="7">
        <v>52.759869999999999</v>
      </c>
      <c r="X24" s="7">
        <v>35.173247000000003</v>
      </c>
      <c r="Y24" s="7">
        <v>50</v>
      </c>
      <c r="Z24" s="7">
        <v>60.526665999999999</v>
      </c>
      <c r="AA24" s="7">
        <v>47.923940000000002</v>
      </c>
      <c r="AB24" s="7">
        <v>31.949293000000001</v>
      </c>
      <c r="AC24" s="7">
        <v>50</v>
      </c>
      <c r="AD24" s="7">
        <v>58.065311000000001</v>
      </c>
      <c r="AE24" s="7">
        <v>38.710206999999997</v>
      </c>
      <c r="AF24" s="7">
        <v>50</v>
      </c>
      <c r="AG24" s="7">
        <v>52.871679999999998</v>
      </c>
      <c r="AH24" s="7">
        <v>64.505414000000002</v>
      </c>
      <c r="AI24" s="7">
        <v>35.247787000000002</v>
      </c>
      <c r="AJ24" s="7">
        <v>50</v>
      </c>
      <c r="AK24" s="7">
        <v>13.11</v>
      </c>
      <c r="AL24" s="7">
        <v>12.6</v>
      </c>
      <c r="AM24" s="7">
        <v>11.63</v>
      </c>
      <c r="AN24" s="7">
        <v>0.54487300000000005</v>
      </c>
      <c r="AO24" s="7">
        <v>54.487316</v>
      </c>
      <c r="AP24" s="7">
        <v>100</v>
      </c>
      <c r="AQ24" s="7">
        <v>0.45641599999999999</v>
      </c>
      <c r="AR24" s="7">
        <v>45.641641999999997</v>
      </c>
      <c r="AS24" s="7">
        <v>100</v>
      </c>
      <c r="AT24" s="7">
        <v>0.52867200000000003</v>
      </c>
      <c r="AU24" s="7">
        <v>0.571245</v>
      </c>
      <c r="AV24" s="7">
        <v>52.867164000000002</v>
      </c>
      <c r="AW24" s="7">
        <v>100</v>
      </c>
      <c r="AX24" s="7">
        <v>0.42628700000000003</v>
      </c>
      <c r="AY24" s="7">
        <v>0.50575899999999996</v>
      </c>
      <c r="AZ24" s="7">
        <v>42.628709000000001</v>
      </c>
      <c r="BA24" s="7">
        <v>100</v>
      </c>
      <c r="BB24" s="7">
        <v>0.63870300000000002</v>
      </c>
      <c r="BC24" s="7">
        <v>31.935155000000002</v>
      </c>
      <c r="BD24" s="7">
        <v>50</v>
      </c>
      <c r="BE24" s="7">
        <v>0.36909900000000001</v>
      </c>
      <c r="BF24" s="7">
        <v>18.454941999999999</v>
      </c>
      <c r="BG24" s="7">
        <v>50</v>
      </c>
      <c r="BH24" s="7">
        <v>1</v>
      </c>
      <c r="BI24" s="7">
        <v>0.97985299999999997</v>
      </c>
      <c r="BJ24" s="7">
        <v>0.97667599999999999</v>
      </c>
      <c r="BK24" s="7">
        <v>0.98522200000000004</v>
      </c>
      <c r="BL24" s="7">
        <v>0.97985299999999997</v>
      </c>
      <c r="BM24" s="7">
        <v>0.97376099999999999</v>
      </c>
      <c r="BN24" s="7">
        <v>0.99014800000000003</v>
      </c>
      <c r="BO24" s="7">
        <v>0.95435700000000001</v>
      </c>
      <c r="BP24" s="7">
        <v>0.94160600000000005</v>
      </c>
      <c r="BQ24" s="7">
        <v>0.97115399999999996</v>
      </c>
      <c r="BR24" s="7">
        <v>0.146035</v>
      </c>
      <c r="BS24" s="7">
        <v>30.793037000000002</v>
      </c>
      <c r="BT24" s="7">
        <v>50</v>
      </c>
      <c r="BU24" s="7">
        <v>0.19129099999999999</v>
      </c>
      <c r="BV24" s="7">
        <v>21.741834999999998</v>
      </c>
      <c r="BW24" s="7">
        <v>50</v>
      </c>
      <c r="BX24" s="7">
        <v>0.84768200000000005</v>
      </c>
      <c r="BY24" s="7">
        <v>50</v>
      </c>
      <c r="BZ24" s="7">
        <v>50</v>
      </c>
      <c r="CA24" s="7">
        <v>0.30463600000000002</v>
      </c>
      <c r="CB24" s="7">
        <v>20.309051</v>
      </c>
      <c r="CC24" s="7">
        <v>50</v>
      </c>
      <c r="CD24" s="7">
        <v>0.88888900000000004</v>
      </c>
      <c r="CE24" s="7">
        <v>47.281323999999998</v>
      </c>
      <c r="CF24" s="7">
        <v>50</v>
      </c>
      <c r="CG24" s="7">
        <v>0.90526300000000004</v>
      </c>
      <c r="CH24" s="7">
        <v>96.304591000000002</v>
      </c>
      <c r="CI24" s="7">
        <v>100</v>
      </c>
      <c r="CJ24" s="7">
        <v>0</v>
      </c>
      <c r="CK24" s="7">
        <v>0.86111099999999996</v>
      </c>
      <c r="CL24" s="7">
        <v>91.607564999999994</v>
      </c>
      <c r="CM24" s="7">
        <v>100</v>
      </c>
      <c r="CN24" s="7">
        <v>0.67100000000000004</v>
      </c>
      <c r="CO24" s="7">
        <v>89.411765000000003</v>
      </c>
      <c r="CP24" s="7">
        <v>100</v>
      </c>
      <c r="CQ24" s="7">
        <v>0.42320799999999997</v>
      </c>
      <c r="CR24" s="7">
        <v>0.94516100000000003</v>
      </c>
      <c r="CS24" s="7">
        <v>28.213878999999999</v>
      </c>
      <c r="CT24" s="7">
        <v>50</v>
      </c>
      <c r="CU24" s="7">
        <v>0.31788100000000002</v>
      </c>
      <c r="CV24" s="7">
        <v>26.490065999999999</v>
      </c>
      <c r="CW24" s="7">
        <v>50</v>
      </c>
      <c r="CX24" s="7">
        <v>0.86111099999999996</v>
      </c>
      <c r="CY24" s="7">
        <v>0.90243899999999999</v>
      </c>
      <c r="CZ24" s="7">
        <v>4.1327999999999997E-2</v>
      </c>
      <c r="DA24" s="7">
        <v>15.389535</v>
      </c>
      <c r="DB24" s="7">
        <v>17.608319000000002</v>
      </c>
      <c r="DC24" s="7">
        <v>16.064022999999999</v>
      </c>
      <c r="DD24" s="7">
        <v>11.115401</v>
      </c>
      <c r="DE24" s="4" t="s">
        <v>124</v>
      </c>
      <c r="DF24" s="6"/>
      <c r="DG24" s="6"/>
      <c r="DH24" s="6"/>
      <c r="DI24" s="6"/>
      <c r="DJ24" s="4" t="s">
        <v>124</v>
      </c>
      <c r="DK24" s="4" t="s">
        <v>124</v>
      </c>
      <c r="DL24" s="4" t="s">
        <v>124</v>
      </c>
      <c r="DM24" s="4" t="s">
        <v>124</v>
      </c>
      <c r="DN24" s="4" t="s">
        <v>124</v>
      </c>
      <c r="DO24" s="4" t="s">
        <v>124</v>
      </c>
      <c r="DP24" s="6"/>
      <c r="DQ24" s="4" t="s">
        <v>125</v>
      </c>
    </row>
    <row r="25" spans="1:121" ht="20" customHeight="1" x14ac:dyDescent="0.15">
      <c r="A25" s="5">
        <v>2018</v>
      </c>
      <c r="B25" s="3" t="s">
        <v>148</v>
      </c>
      <c r="C25" s="4" t="str">
        <f t="shared" ref="C25:C736" si="23">"1000011"</f>
        <v>1000011</v>
      </c>
      <c r="D25" s="4" t="s">
        <v>122</v>
      </c>
      <c r="E25" s="4" t="str">
        <f t="shared" si="1"/>
        <v>0000000</v>
      </c>
      <c r="F25" s="4" t="s">
        <v>122</v>
      </c>
      <c r="G25" s="4" t="s">
        <v>122</v>
      </c>
      <c r="H25" s="4" t="s">
        <v>122</v>
      </c>
      <c r="I25" s="6"/>
      <c r="J25" s="4" t="s">
        <v>123</v>
      </c>
      <c r="K25" s="7">
        <v>702.59510699999998</v>
      </c>
      <c r="L25" s="7">
        <v>900</v>
      </c>
      <c r="M25" s="7">
        <v>78.066123000000005</v>
      </c>
      <c r="N25" s="4" t="s">
        <v>124</v>
      </c>
      <c r="O25" s="7">
        <v>0</v>
      </c>
      <c r="P25" s="7">
        <v>74.047297</v>
      </c>
      <c r="Q25" s="7">
        <v>49.364865000000002</v>
      </c>
      <c r="R25" s="7">
        <v>50</v>
      </c>
      <c r="S25" s="7">
        <v>68.505018000000007</v>
      </c>
      <c r="T25" s="7">
        <v>75</v>
      </c>
      <c r="U25" s="7">
        <v>45.670012</v>
      </c>
      <c r="V25" s="7">
        <v>50</v>
      </c>
      <c r="W25" s="7">
        <v>64.920935999999998</v>
      </c>
      <c r="X25" s="7">
        <v>43.280624000000003</v>
      </c>
      <c r="Y25" s="7">
        <v>50</v>
      </c>
      <c r="Z25" s="7">
        <v>74.906994999999995</v>
      </c>
      <c r="AA25" s="7">
        <v>57.312508999999999</v>
      </c>
      <c r="AB25" s="7">
        <v>38.208339000000002</v>
      </c>
      <c r="AC25" s="7">
        <v>50</v>
      </c>
      <c r="AD25" s="7">
        <v>71.420689999999993</v>
      </c>
      <c r="AE25" s="7">
        <v>47.613793000000001</v>
      </c>
      <c r="AF25" s="7">
        <v>50</v>
      </c>
      <c r="AG25" s="7">
        <v>65.374707999999998</v>
      </c>
      <c r="AH25" s="7">
        <v>75</v>
      </c>
      <c r="AI25" s="7">
        <v>43.583137999999998</v>
      </c>
      <c r="AJ25" s="7">
        <v>50</v>
      </c>
      <c r="AK25" s="7">
        <v>6.49</v>
      </c>
      <c r="AL25" s="7">
        <v>17.59</v>
      </c>
      <c r="AM25" s="7">
        <v>9.6199999999999992</v>
      </c>
      <c r="AN25" s="7">
        <v>0.67014700000000005</v>
      </c>
      <c r="AO25" s="7">
        <v>67.014723000000004</v>
      </c>
      <c r="AP25" s="7">
        <v>100</v>
      </c>
      <c r="AQ25" s="7">
        <v>0.64557699999999996</v>
      </c>
      <c r="AR25" s="7">
        <v>64.557658000000004</v>
      </c>
      <c r="AS25" s="7">
        <v>100</v>
      </c>
      <c r="AT25" s="7">
        <v>0.685863</v>
      </c>
      <c r="AU25" s="7">
        <v>0.65334800000000004</v>
      </c>
      <c r="AV25" s="7">
        <v>68.586285000000004</v>
      </c>
      <c r="AW25" s="7">
        <v>100</v>
      </c>
      <c r="AX25" s="7">
        <v>0.59117900000000001</v>
      </c>
      <c r="AY25" s="7">
        <v>0.70372599999999996</v>
      </c>
      <c r="AZ25" s="7">
        <v>59.117899000000001</v>
      </c>
      <c r="BA25" s="7">
        <v>100</v>
      </c>
      <c r="BB25" s="4" t="s">
        <v>124</v>
      </c>
      <c r="BC25" s="4" t="s">
        <v>124</v>
      </c>
      <c r="BD25" s="4" t="s">
        <v>124</v>
      </c>
      <c r="BE25" s="4" t="s">
        <v>124</v>
      </c>
      <c r="BF25" s="4" t="s">
        <v>124</v>
      </c>
      <c r="BG25" s="4" t="s">
        <v>124</v>
      </c>
      <c r="BH25" s="7">
        <v>0</v>
      </c>
      <c r="BI25" s="7">
        <v>1</v>
      </c>
      <c r="BJ25" s="7">
        <v>1</v>
      </c>
      <c r="BK25" s="7">
        <v>1</v>
      </c>
      <c r="BL25" s="7">
        <v>0.99337699999999995</v>
      </c>
      <c r="BM25" s="7">
        <v>1</v>
      </c>
      <c r="BN25" s="7">
        <v>0.98461500000000002</v>
      </c>
      <c r="BO25" s="7">
        <v>1</v>
      </c>
      <c r="BP25" s="7">
        <v>1</v>
      </c>
      <c r="BQ25" s="7">
        <v>1</v>
      </c>
      <c r="BR25" s="7">
        <v>4.9586999999999999E-2</v>
      </c>
      <c r="BS25" s="7">
        <v>50</v>
      </c>
      <c r="BT25" s="7">
        <v>50</v>
      </c>
      <c r="BU25" s="7">
        <v>7.8571000000000002E-2</v>
      </c>
      <c r="BV25" s="7">
        <v>44.285713999999999</v>
      </c>
      <c r="BW25" s="7">
        <v>50</v>
      </c>
      <c r="BX25" s="4" t="s">
        <v>124</v>
      </c>
      <c r="BY25" s="4" t="s">
        <v>124</v>
      </c>
      <c r="BZ25" s="4" t="s">
        <v>124</v>
      </c>
      <c r="CA25" s="4" t="s">
        <v>124</v>
      </c>
      <c r="CB25" s="4" t="s">
        <v>124</v>
      </c>
      <c r="CC25" s="4" t="s">
        <v>124</v>
      </c>
      <c r="CD25" s="7">
        <v>0.93333299999999997</v>
      </c>
      <c r="CE25" s="7">
        <v>49.645389999999999</v>
      </c>
      <c r="CF25" s="7">
        <v>50</v>
      </c>
      <c r="CG25" s="4" t="s">
        <v>124</v>
      </c>
      <c r="CH25" s="4" t="s">
        <v>124</v>
      </c>
      <c r="CI25" s="4" t="s">
        <v>124</v>
      </c>
      <c r="CJ25" s="4" t="s">
        <v>124</v>
      </c>
      <c r="CK25" s="4" t="s">
        <v>124</v>
      </c>
      <c r="CL25" s="4" t="s">
        <v>124</v>
      </c>
      <c r="CM25" s="4" t="s">
        <v>124</v>
      </c>
      <c r="CN25" s="4" t="s">
        <v>124</v>
      </c>
      <c r="CO25" s="4" t="s">
        <v>124</v>
      </c>
      <c r="CP25" s="4" t="s">
        <v>124</v>
      </c>
      <c r="CQ25" s="7">
        <v>0.47499999999999998</v>
      </c>
      <c r="CR25" s="7">
        <v>0.97560999999999998</v>
      </c>
      <c r="CS25" s="7">
        <v>31.666667</v>
      </c>
      <c r="CT25" s="7">
        <v>50</v>
      </c>
      <c r="CU25" s="4" t="s">
        <v>124</v>
      </c>
      <c r="CV25" s="4" t="s">
        <v>124</v>
      </c>
      <c r="CW25" s="4" t="s">
        <v>124</v>
      </c>
      <c r="CX25" s="4" t="s">
        <v>124</v>
      </c>
      <c r="CY25" s="4" t="s">
        <v>124</v>
      </c>
      <c r="CZ25" s="4" t="s">
        <v>124</v>
      </c>
      <c r="DA25" s="7">
        <v>15.389535</v>
      </c>
      <c r="DB25" s="7">
        <v>17.608319000000002</v>
      </c>
      <c r="DC25" s="7">
        <v>16.064022999999999</v>
      </c>
      <c r="DD25" s="4" t="s">
        <v>124</v>
      </c>
      <c r="DE25" s="4" t="s">
        <v>124</v>
      </c>
      <c r="DF25" s="6"/>
      <c r="DG25" s="6"/>
      <c r="DH25" s="6"/>
      <c r="DI25" s="6"/>
      <c r="DJ25" s="4" t="s">
        <v>124</v>
      </c>
      <c r="DK25" s="4" t="s">
        <v>124</v>
      </c>
      <c r="DL25" s="4" t="s">
        <v>124</v>
      </c>
      <c r="DM25" s="4" t="s">
        <v>124</v>
      </c>
      <c r="DN25" s="4" t="s">
        <v>124</v>
      </c>
      <c r="DO25" s="4" t="s">
        <v>124</v>
      </c>
      <c r="DP25" s="6"/>
      <c r="DQ25" s="4" t="s">
        <v>125</v>
      </c>
    </row>
    <row r="26" spans="1:121" ht="20" customHeight="1" x14ac:dyDescent="0.15">
      <c r="A26" s="5">
        <v>2018</v>
      </c>
      <c r="B26" s="3" t="s">
        <v>149</v>
      </c>
      <c r="C26" s="4" t="str">
        <f t="shared" ref="C26:C737" si="24">"1010011"</f>
        <v>1010011</v>
      </c>
      <c r="D26" s="4" t="s">
        <v>122</v>
      </c>
      <c r="E26" s="4" t="str">
        <f t="shared" si="1"/>
        <v>0000000</v>
      </c>
      <c r="F26" s="4" t="s">
        <v>122</v>
      </c>
      <c r="G26" s="4" t="s">
        <v>122</v>
      </c>
      <c r="H26" s="4" t="s">
        <v>122</v>
      </c>
      <c r="I26" s="6"/>
      <c r="J26" s="4" t="s">
        <v>123</v>
      </c>
      <c r="K26" s="7">
        <v>1119.7489390000001</v>
      </c>
      <c r="L26" s="7">
        <v>1450</v>
      </c>
      <c r="M26" s="7">
        <v>77.224064999999996</v>
      </c>
      <c r="N26" s="4" t="s">
        <v>124</v>
      </c>
      <c r="O26" s="7">
        <v>0</v>
      </c>
      <c r="P26" s="7">
        <v>74.503326999999999</v>
      </c>
      <c r="Q26" s="7">
        <v>49.668885000000003</v>
      </c>
      <c r="R26" s="7">
        <v>50</v>
      </c>
      <c r="S26" s="7">
        <v>63.625810999999999</v>
      </c>
      <c r="T26" s="7">
        <v>75</v>
      </c>
      <c r="U26" s="7">
        <v>42.417206999999998</v>
      </c>
      <c r="V26" s="7">
        <v>50</v>
      </c>
      <c r="W26" s="7">
        <v>70.507507000000004</v>
      </c>
      <c r="X26" s="7">
        <v>47.005004</v>
      </c>
      <c r="Y26" s="7">
        <v>50</v>
      </c>
      <c r="Z26" s="7">
        <v>74.714354999999998</v>
      </c>
      <c r="AA26" s="7">
        <v>60.476470999999997</v>
      </c>
      <c r="AB26" s="7">
        <v>40.317647000000001</v>
      </c>
      <c r="AC26" s="7">
        <v>50</v>
      </c>
      <c r="AD26" s="7">
        <v>64.506701000000007</v>
      </c>
      <c r="AE26" s="7">
        <v>43.004466999999998</v>
      </c>
      <c r="AF26" s="7">
        <v>50</v>
      </c>
      <c r="AG26" s="7">
        <v>58.462693999999999</v>
      </c>
      <c r="AH26" s="7">
        <v>67.179304000000002</v>
      </c>
      <c r="AI26" s="7">
        <v>38.975129000000003</v>
      </c>
      <c r="AJ26" s="7">
        <v>50</v>
      </c>
      <c r="AK26" s="7">
        <v>11.37</v>
      </c>
      <c r="AL26" s="7">
        <v>14.23</v>
      </c>
      <c r="AM26" s="7">
        <v>8.7100000000000009</v>
      </c>
      <c r="AN26" s="7">
        <v>0.64632000000000001</v>
      </c>
      <c r="AO26" s="7">
        <v>64.632013000000001</v>
      </c>
      <c r="AP26" s="7">
        <v>100</v>
      </c>
      <c r="AQ26" s="7">
        <v>0.69068799999999997</v>
      </c>
      <c r="AR26" s="7">
        <v>69.068836000000005</v>
      </c>
      <c r="AS26" s="7">
        <v>100</v>
      </c>
      <c r="AT26" s="7">
        <v>0.54927300000000001</v>
      </c>
      <c r="AU26" s="7">
        <v>0.68303700000000001</v>
      </c>
      <c r="AV26" s="7">
        <v>54.927304999999997</v>
      </c>
      <c r="AW26" s="7">
        <v>100</v>
      </c>
      <c r="AX26" s="7">
        <v>0.61078699999999997</v>
      </c>
      <c r="AY26" s="7">
        <v>0.72089499999999995</v>
      </c>
      <c r="AZ26" s="7">
        <v>61.078696000000001</v>
      </c>
      <c r="BA26" s="7">
        <v>100</v>
      </c>
      <c r="BB26" s="7">
        <v>0.73278500000000002</v>
      </c>
      <c r="BC26" s="7">
        <v>36.639265999999999</v>
      </c>
      <c r="BD26" s="7">
        <v>50</v>
      </c>
      <c r="BE26" s="7">
        <v>0.50550300000000004</v>
      </c>
      <c r="BF26" s="7">
        <v>25.275136</v>
      </c>
      <c r="BG26" s="7">
        <v>50</v>
      </c>
      <c r="BH26" s="7">
        <v>0</v>
      </c>
      <c r="BI26" s="7">
        <v>0.98439399999999999</v>
      </c>
      <c r="BJ26" s="7">
        <v>0.96237600000000001</v>
      </c>
      <c r="BK26" s="7">
        <v>0.99397100000000005</v>
      </c>
      <c r="BL26" s="7">
        <v>0.98259300000000005</v>
      </c>
      <c r="BM26" s="7">
        <v>0.96039600000000003</v>
      </c>
      <c r="BN26" s="7">
        <v>0.99224800000000002</v>
      </c>
      <c r="BO26" s="7">
        <v>0.98760300000000001</v>
      </c>
      <c r="BP26" s="7">
        <v>0.96929799999999999</v>
      </c>
      <c r="BQ26" s="7">
        <v>0.99598399999999998</v>
      </c>
      <c r="BR26" s="7">
        <v>7.2727E-2</v>
      </c>
      <c r="BS26" s="7">
        <v>45.454545000000003</v>
      </c>
      <c r="BT26" s="7">
        <v>50</v>
      </c>
      <c r="BU26" s="7">
        <v>0.14331199999999999</v>
      </c>
      <c r="BV26" s="7">
        <v>31.337579999999999</v>
      </c>
      <c r="BW26" s="7">
        <v>50</v>
      </c>
      <c r="BX26" s="7">
        <v>0.56472800000000001</v>
      </c>
      <c r="BY26" s="7">
        <v>37.648530000000001</v>
      </c>
      <c r="BZ26" s="7">
        <v>50</v>
      </c>
      <c r="CA26" s="7">
        <v>0.47654800000000003</v>
      </c>
      <c r="CB26" s="7">
        <v>31.769856000000001</v>
      </c>
      <c r="CC26" s="7">
        <v>50</v>
      </c>
      <c r="CD26" s="7">
        <v>0.95863299999999996</v>
      </c>
      <c r="CE26" s="7">
        <v>50</v>
      </c>
      <c r="CF26" s="7">
        <v>50</v>
      </c>
      <c r="CG26" s="7">
        <v>0.91304300000000005</v>
      </c>
      <c r="CH26" s="7">
        <v>97.132284999999996</v>
      </c>
      <c r="CI26" s="7">
        <v>100</v>
      </c>
      <c r="CJ26" s="7">
        <v>0</v>
      </c>
      <c r="CK26" s="7">
        <v>0.86764699999999995</v>
      </c>
      <c r="CL26" s="7">
        <v>92.302879000000004</v>
      </c>
      <c r="CM26" s="7">
        <v>100</v>
      </c>
      <c r="CN26" s="7">
        <v>0.84</v>
      </c>
      <c r="CO26" s="7">
        <v>100</v>
      </c>
      <c r="CP26" s="7">
        <v>100</v>
      </c>
      <c r="CQ26" s="7">
        <v>0.45544600000000002</v>
      </c>
      <c r="CR26" s="7">
        <v>0.93135199999999996</v>
      </c>
      <c r="CS26" s="7">
        <v>30.363036000000001</v>
      </c>
      <c r="CT26" s="7">
        <v>50</v>
      </c>
      <c r="CU26" s="7">
        <v>0.36876799999999998</v>
      </c>
      <c r="CV26" s="7">
        <v>30.730637000000002</v>
      </c>
      <c r="CW26" s="7">
        <v>50</v>
      </c>
      <c r="CX26" s="7">
        <v>0.86764699999999995</v>
      </c>
      <c r="CY26" s="7">
        <v>0.94</v>
      </c>
      <c r="CZ26" s="7">
        <v>7.2353000000000001E-2</v>
      </c>
      <c r="DA26" s="7">
        <v>15.389535</v>
      </c>
      <c r="DB26" s="7">
        <v>17.608319000000002</v>
      </c>
      <c r="DC26" s="7">
        <v>16.064022999999999</v>
      </c>
      <c r="DD26" s="7">
        <v>11.115401</v>
      </c>
      <c r="DE26" s="4" t="s">
        <v>124</v>
      </c>
      <c r="DF26" s="6"/>
      <c r="DG26" s="6"/>
      <c r="DH26" s="6"/>
      <c r="DI26" s="6"/>
      <c r="DJ26" s="4" t="s">
        <v>124</v>
      </c>
      <c r="DK26" s="4" t="s">
        <v>124</v>
      </c>
      <c r="DL26" s="4" t="s">
        <v>124</v>
      </c>
      <c r="DM26" s="4" t="s">
        <v>124</v>
      </c>
      <c r="DN26" s="4" t="s">
        <v>124</v>
      </c>
      <c r="DO26" s="4" t="s">
        <v>124</v>
      </c>
      <c r="DP26" s="6"/>
      <c r="DQ26" s="4" t="s">
        <v>125</v>
      </c>
    </row>
    <row r="27" spans="1:121" ht="20" customHeight="1" x14ac:dyDescent="0.15">
      <c r="A27" s="5">
        <v>2018</v>
      </c>
      <c r="B27" s="3" t="s">
        <v>150</v>
      </c>
      <c r="C27" s="4" t="str">
        <f t="shared" ref="C27:C406" si="25">"0490011"</f>
        <v>0490011</v>
      </c>
      <c r="D27" s="4" t="s">
        <v>122</v>
      </c>
      <c r="E27" s="4" t="str">
        <f t="shared" si="1"/>
        <v>0000000</v>
      </c>
      <c r="F27" s="4" t="s">
        <v>122</v>
      </c>
      <c r="G27" s="4" t="s">
        <v>122</v>
      </c>
      <c r="H27" s="4" t="s">
        <v>122</v>
      </c>
      <c r="I27" s="6"/>
      <c r="J27" s="4" t="s">
        <v>123</v>
      </c>
      <c r="K27" s="7">
        <v>1050.3252869999999</v>
      </c>
      <c r="L27" s="7">
        <v>1450</v>
      </c>
      <c r="M27" s="7">
        <v>72.436227000000002</v>
      </c>
      <c r="N27" s="4" t="s">
        <v>124</v>
      </c>
      <c r="O27" s="7">
        <v>0</v>
      </c>
      <c r="P27" s="7">
        <v>64.642787999999996</v>
      </c>
      <c r="Q27" s="7">
        <v>43.095191999999997</v>
      </c>
      <c r="R27" s="7">
        <v>50</v>
      </c>
      <c r="S27" s="7">
        <v>58.716777</v>
      </c>
      <c r="T27" s="7">
        <v>71.534443999999993</v>
      </c>
      <c r="U27" s="7">
        <v>39.144517999999998</v>
      </c>
      <c r="V27" s="7">
        <v>50</v>
      </c>
      <c r="W27" s="7">
        <v>59.314017999999997</v>
      </c>
      <c r="X27" s="7">
        <v>39.542678000000002</v>
      </c>
      <c r="Y27" s="7">
        <v>50</v>
      </c>
      <c r="Z27" s="7">
        <v>66.108339000000001</v>
      </c>
      <c r="AA27" s="7">
        <v>53.469493999999997</v>
      </c>
      <c r="AB27" s="7">
        <v>35.646329000000001</v>
      </c>
      <c r="AC27" s="7">
        <v>50</v>
      </c>
      <c r="AD27" s="7">
        <v>66.352092999999996</v>
      </c>
      <c r="AE27" s="7">
        <v>44.234727999999997</v>
      </c>
      <c r="AF27" s="7">
        <v>50</v>
      </c>
      <c r="AG27" s="7">
        <v>59.720173000000003</v>
      </c>
      <c r="AH27" s="7">
        <v>73.396091999999996</v>
      </c>
      <c r="AI27" s="7">
        <v>39.813448999999999</v>
      </c>
      <c r="AJ27" s="7">
        <v>50</v>
      </c>
      <c r="AK27" s="7">
        <v>12.81</v>
      </c>
      <c r="AL27" s="7">
        <v>12.63</v>
      </c>
      <c r="AM27" s="7">
        <v>13.67</v>
      </c>
      <c r="AN27" s="7">
        <v>0.55288800000000005</v>
      </c>
      <c r="AO27" s="7">
        <v>55.288820000000001</v>
      </c>
      <c r="AP27" s="7">
        <v>100</v>
      </c>
      <c r="AQ27" s="7">
        <v>0.555948</v>
      </c>
      <c r="AR27" s="7">
        <v>55.594762000000003</v>
      </c>
      <c r="AS27" s="7">
        <v>100</v>
      </c>
      <c r="AT27" s="7">
        <v>0.532416</v>
      </c>
      <c r="AU27" s="7">
        <v>0.57582999999999995</v>
      </c>
      <c r="AV27" s="7">
        <v>53.241593999999999</v>
      </c>
      <c r="AW27" s="7">
        <v>100</v>
      </c>
      <c r="AX27" s="7">
        <v>0.53377200000000002</v>
      </c>
      <c r="AY27" s="7">
        <v>0.58067000000000002</v>
      </c>
      <c r="AZ27" s="7">
        <v>53.377215999999997</v>
      </c>
      <c r="BA27" s="7">
        <v>100</v>
      </c>
      <c r="BB27" s="7">
        <v>0.65753399999999995</v>
      </c>
      <c r="BC27" s="7">
        <v>32.8767</v>
      </c>
      <c r="BD27" s="7">
        <v>50</v>
      </c>
      <c r="BE27" s="7">
        <v>0.59646699999999997</v>
      </c>
      <c r="BF27" s="7">
        <v>29.823347999999999</v>
      </c>
      <c r="BG27" s="7">
        <v>50</v>
      </c>
      <c r="BH27" s="7">
        <v>0</v>
      </c>
      <c r="BI27" s="7">
        <v>0.99542200000000003</v>
      </c>
      <c r="BJ27" s="7">
        <v>0.99582800000000005</v>
      </c>
      <c r="BK27" s="7">
        <v>0.99492800000000003</v>
      </c>
      <c r="BL27" s="7">
        <v>0.99578500000000003</v>
      </c>
      <c r="BM27" s="7">
        <v>0.99650300000000003</v>
      </c>
      <c r="BN27" s="7">
        <v>0.99491499999999999</v>
      </c>
      <c r="BO27" s="7">
        <v>0.99725299999999995</v>
      </c>
      <c r="BP27" s="7">
        <v>0.99824599999999997</v>
      </c>
      <c r="BQ27" s="7">
        <v>0.99616899999999997</v>
      </c>
      <c r="BR27" s="7">
        <v>9.9668999999999994E-2</v>
      </c>
      <c r="BS27" s="7">
        <v>40.06617</v>
      </c>
      <c r="BT27" s="7">
        <v>50</v>
      </c>
      <c r="BU27" s="7">
        <v>0.15089900000000001</v>
      </c>
      <c r="BV27" s="7">
        <v>29.820171999999999</v>
      </c>
      <c r="BW27" s="7">
        <v>50</v>
      </c>
      <c r="BX27" s="7">
        <v>0.88362099999999999</v>
      </c>
      <c r="BY27" s="7">
        <v>50</v>
      </c>
      <c r="BZ27" s="7">
        <v>50</v>
      </c>
      <c r="CA27" s="7">
        <v>0.35632200000000003</v>
      </c>
      <c r="CB27" s="7">
        <v>23.754788999999999</v>
      </c>
      <c r="CC27" s="7">
        <v>50</v>
      </c>
      <c r="CD27" s="7">
        <v>0.88243199999999999</v>
      </c>
      <c r="CE27" s="7">
        <v>46.937894999999997</v>
      </c>
      <c r="CF27" s="7">
        <v>50</v>
      </c>
      <c r="CG27" s="7">
        <v>0.89603999999999995</v>
      </c>
      <c r="CH27" s="7">
        <v>95.323362000000003</v>
      </c>
      <c r="CI27" s="7">
        <v>100</v>
      </c>
      <c r="CJ27" s="7">
        <v>1</v>
      </c>
      <c r="CK27" s="7">
        <v>0.81192699999999995</v>
      </c>
      <c r="CL27" s="7">
        <v>86.375170999999995</v>
      </c>
      <c r="CM27" s="7">
        <v>100</v>
      </c>
      <c r="CN27" s="7">
        <v>0.64200000000000002</v>
      </c>
      <c r="CO27" s="7">
        <v>85.639686999999995</v>
      </c>
      <c r="CP27" s="7">
        <v>100</v>
      </c>
      <c r="CQ27" s="7">
        <v>0.621861</v>
      </c>
      <c r="CR27" s="7">
        <v>0.86132299999999995</v>
      </c>
      <c r="CS27" s="7">
        <v>20.728705000000001</v>
      </c>
      <c r="CT27" s="7">
        <v>50</v>
      </c>
      <c r="CU27" s="7">
        <v>0.702071</v>
      </c>
      <c r="CV27" s="7">
        <v>50</v>
      </c>
      <c r="CW27" s="7">
        <v>50</v>
      </c>
      <c r="CX27" s="7">
        <v>0.81192699999999995</v>
      </c>
      <c r="CY27" s="7">
        <v>0.94</v>
      </c>
      <c r="CZ27" s="7">
        <v>0.12807299999999999</v>
      </c>
      <c r="DA27" s="7">
        <v>15.389535</v>
      </c>
      <c r="DB27" s="7">
        <v>17.608319000000002</v>
      </c>
      <c r="DC27" s="7">
        <v>16.064022999999999</v>
      </c>
      <c r="DD27" s="7">
        <v>11.115401</v>
      </c>
      <c r="DE27" s="4" t="s">
        <v>124</v>
      </c>
      <c r="DF27" s="6"/>
      <c r="DG27" s="6"/>
      <c r="DH27" s="6"/>
      <c r="DI27" s="6"/>
      <c r="DJ27" s="4" t="s">
        <v>124</v>
      </c>
      <c r="DK27" s="4" t="s">
        <v>124</v>
      </c>
      <c r="DL27" s="4" t="s">
        <v>124</v>
      </c>
      <c r="DM27" s="4" t="s">
        <v>124</v>
      </c>
      <c r="DN27" s="4" t="s">
        <v>124</v>
      </c>
      <c r="DO27" s="4" t="s">
        <v>124</v>
      </c>
      <c r="DP27" s="6"/>
      <c r="DQ27" s="4" t="s">
        <v>125</v>
      </c>
    </row>
    <row r="28" spans="1:121" ht="20" customHeight="1" x14ac:dyDescent="0.15">
      <c r="A28" s="5">
        <v>2018</v>
      </c>
      <c r="B28" s="3" t="s">
        <v>151</v>
      </c>
      <c r="C28" s="4" t="str">
        <f t="shared" ref="C28:C438" si="26">"0530011"</f>
        <v>0530011</v>
      </c>
      <c r="D28" s="4" t="s">
        <v>122</v>
      </c>
      <c r="E28" s="4" t="str">
        <f t="shared" si="1"/>
        <v>0000000</v>
      </c>
      <c r="F28" s="4" t="s">
        <v>122</v>
      </c>
      <c r="G28" s="4" t="s">
        <v>122</v>
      </c>
      <c r="H28" s="4" t="s">
        <v>122</v>
      </c>
      <c r="I28" s="6"/>
      <c r="J28" s="4" t="s">
        <v>123</v>
      </c>
      <c r="K28" s="7">
        <v>635.33354299999996</v>
      </c>
      <c r="L28" s="7">
        <v>800</v>
      </c>
      <c r="M28" s="7">
        <v>79.416692999999995</v>
      </c>
      <c r="N28" s="4" t="s">
        <v>124</v>
      </c>
      <c r="O28" s="7">
        <v>1</v>
      </c>
      <c r="P28" s="7">
        <v>74.311768000000001</v>
      </c>
      <c r="Q28" s="7">
        <v>49.541178000000002</v>
      </c>
      <c r="R28" s="7">
        <v>50</v>
      </c>
      <c r="S28" s="7">
        <v>59.249628999999999</v>
      </c>
      <c r="T28" s="7">
        <v>75</v>
      </c>
      <c r="U28" s="7">
        <v>39.499752000000001</v>
      </c>
      <c r="V28" s="7">
        <v>50</v>
      </c>
      <c r="W28" s="7">
        <v>68.791983999999999</v>
      </c>
      <c r="X28" s="7">
        <v>45.861322000000001</v>
      </c>
      <c r="Y28" s="7">
        <v>50</v>
      </c>
      <c r="Z28" s="7">
        <v>72.529133999999999</v>
      </c>
      <c r="AA28" s="7">
        <v>57.418047000000001</v>
      </c>
      <c r="AB28" s="7">
        <v>38.278697999999999</v>
      </c>
      <c r="AC28" s="7">
        <v>50</v>
      </c>
      <c r="AD28" s="7">
        <v>68.217343</v>
      </c>
      <c r="AE28" s="7">
        <v>45.478228999999999</v>
      </c>
      <c r="AF28" s="7">
        <v>50</v>
      </c>
      <c r="AG28" s="4" t="s">
        <v>124</v>
      </c>
      <c r="AH28" s="4" t="s">
        <v>124</v>
      </c>
      <c r="AI28" s="4" t="s">
        <v>124</v>
      </c>
      <c r="AJ28" s="4" t="s">
        <v>124</v>
      </c>
      <c r="AK28" s="7">
        <v>15.75</v>
      </c>
      <c r="AL28" s="7">
        <v>15.11</v>
      </c>
      <c r="AM28" s="4" t="s">
        <v>124</v>
      </c>
      <c r="AN28" s="7">
        <v>0.66216900000000001</v>
      </c>
      <c r="AO28" s="7">
        <v>66.216926000000001</v>
      </c>
      <c r="AP28" s="7">
        <v>100</v>
      </c>
      <c r="AQ28" s="7">
        <v>0.86987300000000001</v>
      </c>
      <c r="AR28" s="7">
        <v>86.987273999999999</v>
      </c>
      <c r="AS28" s="7">
        <v>100</v>
      </c>
      <c r="AT28" s="7">
        <v>0.56551200000000001</v>
      </c>
      <c r="AU28" s="7">
        <v>0.69493400000000005</v>
      </c>
      <c r="AV28" s="7">
        <v>56.551223</v>
      </c>
      <c r="AW28" s="7">
        <v>100</v>
      </c>
      <c r="AX28" s="7">
        <v>0.73246999999999995</v>
      </c>
      <c r="AY28" s="7">
        <v>0.91644999999999999</v>
      </c>
      <c r="AZ28" s="7">
        <v>73.246993000000003</v>
      </c>
      <c r="BA28" s="7">
        <v>100</v>
      </c>
      <c r="BB28" s="4" t="s">
        <v>124</v>
      </c>
      <c r="BC28" s="4" t="s">
        <v>124</v>
      </c>
      <c r="BD28" s="4" t="s">
        <v>124</v>
      </c>
      <c r="BE28" s="4" t="s">
        <v>124</v>
      </c>
      <c r="BF28" s="4" t="s">
        <v>124</v>
      </c>
      <c r="BG28" s="4" t="s">
        <v>124</v>
      </c>
      <c r="BH28" s="7">
        <v>0</v>
      </c>
      <c r="BI28" s="7">
        <v>1</v>
      </c>
      <c r="BJ28" s="7">
        <v>1</v>
      </c>
      <c r="BK28" s="7">
        <v>1</v>
      </c>
      <c r="BL28" s="7">
        <v>1</v>
      </c>
      <c r="BM28" s="7">
        <v>1</v>
      </c>
      <c r="BN28" s="7">
        <v>1</v>
      </c>
      <c r="BO28" s="7">
        <v>1</v>
      </c>
      <c r="BP28" s="4" t="s">
        <v>124</v>
      </c>
      <c r="BQ28" s="4" t="s">
        <v>124</v>
      </c>
      <c r="BR28" s="7">
        <v>1.4286E-2</v>
      </c>
      <c r="BS28" s="7">
        <v>50</v>
      </c>
      <c r="BT28" s="7">
        <v>50</v>
      </c>
      <c r="BU28" s="7">
        <v>5.4053999999999998E-2</v>
      </c>
      <c r="BV28" s="7">
        <v>49.189188999999999</v>
      </c>
      <c r="BW28" s="7">
        <v>50</v>
      </c>
      <c r="BX28" s="4" t="s">
        <v>124</v>
      </c>
      <c r="BY28" s="4" t="s">
        <v>124</v>
      </c>
      <c r="BZ28" s="4" t="s">
        <v>124</v>
      </c>
      <c r="CA28" s="4" t="s">
        <v>124</v>
      </c>
      <c r="CB28" s="4" t="s">
        <v>124</v>
      </c>
      <c r="CC28" s="4" t="s">
        <v>124</v>
      </c>
      <c r="CD28" s="4" t="s">
        <v>124</v>
      </c>
      <c r="CE28" s="4" t="s">
        <v>124</v>
      </c>
      <c r="CF28" s="4" t="s">
        <v>124</v>
      </c>
      <c r="CG28" s="4" t="s">
        <v>124</v>
      </c>
      <c r="CH28" s="4" t="s">
        <v>124</v>
      </c>
      <c r="CI28" s="4" t="s">
        <v>124</v>
      </c>
      <c r="CJ28" s="4" t="s">
        <v>124</v>
      </c>
      <c r="CK28" s="4" t="s">
        <v>124</v>
      </c>
      <c r="CL28" s="4" t="s">
        <v>124</v>
      </c>
      <c r="CM28" s="4" t="s">
        <v>124</v>
      </c>
      <c r="CN28" s="4" t="s">
        <v>124</v>
      </c>
      <c r="CO28" s="4" t="s">
        <v>124</v>
      </c>
      <c r="CP28" s="4" t="s">
        <v>124</v>
      </c>
      <c r="CQ28" s="7">
        <v>0.51724099999999995</v>
      </c>
      <c r="CR28" s="7">
        <v>1</v>
      </c>
      <c r="CS28" s="7">
        <v>34.482759000000001</v>
      </c>
      <c r="CT28" s="7">
        <v>50</v>
      </c>
      <c r="CU28" s="4" t="s">
        <v>124</v>
      </c>
      <c r="CV28" s="4" t="s">
        <v>124</v>
      </c>
      <c r="CW28" s="4" t="s">
        <v>124</v>
      </c>
      <c r="CX28" s="4" t="s">
        <v>124</v>
      </c>
      <c r="CY28" s="4" t="s">
        <v>124</v>
      </c>
      <c r="CZ28" s="4" t="s">
        <v>124</v>
      </c>
      <c r="DA28" s="7">
        <v>15.389535</v>
      </c>
      <c r="DB28" s="7">
        <v>17.608319000000002</v>
      </c>
      <c r="DC28" s="7">
        <v>16.064022999999999</v>
      </c>
      <c r="DD28" s="4" t="s">
        <v>124</v>
      </c>
      <c r="DE28" s="4" t="s">
        <v>124</v>
      </c>
      <c r="DF28" s="6"/>
      <c r="DG28" s="6"/>
      <c r="DH28" s="6"/>
      <c r="DI28" s="6"/>
      <c r="DJ28" s="4" t="s">
        <v>124</v>
      </c>
      <c r="DK28" s="4" t="s">
        <v>124</v>
      </c>
      <c r="DL28" s="4" t="s">
        <v>124</v>
      </c>
      <c r="DM28" s="4" t="s">
        <v>124</v>
      </c>
      <c r="DN28" s="4" t="s">
        <v>124</v>
      </c>
      <c r="DO28" s="4" t="s">
        <v>124</v>
      </c>
      <c r="DP28" s="6"/>
      <c r="DQ28" s="4" t="s">
        <v>125</v>
      </c>
    </row>
    <row r="29" spans="1:121" ht="20" customHeight="1" x14ac:dyDescent="0.15">
      <c r="A29" s="5">
        <v>2018</v>
      </c>
      <c r="B29" s="3" t="s">
        <v>152</v>
      </c>
      <c r="C29" s="4" t="str">
        <f t="shared" ref="C29:C439" si="27">"0540011"</f>
        <v>0540011</v>
      </c>
      <c r="D29" s="4" t="s">
        <v>122</v>
      </c>
      <c r="E29" s="4" t="str">
        <f t="shared" si="1"/>
        <v>0000000</v>
      </c>
      <c r="F29" s="4" t="s">
        <v>122</v>
      </c>
      <c r="G29" s="4" t="s">
        <v>122</v>
      </c>
      <c r="H29" s="4" t="s">
        <v>122</v>
      </c>
      <c r="I29" s="6"/>
      <c r="J29" s="4" t="s">
        <v>123</v>
      </c>
      <c r="K29" s="7">
        <v>1210.697019</v>
      </c>
      <c r="L29" s="7">
        <v>1450</v>
      </c>
      <c r="M29" s="7">
        <v>83.496346000000003</v>
      </c>
      <c r="N29" s="4" t="s">
        <v>124</v>
      </c>
      <c r="O29" s="7">
        <v>0</v>
      </c>
      <c r="P29" s="7">
        <v>79.014217000000002</v>
      </c>
      <c r="Q29" s="7">
        <v>50</v>
      </c>
      <c r="R29" s="7">
        <v>50</v>
      </c>
      <c r="S29" s="7">
        <v>63.313648000000001</v>
      </c>
      <c r="T29" s="7">
        <v>75</v>
      </c>
      <c r="U29" s="7">
        <v>42.209099000000002</v>
      </c>
      <c r="V29" s="7">
        <v>50</v>
      </c>
      <c r="W29" s="7">
        <v>77.620958999999999</v>
      </c>
      <c r="X29" s="7">
        <v>50</v>
      </c>
      <c r="Y29" s="7">
        <v>50</v>
      </c>
      <c r="Z29" s="7">
        <v>75</v>
      </c>
      <c r="AA29" s="7">
        <v>60.231495000000002</v>
      </c>
      <c r="AB29" s="7">
        <v>40.154330000000002</v>
      </c>
      <c r="AC29" s="7">
        <v>50</v>
      </c>
      <c r="AD29" s="7">
        <v>76.236583999999993</v>
      </c>
      <c r="AE29" s="7">
        <v>50</v>
      </c>
      <c r="AF29" s="7">
        <v>50</v>
      </c>
      <c r="AG29" s="7">
        <v>61.522201000000003</v>
      </c>
      <c r="AH29" s="7">
        <v>75</v>
      </c>
      <c r="AI29" s="7">
        <v>41.014800999999999</v>
      </c>
      <c r="AJ29" s="7">
        <v>50</v>
      </c>
      <c r="AK29" s="7">
        <v>11.68</v>
      </c>
      <c r="AL29" s="7">
        <v>14.76</v>
      </c>
      <c r="AM29" s="7">
        <v>13.47</v>
      </c>
      <c r="AN29" s="7">
        <v>0.660049</v>
      </c>
      <c r="AO29" s="7">
        <v>66.004857999999999</v>
      </c>
      <c r="AP29" s="7">
        <v>100</v>
      </c>
      <c r="AQ29" s="7">
        <v>0.74274499999999999</v>
      </c>
      <c r="AR29" s="7">
        <v>74.274472000000003</v>
      </c>
      <c r="AS29" s="7">
        <v>100</v>
      </c>
      <c r="AT29" s="7">
        <v>0.55130299999999999</v>
      </c>
      <c r="AU29" s="7">
        <v>0.68804100000000001</v>
      </c>
      <c r="AV29" s="7">
        <v>55.130319999999998</v>
      </c>
      <c r="AW29" s="7">
        <v>100</v>
      </c>
      <c r="AX29" s="7">
        <v>0.61488399999999999</v>
      </c>
      <c r="AY29" s="7">
        <v>0.77565700000000004</v>
      </c>
      <c r="AZ29" s="7">
        <v>61.48845</v>
      </c>
      <c r="BA29" s="7">
        <v>100</v>
      </c>
      <c r="BB29" s="7">
        <v>0.72288399999999997</v>
      </c>
      <c r="BC29" s="7">
        <v>36.144210000000001</v>
      </c>
      <c r="BD29" s="7">
        <v>50</v>
      </c>
      <c r="BE29" s="7">
        <v>0.67488199999999998</v>
      </c>
      <c r="BF29" s="7">
        <v>33.744081999999999</v>
      </c>
      <c r="BG29" s="7">
        <v>50</v>
      </c>
      <c r="BH29" s="7">
        <v>0</v>
      </c>
      <c r="BI29" s="7">
        <v>0.99624199999999996</v>
      </c>
      <c r="BJ29" s="7">
        <v>0.98783799999999999</v>
      </c>
      <c r="BK29" s="7">
        <v>0.99877700000000003</v>
      </c>
      <c r="BL29" s="7">
        <v>0.99561699999999997</v>
      </c>
      <c r="BM29" s="7">
        <v>0.98785400000000001</v>
      </c>
      <c r="BN29" s="7">
        <v>0.99796200000000002</v>
      </c>
      <c r="BO29" s="7">
        <v>0.99583900000000003</v>
      </c>
      <c r="BP29" s="7">
        <v>0.99065400000000003</v>
      </c>
      <c r="BQ29" s="7">
        <v>0.99732399999999999</v>
      </c>
      <c r="BR29" s="7">
        <v>3.6986999999999999E-2</v>
      </c>
      <c r="BS29" s="7">
        <v>50</v>
      </c>
      <c r="BT29" s="7">
        <v>50</v>
      </c>
      <c r="BU29" s="7">
        <v>9.7761000000000001E-2</v>
      </c>
      <c r="BV29" s="7">
        <v>40.447761</v>
      </c>
      <c r="BW29" s="7">
        <v>50</v>
      </c>
      <c r="BX29" s="7">
        <v>0.72912600000000005</v>
      </c>
      <c r="BY29" s="7">
        <v>48.608414000000003</v>
      </c>
      <c r="BZ29" s="7">
        <v>50</v>
      </c>
      <c r="CA29" s="7">
        <v>0.728155</v>
      </c>
      <c r="CB29" s="7">
        <v>48.543689000000001</v>
      </c>
      <c r="CC29" s="7">
        <v>50</v>
      </c>
      <c r="CD29" s="7">
        <v>0.96078399999999997</v>
      </c>
      <c r="CE29" s="7">
        <v>50</v>
      </c>
      <c r="CF29" s="7">
        <v>50</v>
      </c>
      <c r="CG29" s="7">
        <v>0.96572599999999997</v>
      </c>
      <c r="CH29" s="7">
        <v>100</v>
      </c>
      <c r="CI29" s="7">
        <v>100</v>
      </c>
      <c r="CJ29" s="7">
        <v>0</v>
      </c>
      <c r="CK29" s="7">
        <v>0.97297299999999998</v>
      </c>
      <c r="CL29" s="7">
        <v>100</v>
      </c>
      <c r="CM29" s="7">
        <v>100</v>
      </c>
      <c r="CN29" s="7">
        <v>0.84899999999999998</v>
      </c>
      <c r="CO29" s="7">
        <v>100</v>
      </c>
      <c r="CP29" s="7">
        <v>100</v>
      </c>
      <c r="CQ29" s="7">
        <v>0.51297599999999999</v>
      </c>
      <c r="CR29" s="7">
        <v>0.95416199999999995</v>
      </c>
      <c r="CS29" s="7">
        <v>34.198416999999999</v>
      </c>
      <c r="CT29" s="7">
        <v>50</v>
      </c>
      <c r="CU29" s="7">
        <v>0.46480900000000003</v>
      </c>
      <c r="CV29" s="7">
        <v>38.734115000000003</v>
      </c>
      <c r="CW29" s="7">
        <v>50</v>
      </c>
      <c r="CX29" s="7">
        <v>0.97297299999999998</v>
      </c>
      <c r="CY29" s="7">
        <v>0.94</v>
      </c>
      <c r="CZ29" s="7">
        <v>-3.2973000000000002E-2</v>
      </c>
      <c r="DA29" s="7">
        <v>15.389535</v>
      </c>
      <c r="DB29" s="7">
        <v>17.608319000000002</v>
      </c>
      <c r="DC29" s="7">
        <v>16.064022999999999</v>
      </c>
      <c r="DD29" s="7">
        <v>11.115401</v>
      </c>
      <c r="DE29" s="4" t="s">
        <v>124</v>
      </c>
      <c r="DF29" s="6"/>
      <c r="DG29" s="6"/>
      <c r="DH29" s="6"/>
      <c r="DI29" s="6"/>
      <c r="DJ29" s="4" t="s">
        <v>124</v>
      </c>
      <c r="DK29" s="4" t="s">
        <v>124</v>
      </c>
      <c r="DL29" s="4" t="s">
        <v>124</v>
      </c>
      <c r="DM29" s="4" t="s">
        <v>124</v>
      </c>
      <c r="DN29" s="4" t="s">
        <v>124</v>
      </c>
      <c r="DO29" s="4" t="s">
        <v>124</v>
      </c>
      <c r="DP29" s="6"/>
      <c r="DQ29" s="4" t="s">
        <v>125</v>
      </c>
    </row>
    <row r="30" spans="1:121" ht="20" customHeight="1" x14ac:dyDescent="0.15">
      <c r="A30" s="5">
        <v>2018</v>
      </c>
      <c r="B30" s="3" t="s">
        <v>153</v>
      </c>
      <c r="C30" s="4" t="str">
        <f t="shared" ref="C30:C776" si="28">"1070011"</f>
        <v>1070011</v>
      </c>
      <c r="D30" s="4" t="s">
        <v>122</v>
      </c>
      <c r="E30" s="4" t="str">
        <f t="shared" si="1"/>
        <v>0000000</v>
      </c>
      <c r="F30" s="4" t="s">
        <v>122</v>
      </c>
      <c r="G30" s="4" t="s">
        <v>122</v>
      </c>
      <c r="H30" s="4" t="s">
        <v>122</v>
      </c>
      <c r="I30" s="6"/>
      <c r="J30" s="4" t="s">
        <v>123</v>
      </c>
      <c r="K30" s="7">
        <v>731.76650299999994</v>
      </c>
      <c r="L30" s="7">
        <v>950</v>
      </c>
      <c r="M30" s="7">
        <v>77.028053</v>
      </c>
      <c r="N30" s="4" t="s">
        <v>124</v>
      </c>
      <c r="O30" s="7">
        <v>1</v>
      </c>
      <c r="P30" s="7">
        <v>79.803417999999994</v>
      </c>
      <c r="Q30" s="7">
        <v>50</v>
      </c>
      <c r="R30" s="7">
        <v>50</v>
      </c>
      <c r="S30" s="7">
        <v>67.152396999999993</v>
      </c>
      <c r="T30" s="7">
        <v>75</v>
      </c>
      <c r="U30" s="7">
        <v>44.768265</v>
      </c>
      <c r="V30" s="7">
        <v>50</v>
      </c>
      <c r="W30" s="7">
        <v>74.756489999999999</v>
      </c>
      <c r="X30" s="7">
        <v>49.83766</v>
      </c>
      <c r="Y30" s="7">
        <v>50</v>
      </c>
      <c r="Z30" s="7">
        <v>75</v>
      </c>
      <c r="AA30" s="7">
        <v>63.527996999999999</v>
      </c>
      <c r="AB30" s="7">
        <v>42.351998000000002</v>
      </c>
      <c r="AC30" s="7">
        <v>50</v>
      </c>
      <c r="AD30" s="7">
        <v>74.141454999999993</v>
      </c>
      <c r="AE30" s="7">
        <v>49.427636</v>
      </c>
      <c r="AF30" s="7">
        <v>50</v>
      </c>
      <c r="AG30" s="7">
        <v>58.678206000000003</v>
      </c>
      <c r="AH30" s="7">
        <v>75</v>
      </c>
      <c r="AI30" s="7">
        <v>39.118803999999997</v>
      </c>
      <c r="AJ30" s="7">
        <v>50</v>
      </c>
      <c r="AK30" s="7">
        <v>7.84</v>
      </c>
      <c r="AL30" s="7">
        <v>11.47</v>
      </c>
      <c r="AM30" s="7">
        <v>16.32</v>
      </c>
      <c r="AN30" s="7">
        <v>0.72930399999999995</v>
      </c>
      <c r="AO30" s="7">
        <v>72.930419000000001</v>
      </c>
      <c r="AP30" s="7">
        <v>100</v>
      </c>
      <c r="AQ30" s="7">
        <v>0.76864399999999999</v>
      </c>
      <c r="AR30" s="7">
        <v>76.864390999999998</v>
      </c>
      <c r="AS30" s="7">
        <v>100</v>
      </c>
      <c r="AT30" s="7">
        <v>0.56422600000000001</v>
      </c>
      <c r="AU30" s="7">
        <v>0.77646899999999996</v>
      </c>
      <c r="AV30" s="7">
        <v>56.422597000000003</v>
      </c>
      <c r="AW30" s="7">
        <v>100</v>
      </c>
      <c r="AX30" s="7">
        <v>0.62466600000000005</v>
      </c>
      <c r="AY30" s="7">
        <v>0.80961899999999998</v>
      </c>
      <c r="AZ30" s="7">
        <v>62.466605000000001</v>
      </c>
      <c r="BA30" s="7">
        <v>100</v>
      </c>
      <c r="BB30" s="7">
        <v>0.54710499999999995</v>
      </c>
      <c r="BC30" s="7">
        <v>27.355239999999998</v>
      </c>
      <c r="BD30" s="7">
        <v>50</v>
      </c>
      <c r="BE30" s="7">
        <v>0.55815700000000001</v>
      </c>
      <c r="BF30" s="7">
        <v>27.907826</v>
      </c>
      <c r="BG30" s="7">
        <v>50</v>
      </c>
      <c r="BH30" s="7">
        <v>0</v>
      </c>
      <c r="BI30" s="7">
        <v>0.99851400000000001</v>
      </c>
      <c r="BJ30" s="7">
        <v>0.99421999999999999</v>
      </c>
      <c r="BK30" s="7">
        <v>1</v>
      </c>
      <c r="BL30" s="7">
        <v>0.99554200000000004</v>
      </c>
      <c r="BM30" s="7">
        <v>0.99421999999999999</v>
      </c>
      <c r="BN30" s="7">
        <v>0.996</v>
      </c>
      <c r="BO30" s="7">
        <v>1</v>
      </c>
      <c r="BP30" s="7">
        <v>1</v>
      </c>
      <c r="BQ30" s="7">
        <v>1</v>
      </c>
      <c r="BR30" s="7">
        <v>3.5714000000000003E-2</v>
      </c>
      <c r="BS30" s="7">
        <v>50</v>
      </c>
      <c r="BT30" s="7">
        <v>50</v>
      </c>
      <c r="BU30" s="7">
        <v>7.8357999999999997E-2</v>
      </c>
      <c r="BV30" s="7">
        <v>44.328358000000001</v>
      </c>
      <c r="BW30" s="7">
        <v>50</v>
      </c>
      <c r="BX30" s="4" t="s">
        <v>124</v>
      </c>
      <c r="BY30" s="4" t="s">
        <v>124</v>
      </c>
      <c r="BZ30" s="4" t="s">
        <v>124</v>
      </c>
      <c r="CA30" s="4" t="s">
        <v>124</v>
      </c>
      <c r="CB30" s="4" t="s">
        <v>124</v>
      </c>
      <c r="CC30" s="4" t="s">
        <v>124</v>
      </c>
      <c r="CD30" s="4" t="s">
        <v>124</v>
      </c>
      <c r="CE30" s="4" t="s">
        <v>124</v>
      </c>
      <c r="CF30" s="4" t="s">
        <v>124</v>
      </c>
      <c r="CG30" s="4" t="s">
        <v>124</v>
      </c>
      <c r="CH30" s="4" t="s">
        <v>124</v>
      </c>
      <c r="CI30" s="4" t="s">
        <v>124</v>
      </c>
      <c r="CJ30" s="4" t="s">
        <v>124</v>
      </c>
      <c r="CK30" s="4" t="s">
        <v>124</v>
      </c>
      <c r="CL30" s="4" t="s">
        <v>124</v>
      </c>
      <c r="CM30" s="4" t="s">
        <v>124</v>
      </c>
      <c r="CN30" s="4" t="s">
        <v>124</v>
      </c>
      <c r="CO30" s="4" t="s">
        <v>124</v>
      </c>
      <c r="CP30" s="4" t="s">
        <v>124</v>
      </c>
      <c r="CQ30" s="7">
        <v>0.569801</v>
      </c>
      <c r="CR30" s="7">
        <v>0.98319299999999998</v>
      </c>
      <c r="CS30" s="7">
        <v>37.986705000000001</v>
      </c>
      <c r="CT30" s="7">
        <v>50</v>
      </c>
      <c r="CU30" s="4" t="s">
        <v>124</v>
      </c>
      <c r="CV30" s="4" t="s">
        <v>124</v>
      </c>
      <c r="CW30" s="4" t="s">
        <v>124</v>
      </c>
      <c r="CX30" s="4" t="s">
        <v>124</v>
      </c>
      <c r="CY30" s="4" t="s">
        <v>124</v>
      </c>
      <c r="CZ30" s="4" t="s">
        <v>124</v>
      </c>
      <c r="DA30" s="7">
        <v>15.389535</v>
      </c>
      <c r="DB30" s="7">
        <v>17.608319000000002</v>
      </c>
      <c r="DC30" s="7">
        <v>16.064022999999999</v>
      </c>
      <c r="DD30" s="4" t="s">
        <v>124</v>
      </c>
      <c r="DE30" s="4" t="s">
        <v>124</v>
      </c>
      <c r="DF30" s="6"/>
      <c r="DG30" s="6"/>
      <c r="DH30" s="6"/>
      <c r="DI30" s="6"/>
      <c r="DJ30" s="4" t="s">
        <v>124</v>
      </c>
      <c r="DK30" s="4" t="s">
        <v>124</v>
      </c>
      <c r="DL30" s="4" t="s">
        <v>124</v>
      </c>
      <c r="DM30" s="4" t="s">
        <v>124</v>
      </c>
      <c r="DN30" s="4" t="s">
        <v>124</v>
      </c>
      <c r="DO30" s="4" t="s">
        <v>124</v>
      </c>
      <c r="DP30" s="6"/>
      <c r="DQ30" s="4" t="s">
        <v>125</v>
      </c>
    </row>
    <row r="31" spans="1:121" ht="20" customHeight="1" x14ac:dyDescent="0.15">
      <c r="A31" s="5">
        <v>2018</v>
      </c>
      <c r="B31" s="3" t="s">
        <v>154</v>
      </c>
      <c r="C31" s="4" t="str">
        <f t="shared" ref="C31:C780" si="29">"1080011"</f>
        <v>1080011</v>
      </c>
      <c r="D31" s="4" t="s">
        <v>122</v>
      </c>
      <c r="E31" s="4" t="str">
        <f t="shared" si="1"/>
        <v>0000000</v>
      </c>
      <c r="F31" s="4" t="s">
        <v>122</v>
      </c>
      <c r="G31" s="4" t="s">
        <v>122</v>
      </c>
      <c r="H31" s="4" t="s">
        <v>122</v>
      </c>
      <c r="I31" s="6"/>
      <c r="J31" s="4" t="s">
        <v>123</v>
      </c>
      <c r="K31" s="7">
        <v>1154.718926</v>
      </c>
      <c r="L31" s="7">
        <v>1450</v>
      </c>
      <c r="M31" s="7">
        <v>79.635788000000005</v>
      </c>
      <c r="N31" s="4" t="s">
        <v>124</v>
      </c>
      <c r="O31" s="7">
        <v>0</v>
      </c>
      <c r="P31" s="7">
        <v>71.946528999999998</v>
      </c>
      <c r="Q31" s="7">
        <v>47.964351999999998</v>
      </c>
      <c r="R31" s="7">
        <v>50</v>
      </c>
      <c r="S31" s="7">
        <v>62.676606</v>
      </c>
      <c r="T31" s="7">
        <v>75</v>
      </c>
      <c r="U31" s="7">
        <v>41.784404000000002</v>
      </c>
      <c r="V31" s="7">
        <v>50</v>
      </c>
      <c r="W31" s="7">
        <v>67.016943999999995</v>
      </c>
      <c r="X31" s="7">
        <v>44.677962000000001</v>
      </c>
      <c r="Y31" s="7">
        <v>50</v>
      </c>
      <c r="Z31" s="7">
        <v>70.337154999999996</v>
      </c>
      <c r="AA31" s="7">
        <v>57.150404000000002</v>
      </c>
      <c r="AB31" s="7">
        <v>38.100268999999997</v>
      </c>
      <c r="AC31" s="7">
        <v>50</v>
      </c>
      <c r="AD31" s="7">
        <v>67.763636000000005</v>
      </c>
      <c r="AE31" s="7">
        <v>45.175756999999997</v>
      </c>
      <c r="AF31" s="7">
        <v>50</v>
      </c>
      <c r="AG31" s="7">
        <v>55.699384999999999</v>
      </c>
      <c r="AH31" s="7">
        <v>70.921631000000005</v>
      </c>
      <c r="AI31" s="7">
        <v>37.132924000000003</v>
      </c>
      <c r="AJ31" s="7">
        <v>50</v>
      </c>
      <c r="AK31" s="7">
        <v>12.32</v>
      </c>
      <c r="AL31" s="7">
        <v>13.18</v>
      </c>
      <c r="AM31" s="7">
        <v>15.22</v>
      </c>
      <c r="AN31" s="7">
        <v>0.62947399999999998</v>
      </c>
      <c r="AO31" s="7">
        <v>62.947420000000001</v>
      </c>
      <c r="AP31" s="7">
        <v>100</v>
      </c>
      <c r="AQ31" s="7">
        <v>0.61846400000000001</v>
      </c>
      <c r="AR31" s="7">
        <v>61.846362999999997</v>
      </c>
      <c r="AS31" s="7">
        <v>100</v>
      </c>
      <c r="AT31" s="7">
        <v>0.61702800000000002</v>
      </c>
      <c r="AU31" s="7">
        <v>0.63307500000000005</v>
      </c>
      <c r="AV31" s="7">
        <v>61.702812000000002</v>
      </c>
      <c r="AW31" s="7">
        <v>100</v>
      </c>
      <c r="AX31" s="7">
        <v>0.54831300000000005</v>
      </c>
      <c r="AY31" s="7">
        <v>0.63879699999999995</v>
      </c>
      <c r="AZ31" s="7">
        <v>54.831282999999999</v>
      </c>
      <c r="BA31" s="7">
        <v>100</v>
      </c>
      <c r="BB31" s="7">
        <v>0.676095</v>
      </c>
      <c r="BC31" s="7">
        <v>33.804727</v>
      </c>
      <c r="BD31" s="7">
        <v>50</v>
      </c>
      <c r="BE31" s="7">
        <v>0.495361</v>
      </c>
      <c r="BF31" s="7">
        <v>24.768053999999999</v>
      </c>
      <c r="BG31" s="7">
        <v>50</v>
      </c>
      <c r="BH31" s="7">
        <v>0</v>
      </c>
      <c r="BI31" s="7">
        <v>0.98803600000000003</v>
      </c>
      <c r="BJ31" s="7">
        <v>0.97265599999999997</v>
      </c>
      <c r="BK31" s="7">
        <v>0.99330700000000005</v>
      </c>
      <c r="BL31" s="7">
        <v>0.98705200000000004</v>
      </c>
      <c r="BM31" s="7">
        <v>0.97265599999999997</v>
      </c>
      <c r="BN31" s="7">
        <v>0.99197900000000006</v>
      </c>
      <c r="BO31" s="7">
        <v>0.98409100000000005</v>
      </c>
      <c r="BP31" s="7">
        <v>0.95744700000000005</v>
      </c>
      <c r="BQ31" s="7">
        <v>0.99132900000000002</v>
      </c>
      <c r="BR31" s="7">
        <v>4.4759E-2</v>
      </c>
      <c r="BS31" s="7">
        <v>50</v>
      </c>
      <c r="BT31" s="7">
        <v>50</v>
      </c>
      <c r="BU31" s="7">
        <v>8.5918999999999995E-2</v>
      </c>
      <c r="BV31" s="7">
        <v>42.816229</v>
      </c>
      <c r="BW31" s="7">
        <v>50</v>
      </c>
      <c r="BX31" s="7">
        <v>0.85906000000000005</v>
      </c>
      <c r="BY31" s="7">
        <v>50</v>
      </c>
      <c r="BZ31" s="7">
        <v>50</v>
      </c>
      <c r="CA31" s="7">
        <v>0.47986600000000001</v>
      </c>
      <c r="CB31" s="7">
        <v>31.991050999999999</v>
      </c>
      <c r="CC31" s="7">
        <v>50</v>
      </c>
      <c r="CD31" s="7">
        <v>0.93962299999999999</v>
      </c>
      <c r="CE31" s="7">
        <v>49.979928000000001</v>
      </c>
      <c r="CF31" s="7">
        <v>50</v>
      </c>
      <c r="CG31" s="7">
        <v>0.94964000000000004</v>
      </c>
      <c r="CH31" s="7">
        <v>100</v>
      </c>
      <c r="CI31" s="7">
        <v>100</v>
      </c>
      <c r="CJ31" s="7">
        <v>0</v>
      </c>
      <c r="CK31" s="7">
        <v>0.87878800000000001</v>
      </c>
      <c r="CL31" s="7">
        <v>93.488072000000003</v>
      </c>
      <c r="CM31" s="7">
        <v>100</v>
      </c>
      <c r="CN31" s="7">
        <v>0.872</v>
      </c>
      <c r="CO31" s="7">
        <v>100</v>
      </c>
      <c r="CP31" s="7">
        <v>100</v>
      </c>
      <c r="CQ31" s="7">
        <v>0.47560999999999998</v>
      </c>
      <c r="CR31" s="7">
        <v>0.98119699999999999</v>
      </c>
      <c r="CS31" s="7">
        <v>31.707317</v>
      </c>
      <c r="CT31" s="7">
        <v>50</v>
      </c>
      <c r="CU31" s="7">
        <v>0.61663699999999999</v>
      </c>
      <c r="CV31" s="7">
        <v>50</v>
      </c>
      <c r="CW31" s="7">
        <v>50</v>
      </c>
      <c r="CX31" s="7">
        <v>0.87878800000000001</v>
      </c>
      <c r="CY31" s="7">
        <v>0.94</v>
      </c>
      <c r="CZ31" s="7">
        <v>6.1212000000000003E-2</v>
      </c>
      <c r="DA31" s="7">
        <v>15.389535</v>
      </c>
      <c r="DB31" s="7">
        <v>17.608319000000002</v>
      </c>
      <c r="DC31" s="7">
        <v>16.064022999999999</v>
      </c>
      <c r="DD31" s="7">
        <v>11.115401</v>
      </c>
      <c r="DE31" s="4" t="s">
        <v>124</v>
      </c>
      <c r="DF31" s="6"/>
      <c r="DG31" s="6"/>
      <c r="DH31" s="6"/>
      <c r="DI31" s="6"/>
      <c r="DJ31" s="4" t="s">
        <v>124</v>
      </c>
      <c r="DK31" s="4" t="s">
        <v>124</v>
      </c>
      <c r="DL31" s="4" t="s">
        <v>124</v>
      </c>
      <c r="DM31" s="4" t="s">
        <v>124</v>
      </c>
      <c r="DN31" s="4" t="s">
        <v>124</v>
      </c>
      <c r="DO31" s="4" t="s">
        <v>124</v>
      </c>
      <c r="DP31" s="6"/>
      <c r="DQ31" s="4" t="s">
        <v>125</v>
      </c>
    </row>
    <row r="32" spans="1:121" ht="20" customHeight="1" x14ac:dyDescent="0.15">
      <c r="A32" s="5">
        <v>2018</v>
      </c>
      <c r="B32" s="3" t="s">
        <v>155</v>
      </c>
      <c r="C32" s="4" t="str">
        <f t="shared" ref="C32:C1099" si="30">"2090012"</f>
        <v>2090012</v>
      </c>
      <c r="D32" s="4" t="s">
        <v>122</v>
      </c>
      <c r="E32" s="4" t="str">
        <f t="shared" si="1"/>
        <v>0000000</v>
      </c>
      <c r="F32" s="4" t="s">
        <v>122</v>
      </c>
      <c r="G32" s="4" t="s">
        <v>122</v>
      </c>
      <c r="H32" s="4" t="s">
        <v>122</v>
      </c>
      <c r="I32" s="6"/>
      <c r="J32" s="4" t="s">
        <v>123</v>
      </c>
      <c r="K32" s="7">
        <v>1278.0045299999999</v>
      </c>
      <c r="L32" s="7">
        <v>1450</v>
      </c>
      <c r="M32" s="7">
        <v>88.138243000000003</v>
      </c>
      <c r="N32" s="4" t="s">
        <v>124</v>
      </c>
      <c r="O32" s="7">
        <v>1</v>
      </c>
      <c r="P32" s="7">
        <v>70.760233999999997</v>
      </c>
      <c r="Q32" s="7">
        <v>141.52046799999999</v>
      </c>
      <c r="R32" s="7">
        <v>150</v>
      </c>
      <c r="S32" s="7">
        <v>56.237127000000001</v>
      </c>
      <c r="T32" s="7">
        <v>74.304563000000002</v>
      </c>
      <c r="U32" s="7">
        <v>112.474255</v>
      </c>
      <c r="V32" s="7">
        <v>150</v>
      </c>
      <c r="W32" s="7">
        <v>70.508771999999993</v>
      </c>
      <c r="X32" s="7">
        <v>141.01754399999999</v>
      </c>
      <c r="Y32" s="7">
        <v>150</v>
      </c>
      <c r="Z32" s="7">
        <v>74.544642999999994</v>
      </c>
      <c r="AA32" s="7">
        <v>53.971544999999999</v>
      </c>
      <c r="AB32" s="7">
        <v>107.943089</v>
      </c>
      <c r="AC32" s="7">
        <v>150</v>
      </c>
      <c r="AD32" s="7">
        <v>74.508612999999997</v>
      </c>
      <c r="AE32" s="7">
        <v>99.344817000000006</v>
      </c>
      <c r="AF32" s="7">
        <v>100</v>
      </c>
      <c r="AG32" s="7">
        <v>58.870714999999997</v>
      </c>
      <c r="AH32" s="7">
        <v>75</v>
      </c>
      <c r="AI32" s="7">
        <v>78.494286000000002</v>
      </c>
      <c r="AJ32" s="7">
        <v>100</v>
      </c>
      <c r="AK32" s="7">
        <v>18.059999999999999</v>
      </c>
      <c r="AL32" s="7">
        <v>20.57</v>
      </c>
      <c r="AM32" s="7">
        <v>16.12</v>
      </c>
      <c r="AN32" s="4" t="s">
        <v>124</v>
      </c>
      <c r="AO32" s="4" t="s">
        <v>124</v>
      </c>
      <c r="AP32" s="4" t="s">
        <v>124</v>
      </c>
      <c r="AQ32" s="4" t="s">
        <v>124</v>
      </c>
      <c r="AR32" s="4" t="s">
        <v>124</v>
      </c>
      <c r="AS32" s="4" t="s">
        <v>124</v>
      </c>
      <c r="AT32" s="4" t="s">
        <v>124</v>
      </c>
      <c r="AU32" s="4" t="s">
        <v>124</v>
      </c>
      <c r="AV32" s="4" t="s">
        <v>124</v>
      </c>
      <c r="AW32" s="4" t="s">
        <v>124</v>
      </c>
      <c r="AX32" s="4" t="s">
        <v>124</v>
      </c>
      <c r="AY32" s="4" t="s">
        <v>124</v>
      </c>
      <c r="AZ32" s="4" t="s">
        <v>124</v>
      </c>
      <c r="BA32" s="4" t="s">
        <v>124</v>
      </c>
      <c r="BB32" s="4" t="s">
        <v>124</v>
      </c>
      <c r="BC32" s="4" t="s">
        <v>124</v>
      </c>
      <c r="BD32" s="4" t="s">
        <v>124</v>
      </c>
      <c r="BE32" s="4" t="s">
        <v>124</v>
      </c>
      <c r="BF32" s="4" t="s">
        <v>124</v>
      </c>
      <c r="BG32" s="4" t="s">
        <v>124</v>
      </c>
      <c r="BH32" s="7">
        <v>1</v>
      </c>
      <c r="BI32" s="7">
        <v>0.98130799999999996</v>
      </c>
      <c r="BJ32" s="7">
        <v>0.93333299999999997</v>
      </c>
      <c r="BK32" s="7">
        <v>0.99408300000000005</v>
      </c>
      <c r="BL32" s="7">
        <v>0.98130799999999996</v>
      </c>
      <c r="BM32" s="7">
        <v>0.93333299999999997</v>
      </c>
      <c r="BN32" s="7">
        <v>0.99408300000000005</v>
      </c>
      <c r="BO32" s="7">
        <v>0.96279099999999995</v>
      </c>
      <c r="BP32" s="7">
        <v>0.88888900000000004</v>
      </c>
      <c r="BQ32" s="7">
        <v>0.98235300000000003</v>
      </c>
      <c r="BR32" s="7">
        <v>9.1927999999999996E-2</v>
      </c>
      <c r="BS32" s="7">
        <v>41.614350000000002</v>
      </c>
      <c r="BT32" s="7">
        <v>50</v>
      </c>
      <c r="BU32" s="7">
        <v>0.18181800000000001</v>
      </c>
      <c r="BV32" s="7">
        <v>23.636364</v>
      </c>
      <c r="BW32" s="7">
        <v>50</v>
      </c>
      <c r="BX32" s="7">
        <v>0.59299800000000003</v>
      </c>
      <c r="BY32" s="7">
        <v>39.533186999999998</v>
      </c>
      <c r="BZ32" s="7">
        <v>50</v>
      </c>
      <c r="CA32" s="7">
        <v>0.73523000000000005</v>
      </c>
      <c r="CB32" s="7">
        <v>49.015317000000003</v>
      </c>
      <c r="CC32" s="7">
        <v>50</v>
      </c>
      <c r="CD32" s="7">
        <v>0.99541299999999999</v>
      </c>
      <c r="CE32" s="7">
        <v>50</v>
      </c>
      <c r="CF32" s="7">
        <v>50</v>
      </c>
      <c r="CG32" s="7">
        <v>0.96595699999999995</v>
      </c>
      <c r="CH32" s="7">
        <v>100</v>
      </c>
      <c r="CI32" s="7">
        <v>100</v>
      </c>
      <c r="CJ32" s="7">
        <v>0</v>
      </c>
      <c r="CK32" s="7">
        <v>0.95238100000000003</v>
      </c>
      <c r="CL32" s="7">
        <v>100</v>
      </c>
      <c r="CM32" s="7">
        <v>100</v>
      </c>
      <c r="CN32" s="7">
        <v>0.81299999999999994</v>
      </c>
      <c r="CO32" s="7">
        <v>100</v>
      </c>
      <c r="CP32" s="7">
        <v>100</v>
      </c>
      <c r="CQ32" s="7">
        <v>0.65116300000000005</v>
      </c>
      <c r="CR32" s="7">
        <v>0.99078299999999997</v>
      </c>
      <c r="CS32" s="7">
        <v>43.410853000000003</v>
      </c>
      <c r="CT32" s="7">
        <v>50</v>
      </c>
      <c r="CU32" s="7">
        <v>0.72309400000000001</v>
      </c>
      <c r="CV32" s="7">
        <v>50</v>
      </c>
      <c r="CW32" s="7">
        <v>50</v>
      </c>
      <c r="CX32" s="7">
        <v>0.95238100000000003</v>
      </c>
      <c r="CY32" s="7">
        <v>0.94</v>
      </c>
      <c r="CZ32" s="7">
        <v>-1.2381E-2</v>
      </c>
      <c r="DA32" s="7">
        <v>15.389535</v>
      </c>
      <c r="DB32" s="7">
        <v>17.608319000000002</v>
      </c>
      <c r="DC32" s="7">
        <v>16.064022999999999</v>
      </c>
      <c r="DD32" s="7">
        <v>11.115401</v>
      </c>
      <c r="DE32" s="4" t="s">
        <v>124</v>
      </c>
      <c r="DF32" s="6"/>
      <c r="DG32" s="6"/>
      <c r="DH32" s="6"/>
      <c r="DI32" s="6"/>
      <c r="DJ32" s="4" t="s">
        <v>124</v>
      </c>
      <c r="DK32" s="4" t="s">
        <v>124</v>
      </c>
      <c r="DL32" s="4" t="s">
        <v>124</v>
      </c>
      <c r="DM32" s="4" t="s">
        <v>124</v>
      </c>
      <c r="DN32" s="4" t="s">
        <v>124</v>
      </c>
      <c r="DO32" s="4" t="s">
        <v>124</v>
      </c>
      <c r="DP32" s="6"/>
      <c r="DQ32" s="4" t="s">
        <v>125</v>
      </c>
    </row>
    <row r="33" spans="1:121" ht="20" customHeight="1" x14ac:dyDescent="0.15">
      <c r="A33" s="5">
        <v>2018</v>
      </c>
      <c r="B33" s="3" t="s">
        <v>156</v>
      </c>
      <c r="C33" s="4" t="str">
        <f t="shared" ref="C33:C1100" si="31">"2100012"</f>
        <v>2100012</v>
      </c>
      <c r="D33" s="4" t="s">
        <v>122</v>
      </c>
      <c r="E33" s="4" t="str">
        <f t="shared" si="1"/>
        <v>0000000</v>
      </c>
      <c r="F33" s="4" t="s">
        <v>122</v>
      </c>
      <c r="G33" s="4" t="s">
        <v>122</v>
      </c>
      <c r="H33" s="4" t="s">
        <v>122</v>
      </c>
      <c r="I33" s="6"/>
      <c r="J33" s="4" t="s">
        <v>123</v>
      </c>
      <c r="K33" s="7">
        <v>1177.8526790000001</v>
      </c>
      <c r="L33" s="7">
        <v>1450</v>
      </c>
      <c r="M33" s="7">
        <v>81.231218999999996</v>
      </c>
      <c r="N33" s="4" t="s">
        <v>124</v>
      </c>
      <c r="O33" s="7">
        <v>0</v>
      </c>
      <c r="P33" s="7">
        <v>74.979200000000006</v>
      </c>
      <c r="Q33" s="7">
        <v>49.986133000000002</v>
      </c>
      <c r="R33" s="7">
        <v>50</v>
      </c>
      <c r="S33" s="7">
        <v>63.554262000000001</v>
      </c>
      <c r="T33" s="7">
        <v>75</v>
      </c>
      <c r="U33" s="7">
        <v>42.369508000000003</v>
      </c>
      <c r="V33" s="7">
        <v>50</v>
      </c>
      <c r="W33" s="7">
        <v>72.601057999999995</v>
      </c>
      <c r="X33" s="7">
        <v>48.400705000000002</v>
      </c>
      <c r="Y33" s="7">
        <v>50</v>
      </c>
      <c r="Z33" s="7">
        <v>75</v>
      </c>
      <c r="AA33" s="7">
        <v>60.752383999999999</v>
      </c>
      <c r="AB33" s="7">
        <v>40.50159</v>
      </c>
      <c r="AC33" s="7">
        <v>50</v>
      </c>
      <c r="AD33" s="7">
        <v>71.390980999999996</v>
      </c>
      <c r="AE33" s="7">
        <v>47.593986999999998</v>
      </c>
      <c r="AF33" s="7">
        <v>50</v>
      </c>
      <c r="AG33" s="7">
        <v>63.326307</v>
      </c>
      <c r="AH33" s="7">
        <v>73.816445999999999</v>
      </c>
      <c r="AI33" s="7">
        <v>42.217537999999998</v>
      </c>
      <c r="AJ33" s="7">
        <v>50</v>
      </c>
      <c r="AK33" s="7">
        <v>11.44</v>
      </c>
      <c r="AL33" s="7">
        <v>14.24</v>
      </c>
      <c r="AM33" s="7">
        <v>10.49</v>
      </c>
      <c r="AN33" s="7">
        <v>0.56624300000000005</v>
      </c>
      <c r="AO33" s="7">
        <v>56.624271999999998</v>
      </c>
      <c r="AP33" s="7">
        <v>100</v>
      </c>
      <c r="AQ33" s="7">
        <v>0.67094399999999998</v>
      </c>
      <c r="AR33" s="7">
        <v>67.094402000000002</v>
      </c>
      <c r="AS33" s="7">
        <v>100</v>
      </c>
      <c r="AT33" s="7">
        <v>0.521702</v>
      </c>
      <c r="AU33" s="7">
        <v>0.57803099999999996</v>
      </c>
      <c r="AV33" s="7">
        <v>52.170209999999997</v>
      </c>
      <c r="AW33" s="7">
        <v>100</v>
      </c>
      <c r="AX33" s="7">
        <v>0.60800200000000004</v>
      </c>
      <c r="AY33" s="7">
        <v>0.68750800000000001</v>
      </c>
      <c r="AZ33" s="7">
        <v>60.800195000000002</v>
      </c>
      <c r="BA33" s="7">
        <v>100</v>
      </c>
      <c r="BB33" s="7">
        <v>0.91016699999999995</v>
      </c>
      <c r="BC33" s="7">
        <v>45.508325999999997</v>
      </c>
      <c r="BD33" s="7">
        <v>50</v>
      </c>
      <c r="BE33" s="7">
        <v>0.490506</v>
      </c>
      <c r="BF33" s="7">
        <v>24.525304999999999</v>
      </c>
      <c r="BG33" s="7">
        <v>50</v>
      </c>
      <c r="BH33" s="7">
        <v>0</v>
      </c>
      <c r="BI33" s="7">
        <v>0.98414000000000001</v>
      </c>
      <c r="BJ33" s="7">
        <v>0.95918400000000004</v>
      </c>
      <c r="BK33" s="7">
        <v>0.99225699999999994</v>
      </c>
      <c r="BL33" s="7">
        <v>0.98412699999999997</v>
      </c>
      <c r="BM33" s="7">
        <v>0.95904400000000001</v>
      </c>
      <c r="BN33" s="7">
        <v>0.99225699999999994</v>
      </c>
      <c r="BO33" s="7">
        <v>0.98501899999999998</v>
      </c>
      <c r="BP33" s="7">
        <v>0.961538</v>
      </c>
      <c r="BQ33" s="7">
        <v>0.99257399999999996</v>
      </c>
      <c r="BR33" s="7">
        <v>4.0825E-2</v>
      </c>
      <c r="BS33" s="7">
        <v>50</v>
      </c>
      <c r="BT33" s="7">
        <v>50</v>
      </c>
      <c r="BU33" s="7">
        <v>0.11823599999999999</v>
      </c>
      <c r="BV33" s="7">
        <v>36.352705</v>
      </c>
      <c r="BW33" s="7">
        <v>50</v>
      </c>
      <c r="BX33" s="7">
        <v>0.66395700000000002</v>
      </c>
      <c r="BY33" s="7">
        <v>44.263776</v>
      </c>
      <c r="BZ33" s="7">
        <v>50</v>
      </c>
      <c r="CA33" s="7">
        <v>0.598916</v>
      </c>
      <c r="CB33" s="7">
        <v>39.927733000000003</v>
      </c>
      <c r="CC33" s="7">
        <v>50</v>
      </c>
      <c r="CD33" s="7">
        <v>0.96962000000000004</v>
      </c>
      <c r="CE33" s="7">
        <v>50</v>
      </c>
      <c r="CF33" s="7">
        <v>50</v>
      </c>
      <c r="CG33" s="7">
        <v>0.95544600000000002</v>
      </c>
      <c r="CH33" s="7">
        <v>100</v>
      </c>
      <c r="CI33" s="7">
        <v>100</v>
      </c>
      <c r="CJ33" s="7">
        <v>0</v>
      </c>
      <c r="CK33" s="7">
        <v>0.87804899999999997</v>
      </c>
      <c r="CL33" s="7">
        <v>93.409445000000005</v>
      </c>
      <c r="CM33" s="7">
        <v>100</v>
      </c>
      <c r="CN33" s="7">
        <v>0.82899999999999996</v>
      </c>
      <c r="CO33" s="7">
        <v>100</v>
      </c>
      <c r="CP33" s="7">
        <v>100</v>
      </c>
      <c r="CQ33" s="7">
        <v>0.57101400000000002</v>
      </c>
      <c r="CR33" s="7">
        <v>0.95833299999999999</v>
      </c>
      <c r="CS33" s="7">
        <v>38.067633000000001</v>
      </c>
      <c r="CT33" s="7">
        <v>50</v>
      </c>
      <c r="CU33" s="7">
        <v>0.57647099999999996</v>
      </c>
      <c r="CV33" s="7">
        <v>48.039216000000003</v>
      </c>
      <c r="CW33" s="7">
        <v>50</v>
      </c>
      <c r="CX33" s="7">
        <v>0.87804899999999997</v>
      </c>
      <c r="CY33" s="7">
        <v>0.94</v>
      </c>
      <c r="CZ33" s="7">
        <v>6.1950999999999999E-2</v>
      </c>
      <c r="DA33" s="7">
        <v>15.389535</v>
      </c>
      <c r="DB33" s="7">
        <v>17.608319000000002</v>
      </c>
      <c r="DC33" s="7">
        <v>16.064022999999999</v>
      </c>
      <c r="DD33" s="7">
        <v>11.115401</v>
      </c>
      <c r="DE33" s="4" t="s">
        <v>124</v>
      </c>
      <c r="DF33" s="6"/>
      <c r="DG33" s="6"/>
      <c r="DH33" s="6"/>
      <c r="DI33" s="6"/>
      <c r="DJ33" s="4" t="s">
        <v>124</v>
      </c>
      <c r="DK33" s="4" t="s">
        <v>124</v>
      </c>
      <c r="DL33" s="4" t="s">
        <v>124</v>
      </c>
      <c r="DM33" s="4" t="s">
        <v>124</v>
      </c>
      <c r="DN33" s="4" t="s">
        <v>124</v>
      </c>
      <c r="DO33" s="4" t="s">
        <v>124</v>
      </c>
      <c r="DP33" s="6"/>
      <c r="DQ33" s="4" t="s">
        <v>125</v>
      </c>
    </row>
    <row r="34" spans="1:121" ht="20" customHeight="1" x14ac:dyDescent="0.15">
      <c r="A34" s="5">
        <v>2018</v>
      </c>
      <c r="B34" s="3" t="s">
        <v>157</v>
      </c>
      <c r="C34" s="4" t="str">
        <f t="shared" ref="C34:C235" si="32">"0130011"</f>
        <v>0130011</v>
      </c>
      <c r="D34" s="4" t="s">
        <v>122</v>
      </c>
      <c r="E34" s="4" t="str">
        <f t="shared" si="1"/>
        <v>0000000</v>
      </c>
      <c r="F34" s="4" t="s">
        <v>122</v>
      </c>
      <c r="G34" s="4" t="s">
        <v>122</v>
      </c>
      <c r="H34" s="4" t="s">
        <v>122</v>
      </c>
      <c r="I34" s="6"/>
      <c r="J34" s="4" t="s">
        <v>123</v>
      </c>
      <c r="K34" s="7">
        <v>657.89886000000001</v>
      </c>
      <c r="L34" s="7">
        <v>900</v>
      </c>
      <c r="M34" s="7">
        <v>73.099873000000002</v>
      </c>
      <c r="N34" s="4" t="s">
        <v>124</v>
      </c>
      <c r="O34" s="7">
        <v>1</v>
      </c>
      <c r="P34" s="7">
        <v>67.898084999999995</v>
      </c>
      <c r="Q34" s="7">
        <v>45.265389999999996</v>
      </c>
      <c r="R34" s="7">
        <v>50</v>
      </c>
      <c r="S34" s="7">
        <v>61.492562999999997</v>
      </c>
      <c r="T34" s="7">
        <v>72.656473000000005</v>
      </c>
      <c r="U34" s="7">
        <v>40.995041999999998</v>
      </c>
      <c r="V34" s="7">
        <v>50</v>
      </c>
      <c r="W34" s="7">
        <v>63.894525000000002</v>
      </c>
      <c r="X34" s="7">
        <v>42.596350000000001</v>
      </c>
      <c r="Y34" s="7">
        <v>50</v>
      </c>
      <c r="Z34" s="7">
        <v>69.122972000000004</v>
      </c>
      <c r="AA34" s="7">
        <v>56.856231999999999</v>
      </c>
      <c r="AB34" s="7">
        <v>37.904153999999998</v>
      </c>
      <c r="AC34" s="7">
        <v>50</v>
      </c>
      <c r="AD34" s="7">
        <v>68.124026999999998</v>
      </c>
      <c r="AE34" s="7">
        <v>45.416018000000001</v>
      </c>
      <c r="AF34" s="7">
        <v>50</v>
      </c>
      <c r="AG34" s="7">
        <v>56.944271000000001</v>
      </c>
      <c r="AH34" s="7">
        <v>75</v>
      </c>
      <c r="AI34" s="7">
        <v>37.962848000000001</v>
      </c>
      <c r="AJ34" s="7">
        <v>50</v>
      </c>
      <c r="AK34" s="7">
        <v>11.16</v>
      </c>
      <c r="AL34" s="7">
        <v>12.26</v>
      </c>
      <c r="AM34" s="7">
        <v>18.05</v>
      </c>
      <c r="AN34" s="7">
        <v>0.54209499999999999</v>
      </c>
      <c r="AO34" s="7">
        <v>54.209538999999999</v>
      </c>
      <c r="AP34" s="7">
        <v>100</v>
      </c>
      <c r="AQ34" s="7">
        <v>0.65986299999999998</v>
      </c>
      <c r="AR34" s="7">
        <v>65.986331000000007</v>
      </c>
      <c r="AS34" s="7">
        <v>100</v>
      </c>
      <c r="AT34" s="7">
        <v>0.48543399999999998</v>
      </c>
      <c r="AU34" s="7">
        <v>0.58045100000000005</v>
      </c>
      <c r="AV34" s="7">
        <v>48.543419999999998</v>
      </c>
      <c r="AW34" s="7">
        <v>100</v>
      </c>
      <c r="AX34" s="7">
        <v>0.68659400000000004</v>
      </c>
      <c r="AY34" s="7">
        <v>0.64176900000000003</v>
      </c>
      <c r="AZ34" s="7">
        <v>68.659407999999999</v>
      </c>
      <c r="BA34" s="7">
        <v>100</v>
      </c>
      <c r="BB34" s="4" t="s">
        <v>124</v>
      </c>
      <c r="BC34" s="4" t="s">
        <v>124</v>
      </c>
      <c r="BD34" s="4" t="s">
        <v>124</v>
      </c>
      <c r="BE34" s="4" t="s">
        <v>124</v>
      </c>
      <c r="BF34" s="4" t="s">
        <v>124</v>
      </c>
      <c r="BG34" s="4" t="s">
        <v>124</v>
      </c>
      <c r="BH34" s="7">
        <v>1</v>
      </c>
      <c r="BI34" s="7">
        <v>0.97656299999999996</v>
      </c>
      <c r="BJ34" s="7">
        <v>0.94736799999999999</v>
      </c>
      <c r="BK34" s="7">
        <v>1</v>
      </c>
      <c r="BL34" s="7">
        <v>0.97656299999999996</v>
      </c>
      <c r="BM34" s="7">
        <v>0.94736799999999999</v>
      </c>
      <c r="BN34" s="7">
        <v>1</v>
      </c>
      <c r="BO34" s="7">
        <v>0.97916700000000001</v>
      </c>
      <c r="BP34" s="7">
        <v>0.95833299999999999</v>
      </c>
      <c r="BQ34" s="7">
        <v>1</v>
      </c>
      <c r="BR34" s="7">
        <v>4.5198000000000002E-2</v>
      </c>
      <c r="BS34" s="7">
        <v>50</v>
      </c>
      <c r="BT34" s="7">
        <v>50</v>
      </c>
      <c r="BU34" s="7">
        <v>8.3333000000000004E-2</v>
      </c>
      <c r="BV34" s="7">
        <v>43.333333000000003</v>
      </c>
      <c r="BW34" s="7">
        <v>50</v>
      </c>
      <c r="BX34" s="4" t="s">
        <v>124</v>
      </c>
      <c r="BY34" s="4" t="s">
        <v>124</v>
      </c>
      <c r="BZ34" s="4" t="s">
        <v>124</v>
      </c>
      <c r="CA34" s="4" t="s">
        <v>124</v>
      </c>
      <c r="CB34" s="4" t="s">
        <v>124</v>
      </c>
      <c r="CC34" s="4" t="s">
        <v>124</v>
      </c>
      <c r="CD34" s="7">
        <v>1</v>
      </c>
      <c r="CE34" s="7">
        <v>50</v>
      </c>
      <c r="CF34" s="7">
        <v>50</v>
      </c>
      <c r="CG34" s="4" t="s">
        <v>124</v>
      </c>
      <c r="CH34" s="4" t="s">
        <v>124</v>
      </c>
      <c r="CI34" s="4" t="s">
        <v>124</v>
      </c>
      <c r="CJ34" s="4" t="s">
        <v>124</v>
      </c>
      <c r="CK34" s="4" t="s">
        <v>124</v>
      </c>
      <c r="CL34" s="4" t="s">
        <v>124</v>
      </c>
      <c r="CM34" s="4" t="s">
        <v>124</v>
      </c>
      <c r="CN34" s="4" t="s">
        <v>124</v>
      </c>
      <c r="CO34" s="4" t="s">
        <v>124</v>
      </c>
      <c r="CP34" s="4" t="s">
        <v>124</v>
      </c>
      <c r="CQ34" s="7">
        <v>0.40540500000000002</v>
      </c>
      <c r="CR34" s="7">
        <v>0.97368399999999999</v>
      </c>
      <c r="CS34" s="7">
        <v>27.027027</v>
      </c>
      <c r="CT34" s="7">
        <v>50</v>
      </c>
      <c r="CU34" s="4" t="s">
        <v>124</v>
      </c>
      <c r="CV34" s="4" t="s">
        <v>124</v>
      </c>
      <c r="CW34" s="4" t="s">
        <v>124</v>
      </c>
      <c r="CX34" s="4" t="s">
        <v>124</v>
      </c>
      <c r="CY34" s="4" t="s">
        <v>124</v>
      </c>
      <c r="CZ34" s="4" t="s">
        <v>124</v>
      </c>
      <c r="DA34" s="7">
        <v>15.389535</v>
      </c>
      <c r="DB34" s="7">
        <v>17.608319000000002</v>
      </c>
      <c r="DC34" s="7">
        <v>16.064022999999999</v>
      </c>
      <c r="DD34" s="4" t="s">
        <v>124</v>
      </c>
      <c r="DE34" s="4" t="s">
        <v>124</v>
      </c>
      <c r="DF34" s="6"/>
      <c r="DG34" s="6"/>
      <c r="DH34" s="6"/>
      <c r="DI34" s="6"/>
      <c r="DJ34" s="4" t="s">
        <v>124</v>
      </c>
      <c r="DK34" s="4" t="s">
        <v>124</v>
      </c>
      <c r="DL34" s="4" t="s">
        <v>124</v>
      </c>
      <c r="DM34" s="4" t="s">
        <v>124</v>
      </c>
      <c r="DN34" s="4" t="s">
        <v>124</v>
      </c>
      <c r="DO34" s="4" t="s">
        <v>124</v>
      </c>
      <c r="DP34" s="6"/>
      <c r="DQ34" s="4" t="s">
        <v>125</v>
      </c>
    </row>
    <row r="35" spans="1:121" ht="20" customHeight="1" x14ac:dyDescent="0.15">
      <c r="A35" s="5">
        <v>2018</v>
      </c>
      <c r="B35" s="3" t="s">
        <v>158</v>
      </c>
      <c r="C35" s="4" t="str">
        <f t="shared" ref="C35:C240" si="33">"0140011"</f>
        <v>0140011</v>
      </c>
      <c r="D35" s="4" t="s">
        <v>122</v>
      </c>
      <c r="E35" s="4" t="str">
        <f t="shared" si="1"/>
        <v>0000000</v>
      </c>
      <c r="F35" s="4" t="s">
        <v>122</v>
      </c>
      <c r="G35" s="4" t="s">
        <v>122</v>
      </c>
      <c r="H35" s="4" t="s">
        <v>122</v>
      </c>
      <c r="I35" s="6"/>
      <c r="J35" s="4" t="s">
        <v>123</v>
      </c>
      <c r="K35" s="7">
        <v>1129.951726</v>
      </c>
      <c r="L35" s="7">
        <v>1450</v>
      </c>
      <c r="M35" s="7">
        <v>77.927705000000003</v>
      </c>
      <c r="N35" s="4" t="s">
        <v>124</v>
      </c>
      <c r="O35" s="7">
        <v>0</v>
      </c>
      <c r="P35" s="7">
        <v>69.302469000000002</v>
      </c>
      <c r="Q35" s="7">
        <v>46.201645999999997</v>
      </c>
      <c r="R35" s="7">
        <v>50</v>
      </c>
      <c r="S35" s="7">
        <v>61.194367</v>
      </c>
      <c r="T35" s="7">
        <v>75</v>
      </c>
      <c r="U35" s="7">
        <v>40.796244000000002</v>
      </c>
      <c r="V35" s="7">
        <v>50</v>
      </c>
      <c r="W35" s="7">
        <v>66.252750000000006</v>
      </c>
      <c r="X35" s="7">
        <v>44.168500000000002</v>
      </c>
      <c r="Y35" s="7">
        <v>50</v>
      </c>
      <c r="Z35" s="7">
        <v>72.994534000000002</v>
      </c>
      <c r="AA35" s="7">
        <v>57.058410000000002</v>
      </c>
      <c r="AB35" s="7">
        <v>38.038939999999997</v>
      </c>
      <c r="AC35" s="7">
        <v>50</v>
      </c>
      <c r="AD35" s="7">
        <v>66.627668999999997</v>
      </c>
      <c r="AE35" s="7">
        <v>44.418446000000003</v>
      </c>
      <c r="AF35" s="7">
        <v>50</v>
      </c>
      <c r="AG35" s="7">
        <v>57.349881000000003</v>
      </c>
      <c r="AH35" s="7">
        <v>72.837023000000002</v>
      </c>
      <c r="AI35" s="7">
        <v>38.233254000000002</v>
      </c>
      <c r="AJ35" s="7">
        <v>50</v>
      </c>
      <c r="AK35" s="7">
        <v>13.8</v>
      </c>
      <c r="AL35" s="7">
        <v>15.93</v>
      </c>
      <c r="AM35" s="7">
        <v>15.48</v>
      </c>
      <c r="AN35" s="7">
        <v>0.63489099999999998</v>
      </c>
      <c r="AO35" s="7">
        <v>63.489134</v>
      </c>
      <c r="AP35" s="7">
        <v>100</v>
      </c>
      <c r="AQ35" s="7">
        <v>0.60536299999999998</v>
      </c>
      <c r="AR35" s="7">
        <v>60.536290000000001</v>
      </c>
      <c r="AS35" s="7">
        <v>100</v>
      </c>
      <c r="AT35" s="7">
        <v>0.61109199999999997</v>
      </c>
      <c r="AU35" s="7">
        <v>0.65204200000000001</v>
      </c>
      <c r="AV35" s="7">
        <v>61.109155999999999</v>
      </c>
      <c r="AW35" s="7">
        <v>100</v>
      </c>
      <c r="AX35" s="7">
        <v>0.54000800000000004</v>
      </c>
      <c r="AY35" s="7">
        <v>0.65231600000000001</v>
      </c>
      <c r="AZ35" s="7">
        <v>54.000816</v>
      </c>
      <c r="BA35" s="7">
        <v>100</v>
      </c>
      <c r="BB35" s="7">
        <v>0.61672899999999997</v>
      </c>
      <c r="BC35" s="7">
        <v>30.836434000000001</v>
      </c>
      <c r="BD35" s="7">
        <v>50</v>
      </c>
      <c r="BE35" s="7">
        <v>0.58124299999999995</v>
      </c>
      <c r="BF35" s="7">
        <v>29.062151</v>
      </c>
      <c r="BG35" s="7">
        <v>50</v>
      </c>
      <c r="BH35" s="7">
        <v>0</v>
      </c>
      <c r="BI35" s="7">
        <v>0.98736699999999999</v>
      </c>
      <c r="BJ35" s="7">
        <v>0.975684</v>
      </c>
      <c r="BK35" s="7">
        <v>0.99645399999999995</v>
      </c>
      <c r="BL35" s="7">
        <v>0.98537200000000003</v>
      </c>
      <c r="BM35" s="7">
        <v>0.97112500000000002</v>
      </c>
      <c r="BN35" s="7">
        <v>0.99645399999999995</v>
      </c>
      <c r="BO35" s="7">
        <v>0.99244699999999997</v>
      </c>
      <c r="BP35" s="7">
        <v>0.985294</v>
      </c>
      <c r="BQ35" s="7">
        <v>0.99743599999999999</v>
      </c>
      <c r="BR35" s="7">
        <v>6.9836999999999996E-2</v>
      </c>
      <c r="BS35" s="7">
        <v>46.032688999999998</v>
      </c>
      <c r="BT35" s="7">
        <v>50</v>
      </c>
      <c r="BU35" s="7">
        <v>0.109862</v>
      </c>
      <c r="BV35" s="7">
        <v>38.027681999999999</v>
      </c>
      <c r="BW35" s="7">
        <v>50</v>
      </c>
      <c r="BX35" s="7">
        <v>0.92224600000000001</v>
      </c>
      <c r="BY35" s="7">
        <v>50</v>
      </c>
      <c r="BZ35" s="7">
        <v>50</v>
      </c>
      <c r="CA35" s="7">
        <v>0.43196499999999999</v>
      </c>
      <c r="CB35" s="7">
        <v>28.797695999999998</v>
      </c>
      <c r="CC35" s="7">
        <v>50</v>
      </c>
      <c r="CD35" s="7">
        <v>0.94270799999999999</v>
      </c>
      <c r="CE35" s="7">
        <v>50</v>
      </c>
      <c r="CF35" s="7">
        <v>50</v>
      </c>
      <c r="CG35" s="7">
        <v>0.933921</v>
      </c>
      <c r="CH35" s="7">
        <v>99.353266000000005</v>
      </c>
      <c r="CI35" s="7">
        <v>100</v>
      </c>
      <c r="CJ35" s="7">
        <v>0</v>
      </c>
      <c r="CK35" s="7">
        <v>0.93939399999999995</v>
      </c>
      <c r="CL35" s="7">
        <v>99.935524999999998</v>
      </c>
      <c r="CM35" s="7">
        <v>100</v>
      </c>
      <c r="CN35" s="7">
        <v>0.68700000000000006</v>
      </c>
      <c r="CO35" s="7">
        <v>91.588785000000001</v>
      </c>
      <c r="CP35" s="7">
        <v>100</v>
      </c>
      <c r="CQ35" s="7">
        <v>0.43478299999999998</v>
      </c>
      <c r="CR35" s="7">
        <v>0.93206199999999995</v>
      </c>
      <c r="CS35" s="7">
        <v>28.985506999999998</v>
      </c>
      <c r="CT35" s="7">
        <v>50</v>
      </c>
      <c r="CU35" s="7">
        <v>0.55607499999999999</v>
      </c>
      <c r="CV35" s="7">
        <v>46.339564000000003</v>
      </c>
      <c r="CW35" s="7">
        <v>50</v>
      </c>
      <c r="CX35" s="7">
        <v>0.93939399999999995</v>
      </c>
      <c r="CY35" s="7">
        <v>0.94</v>
      </c>
      <c r="CZ35" s="7">
        <v>6.0599999999999998E-4</v>
      </c>
      <c r="DA35" s="7">
        <v>15.389535</v>
      </c>
      <c r="DB35" s="7">
        <v>17.608319000000002</v>
      </c>
      <c r="DC35" s="7">
        <v>16.064022999999999</v>
      </c>
      <c r="DD35" s="7">
        <v>11.115401</v>
      </c>
      <c r="DE35" s="4" t="s">
        <v>124</v>
      </c>
      <c r="DF35" s="6"/>
      <c r="DG35" s="6"/>
      <c r="DH35" s="6"/>
      <c r="DI35" s="6"/>
      <c r="DJ35" s="4" t="s">
        <v>124</v>
      </c>
      <c r="DK35" s="4" t="s">
        <v>124</v>
      </c>
      <c r="DL35" s="4" t="s">
        <v>124</v>
      </c>
      <c r="DM35" s="4" t="s">
        <v>124</v>
      </c>
      <c r="DN35" s="4" t="s">
        <v>124</v>
      </c>
      <c r="DO35" s="4" t="s">
        <v>124</v>
      </c>
      <c r="DP35" s="6"/>
      <c r="DQ35" s="4" t="s">
        <v>125</v>
      </c>
    </row>
    <row r="36" spans="1:121" ht="20" customHeight="1" x14ac:dyDescent="0.15">
      <c r="A36" s="5">
        <v>2018</v>
      </c>
      <c r="B36" s="3" t="s">
        <v>159</v>
      </c>
      <c r="C36" s="4" t="str">
        <f t="shared" ref="C36:C745" si="34">"1030011"</f>
        <v>1030011</v>
      </c>
      <c r="D36" s="4" t="s">
        <v>122</v>
      </c>
      <c r="E36" s="4" t="str">
        <f t="shared" si="1"/>
        <v>0000000</v>
      </c>
      <c r="F36" s="4" t="s">
        <v>122</v>
      </c>
      <c r="G36" s="4" t="s">
        <v>122</v>
      </c>
      <c r="H36" s="4" t="s">
        <v>122</v>
      </c>
      <c r="I36" s="6"/>
      <c r="J36" s="4" t="s">
        <v>123</v>
      </c>
      <c r="K36" s="7">
        <v>1096.750826</v>
      </c>
      <c r="L36" s="7">
        <v>1450</v>
      </c>
      <c r="M36" s="7">
        <v>75.637988000000007</v>
      </c>
      <c r="N36" s="4" t="s">
        <v>124</v>
      </c>
      <c r="O36" s="7">
        <v>1</v>
      </c>
      <c r="P36" s="7">
        <v>65.026583000000002</v>
      </c>
      <c r="Q36" s="7">
        <v>43.351055000000002</v>
      </c>
      <c r="R36" s="7">
        <v>50</v>
      </c>
      <c r="S36" s="7">
        <v>59.304245000000002</v>
      </c>
      <c r="T36" s="7">
        <v>75</v>
      </c>
      <c r="U36" s="7">
        <v>39.536163999999999</v>
      </c>
      <c r="V36" s="7">
        <v>50</v>
      </c>
      <c r="W36" s="7">
        <v>60.696257000000003</v>
      </c>
      <c r="X36" s="7">
        <v>40.464171</v>
      </c>
      <c r="Y36" s="7">
        <v>50</v>
      </c>
      <c r="Z36" s="7">
        <v>72.592749999999995</v>
      </c>
      <c r="AA36" s="7">
        <v>54.856274999999997</v>
      </c>
      <c r="AB36" s="7">
        <v>36.57085</v>
      </c>
      <c r="AC36" s="7">
        <v>50</v>
      </c>
      <c r="AD36" s="7">
        <v>57.544359</v>
      </c>
      <c r="AE36" s="7">
        <v>38.362906000000002</v>
      </c>
      <c r="AF36" s="7">
        <v>50</v>
      </c>
      <c r="AG36" s="7">
        <v>52.813527999999998</v>
      </c>
      <c r="AH36" s="7">
        <v>66.466846000000004</v>
      </c>
      <c r="AI36" s="7">
        <v>35.209018999999998</v>
      </c>
      <c r="AJ36" s="7">
        <v>50</v>
      </c>
      <c r="AK36" s="7">
        <v>15.69</v>
      </c>
      <c r="AL36" s="7">
        <v>17.73</v>
      </c>
      <c r="AM36" s="7">
        <v>13.65</v>
      </c>
      <c r="AN36" s="7">
        <v>0.60370100000000004</v>
      </c>
      <c r="AO36" s="7">
        <v>60.370134</v>
      </c>
      <c r="AP36" s="7">
        <v>100</v>
      </c>
      <c r="AQ36" s="7">
        <v>0.60904000000000003</v>
      </c>
      <c r="AR36" s="7">
        <v>60.904018999999998</v>
      </c>
      <c r="AS36" s="7">
        <v>100</v>
      </c>
      <c r="AT36" s="7">
        <v>0.57259800000000005</v>
      </c>
      <c r="AU36" s="7">
        <v>0.66722499999999996</v>
      </c>
      <c r="AV36" s="7">
        <v>57.259773000000003</v>
      </c>
      <c r="AW36" s="7">
        <v>100</v>
      </c>
      <c r="AX36" s="7">
        <v>0.56996599999999997</v>
      </c>
      <c r="AY36" s="7">
        <v>0.68884299999999998</v>
      </c>
      <c r="AZ36" s="7">
        <v>56.996622000000002</v>
      </c>
      <c r="BA36" s="7">
        <v>100</v>
      </c>
      <c r="BB36" s="7">
        <v>0.68363600000000002</v>
      </c>
      <c r="BC36" s="7">
        <v>34.181797000000003</v>
      </c>
      <c r="BD36" s="7">
        <v>50</v>
      </c>
      <c r="BE36" s="7">
        <v>0.60125499999999998</v>
      </c>
      <c r="BF36" s="7">
        <v>30.062742</v>
      </c>
      <c r="BG36" s="7">
        <v>50</v>
      </c>
      <c r="BH36" s="7">
        <v>0</v>
      </c>
      <c r="BI36" s="7">
        <v>0.98789800000000005</v>
      </c>
      <c r="BJ36" s="7">
        <v>0.98763900000000004</v>
      </c>
      <c r="BK36" s="7">
        <v>0.98845799999999995</v>
      </c>
      <c r="BL36" s="7">
        <v>0.98756999999999995</v>
      </c>
      <c r="BM36" s="7">
        <v>0.98740300000000003</v>
      </c>
      <c r="BN36" s="7">
        <v>0.98793299999999995</v>
      </c>
      <c r="BO36" s="7">
        <v>0.98400600000000005</v>
      </c>
      <c r="BP36" s="7">
        <v>0.98022799999999999</v>
      </c>
      <c r="BQ36" s="7">
        <v>0.991587</v>
      </c>
      <c r="BR36" s="7">
        <v>0.102772</v>
      </c>
      <c r="BS36" s="7">
        <v>39.445523999999999</v>
      </c>
      <c r="BT36" s="7">
        <v>50</v>
      </c>
      <c r="BU36" s="7">
        <v>0.12545000000000001</v>
      </c>
      <c r="BV36" s="7">
        <v>34.909916000000003</v>
      </c>
      <c r="BW36" s="7">
        <v>50</v>
      </c>
      <c r="BX36" s="7">
        <v>0.87615500000000002</v>
      </c>
      <c r="BY36" s="7">
        <v>50</v>
      </c>
      <c r="BZ36" s="7">
        <v>50</v>
      </c>
      <c r="CA36" s="7">
        <v>0.36968600000000001</v>
      </c>
      <c r="CB36" s="7">
        <v>24.645717999999999</v>
      </c>
      <c r="CC36" s="7">
        <v>50</v>
      </c>
      <c r="CD36" s="7">
        <v>0.91688899999999995</v>
      </c>
      <c r="CE36" s="7">
        <v>48.770673000000002</v>
      </c>
      <c r="CF36" s="7">
        <v>50</v>
      </c>
      <c r="CG36" s="7">
        <v>0.91601299999999997</v>
      </c>
      <c r="CH36" s="7">
        <v>97.448238000000003</v>
      </c>
      <c r="CI36" s="7">
        <v>100</v>
      </c>
      <c r="CJ36" s="7">
        <v>0</v>
      </c>
      <c r="CK36" s="7">
        <v>0.904555</v>
      </c>
      <c r="CL36" s="7">
        <v>96.229288999999994</v>
      </c>
      <c r="CM36" s="7">
        <v>100</v>
      </c>
      <c r="CN36" s="7">
        <v>0.66</v>
      </c>
      <c r="CO36" s="7">
        <v>88.044338999999994</v>
      </c>
      <c r="CP36" s="7">
        <v>100</v>
      </c>
      <c r="CQ36" s="7">
        <v>0.50981799999999999</v>
      </c>
      <c r="CR36" s="7">
        <v>1.14361</v>
      </c>
      <c r="CS36" s="7">
        <v>33.987879</v>
      </c>
      <c r="CT36" s="7">
        <v>50</v>
      </c>
      <c r="CU36" s="7">
        <v>0.64850699999999994</v>
      </c>
      <c r="CV36" s="7">
        <v>50</v>
      </c>
      <c r="CW36" s="7">
        <v>50</v>
      </c>
      <c r="CX36" s="7">
        <v>0.904555</v>
      </c>
      <c r="CY36" s="7">
        <v>0.94</v>
      </c>
      <c r="CZ36" s="7">
        <v>3.5444999999999997E-2</v>
      </c>
      <c r="DA36" s="7">
        <v>15.389535</v>
      </c>
      <c r="DB36" s="7">
        <v>17.608319000000002</v>
      </c>
      <c r="DC36" s="7">
        <v>16.064022999999999</v>
      </c>
      <c r="DD36" s="7">
        <v>11.115401</v>
      </c>
      <c r="DE36" s="4" t="s">
        <v>124</v>
      </c>
      <c r="DF36" s="6"/>
      <c r="DG36" s="6"/>
      <c r="DH36" s="6"/>
      <c r="DI36" s="6"/>
      <c r="DJ36" s="4" t="s">
        <v>124</v>
      </c>
      <c r="DK36" s="4" t="s">
        <v>124</v>
      </c>
      <c r="DL36" s="4" t="s">
        <v>124</v>
      </c>
      <c r="DM36" s="4" t="s">
        <v>124</v>
      </c>
      <c r="DN36" s="4" t="s">
        <v>124</v>
      </c>
      <c r="DO36" s="4" t="s">
        <v>124</v>
      </c>
      <c r="DP36" s="6"/>
      <c r="DQ36" s="4" t="s">
        <v>125</v>
      </c>
    </row>
    <row r="37" spans="1:121" ht="20" customHeight="1" x14ac:dyDescent="0.15">
      <c r="A37" s="5">
        <v>2018</v>
      </c>
      <c r="B37" s="3" t="s">
        <v>160</v>
      </c>
      <c r="C37" s="4" t="str">
        <f t="shared" ref="C37:C596" si="35">"0830011"</f>
        <v>0830011</v>
      </c>
      <c r="D37" s="4" t="s">
        <v>122</v>
      </c>
      <c r="E37" s="4" t="str">
        <f t="shared" si="1"/>
        <v>0000000</v>
      </c>
      <c r="F37" s="4" t="s">
        <v>122</v>
      </c>
      <c r="G37" s="4" t="s">
        <v>122</v>
      </c>
      <c r="H37" s="4" t="s">
        <v>122</v>
      </c>
      <c r="I37" s="6"/>
      <c r="J37" s="4" t="s">
        <v>123</v>
      </c>
      <c r="K37" s="7">
        <v>1059.952115</v>
      </c>
      <c r="L37" s="7">
        <v>1450</v>
      </c>
      <c r="M37" s="7">
        <v>73.100145999999995</v>
      </c>
      <c r="N37" s="4" t="s">
        <v>124</v>
      </c>
      <c r="O37" s="7">
        <v>1</v>
      </c>
      <c r="P37" s="7">
        <v>65.178827999999996</v>
      </c>
      <c r="Q37" s="7">
        <v>43.452551999999997</v>
      </c>
      <c r="R37" s="7">
        <v>50</v>
      </c>
      <c r="S37" s="7">
        <v>57.144821</v>
      </c>
      <c r="T37" s="7">
        <v>74.372702000000004</v>
      </c>
      <c r="U37" s="7">
        <v>38.096547000000001</v>
      </c>
      <c r="V37" s="7">
        <v>50</v>
      </c>
      <c r="W37" s="7">
        <v>59.431786000000002</v>
      </c>
      <c r="X37" s="7">
        <v>39.621191000000003</v>
      </c>
      <c r="Y37" s="7">
        <v>50</v>
      </c>
      <c r="Z37" s="7">
        <v>68.186915999999997</v>
      </c>
      <c r="AA37" s="7">
        <v>51.742370000000001</v>
      </c>
      <c r="AB37" s="7">
        <v>34.494912999999997</v>
      </c>
      <c r="AC37" s="7">
        <v>50</v>
      </c>
      <c r="AD37" s="7">
        <v>57.587055999999997</v>
      </c>
      <c r="AE37" s="7">
        <v>38.391370999999999</v>
      </c>
      <c r="AF37" s="7">
        <v>50</v>
      </c>
      <c r="AG37" s="7">
        <v>50.836593000000001</v>
      </c>
      <c r="AH37" s="7">
        <v>65.145778000000007</v>
      </c>
      <c r="AI37" s="7">
        <v>33.891061999999998</v>
      </c>
      <c r="AJ37" s="7">
        <v>50</v>
      </c>
      <c r="AK37" s="7">
        <v>17.22</v>
      </c>
      <c r="AL37" s="7">
        <v>16.440000000000001</v>
      </c>
      <c r="AM37" s="7">
        <v>14.3</v>
      </c>
      <c r="AN37" s="7">
        <v>0.61933499999999997</v>
      </c>
      <c r="AO37" s="7">
        <v>61.933545000000002</v>
      </c>
      <c r="AP37" s="7">
        <v>100</v>
      </c>
      <c r="AQ37" s="7">
        <v>0.54821299999999995</v>
      </c>
      <c r="AR37" s="7">
        <v>54.821278999999997</v>
      </c>
      <c r="AS37" s="7">
        <v>100</v>
      </c>
      <c r="AT37" s="7">
        <v>0.57529399999999997</v>
      </c>
      <c r="AU37" s="7">
        <v>0.66806600000000005</v>
      </c>
      <c r="AV37" s="7">
        <v>57.529412000000001</v>
      </c>
      <c r="AW37" s="7">
        <v>100</v>
      </c>
      <c r="AX37" s="7">
        <v>0.52147600000000005</v>
      </c>
      <c r="AY37" s="7">
        <v>0.57765900000000003</v>
      </c>
      <c r="AZ37" s="7">
        <v>52.147630999999997</v>
      </c>
      <c r="BA37" s="7">
        <v>100</v>
      </c>
      <c r="BB37" s="7">
        <v>0.744224</v>
      </c>
      <c r="BC37" s="7">
        <v>37.211188999999997</v>
      </c>
      <c r="BD37" s="7">
        <v>50</v>
      </c>
      <c r="BE37" s="7">
        <v>0.62730399999999997</v>
      </c>
      <c r="BF37" s="7">
        <v>31.365183999999999</v>
      </c>
      <c r="BG37" s="7">
        <v>50</v>
      </c>
      <c r="BH37" s="7">
        <v>0</v>
      </c>
      <c r="BI37" s="7">
        <v>0.99485599999999996</v>
      </c>
      <c r="BJ37" s="7">
        <v>0.99450499999999997</v>
      </c>
      <c r="BK37" s="7">
        <v>0.99527900000000002</v>
      </c>
      <c r="BL37" s="7">
        <v>0.99442299999999995</v>
      </c>
      <c r="BM37" s="7">
        <v>0.99371100000000001</v>
      </c>
      <c r="BN37" s="7">
        <v>0.99527900000000002</v>
      </c>
      <c r="BO37" s="7">
        <v>0.98910900000000002</v>
      </c>
      <c r="BP37" s="7">
        <v>0.98548100000000005</v>
      </c>
      <c r="BQ37" s="7">
        <v>0.99346400000000001</v>
      </c>
      <c r="BR37" s="7">
        <v>0.10643</v>
      </c>
      <c r="BS37" s="7">
        <v>38.713968999999999</v>
      </c>
      <c r="BT37" s="7">
        <v>50</v>
      </c>
      <c r="BU37" s="7">
        <v>0.14983299999999999</v>
      </c>
      <c r="BV37" s="7">
        <v>30.033389</v>
      </c>
      <c r="BW37" s="7">
        <v>50</v>
      </c>
      <c r="BX37" s="7">
        <v>0.78634999999999999</v>
      </c>
      <c r="BY37" s="7">
        <v>50</v>
      </c>
      <c r="BZ37" s="7">
        <v>50</v>
      </c>
      <c r="CA37" s="7">
        <v>0.33086100000000002</v>
      </c>
      <c r="CB37" s="7">
        <v>22.057369000000001</v>
      </c>
      <c r="CC37" s="7">
        <v>50</v>
      </c>
      <c r="CD37" s="7">
        <v>0.90583000000000002</v>
      </c>
      <c r="CE37" s="7">
        <v>48.182425000000002</v>
      </c>
      <c r="CF37" s="7">
        <v>50</v>
      </c>
      <c r="CG37" s="7">
        <v>0.90273599999999998</v>
      </c>
      <c r="CH37" s="7">
        <v>96.035697999999996</v>
      </c>
      <c r="CI37" s="7">
        <v>100</v>
      </c>
      <c r="CJ37" s="7">
        <v>0</v>
      </c>
      <c r="CK37" s="7">
        <v>0.91145799999999999</v>
      </c>
      <c r="CL37" s="7">
        <v>96.963651999999996</v>
      </c>
      <c r="CM37" s="7">
        <v>100</v>
      </c>
      <c r="CN37" s="7">
        <v>0.67500000000000004</v>
      </c>
      <c r="CO37" s="7">
        <v>90.054644999999994</v>
      </c>
      <c r="CP37" s="7">
        <v>100</v>
      </c>
      <c r="CQ37" s="7">
        <v>0.51602300000000001</v>
      </c>
      <c r="CR37" s="7">
        <v>0.90550600000000003</v>
      </c>
      <c r="CS37" s="7">
        <v>34.401533999999998</v>
      </c>
      <c r="CT37" s="7">
        <v>50</v>
      </c>
      <c r="CU37" s="7">
        <v>0.366643</v>
      </c>
      <c r="CV37" s="7">
        <v>30.553559</v>
      </c>
      <c r="CW37" s="7">
        <v>50</v>
      </c>
      <c r="CX37" s="7">
        <v>0.91145799999999999</v>
      </c>
      <c r="CY37" s="7">
        <v>0.94</v>
      </c>
      <c r="CZ37" s="7">
        <v>2.8542000000000001E-2</v>
      </c>
      <c r="DA37" s="7">
        <v>15.389535</v>
      </c>
      <c r="DB37" s="7">
        <v>17.608319000000002</v>
      </c>
      <c r="DC37" s="7">
        <v>16.064022999999999</v>
      </c>
      <c r="DD37" s="7">
        <v>11.115401</v>
      </c>
      <c r="DE37" s="4" t="s">
        <v>124</v>
      </c>
      <c r="DF37" s="6"/>
      <c r="DG37" s="6"/>
      <c r="DH37" s="6"/>
      <c r="DI37" s="6"/>
      <c r="DJ37" s="4" t="s">
        <v>124</v>
      </c>
      <c r="DK37" s="4" t="s">
        <v>124</v>
      </c>
      <c r="DL37" s="4" t="s">
        <v>124</v>
      </c>
      <c r="DM37" s="4" t="s">
        <v>124</v>
      </c>
      <c r="DN37" s="4" t="s">
        <v>124</v>
      </c>
      <c r="DO37" s="4" t="s">
        <v>124</v>
      </c>
      <c r="DP37" s="6"/>
      <c r="DQ37" s="4" t="s">
        <v>125</v>
      </c>
    </row>
    <row r="38" spans="1:121" ht="20" customHeight="1" x14ac:dyDescent="0.15">
      <c r="A38" s="5">
        <v>2018</v>
      </c>
      <c r="B38" s="3" t="s">
        <v>161</v>
      </c>
      <c r="C38" s="4" t="str">
        <f t="shared" ref="C38:C367" si="36">"0420011"</f>
        <v>0420011</v>
      </c>
      <c r="D38" s="4" t="s">
        <v>122</v>
      </c>
      <c r="E38" s="4" t="str">
        <f t="shared" si="1"/>
        <v>0000000</v>
      </c>
      <c r="F38" s="4" t="s">
        <v>122</v>
      </c>
      <c r="G38" s="4" t="s">
        <v>122</v>
      </c>
      <c r="H38" s="4" t="s">
        <v>122</v>
      </c>
      <c r="I38" s="6"/>
      <c r="J38" s="4" t="s">
        <v>123</v>
      </c>
      <c r="K38" s="7">
        <v>1084.8832970000001</v>
      </c>
      <c r="L38" s="7">
        <v>1350</v>
      </c>
      <c r="M38" s="7">
        <v>80.361726000000004</v>
      </c>
      <c r="N38" s="4" t="s">
        <v>124</v>
      </c>
      <c r="O38" s="7">
        <v>0</v>
      </c>
      <c r="P38" s="7">
        <v>71.742102000000003</v>
      </c>
      <c r="Q38" s="7">
        <v>47.828068000000002</v>
      </c>
      <c r="R38" s="7">
        <v>50</v>
      </c>
      <c r="S38" s="7">
        <v>62.124141000000002</v>
      </c>
      <c r="T38" s="7">
        <v>75</v>
      </c>
      <c r="U38" s="7">
        <v>41.416094000000001</v>
      </c>
      <c r="V38" s="7">
        <v>50</v>
      </c>
      <c r="W38" s="7">
        <v>66.622277999999994</v>
      </c>
      <c r="X38" s="7">
        <v>44.414852000000003</v>
      </c>
      <c r="Y38" s="7">
        <v>50</v>
      </c>
      <c r="Z38" s="7">
        <v>70.451278000000002</v>
      </c>
      <c r="AA38" s="7">
        <v>56.736494999999998</v>
      </c>
      <c r="AB38" s="7">
        <v>37.824330000000003</v>
      </c>
      <c r="AC38" s="7">
        <v>50</v>
      </c>
      <c r="AD38" s="7">
        <v>66.656279999999995</v>
      </c>
      <c r="AE38" s="7">
        <v>44.437519999999999</v>
      </c>
      <c r="AF38" s="7">
        <v>50</v>
      </c>
      <c r="AG38" s="7">
        <v>61.419190999999998</v>
      </c>
      <c r="AH38" s="7">
        <v>68.743660000000006</v>
      </c>
      <c r="AI38" s="7">
        <v>40.946126999999997</v>
      </c>
      <c r="AJ38" s="7">
        <v>50</v>
      </c>
      <c r="AK38" s="7">
        <v>12.87</v>
      </c>
      <c r="AL38" s="7">
        <v>13.71</v>
      </c>
      <c r="AM38" s="7">
        <v>7.32</v>
      </c>
      <c r="AN38" s="7">
        <v>0.57183300000000004</v>
      </c>
      <c r="AO38" s="7">
        <v>57.183346999999998</v>
      </c>
      <c r="AP38" s="7">
        <v>100</v>
      </c>
      <c r="AQ38" s="7">
        <v>0.65946199999999999</v>
      </c>
      <c r="AR38" s="7">
        <v>65.946156999999999</v>
      </c>
      <c r="AS38" s="7">
        <v>100</v>
      </c>
      <c r="AT38" s="7">
        <v>0.54560600000000004</v>
      </c>
      <c r="AU38" s="7">
        <v>0.58182999999999996</v>
      </c>
      <c r="AV38" s="7">
        <v>54.560609999999997</v>
      </c>
      <c r="AW38" s="7">
        <v>100</v>
      </c>
      <c r="AX38" s="7">
        <v>0.60631299999999999</v>
      </c>
      <c r="AY38" s="7">
        <v>0.679759</v>
      </c>
      <c r="AZ38" s="7">
        <v>60.631265999999997</v>
      </c>
      <c r="BA38" s="7">
        <v>100</v>
      </c>
      <c r="BB38" s="4" t="s">
        <v>124</v>
      </c>
      <c r="BC38" s="4" t="s">
        <v>124</v>
      </c>
      <c r="BD38" s="4" t="s">
        <v>124</v>
      </c>
      <c r="BE38" s="4" t="s">
        <v>124</v>
      </c>
      <c r="BF38" s="4" t="s">
        <v>124</v>
      </c>
      <c r="BG38" s="4" t="s">
        <v>124</v>
      </c>
      <c r="BH38" s="7">
        <v>0</v>
      </c>
      <c r="BI38" s="7">
        <v>0.98029599999999995</v>
      </c>
      <c r="BJ38" s="7">
        <v>0.96551699999999996</v>
      </c>
      <c r="BK38" s="7">
        <v>0.98620699999999994</v>
      </c>
      <c r="BL38" s="7">
        <v>0.98027600000000004</v>
      </c>
      <c r="BM38" s="7">
        <v>0.96539799999999998</v>
      </c>
      <c r="BN38" s="7">
        <v>0.98620699999999994</v>
      </c>
      <c r="BO38" s="7">
        <v>0.98511199999999999</v>
      </c>
      <c r="BP38" s="7">
        <v>0.97435899999999998</v>
      </c>
      <c r="BQ38" s="7">
        <v>0.98951</v>
      </c>
      <c r="BR38" s="7">
        <v>6.7477999999999996E-2</v>
      </c>
      <c r="BS38" s="7">
        <v>46.504424999999998</v>
      </c>
      <c r="BT38" s="7">
        <v>50</v>
      </c>
      <c r="BU38" s="7">
        <v>0.14228499999999999</v>
      </c>
      <c r="BV38" s="7">
        <v>31.543085999999999</v>
      </c>
      <c r="BW38" s="7">
        <v>50</v>
      </c>
      <c r="BX38" s="7">
        <v>0.83004</v>
      </c>
      <c r="BY38" s="7">
        <v>50</v>
      </c>
      <c r="BZ38" s="7">
        <v>50</v>
      </c>
      <c r="CA38" s="7">
        <v>0.50988100000000003</v>
      </c>
      <c r="CB38" s="7">
        <v>33.992094999999999</v>
      </c>
      <c r="CC38" s="7">
        <v>50</v>
      </c>
      <c r="CD38" s="7">
        <v>0.98545499999999997</v>
      </c>
      <c r="CE38" s="7">
        <v>50</v>
      </c>
      <c r="CF38" s="7">
        <v>50</v>
      </c>
      <c r="CG38" s="7">
        <v>0.94690300000000005</v>
      </c>
      <c r="CH38" s="7">
        <v>100</v>
      </c>
      <c r="CI38" s="7">
        <v>100</v>
      </c>
      <c r="CJ38" s="7">
        <v>0</v>
      </c>
      <c r="CK38" s="7">
        <v>0.9375</v>
      </c>
      <c r="CL38" s="7">
        <v>99.734043</v>
      </c>
      <c r="CM38" s="7">
        <v>100</v>
      </c>
      <c r="CN38" s="7">
        <v>0.78100000000000003</v>
      </c>
      <c r="CO38" s="7">
        <v>100</v>
      </c>
      <c r="CP38" s="7">
        <v>100</v>
      </c>
      <c r="CQ38" s="7">
        <v>0.418819</v>
      </c>
      <c r="CR38" s="7">
        <v>0.97132600000000002</v>
      </c>
      <c r="CS38" s="7">
        <v>27.921278999999998</v>
      </c>
      <c r="CT38" s="7">
        <v>50</v>
      </c>
      <c r="CU38" s="7">
        <v>0.68493199999999999</v>
      </c>
      <c r="CV38" s="7">
        <v>50</v>
      </c>
      <c r="CW38" s="7">
        <v>50</v>
      </c>
      <c r="CX38" s="7">
        <v>0.9375</v>
      </c>
      <c r="CY38" s="7">
        <v>0.94</v>
      </c>
      <c r="CZ38" s="7">
        <v>2.5000000000000001E-3</v>
      </c>
      <c r="DA38" s="7">
        <v>15.389535</v>
      </c>
      <c r="DB38" s="7">
        <v>17.608319000000002</v>
      </c>
      <c r="DC38" s="7">
        <v>16.064022999999999</v>
      </c>
      <c r="DD38" s="7">
        <v>11.115401</v>
      </c>
      <c r="DE38" s="4" t="s">
        <v>124</v>
      </c>
      <c r="DF38" s="6"/>
      <c r="DG38" s="6"/>
      <c r="DH38" s="6"/>
      <c r="DI38" s="6"/>
      <c r="DJ38" s="4" t="s">
        <v>124</v>
      </c>
      <c r="DK38" s="4" t="s">
        <v>124</v>
      </c>
      <c r="DL38" s="4" t="s">
        <v>124</v>
      </c>
      <c r="DM38" s="4" t="s">
        <v>124</v>
      </c>
      <c r="DN38" s="4" t="s">
        <v>124</v>
      </c>
      <c r="DO38" s="4" t="s">
        <v>124</v>
      </c>
      <c r="DP38" s="6"/>
      <c r="DQ38" s="4" t="s">
        <v>125</v>
      </c>
    </row>
    <row r="39" spans="1:121" ht="20" customHeight="1" x14ac:dyDescent="0.15">
      <c r="A39" s="5">
        <v>2018</v>
      </c>
      <c r="B39" s="3" t="s">
        <v>162</v>
      </c>
      <c r="C39" s="4" t="str">
        <f t="shared" ref="C39:C1220" si="37">"9010022"</f>
        <v>9010022</v>
      </c>
      <c r="D39" s="4" t="s">
        <v>122</v>
      </c>
      <c r="E39" s="4" t="str">
        <f t="shared" si="1"/>
        <v>0000000</v>
      </c>
      <c r="F39" s="4" t="s">
        <v>122</v>
      </c>
      <c r="G39" s="4" t="s">
        <v>122</v>
      </c>
      <c r="H39" s="4" t="s">
        <v>122</v>
      </c>
      <c r="I39" s="6"/>
      <c r="J39" s="4" t="s">
        <v>123</v>
      </c>
      <c r="K39" s="7">
        <v>1071.2050469999999</v>
      </c>
      <c r="L39" s="7">
        <v>1550</v>
      </c>
      <c r="M39" s="7">
        <v>69.110003000000006</v>
      </c>
      <c r="N39" s="4" t="s">
        <v>124</v>
      </c>
      <c r="O39" s="7">
        <v>0</v>
      </c>
      <c r="P39" s="7">
        <v>55.127907</v>
      </c>
      <c r="Q39" s="7">
        <v>110.255814</v>
      </c>
      <c r="R39" s="7">
        <v>150</v>
      </c>
      <c r="S39" s="7">
        <v>47.666666999999997</v>
      </c>
      <c r="T39" s="7">
        <v>62.148727000000001</v>
      </c>
      <c r="U39" s="7">
        <v>95.333332999999996</v>
      </c>
      <c r="V39" s="7">
        <v>150</v>
      </c>
      <c r="W39" s="7">
        <v>51.123435000000001</v>
      </c>
      <c r="X39" s="7">
        <v>102.246869</v>
      </c>
      <c r="Y39" s="7">
        <v>150</v>
      </c>
      <c r="Z39" s="7">
        <v>58.800347000000002</v>
      </c>
      <c r="AA39" s="7">
        <v>42.964945</v>
      </c>
      <c r="AB39" s="7">
        <v>85.929889000000003</v>
      </c>
      <c r="AC39" s="7">
        <v>150</v>
      </c>
      <c r="AD39" s="7">
        <v>58.087435999999997</v>
      </c>
      <c r="AE39" s="7">
        <v>77.449915000000004</v>
      </c>
      <c r="AF39" s="7">
        <v>100</v>
      </c>
      <c r="AG39" s="7">
        <v>50.746172999999999</v>
      </c>
      <c r="AH39" s="7">
        <v>64.814795000000004</v>
      </c>
      <c r="AI39" s="7">
        <v>67.661563999999998</v>
      </c>
      <c r="AJ39" s="7">
        <v>100</v>
      </c>
      <c r="AK39" s="7">
        <v>14.48</v>
      </c>
      <c r="AL39" s="7">
        <v>15.83</v>
      </c>
      <c r="AM39" s="7">
        <v>14.06</v>
      </c>
      <c r="AN39" s="4" t="s">
        <v>124</v>
      </c>
      <c r="AO39" s="4" t="s">
        <v>124</v>
      </c>
      <c r="AP39" s="4" t="s">
        <v>124</v>
      </c>
      <c r="AQ39" s="4" t="s">
        <v>124</v>
      </c>
      <c r="AR39" s="4" t="s">
        <v>124</v>
      </c>
      <c r="AS39" s="4" t="s">
        <v>124</v>
      </c>
      <c r="AT39" s="4" t="s">
        <v>124</v>
      </c>
      <c r="AU39" s="4" t="s">
        <v>124</v>
      </c>
      <c r="AV39" s="4" t="s">
        <v>124</v>
      </c>
      <c r="AW39" s="4" t="s">
        <v>124</v>
      </c>
      <c r="AX39" s="4" t="s">
        <v>124</v>
      </c>
      <c r="AY39" s="4" t="s">
        <v>124</v>
      </c>
      <c r="AZ39" s="4" t="s">
        <v>124</v>
      </c>
      <c r="BA39" s="4" t="s">
        <v>124</v>
      </c>
      <c r="BB39" s="7">
        <v>0.46406799999999998</v>
      </c>
      <c r="BC39" s="7">
        <v>23.203375000000001</v>
      </c>
      <c r="BD39" s="7">
        <v>50</v>
      </c>
      <c r="BE39" s="7">
        <v>0.56309100000000001</v>
      </c>
      <c r="BF39" s="7">
        <v>28.15457</v>
      </c>
      <c r="BG39" s="7">
        <v>50</v>
      </c>
      <c r="BH39" s="7">
        <v>1</v>
      </c>
      <c r="BI39" s="7">
        <v>0.94625400000000004</v>
      </c>
      <c r="BJ39" s="7">
        <v>0.91455699999999995</v>
      </c>
      <c r="BK39" s="7">
        <v>0.97986600000000001</v>
      </c>
      <c r="BL39" s="7">
        <v>0.94625400000000004</v>
      </c>
      <c r="BM39" s="7">
        <v>0.91455699999999995</v>
      </c>
      <c r="BN39" s="7">
        <v>0.97986600000000001</v>
      </c>
      <c r="BO39" s="7">
        <v>0.93606599999999995</v>
      </c>
      <c r="BP39" s="7">
        <v>0.89456899999999995</v>
      </c>
      <c r="BQ39" s="7">
        <v>0.97979799999999995</v>
      </c>
      <c r="BR39" s="7">
        <v>0.182393</v>
      </c>
      <c r="BS39" s="7">
        <v>23.521445</v>
      </c>
      <c r="BT39" s="7">
        <v>50</v>
      </c>
      <c r="BU39" s="7">
        <v>0.23352800000000001</v>
      </c>
      <c r="BV39" s="7">
        <v>13.294411999999999</v>
      </c>
      <c r="BW39" s="7">
        <v>50</v>
      </c>
      <c r="BX39" s="7">
        <v>0.725352</v>
      </c>
      <c r="BY39" s="7">
        <v>48.356808000000001</v>
      </c>
      <c r="BZ39" s="7">
        <v>50</v>
      </c>
      <c r="CA39" s="7">
        <v>0.34771099999999999</v>
      </c>
      <c r="CB39" s="7">
        <v>23.180751000000001</v>
      </c>
      <c r="CC39" s="7">
        <v>50</v>
      </c>
      <c r="CD39" s="7">
        <v>0.85077499999999995</v>
      </c>
      <c r="CE39" s="7">
        <v>45.253999999999998</v>
      </c>
      <c r="CF39" s="7">
        <v>50</v>
      </c>
      <c r="CG39" s="7">
        <v>0.86143599999999998</v>
      </c>
      <c r="CH39" s="7">
        <v>91.642099000000002</v>
      </c>
      <c r="CI39" s="7">
        <v>100</v>
      </c>
      <c r="CJ39" s="7">
        <v>1</v>
      </c>
      <c r="CK39" s="7">
        <v>0.79883400000000004</v>
      </c>
      <c r="CL39" s="7">
        <v>84.982320999999999</v>
      </c>
      <c r="CM39" s="7">
        <v>100</v>
      </c>
      <c r="CN39" s="7">
        <v>0.66500000000000004</v>
      </c>
      <c r="CO39" s="7">
        <v>88.631985</v>
      </c>
      <c r="CP39" s="7">
        <v>100</v>
      </c>
      <c r="CQ39" s="7">
        <v>0.30630600000000002</v>
      </c>
      <c r="CR39" s="7">
        <v>0.984043</v>
      </c>
      <c r="CS39" s="7">
        <v>20.42042</v>
      </c>
      <c r="CT39" s="7">
        <v>50</v>
      </c>
      <c r="CU39" s="7">
        <v>0.50022599999999995</v>
      </c>
      <c r="CV39" s="7">
        <v>41.685478000000003</v>
      </c>
      <c r="CW39" s="7">
        <v>50</v>
      </c>
      <c r="CX39" s="7">
        <v>0.79883400000000004</v>
      </c>
      <c r="CY39" s="7">
        <v>0.94</v>
      </c>
      <c r="CZ39" s="7">
        <v>0.14116600000000001</v>
      </c>
      <c r="DA39" s="7">
        <v>15.389535</v>
      </c>
      <c r="DB39" s="7">
        <v>17.608319000000002</v>
      </c>
      <c r="DC39" s="7">
        <v>16.064022999999999</v>
      </c>
      <c r="DD39" s="7">
        <v>11.115401</v>
      </c>
      <c r="DE39" s="4" t="s">
        <v>124</v>
      </c>
      <c r="DF39" s="6"/>
      <c r="DG39" s="6"/>
      <c r="DH39" s="6"/>
      <c r="DI39" s="6"/>
      <c r="DJ39" s="4" t="s">
        <v>124</v>
      </c>
      <c r="DK39" s="4" t="s">
        <v>124</v>
      </c>
      <c r="DL39" s="4" t="s">
        <v>124</v>
      </c>
      <c r="DM39" s="4" t="s">
        <v>124</v>
      </c>
      <c r="DN39" s="4" t="s">
        <v>124</v>
      </c>
      <c r="DO39" s="4" t="s">
        <v>124</v>
      </c>
      <c r="DP39" s="6"/>
      <c r="DQ39" s="4" t="s">
        <v>125</v>
      </c>
    </row>
    <row r="40" spans="1:121" ht="20" customHeight="1" x14ac:dyDescent="0.15">
      <c r="A40" s="5">
        <v>2018</v>
      </c>
      <c r="B40" s="3" t="s">
        <v>163</v>
      </c>
      <c r="C40" s="4" t="str">
        <f t="shared" ref="C40:C1221" si="38">"9020022"</f>
        <v>9020022</v>
      </c>
      <c r="D40" s="4" t="s">
        <v>122</v>
      </c>
      <c r="E40" s="4" t="str">
        <f t="shared" si="1"/>
        <v>0000000</v>
      </c>
      <c r="F40" s="4" t="s">
        <v>122</v>
      </c>
      <c r="G40" s="4" t="s">
        <v>122</v>
      </c>
      <c r="H40" s="4" t="s">
        <v>122</v>
      </c>
      <c r="I40" s="6"/>
      <c r="J40" s="4" t="s">
        <v>123</v>
      </c>
      <c r="K40" s="7">
        <v>989.68911700000001</v>
      </c>
      <c r="L40" s="7">
        <v>1350</v>
      </c>
      <c r="M40" s="7">
        <v>73.310305</v>
      </c>
      <c r="N40" s="4" t="s">
        <v>124</v>
      </c>
      <c r="O40" s="7">
        <v>0</v>
      </c>
      <c r="P40" s="7">
        <v>60.898515000000003</v>
      </c>
      <c r="Q40" s="7">
        <v>40.59901</v>
      </c>
      <c r="R40" s="7">
        <v>50</v>
      </c>
      <c r="S40" s="7">
        <v>56.21125</v>
      </c>
      <c r="T40" s="7">
        <v>66.541435000000007</v>
      </c>
      <c r="U40" s="7">
        <v>37.474165999999997</v>
      </c>
      <c r="V40" s="7">
        <v>50</v>
      </c>
      <c r="W40" s="7">
        <v>55.745665000000002</v>
      </c>
      <c r="X40" s="7">
        <v>37.163777000000003</v>
      </c>
      <c r="Y40" s="7">
        <v>50</v>
      </c>
      <c r="Z40" s="7">
        <v>61.166775000000001</v>
      </c>
      <c r="AA40" s="7">
        <v>51.168827</v>
      </c>
      <c r="AB40" s="7">
        <v>34.112551000000003</v>
      </c>
      <c r="AC40" s="7">
        <v>50</v>
      </c>
      <c r="AD40" s="7">
        <v>59.031928000000001</v>
      </c>
      <c r="AE40" s="7">
        <v>39.354619</v>
      </c>
      <c r="AF40" s="7">
        <v>50</v>
      </c>
      <c r="AG40" s="7">
        <v>56.743777999999999</v>
      </c>
      <c r="AH40" s="7">
        <v>61.821590999999998</v>
      </c>
      <c r="AI40" s="7">
        <v>37.829186</v>
      </c>
      <c r="AJ40" s="7">
        <v>50</v>
      </c>
      <c r="AK40" s="7">
        <v>10.33</v>
      </c>
      <c r="AL40" s="7">
        <v>9.99</v>
      </c>
      <c r="AM40" s="7">
        <v>5.07</v>
      </c>
      <c r="AN40" s="7">
        <v>0.66809700000000005</v>
      </c>
      <c r="AO40" s="7">
        <v>66.809663999999998</v>
      </c>
      <c r="AP40" s="7">
        <v>100</v>
      </c>
      <c r="AQ40" s="7">
        <v>0.66708500000000004</v>
      </c>
      <c r="AR40" s="7">
        <v>66.708524999999995</v>
      </c>
      <c r="AS40" s="7">
        <v>100</v>
      </c>
      <c r="AT40" s="7">
        <v>0.61851900000000004</v>
      </c>
      <c r="AU40" s="7">
        <v>0.73126800000000003</v>
      </c>
      <c r="AV40" s="7">
        <v>61.851931999999998</v>
      </c>
      <c r="AW40" s="7">
        <v>100</v>
      </c>
      <c r="AX40" s="7">
        <v>0.67697399999999996</v>
      </c>
      <c r="AY40" s="7">
        <v>0.65480400000000005</v>
      </c>
      <c r="AZ40" s="7">
        <v>67.697385999999995</v>
      </c>
      <c r="BA40" s="7">
        <v>100</v>
      </c>
      <c r="BB40" s="4" t="s">
        <v>124</v>
      </c>
      <c r="BC40" s="4" t="s">
        <v>124</v>
      </c>
      <c r="BD40" s="4" t="s">
        <v>124</v>
      </c>
      <c r="BE40" s="4" t="s">
        <v>124</v>
      </c>
      <c r="BF40" s="4" t="s">
        <v>124</v>
      </c>
      <c r="BG40" s="4" t="s">
        <v>124</v>
      </c>
      <c r="BH40" s="7">
        <v>1</v>
      </c>
      <c r="BI40" s="7">
        <v>0.97550999999999999</v>
      </c>
      <c r="BJ40" s="7">
        <v>0.96946600000000005</v>
      </c>
      <c r="BK40" s="7">
        <v>0.982456</v>
      </c>
      <c r="BL40" s="7">
        <v>0.96734699999999996</v>
      </c>
      <c r="BM40" s="7">
        <v>0.95419799999999999</v>
      </c>
      <c r="BN40" s="7">
        <v>0.982456</v>
      </c>
      <c r="BO40" s="7">
        <v>0.96022700000000005</v>
      </c>
      <c r="BP40" s="7">
        <v>0.94845400000000002</v>
      </c>
      <c r="BQ40" s="7">
        <v>0.97468399999999999</v>
      </c>
      <c r="BR40" s="7">
        <v>0.138132</v>
      </c>
      <c r="BS40" s="7">
        <v>32.373541000000003</v>
      </c>
      <c r="BT40" s="7">
        <v>50</v>
      </c>
      <c r="BU40" s="7">
        <v>0.21343899999999999</v>
      </c>
      <c r="BV40" s="7">
        <v>17.312252999999998</v>
      </c>
      <c r="BW40" s="7">
        <v>50</v>
      </c>
      <c r="BX40" s="7">
        <v>0.79047599999999996</v>
      </c>
      <c r="BY40" s="7">
        <v>50</v>
      </c>
      <c r="BZ40" s="7">
        <v>50</v>
      </c>
      <c r="CA40" s="7">
        <v>0.33333299999999999</v>
      </c>
      <c r="CB40" s="7">
        <v>22.222221999999999</v>
      </c>
      <c r="CC40" s="7">
        <v>50</v>
      </c>
      <c r="CD40" s="7">
        <v>0.87234</v>
      </c>
      <c r="CE40" s="7">
        <v>46.401085999999999</v>
      </c>
      <c r="CF40" s="7">
        <v>50</v>
      </c>
      <c r="CG40" s="7">
        <v>0.86956500000000003</v>
      </c>
      <c r="CH40" s="7">
        <v>92.506938000000005</v>
      </c>
      <c r="CI40" s="7">
        <v>100</v>
      </c>
      <c r="CJ40" s="7">
        <v>0</v>
      </c>
      <c r="CK40" s="7">
        <v>0.86206899999999997</v>
      </c>
      <c r="CL40" s="7">
        <v>91.709463999999997</v>
      </c>
      <c r="CM40" s="7">
        <v>100</v>
      </c>
      <c r="CN40" s="7">
        <v>0.64100000000000001</v>
      </c>
      <c r="CO40" s="7">
        <v>85.470084999999997</v>
      </c>
      <c r="CP40" s="7">
        <v>100</v>
      </c>
      <c r="CQ40" s="7">
        <v>0.221557</v>
      </c>
      <c r="CR40" s="7">
        <v>0.97092999999999996</v>
      </c>
      <c r="CS40" s="7">
        <v>14.770459000000001</v>
      </c>
      <c r="CT40" s="7">
        <v>50</v>
      </c>
      <c r="CU40" s="7">
        <v>0.56786700000000001</v>
      </c>
      <c r="CV40" s="7">
        <v>47.322253000000003</v>
      </c>
      <c r="CW40" s="7">
        <v>50</v>
      </c>
      <c r="CX40" s="7">
        <v>0.86206899999999997</v>
      </c>
      <c r="CY40" s="7">
        <v>0.94</v>
      </c>
      <c r="CZ40" s="7">
        <v>7.7931E-2</v>
      </c>
      <c r="DA40" s="7">
        <v>15.389535</v>
      </c>
      <c r="DB40" s="7">
        <v>17.608319000000002</v>
      </c>
      <c r="DC40" s="7">
        <v>16.064022999999999</v>
      </c>
      <c r="DD40" s="7">
        <v>11.115401</v>
      </c>
      <c r="DE40" s="4" t="s">
        <v>124</v>
      </c>
      <c r="DF40" s="6"/>
      <c r="DG40" s="6"/>
      <c r="DH40" s="6"/>
      <c r="DI40" s="6"/>
      <c r="DJ40" s="4" t="s">
        <v>124</v>
      </c>
      <c r="DK40" s="4" t="s">
        <v>124</v>
      </c>
      <c r="DL40" s="4" t="s">
        <v>124</v>
      </c>
      <c r="DM40" s="4" t="s">
        <v>124</v>
      </c>
      <c r="DN40" s="4" t="s">
        <v>124</v>
      </c>
      <c r="DO40" s="4" t="s">
        <v>124</v>
      </c>
      <c r="DP40" s="6"/>
      <c r="DQ40" s="4" t="s">
        <v>125</v>
      </c>
    </row>
    <row r="41" spans="1:121" ht="20" customHeight="1" x14ac:dyDescent="0.15">
      <c r="A41" s="5">
        <v>2018</v>
      </c>
      <c r="B41" s="3" t="s">
        <v>164</v>
      </c>
      <c r="C41" s="4" t="str">
        <f t="shared" ref="C41:C1222" si="39">"9030022"</f>
        <v>9030022</v>
      </c>
      <c r="D41" s="4" t="s">
        <v>122</v>
      </c>
      <c r="E41" s="4" t="str">
        <f t="shared" si="1"/>
        <v>0000000</v>
      </c>
      <c r="F41" s="4" t="s">
        <v>122</v>
      </c>
      <c r="G41" s="4" t="s">
        <v>122</v>
      </c>
      <c r="H41" s="4" t="s">
        <v>122</v>
      </c>
      <c r="I41" s="6"/>
      <c r="J41" s="4" t="s">
        <v>123</v>
      </c>
      <c r="K41" s="7">
        <v>1135.4285090000001</v>
      </c>
      <c r="L41" s="7">
        <v>1450</v>
      </c>
      <c r="M41" s="7">
        <v>78.305413999999999</v>
      </c>
      <c r="N41" s="4" t="s">
        <v>124</v>
      </c>
      <c r="O41" s="7">
        <v>1</v>
      </c>
      <c r="P41" s="7">
        <v>59.094890999999997</v>
      </c>
      <c r="Q41" s="7">
        <v>118.189781</v>
      </c>
      <c r="R41" s="7">
        <v>150</v>
      </c>
      <c r="S41" s="7">
        <v>48.724359</v>
      </c>
      <c r="T41" s="7">
        <v>60.182124000000002</v>
      </c>
      <c r="U41" s="7">
        <v>97.448718</v>
      </c>
      <c r="V41" s="7">
        <v>150</v>
      </c>
      <c r="W41" s="7">
        <v>60.123074000000003</v>
      </c>
      <c r="X41" s="7">
        <v>120.24614800000001</v>
      </c>
      <c r="Y41" s="7">
        <v>150</v>
      </c>
      <c r="Z41" s="7">
        <v>61.926746999999999</v>
      </c>
      <c r="AA41" s="7">
        <v>42.918802999999997</v>
      </c>
      <c r="AB41" s="7">
        <v>85.837607000000006</v>
      </c>
      <c r="AC41" s="7">
        <v>150</v>
      </c>
      <c r="AD41" s="7">
        <v>61.717053</v>
      </c>
      <c r="AE41" s="7">
        <v>82.289404000000005</v>
      </c>
      <c r="AF41" s="7">
        <v>100</v>
      </c>
      <c r="AG41" s="7">
        <v>50.016061000000001</v>
      </c>
      <c r="AH41" s="7">
        <v>62.924298</v>
      </c>
      <c r="AI41" s="7">
        <v>66.688080999999997</v>
      </c>
      <c r="AJ41" s="7">
        <v>100</v>
      </c>
      <c r="AK41" s="7">
        <v>11.45</v>
      </c>
      <c r="AL41" s="7">
        <v>19</v>
      </c>
      <c r="AM41" s="7">
        <v>12.9</v>
      </c>
      <c r="AN41" s="4" t="s">
        <v>124</v>
      </c>
      <c r="AO41" s="4" t="s">
        <v>124</v>
      </c>
      <c r="AP41" s="4" t="s">
        <v>124</v>
      </c>
      <c r="AQ41" s="4" t="s">
        <v>124</v>
      </c>
      <c r="AR41" s="4" t="s">
        <v>124</v>
      </c>
      <c r="AS41" s="4" t="s">
        <v>124</v>
      </c>
      <c r="AT41" s="4" t="s">
        <v>124</v>
      </c>
      <c r="AU41" s="4" t="s">
        <v>124</v>
      </c>
      <c r="AV41" s="4" t="s">
        <v>124</v>
      </c>
      <c r="AW41" s="4" t="s">
        <v>124</v>
      </c>
      <c r="AX41" s="4" t="s">
        <v>124</v>
      </c>
      <c r="AY41" s="4" t="s">
        <v>124</v>
      </c>
      <c r="AZ41" s="4" t="s">
        <v>124</v>
      </c>
      <c r="BA41" s="4" t="s">
        <v>124</v>
      </c>
      <c r="BB41" s="4" t="s">
        <v>124</v>
      </c>
      <c r="BC41" s="4" t="s">
        <v>124</v>
      </c>
      <c r="BD41" s="4" t="s">
        <v>124</v>
      </c>
      <c r="BE41" s="4" t="s">
        <v>124</v>
      </c>
      <c r="BF41" s="4" t="s">
        <v>124</v>
      </c>
      <c r="BG41" s="4" t="s">
        <v>124</v>
      </c>
      <c r="BH41" s="7">
        <v>1</v>
      </c>
      <c r="BI41" s="7">
        <v>0.98581600000000003</v>
      </c>
      <c r="BJ41" s="7">
        <v>0.92857100000000004</v>
      </c>
      <c r="BK41" s="7">
        <v>0.99212599999999995</v>
      </c>
      <c r="BL41" s="7">
        <v>0.98581600000000003</v>
      </c>
      <c r="BM41" s="7">
        <v>0.92857100000000004</v>
      </c>
      <c r="BN41" s="7">
        <v>0.99212599999999995</v>
      </c>
      <c r="BO41" s="7">
        <v>0.98239399999999999</v>
      </c>
      <c r="BP41" s="7">
        <v>0.92857100000000004</v>
      </c>
      <c r="BQ41" s="7">
        <v>0.98828099999999997</v>
      </c>
      <c r="BR41" s="7">
        <v>0.103321</v>
      </c>
      <c r="BS41" s="7">
        <v>39.335793000000002</v>
      </c>
      <c r="BT41" s="7">
        <v>50</v>
      </c>
      <c r="BU41" s="7">
        <v>0.19230800000000001</v>
      </c>
      <c r="BV41" s="7">
        <v>21.538461999999999</v>
      </c>
      <c r="BW41" s="7">
        <v>50</v>
      </c>
      <c r="BX41" s="7">
        <v>0.69217700000000004</v>
      </c>
      <c r="BY41" s="7">
        <v>46.145125</v>
      </c>
      <c r="BZ41" s="7">
        <v>50</v>
      </c>
      <c r="CA41" s="7">
        <v>0.56122399999999995</v>
      </c>
      <c r="CB41" s="7">
        <v>37.414966</v>
      </c>
      <c r="CC41" s="7">
        <v>50</v>
      </c>
      <c r="CD41" s="7">
        <v>0.97435899999999998</v>
      </c>
      <c r="CE41" s="7">
        <v>50</v>
      </c>
      <c r="CF41" s="7">
        <v>50</v>
      </c>
      <c r="CG41" s="7">
        <v>0.98814199999999996</v>
      </c>
      <c r="CH41" s="7">
        <v>100</v>
      </c>
      <c r="CI41" s="7">
        <v>100</v>
      </c>
      <c r="CJ41" s="7">
        <v>0</v>
      </c>
      <c r="CK41" s="7">
        <v>0.94285699999999995</v>
      </c>
      <c r="CL41" s="7">
        <v>100</v>
      </c>
      <c r="CM41" s="7">
        <v>100</v>
      </c>
      <c r="CN41" s="7">
        <v>0.74299999999999999</v>
      </c>
      <c r="CO41" s="7">
        <v>99.092088000000004</v>
      </c>
      <c r="CP41" s="7">
        <v>100</v>
      </c>
      <c r="CQ41" s="7">
        <v>0.91627899999999995</v>
      </c>
      <c r="CR41" s="7">
        <v>0.82061099999999998</v>
      </c>
      <c r="CS41" s="7">
        <v>25</v>
      </c>
      <c r="CT41" s="7">
        <v>50</v>
      </c>
      <c r="CU41" s="7">
        <v>0.55442800000000003</v>
      </c>
      <c r="CV41" s="7">
        <v>46.202337</v>
      </c>
      <c r="CW41" s="7">
        <v>50</v>
      </c>
      <c r="CX41" s="7">
        <v>0.94285699999999995</v>
      </c>
      <c r="CY41" s="7">
        <v>0.94</v>
      </c>
      <c r="CZ41" s="7">
        <v>-2.8570000000000002E-3</v>
      </c>
      <c r="DA41" s="7">
        <v>15.389535</v>
      </c>
      <c r="DB41" s="7">
        <v>17.608319000000002</v>
      </c>
      <c r="DC41" s="7">
        <v>16.064022999999999</v>
      </c>
      <c r="DD41" s="7">
        <v>11.115401</v>
      </c>
      <c r="DE41" s="4" t="s">
        <v>124</v>
      </c>
      <c r="DF41" s="6"/>
      <c r="DG41" s="6"/>
      <c r="DH41" s="6"/>
      <c r="DI41" s="6"/>
      <c r="DJ41" s="4" t="s">
        <v>124</v>
      </c>
      <c r="DK41" s="4" t="s">
        <v>124</v>
      </c>
      <c r="DL41" s="4" t="s">
        <v>124</v>
      </c>
      <c r="DM41" s="4" t="s">
        <v>124</v>
      </c>
      <c r="DN41" s="4" t="s">
        <v>124</v>
      </c>
      <c r="DO41" s="4" t="s">
        <v>124</v>
      </c>
      <c r="DP41" s="6"/>
      <c r="DQ41" s="4" t="s">
        <v>125</v>
      </c>
    </row>
    <row r="42" spans="1:121" ht="20" customHeight="1" x14ac:dyDescent="0.15">
      <c r="A42" s="5">
        <v>2018</v>
      </c>
      <c r="B42" s="3" t="s">
        <v>165</v>
      </c>
      <c r="C42" s="4" t="str">
        <f t="shared" ref="C42:C639" si="40">"0890011"</f>
        <v>0890011</v>
      </c>
      <c r="D42" s="4" t="s">
        <v>122</v>
      </c>
      <c r="E42" s="4" t="str">
        <f t="shared" si="1"/>
        <v>0000000</v>
      </c>
      <c r="F42" s="4" t="s">
        <v>122</v>
      </c>
      <c r="G42" s="4" t="s">
        <v>122</v>
      </c>
      <c r="H42" s="4" t="s">
        <v>122</v>
      </c>
      <c r="I42" s="6"/>
      <c r="J42" s="4" t="s">
        <v>123</v>
      </c>
      <c r="K42" s="7">
        <v>805.33908799999995</v>
      </c>
      <c r="L42" s="7">
        <v>1450</v>
      </c>
      <c r="M42" s="7">
        <v>55.540627000000001</v>
      </c>
      <c r="N42" s="4" t="s">
        <v>124</v>
      </c>
      <c r="O42" s="7">
        <v>0</v>
      </c>
      <c r="P42" s="7">
        <v>50.623097000000001</v>
      </c>
      <c r="Q42" s="7">
        <v>33.748731999999997</v>
      </c>
      <c r="R42" s="7">
        <v>50</v>
      </c>
      <c r="S42" s="7">
        <v>49.111075999999997</v>
      </c>
      <c r="T42" s="7">
        <v>63.767442000000003</v>
      </c>
      <c r="U42" s="7">
        <v>32.740716999999997</v>
      </c>
      <c r="V42" s="7">
        <v>50</v>
      </c>
      <c r="W42" s="7">
        <v>42.790897000000001</v>
      </c>
      <c r="X42" s="7">
        <v>28.527265</v>
      </c>
      <c r="Y42" s="7">
        <v>50</v>
      </c>
      <c r="Z42" s="7">
        <v>55.722510999999997</v>
      </c>
      <c r="AA42" s="7">
        <v>41.296377999999997</v>
      </c>
      <c r="AB42" s="7">
        <v>27.530919000000001</v>
      </c>
      <c r="AC42" s="7">
        <v>50</v>
      </c>
      <c r="AD42" s="7">
        <v>47.734366999999999</v>
      </c>
      <c r="AE42" s="7">
        <v>31.822911999999999</v>
      </c>
      <c r="AF42" s="7">
        <v>50</v>
      </c>
      <c r="AG42" s="7">
        <v>46.350095000000003</v>
      </c>
      <c r="AH42" s="7">
        <v>58.941653000000002</v>
      </c>
      <c r="AI42" s="7">
        <v>30.900062999999999</v>
      </c>
      <c r="AJ42" s="7">
        <v>50</v>
      </c>
      <c r="AK42" s="7">
        <v>14.65</v>
      </c>
      <c r="AL42" s="7">
        <v>14.42</v>
      </c>
      <c r="AM42" s="7">
        <v>12.59</v>
      </c>
      <c r="AN42" s="7">
        <v>0.48819099999999999</v>
      </c>
      <c r="AO42" s="7">
        <v>48.819057999999998</v>
      </c>
      <c r="AP42" s="7">
        <v>100</v>
      </c>
      <c r="AQ42" s="7">
        <v>0.44247999999999998</v>
      </c>
      <c r="AR42" s="7">
        <v>44.247995000000003</v>
      </c>
      <c r="AS42" s="7">
        <v>100</v>
      </c>
      <c r="AT42" s="7">
        <v>0.48298600000000003</v>
      </c>
      <c r="AU42" s="7">
        <v>0.537327</v>
      </c>
      <c r="AV42" s="7">
        <v>48.298625000000001</v>
      </c>
      <c r="AW42" s="7">
        <v>100</v>
      </c>
      <c r="AX42" s="7">
        <v>0.43646499999999999</v>
      </c>
      <c r="AY42" s="7">
        <v>0.49871199999999999</v>
      </c>
      <c r="AZ42" s="7">
        <v>43.646475000000002</v>
      </c>
      <c r="BA42" s="7">
        <v>100</v>
      </c>
      <c r="BB42" s="7">
        <v>0.50757399999999997</v>
      </c>
      <c r="BC42" s="7">
        <v>25.378684</v>
      </c>
      <c r="BD42" s="7">
        <v>50</v>
      </c>
      <c r="BE42" s="7">
        <v>0.46994900000000001</v>
      </c>
      <c r="BF42" s="7">
        <v>23.49746</v>
      </c>
      <c r="BG42" s="7">
        <v>50</v>
      </c>
      <c r="BH42" s="7">
        <v>0</v>
      </c>
      <c r="BI42" s="7">
        <v>0.98170599999999997</v>
      </c>
      <c r="BJ42" s="7">
        <v>0.98128899999999997</v>
      </c>
      <c r="BK42" s="7">
        <v>0.985375</v>
      </c>
      <c r="BL42" s="7">
        <v>0.97499100000000005</v>
      </c>
      <c r="BM42" s="7">
        <v>0.97402299999999997</v>
      </c>
      <c r="BN42" s="7">
        <v>0.98351599999999995</v>
      </c>
      <c r="BO42" s="7">
        <v>0.96860100000000005</v>
      </c>
      <c r="BP42" s="7">
        <v>0.96540700000000002</v>
      </c>
      <c r="BQ42" s="7">
        <v>0.99551599999999996</v>
      </c>
      <c r="BR42" s="7">
        <v>0.241618</v>
      </c>
      <c r="BS42" s="7">
        <v>11.676325</v>
      </c>
      <c r="BT42" s="7">
        <v>50</v>
      </c>
      <c r="BU42" s="7">
        <v>0.26056000000000001</v>
      </c>
      <c r="BV42" s="7">
        <v>7.8879809999999999</v>
      </c>
      <c r="BW42" s="7">
        <v>50</v>
      </c>
      <c r="BX42" s="7">
        <v>0.67332800000000004</v>
      </c>
      <c r="BY42" s="7">
        <v>44.888503</v>
      </c>
      <c r="BZ42" s="7">
        <v>50</v>
      </c>
      <c r="CA42" s="7">
        <v>0.112945</v>
      </c>
      <c r="CB42" s="7">
        <v>7.5296839999999996</v>
      </c>
      <c r="CC42" s="7">
        <v>50</v>
      </c>
      <c r="CD42" s="7">
        <v>0.63890800000000003</v>
      </c>
      <c r="CE42" s="7">
        <v>33.984485999999997</v>
      </c>
      <c r="CF42" s="7">
        <v>50</v>
      </c>
      <c r="CG42" s="7">
        <v>0.73205699999999996</v>
      </c>
      <c r="CH42" s="7">
        <v>77.878449000000003</v>
      </c>
      <c r="CI42" s="7">
        <v>100</v>
      </c>
      <c r="CJ42" s="7">
        <v>1</v>
      </c>
      <c r="CK42" s="7">
        <v>0.77288699999999999</v>
      </c>
      <c r="CL42" s="7">
        <v>82.222055999999995</v>
      </c>
      <c r="CM42" s="7">
        <v>100</v>
      </c>
      <c r="CN42" s="7">
        <v>0.47599999999999998</v>
      </c>
      <c r="CO42" s="7">
        <v>63.467689999999997</v>
      </c>
      <c r="CP42" s="7">
        <v>100</v>
      </c>
      <c r="CQ42" s="7">
        <v>0.39608199999999999</v>
      </c>
      <c r="CR42" s="7">
        <v>0.80493700000000001</v>
      </c>
      <c r="CS42" s="7">
        <v>13.202726</v>
      </c>
      <c r="CT42" s="7">
        <v>50</v>
      </c>
      <c r="CU42" s="7">
        <v>0.52130699999999996</v>
      </c>
      <c r="CV42" s="7">
        <v>43.442284000000001</v>
      </c>
      <c r="CW42" s="7">
        <v>50</v>
      </c>
      <c r="CX42" s="7">
        <v>0.77288699999999999</v>
      </c>
      <c r="CY42" s="7">
        <v>0.94</v>
      </c>
      <c r="CZ42" s="7">
        <v>0.16711300000000001</v>
      </c>
      <c r="DA42" s="7">
        <v>15.389535</v>
      </c>
      <c r="DB42" s="7">
        <v>17.608319000000002</v>
      </c>
      <c r="DC42" s="7">
        <v>16.064022999999999</v>
      </c>
      <c r="DD42" s="7">
        <v>11.115401</v>
      </c>
      <c r="DE42" s="4" t="s">
        <v>124</v>
      </c>
      <c r="DF42" s="6"/>
      <c r="DG42" s="6"/>
      <c r="DH42" s="6"/>
      <c r="DI42" s="6"/>
      <c r="DJ42" s="4" t="s">
        <v>124</v>
      </c>
      <c r="DK42" s="4" t="s">
        <v>124</v>
      </c>
      <c r="DL42" s="4" t="s">
        <v>124</v>
      </c>
      <c r="DM42" s="4" t="s">
        <v>124</v>
      </c>
      <c r="DN42" s="4" t="s">
        <v>124</v>
      </c>
      <c r="DO42" s="4" t="s">
        <v>124</v>
      </c>
      <c r="DP42" s="6"/>
      <c r="DQ42" s="4" t="s">
        <v>125</v>
      </c>
    </row>
    <row r="43" spans="1:121" ht="20" customHeight="1" x14ac:dyDescent="0.15">
      <c r="A43" s="5">
        <v>2018</v>
      </c>
      <c r="B43" s="3" t="s">
        <v>166</v>
      </c>
      <c r="C43" s="4" t="str">
        <f t="shared" ref="C43:C634" si="41">"0880011"</f>
        <v>0880011</v>
      </c>
      <c r="D43" s="4" t="s">
        <v>122</v>
      </c>
      <c r="E43" s="4" t="str">
        <f t="shared" si="1"/>
        <v>0000000</v>
      </c>
      <c r="F43" s="4" t="s">
        <v>122</v>
      </c>
      <c r="G43" s="4" t="s">
        <v>122</v>
      </c>
      <c r="H43" s="4" t="s">
        <v>122</v>
      </c>
      <c r="I43" s="6"/>
      <c r="J43" s="4" t="s">
        <v>123</v>
      </c>
      <c r="K43" s="7">
        <v>1034.133032</v>
      </c>
      <c r="L43" s="7">
        <v>1450</v>
      </c>
      <c r="M43" s="7">
        <v>71.319519</v>
      </c>
      <c r="N43" s="4" t="s">
        <v>124</v>
      </c>
      <c r="O43" s="7">
        <v>0</v>
      </c>
      <c r="P43" s="7">
        <v>66.130863000000005</v>
      </c>
      <c r="Q43" s="7">
        <v>44.087242000000003</v>
      </c>
      <c r="R43" s="7">
        <v>50</v>
      </c>
      <c r="S43" s="7">
        <v>60.917025000000002</v>
      </c>
      <c r="T43" s="7">
        <v>74.807766999999998</v>
      </c>
      <c r="U43" s="7">
        <v>40.611350000000002</v>
      </c>
      <c r="V43" s="7">
        <v>50</v>
      </c>
      <c r="W43" s="7">
        <v>61.925248000000003</v>
      </c>
      <c r="X43" s="7">
        <v>41.283498999999999</v>
      </c>
      <c r="Y43" s="7">
        <v>50</v>
      </c>
      <c r="Z43" s="7">
        <v>71.771186999999998</v>
      </c>
      <c r="AA43" s="7">
        <v>55.997293999999997</v>
      </c>
      <c r="AB43" s="7">
        <v>37.331529000000003</v>
      </c>
      <c r="AC43" s="7">
        <v>50</v>
      </c>
      <c r="AD43" s="7">
        <v>57.946959999999997</v>
      </c>
      <c r="AE43" s="7">
        <v>38.631307</v>
      </c>
      <c r="AF43" s="7">
        <v>50</v>
      </c>
      <c r="AG43" s="7">
        <v>52.988424000000002</v>
      </c>
      <c r="AH43" s="7">
        <v>65.811749000000006</v>
      </c>
      <c r="AI43" s="7">
        <v>35.325615999999997</v>
      </c>
      <c r="AJ43" s="7">
        <v>50</v>
      </c>
      <c r="AK43" s="7">
        <v>13.89</v>
      </c>
      <c r="AL43" s="7">
        <v>15.77</v>
      </c>
      <c r="AM43" s="7">
        <v>12.82</v>
      </c>
      <c r="AN43" s="7">
        <v>0.62492999999999999</v>
      </c>
      <c r="AO43" s="7">
        <v>62.493029999999997</v>
      </c>
      <c r="AP43" s="7">
        <v>100</v>
      </c>
      <c r="AQ43" s="7">
        <v>0.55724899999999999</v>
      </c>
      <c r="AR43" s="7">
        <v>55.724936</v>
      </c>
      <c r="AS43" s="7">
        <v>100</v>
      </c>
      <c r="AT43" s="7">
        <v>0.60104299999999999</v>
      </c>
      <c r="AU43" s="7">
        <v>0.66346300000000002</v>
      </c>
      <c r="AV43" s="7">
        <v>60.104349999999997</v>
      </c>
      <c r="AW43" s="7">
        <v>100</v>
      </c>
      <c r="AX43" s="7">
        <v>0.513378</v>
      </c>
      <c r="AY43" s="7">
        <v>0.62766999999999995</v>
      </c>
      <c r="AZ43" s="7">
        <v>51.337828000000002</v>
      </c>
      <c r="BA43" s="7">
        <v>100</v>
      </c>
      <c r="BB43" s="7">
        <v>0.65246000000000004</v>
      </c>
      <c r="BC43" s="7">
        <v>32.622988999999997</v>
      </c>
      <c r="BD43" s="7">
        <v>50</v>
      </c>
      <c r="BE43" s="7">
        <v>0.605792</v>
      </c>
      <c r="BF43" s="7">
        <v>30.28961</v>
      </c>
      <c r="BG43" s="7">
        <v>50</v>
      </c>
      <c r="BH43" s="7">
        <v>0</v>
      </c>
      <c r="BI43" s="7">
        <v>0.98701300000000003</v>
      </c>
      <c r="BJ43" s="7">
        <v>0.98164499999999999</v>
      </c>
      <c r="BK43" s="7">
        <v>0.99642399999999998</v>
      </c>
      <c r="BL43" s="7">
        <v>0.98702400000000001</v>
      </c>
      <c r="BM43" s="7">
        <v>0.98099099999999995</v>
      </c>
      <c r="BN43" s="7">
        <v>0.99761599999999995</v>
      </c>
      <c r="BO43" s="7">
        <v>0.98871799999999999</v>
      </c>
      <c r="BP43" s="7">
        <v>0.98349799999999998</v>
      </c>
      <c r="BQ43" s="7">
        <v>0.99729000000000001</v>
      </c>
      <c r="BR43" s="7">
        <v>0.144869</v>
      </c>
      <c r="BS43" s="7">
        <v>31.026253000000001</v>
      </c>
      <c r="BT43" s="7">
        <v>50</v>
      </c>
      <c r="BU43" s="7">
        <v>0.18951299999999999</v>
      </c>
      <c r="BV43" s="7">
        <v>22.097377999999999</v>
      </c>
      <c r="BW43" s="7">
        <v>50</v>
      </c>
      <c r="BX43" s="7">
        <v>0.69711500000000004</v>
      </c>
      <c r="BY43" s="7">
        <v>46.474359</v>
      </c>
      <c r="BZ43" s="7">
        <v>50</v>
      </c>
      <c r="CA43" s="7">
        <v>0.24679499999999999</v>
      </c>
      <c r="CB43" s="7">
        <v>16.452991000000001</v>
      </c>
      <c r="CC43" s="7">
        <v>50</v>
      </c>
      <c r="CD43" s="7">
        <v>0.83974400000000005</v>
      </c>
      <c r="CE43" s="7">
        <v>44.667211999999999</v>
      </c>
      <c r="CF43" s="7">
        <v>50</v>
      </c>
      <c r="CG43" s="7">
        <v>0.86075900000000005</v>
      </c>
      <c r="CH43" s="7">
        <v>91.570159000000004</v>
      </c>
      <c r="CI43" s="7">
        <v>100</v>
      </c>
      <c r="CJ43" s="7">
        <v>0</v>
      </c>
      <c r="CK43" s="7">
        <v>0.85051500000000002</v>
      </c>
      <c r="CL43" s="7">
        <v>90.480368999999996</v>
      </c>
      <c r="CM43" s="7">
        <v>100</v>
      </c>
      <c r="CN43" s="7">
        <v>0.64400000000000002</v>
      </c>
      <c r="CO43" s="7">
        <v>85.915492999999998</v>
      </c>
      <c r="CP43" s="7">
        <v>100</v>
      </c>
      <c r="CQ43" s="7">
        <v>0.55983899999999998</v>
      </c>
      <c r="CR43" s="7">
        <v>0.93608999999999998</v>
      </c>
      <c r="CS43" s="7">
        <v>37.322623999999998</v>
      </c>
      <c r="CT43" s="7">
        <v>50</v>
      </c>
      <c r="CU43" s="7">
        <v>0.459395</v>
      </c>
      <c r="CV43" s="7">
        <v>38.282908999999997</v>
      </c>
      <c r="CW43" s="7">
        <v>50</v>
      </c>
      <c r="CX43" s="7">
        <v>0.85051500000000002</v>
      </c>
      <c r="CY43" s="7">
        <v>0.94</v>
      </c>
      <c r="CZ43" s="7">
        <v>8.9484999999999995E-2</v>
      </c>
      <c r="DA43" s="7">
        <v>15.389535</v>
      </c>
      <c r="DB43" s="7">
        <v>17.608319000000002</v>
      </c>
      <c r="DC43" s="7">
        <v>16.064022999999999</v>
      </c>
      <c r="DD43" s="7">
        <v>11.115401</v>
      </c>
      <c r="DE43" s="4" t="s">
        <v>124</v>
      </c>
      <c r="DF43" s="6"/>
      <c r="DG43" s="6"/>
      <c r="DH43" s="6"/>
      <c r="DI43" s="6"/>
      <c r="DJ43" s="4" t="s">
        <v>124</v>
      </c>
      <c r="DK43" s="4" t="s">
        <v>124</v>
      </c>
      <c r="DL43" s="4" t="s">
        <v>124</v>
      </c>
      <c r="DM43" s="4" t="s">
        <v>124</v>
      </c>
      <c r="DN43" s="4" t="s">
        <v>124</v>
      </c>
      <c r="DO43" s="4" t="s">
        <v>124</v>
      </c>
      <c r="DP43" s="6"/>
      <c r="DQ43" s="4" t="s">
        <v>125</v>
      </c>
    </row>
    <row r="44" spans="1:121" ht="20" customHeight="1" x14ac:dyDescent="0.15">
      <c r="A44" s="5">
        <v>2018</v>
      </c>
      <c r="B44" s="3" t="s">
        <v>167</v>
      </c>
      <c r="C44" s="4" t="str">
        <f t="shared" ref="C44:C224" si="42">"0090011"</f>
        <v>0090011</v>
      </c>
      <c r="D44" s="4" t="s">
        <v>122</v>
      </c>
      <c r="E44" s="4" t="str">
        <f t="shared" si="1"/>
        <v>0000000</v>
      </c>
      <c r="F44" s="4" t="s">
        <v>122</v>
      </c>
      <c r="G44" s="4" t="s">
        <v>122</v>
      </c>
      <c r="H44" s="4" t="s">
        <v>122</v>
      </c>
      <c r="I44" s="6"/>
      <c r="J44" s="4" t="s">
        <v>123</v>
      </c>
      <c r="K44" s="7">
        <v>1188.0877840000001</v>
      </c>
      <c r="L44" s="7">
        <v>1450</v>
      </c>
      <c r="M44" s="7">
        <v>81.937089</v>
      </c>
      <c r="N44" s="4" t="s">
        <v>124</v>
      </c>
      <c r="O44" s="7">
        <v>0</v>
      </c>
      <c r="P44" s="7">
        <v>73.126822000000004</v>
      </c>
      <c r="Q44" s="7">
        <v>48.751213999999997</v>
      </c>
      <c r="R44" s="7">
        <v>50</v>
      </c>
      <c r="S44" s="7">
        <v>63.306550999999999</v>
      </c>
      <c r="T44" s="7">
        <v>75</v>
      </c>
      <c r="U44" s="7">
        <v>42.204366999999998</v>
      </c>
      <c r="V44" s="7">
        <v>50</v>
      </c>
      <c r="W44" s="7">
        <v>69.133686999999995</v>
      </c>
      <c r="X44" s="7">
        <v>46.089123999999998</v>
      </c>
      <c r="Y44" s="7">
        <v>50</v>
      </c>
      <c r="Z44" s="7">
        <v>75</v>
      </c>
      <c r="AA44" s="7">
        <v>59.378435000000003</v>
      </c>
      <c r="AB44" s="7">
        <v>39.585624000000003</v>
      </c>
      <c r="AC44" s="7">
        <v>50</v>
      </c>
      <c r="AD44" s="7">
        <v>71.599869999999996</v>
      </c>
      <c r="AE44" s="7">
        <v>47.733246999999999</v>
      </c>
      <c r="AF44" s="7">
        <v>50</v>
      </c>
      <c r="AG44" s="7">
        <v>61.209674</v>
      </c>
      <c r="AH44" s="7">
        <v>75</v>
      </c>
      <c r="AI44" s="7">
        <v>40.806449000000001</v>
      </c>
      <c r="AJ44" s="7">
        <v>50</v>
      </c>
      <c r="AK44" s="7">
        <v>11.69</v>
      </c>
      <c r="AL44" s="7">
        <v>15.62</v>
      </c>
      <c r="AM44" s="7">
        <v>13.79</v>
      </c>
      <c r="AN44" s="7">
        <v>0.62062600000000001</v>
      </c>
      <c r="AO44" s="7">
        <v>62.062620000000003</v>
      </c>
      <c r="AP44" s="7">
        <v>100</v>
      </c>
      <c r="AQ44" s="7">
        <v>0.64898299999999998</v>
      </c>
      <c r="AR44" s="7">
        <v>64.898291</v>
      </c>
      <c r="AS44" s="7">
        <v>100</v>
      </c>
      <c r="AT44" s="7">
        <v>0.56372599999999995</v>
      </c>
      <c r="AU44" s="7">
        <v>0.65412899999999996</v>
      </c>
      <c r="AV44" s="7">
        <v>56.372635000000002</v>
      </c>
      <c r="AW44" s="7">
        <v>100</v>
      </c>
      <c r="AX44" s="7">
        <v>0.57506500000000005</v>
      </c>
      <c r="AY44" s="7">
        <v>0.69223900000000005</v>
      </c>
      <c r="AZ44" s="7">
        <v>57.506525000000003</v>
      </c>
      <c r="BA44" s="7">
        <v>100</v>
      </c>
      <c r="BB44" s="7">
        <v>0.727545</v>
      </c>
      <c r="BC44" s="7">
        <v>36.377254000000001</v>
      </c>
      <c r="BD44" s="7">
        <v>50</v>
      </c>
      <c r="BE44" s="7">
        <v>0.673902</v>
      </c>
      <c r="BF44" s="7">
        <v>33.695081000000002</v>
      </c>
      <c r="BG44" s="7">
        <v>50</v>
      </c>
      <c r="BH44" s="7">
        <v>0</v>
      </c>
      <c r="BI44" s="7">
        <v>0.99234800000000001</v>
      </c>
      <c r="BJ44" s="7">
        <v>0.98668599999999995</v>
      </c>
      <c r="BK44" s="7">
        <v>0.99609000000000003</v>
      </c>
      <c r="BL44" s="7">
        <v>0.99058299999999999</v>
      </c>
      <c r="BM44" s="7">
        <v>0.98370400000000002</v>
      </c>
      <c r="BN44" s="7">
        <v>0.99511700000000003</v>
      </c>
      <c r="BO44" s="7">
        <v>0.99585100000000004</v>
      </c>
      <c r="BP44" s="7">
        <v>0.98951</v>
      </c>
      <c r="BQ44" s="7">
        <v>1</v>
      </c>
      <c r="BR44" s="7">
        <v>4.0890999999999997E-2</v>
      </c>
      <c r="BS44" s="7">
        <v>50</v>
      </c>
      <c r="BT44" s="7">
        <v>50</v>
      </c>
      <c r="BU44" s="7">
        <v>6.5461000000000005E-2</v>
      </c>
      <c r="BV44" s="7">
        <v>46.907837999999998</v>
      </c>
      <c r="BW44" s="7">
        <v>50</v>
      </c>
      <c r="BX44" s="7">
        <v>0.82911400000000002</v>
      </c>
      <c r="BY44" s="7">
        <v>50</v>
      </c>
      <c r="BZ44" s="7">
        <v>50</v>
      </c>
      <c r="CA44" s="7">
        <v>0.51898699999999998</v>
      </c>
      <c r="CB44" s="7">
        <v>34.599156000000001</v>
      </c>
      <c r="CC44" s="7">
        <v>50</v>
      </c>
      <c r="CD44" s="7">
        <v>0.94458399999999998</v>
      </c>
      <c r="CE44" s="7">
        <v>50</v>
      </c>
      <c r="CF44" s="7">
        <v>50</v>
      </c>
      <c r="CG44" s="7">
        <v>0.93103400000000003</v>
      </c>
      <c r="CH44" s="7">
        <v>99.046222</v>
      </c>
      <c r="CI44" s="7">
        <v>100</v>
      </c>
      <c r="CJ44" s="7">
        <v>0</v>
      </c>
      <c r="CK44" s="7">
        <v>0.97468399999999999</v>
      </c>
      <c r="CL44" s="7">
        <v>100</v>
      </c>
      <c r="CM44" s="7">
        <v>100</v>
      </c>
      <c r="CN44" s="7">
        <v>0.746</v>
      </c>
      <c r="CO44" s="7">
        <v>99.481864999999999</v>
      </c>
      <c r="CP44" s="7">
        <v>100</v>
      </c>
      <c r="CQ44" s="7">
        <v>0.53210000000000002</v>
      </c>
      <c r="CR44" s="7">
        <v>0.93679900000000005</v>
      </c>
      <c r="CS44" s="7">
        <v>35.473340999999998</v>
      </c>
      <c r="CT44" s="7">
        <v>50</v>
      </c>
      <c r="CU44" s="7">
        <v>0.55796299999999999</v>
      </c>
      <c r="CV44" s="7">
        <v>46.496929999999999</v>
      </c>
      <c r="CW44" s="7">
        <v>50</v>
      </c>
      <c r="CX44" s="7">
        <v>0.97468399999999999</v>
      </c>
      <c r="CY44" s="7">
        <v>0.94</v>
      </c>
      <c r="CZ44" s="7">
        <v>-3.4684E-2</v>
      </c>
      <c r="DA44" s="7">
        <v>15.389535</v>
      </c>
      <c r="DB44" s="7">
        <v>17.608319000000002</v>
      </c>
      <c r="DC44" s="7">
        <v>16.064022999999999</v>
      </c>
      <c r="DD44" s="7">
        <v>11.115401</v>
      </c>
      <c r="DE44" s="4" t="s">
        <v>124</v>
      </c>
      <c r="DF44" s="6"/>
      <c r="DG44" s="6"/>
      <c r="DH44" s="6"/>
      <c r="DI44" s="6"/>
      <c r="DJ44" s="4" t="s">
        <v>124</v>
      </c>
      <c r="DK44" s="4" t="s">
        <v>124</v>
      </c>
      <c r="DL44" s="4" t="s">
        <v>124</v>
      </c>
      <c r="DM44" s="4" t="s">
        <v>124</v>
      </c>
      <c r="DN44" s="4" t="s">
        <v>124</v>
      </c>
      <c r="DO44" s="4" t="s">
        <v>124</v>
      </c>
      <c r="DP44" s="6"/>
      <c r="DQ44" s="4" t="s">
        <v>125</v>
      </c>
    </row>
    <row r="45" spans="1:121" ht="20" customHeight="1" x14ac:dyDescent="0.15">
      <c r="A45" s="5">
        <v>2018</v>
      </c>
      <c r="B45" s="3" t="s">
        <v>168</v>
      </c>
      <c r="C45" s="4" t="str">
        <f t="shared" ref="C45:C579" si="43">"0780011"</f>
        <v>0780011</v>
      </c>
      <c r="D45" s="4" t="s">
        <v>122</v>
      </c>
      <c r="E45" s="4" t="str">
        <f t="shared" si="1"/>
        <v>0000000</v>
      </c>
      <c r="F45" s="4" t="s">
        <v>122</v>
      </c>
      <c r="G45" s="4" t="s">
        <v>122</v>
      </c>
      <c r="H45" s="4" t="s">
        <v>122</v>
      </c>
      <c r="I45" s="6"/>
      <c r="J45" s="4" t="s">
        <v>123</v>
      </c>
      <c r="K45" s="7">
        <v>812.34647600000005</v>
      </c>
      <c r="L45" s="7">
        <v>1000</v>
      </c>
      <c r="M45" s="7">
        <v>81.234648000000007</v>
      </c>
      <c r="N45" s="4" t="s">
        <v>124</v>
      </c>
      <c r="O45" s="7">
        <v>0</v>
      </c>
      <c r="P45" s="7">
        <v>80.072226000000001</v>
      </c>
      <c r="Q45" s="7">
        <v>50</v>
      </c>
      <c r="R45" s="7">
        <v>50</v>
      </c>
      <c r="S45" s="7">
        <v>70.207626000000005</v>
      </c>
      <c r="T45" s="7">
        <v>75</v>
      </c>
      <c r="U45" s="7">
        <v>46.805084000000001</v>
      </c>
      <c r="V45" s="7">
        <v>50</v>
      </c>
      <c r="W45" s="7">
        <v>77.192817000000005</v>
      </c>
      <c r="X45" s="7">
        <v>50</v>
      </c>
      <c r="Y45" s="7">
        <v>50</v>
      </c>
      <c r="Z45" s="7">
        <v>75</v>
      </c>
      <c r="AA45" s="7">
        <v>67.233804000000006</v>
      </c>
      <c r="AB45" s="7">
        <v>44.822535999999999</v>
      </c>
      <c r="AC45" s="7">
        <v>50</v>
      </c>
      <c r="AD45" s="7">
        <v>81.343192000000002</v>
      </c>
      <c r="AE45" s="7">
        <v>50</v>
      </c>
      <c r="AF45" s="7">
        <v>50</v>
      </c>
      <c r="AG45" s="7">
        <v>71.594122999999996</v>
      </c>
      <c r="AH45" s="7">
        <v>75</v>
      </c>
      <c r="AI45" s="7">
        <v>47.729415000000003</v>
      </c>
      <c r="AJ45" s="7">
        <v>50</v>
      </c>
      <c r="AK45" s="7">
        <v>4.79</v>
      </c>
      <c r="AL45" s="7">
        <v>7.76</v>
      </c>
      <c r="AM45" s="7">
        <v>3.4</v>
      </c>
      <c r="AN45" s="7">
        <v>0.68692200000000003</v>
      </c>
      <c r="AO45" s="7">
        <v>68.692243000000005</v>
      </c>
      <c r="AP45" s="7">
        <v>100</v>
      </c>
      <c r="AQ45" s="7">
        <v>0.76512800000000003</v>
      </c>
      <c r="AR45" s="7">
        <v>76.512765999999999</v>
      </c>
      <c r="AS45" s="7">
        <v>100</v>
      </c>
      <c r="AT45" s="7">
        <v>0.61939</v>
      </c>
      <c r="AU45" s="7">
        <v>0.72173900000000002</v>
      </c>
      <c r="AV45" s="7">
        <v>61.938966999999998</v>
      </c>
      <c r="AW45" s="7">
        <v>100</v>
      </c>
      <c r="AX45" s="7">
        <v>0.69402600000000003</v>
      </c>
      <c r="AY45" s="7">
        <v>0.80169400000000002</v>
      </c>
      <c r="AZ45" s="7">
        <v>69.402569</v>
      </c>
      <c r="BA45" s="7">
        <v>100</v>
      </c>
      <c r="BB45" s="7">
        <v>0.67523</v>
      </c>
      <c r="BC45" s="7">
        <v>33.761513000000001</v>
      </c>
      <c r="BD45" s="7">
        <v>50</v>
      </c>
      <c r="BE45" s="7">
        <v>0.60859600000000003</v>
      </c>
      <c r="BF45" s="7">
        <v>30.429817</v>
      </c>
      <c r="BG45" s="7">
        <v>50</v>
      </c>
      <c r="BH45" s="7">
        <v>1</v>
      </c>
      <c r="BI45" s="7">
        <v>0.95859499999999997</v>
      </c>
      <c r="BJ45" s="7">
        <v>0.97749200000000003</v>
      </c>
      <c r="BK45" s="7">
        <v>0.94650199999999995</v>
      </c>
      <c r="BL45" s="7">
        <v>0.95608499999999996</v>
      </c>
      <c r="BM45" s="7">
        <v>0.97427699999999995</v>
      </c>
      <c r="BN45" s="7">
        <v>0.94444399999999995</v>
      </c>
      <c r="BO45" s="7">
        <v>0.92968799999999996</v>
      </c>
      <c r="BP45" s="7">
        <v>0.94565200000000005</v>
      </c>
      <c r="BQ45" s="7">
        <v>0.92073199999999999</v>
      </c>
      <c r="BR45" s="7">
        <v>4.0552999999999999E-2</v>
      </c>
      <c r="BS45" s="7">
        <v>50</v>
      </c>
      <c r="BT45" s="7">
        <v>50</v>
      </c>
      <c r="BU45" s="7">
        <v>6.2052999999999997E-2</v>
      </c>
      <c r="BV45" s="7">
        <v>47.589499000000004</v>
      </c>
      <c r="BW45" s="7">
        <v>50</v>
      </c>
      <c r="BX45" s="4" t="s">
        <v>124</v>
      </c>
      <c r="BY45" s="4" t="s">
        <v>124</v>
      </c>
      <c r="BZ45" s="4" t="s">
        <v>124</v>
      </c>
      <c r="CA45" s="4" t="s">
        <v>124</v>
      </c>
      <c r="CB45" s="4" t="s">
        <v>124</v>
      </c>
      <c r="CC45" s="4" t="s">
        <v>124</v>
      </c>
      <c r="CD45" s="7">
        <v>0.92792799999999998</v>
      </c>
      <c r="CE45" s="7">
        <v>49.357869000000001</v>
      </c>
      <c r="CF45" s="7">
        <v>50</v>
      </c>
      <c r="CG45" s="4" t="s">
        <v>124</v>
      </c>
      <c r="CH45" s="4" t="s">
        <v>124</v>
      </c>
      <c r="CI45" s="4" t="s">
        <v>124</v>
      </c>
      <c r="CJ45" s="4" t="s">
        <v>124</v>
      </c>
      <c r="CK45" s="4" t="s">
        <v>124</v>
      </c>
      <c r="CL45" s="4" t="s">
        <v>124</v>
      </c>
      <c r="CM45" s="4" t="s">
        <v>124</v>
      </c>
      <c r="CN45" s="4" t="s">
        <v>124</v>
      </c>
      <c r="CO45" s="4" t="s">
        <v>124</v>
      </c>
      <c r="CP45" s="4" t="s">
        <v>124</v>
      </c>
      <c r="CQ45" s="7">
        <v>0.52956300000000001</v>
      </c>
      <c r="CR45" s="7">
        <v>0.95343100000000003</v>
      </c>
      <c r="CS45" s="7">
        <v>35.304198999999997</v>
      </c>
      <c r="CT45" s="7">
        <v>50</v>
      </c>
      <c r="CU45" s="4" t="s">
        <v>124</v>
      </c>
      <c r="CV45" s="4" t="s">
        <v>124</v>
      </c>
      <c r="CW45" s="4" t="s">
        <v>124</v>
      </c>
      <c r="CX45" s="4" t="s">
        <v>124</v>
      </c>
      <c r="CY45" s="4" t="s">
        <v>124</v>
      </c>
      <c r="CZ45" s="4" t="s">
        <v>124</v>
      </c>
      <c r="DA45" s="7">
        <v>15.389535</v>
      </c>
      <c r="DB45" s="7">
        <v>17.608319000000002</v>
      </c>
      <c r="DC45" s="7">
        <v>16.064022999999999</v>
      </c>
      <c r="DD45" s="4" t="s">
        <v>124</v>
      </c>
      <c r="DE45" s="4" t="s">
        <v>124</v>
      </c>
      <c r="DF45" s="6"/>
      <c r="DG45" s="6"/>
      <c r="DH45" s="6"/>
      <c r="DI45" s="6"/>
      <c r="DJ45" s="4" t="s">
        <v>124</v>
      </c>
      <c r="DK45" s="4" t="s">
        <v>124</v>
      </c>
      <c r="DL45" s="4" t="s">
        <v>124</v>
      </c>
      <c r="DM45" s="4" t="s">
        <v>124</v>
      </c>
      <c r="DN45" s="4" t="s">
        <v>124</v>
      </c>
      <c r="DO45" s="4" t="s">
        <v>124</v>
      </c>
      <c r="DP45" s="6"/>
      <c r="DQ45" s="4" t="s">
        <v>125</v>
      </c>
    </row>
    <row r="46" spans="1:121" ht="20" customHeight="1" x14ac:dyDescent="0.15">
      <c r="A46" s="5">
        <v>2018</v>
      </c>
      <c r="B46" s="3" t="s">
        <v>169</v>
      </c>
      <c r="C46" s="4" t="str">
        <f t="shared" ref="C46:C620" si="44">"0850011"</f>
        <v>0850011</v>
      </c>
      <c r="D46" s="4" t="s">
        <v>122</v>
      </c>
      <c r="E46" s="4" t="str">
        <f t="shared" si="1"/>
        <v>0000000</v>
      </c>
      <c r="F46" s="4" t="s">
        <v>122</v>
      </c>
      <c r="G46" s="4" t="s">
        <v>122</v>
      </c>
      <c r="H46" s="4" t="s">
        <v>122</v>
      </c>
      <c r="I46" s="6"/>
      <c r="J46" s="4" t="s">
        <v>123</v>
      </c>
      <c r="K46" s="7">
        <v>1139.3123880000001</v>
      </c>
      <c r="L46" s="7">
        <v>1350</v>
      </c>
      <c r="M46" s="7">
        <v>84.393510000000006</v>
      </c>
      <c r="N46" s="4" t="s">
        <v>124</v>
      </c>
      <c r="O46" s="7">
        <v>0</v>
      </c>
      <c r="P46" s="7">
        <v>80.795546999999999</v>
      </c>
      <c r="Q46" s="7">
        <v>50</v>
      </c>
      <c r="R46" s="7">
        <v>50</v>
      </c>
      <c r="S46" s="7">
        <v>69.858503999999996</v>
      </c>
      <c r="T46" s="7">
        <v>75</v>
      </c>
      <c r="U46" s="7">
        <v>46.572336</v>
      </c>
      <c r="V46" s="7">
        <v>50</v>
      </c>
      <c r="W46" s="7">
        <v>75.357781000000003</v>
      </c>
      <c r="X46" s="7">
        <v>50</v>
      </c>
      <c r="Y46" s="7">
        <v>50</v>
      </c>
      <c r="Z46" s="7">
        <v>75</v>
      </c>
      <c r="AA46" s="7">
        <v>62.789000999999999</v>
      </c>
      <c r="AB46" s="7">
        <v>41.859333999999997</v>
      </c>
      <c r="AC46" s="7">
        <v>50</v>
      </c>
      <c r="AD46" s="7">
        <v>74.513337000000007</v>
      </c>
      <c r="AE46" s="7">
        <v>49.675558000000002</v>
      </c>
      <c r="AF46" s="7">
        <v>50</v>
      </c>
      <c r="AG46" s="7">
        <v>64.518047999999993</v>
      </c>
      <c r="AH46" s="7">
        <v>75</v>
      </c>
      <c r="AI46" s="7">
        <v>43.012031999999998</v>
      </c>
      <c r="AJ46" s="7">
        <v>50</v>
      </c>
      <c r="AK46" s="7">
        <v>5.14</v>
      </c>
      <c r="AL46" s="7">
        <v>12.21</v>
      </c>
      <c r="AM46" s="7">
        <v>10.48</v>
      </c>
      <c r="AN46" s="7">
        <v>0.69795099999999999</v>
      </c>
      <c r="AO46" s="7">
        <v>69.795113999999998</v>
      </c>
      <c r="AP46" s="7">
        <v>100</v>
      </c>
      <c r="AQ46" s="7">
        <v>0.68554400000000004</v>
      </c>
      <c r="AR46" s="7">
        <v>68.554433000000003</v>
      </c>
      <c r="AS46" s="7">
        <v>100</v>
      </c>
      <c r="AT46" s="7">
        <v>0.61858000000000002</v>
      </c>
      <c r="AU46" s="7">
        <v>0.72398200000000001</v>
      </c>
      <c r="AV46" s="7">
        <v>61.857987000000001</v>
      </c>
      <c r="AW46" s="7">
        <v>100</v>
      </c>
      <c r="AX46" s="7">
        <v>0.58910399999999996</v>
      </c>
      <c r="AY46" s="7">
        <v>0.71702399999999999</v>
      </c>
      <c r="AZ46" s="7">
        <v>58.910409999999999</v>
      </c>
      <c r="BA46" s="7">
        <v>100</v>
      </c>
      <c r="BB46" s="4" t="s">
        <v>124</v>
      </c>
      <c r="BC46" s="4" t="s">
        <v>124</v>
      </c>
      <c r="BD46" s="4" t="s">
        <v>124</v>
      </c>
      <c r="BE46" s="4" t="s">
        <v>124</v>
      </c>
      <c r="BF46" s="4" t="s">
        <v>124</v>
      </c>
      <c r="BG46" s="4" t="s">
        <v>124</v>
      </c>
      <c r="BH46" s="7">
        <v>1</v>
      </c>
      <c r="BI46" s="7">
        <v>0.98332299999999995</v>
      </c>
      <c r="BJ46" s="7">
        <v>0.95754700000000004</v>
      </c>
      <c r="BK46" s="7">
        <v>0.99203200000000002</v>
      </c>
      <c r="BL46" s="7">
        <v>0.98152600000000001</v>
      </c>
      <c r="BM46" s="7">
        <v>0.95282999999999995</v>
      </c>
      <c r="BN46" s="7">
        <v>0.991228</v>
      </c>
      <c r="BO46" s="7">
        <v>0.97777800000000004</v>
      </c>
      <c r="BP46" s="7">
        <v>0.93333299999999997</v>
      </c>
      <c r="BQ46" s="7">
        <v>0.99259299999999995</v>
      </c>
      <c r="BR46" s="7">
        <v>3.3203000000000003E-2</v>
      </c>
      <c r="BS46" s="7">
        <v>50</v>
      </c>
      <c r="BT46" s="7">
        <v>50</v>
      </c>
      <c r="BU46" s="7">
        <v>7.2442999999999994E-2</v>
      </c>
      <c r="BV46" s="7">
        <v>45.511364</v>
      </c>
      <c r="BW46" s="7">
        <v>50</v>
      </c>
      <c r="BX46" s="7">
        <v>0.782609</v>
      </c>
      <c r="BY46" s="7">
        <v>50</v>
      </c>
      <c r="BZ46" s="7">
        <v>50</v>
      </c>
      <c r="CA46" s="7">
        <v>0.63768100000000005</v>
      </c>
      <c r="CB46" s="7">
        <v>42.512076999999998</v>
      </c>
      <c r="CC46" s="7">
        <v>50</v>
      </c>
      <c r="CD46" s="7">
        <v>0.98178500000000002</v>
      </c>
      <c r="CE46" s="7">
        <v>50</v>
      </c>
      <c r="CF46" s="7">
        <v>50</v>
      </c>
      <c r="CG46" s="7">
        <v>0.95113999999999999</v>
      </c>
      <c r="CH46" s="7">
        <v>100</v>
      </c>
      <c r="CI46" s="7">
        <v>100</v>
      </c>
      <c r="CJ46" s="7">
        <v>0</v>
      </c>
      <c r="CK46" s="7">
        <v>0.98214299999999999</v>
      </c>
      <c r="CL46" s="7">
        <v>100</v>
      </c>
      <c r="CM46" s="7">
        <v>100</v>
      </c>
      <c r="CN46" s="7">
        <v>0.86799999999999999</v>
      </c>
      <c r="CO46" s="7">
        <v>100</v>
      </c>
      <c r="CP46" s="7">
        <v>100</v>
      </c>
      <c r="CQ46" s="7">
        <v>0.53620100000000004</v>
      </c>
      <c r="CR46" s="7">
        <v>0.96948100000000004</v>
      </c>
      <c r="CS46" s="7">
        <v>35.746765000000003</v>
      </c>
      <c r="CT46" s="7">
        <v>50</v>
      </c>
      <c r="CU46" s="7">
        <v>0.30365999999999999</v>
      </c>
      <c r="CV46" s="7">
        <v>25.304978999999999</v>
      </c>
      <c r="CW46" s="7">
        <v>50</v>
      </c>
      <c r="CX46" s="7">
        <v>0.98214299999999999</v>
      </c>
      <c r="CY46" s="7">
        <v>0.94</v>
      </c>
      <c r="CZ46" s="7">
        <v>-4.2143E-2</v>
      </c>
      <c r="DA46" s="7">
        <v>15.389535</v>
      </c>
      <c r="DB46" s="7">
        <v>17.608319000000002</v>
      </c>
      <c r="DC46" s="7">
        <v>16.064022999999999</v>
      </c>
      <c r="DD46" s="7">
        <v>11.115401</v>
      </c>
      <c r="DE46" s="4" t="s">
        <v>124</v>
      </c>
      <c r="DF46" s="6"/>
      <c r="DG46" s="6"/>
      <c r="DH46" s="6"/>
      <c r="DI46" s="6"/>
      <c r="DJ46" s="4" t="s">
        <v>124</v>
      </c>
      <c r="DK46" s="4" t="s">
        <v>124</v>
      </c>
      <c r="DL46" s="4" t="s">
        <v>124</v>
      </c>
      <c r="DM46" s="4" t="s">
        <v>124</v>
      </c>
      <c r="DN46" s="4" t="s">
        <v>124</v>
      </c>
      <c r="DO46" s="4" t="s">
        <v>124</v>
      </c>
      <c r="DP46" s="6"/>
      <c r="DQ46" s="4" t="s">
        <v>125</v>
      </c>
    </row>
    <row r="47" spans="1:121" ht="20" customHeight="1" x14ac:dyDescent="0.15">
      <c r="A47" s="5">
        <v>2018</v>
      </c>
      <c r="B47" s="3" t="s">
        <v>170</v>
      </c>
      <c r="C47" s="4" t="str">
        <f t="shared" ref="C47:C347" si="45">"0350011"</f>
        <v>0350011</v>
      </c>
      <c r="D47" s="4" t="s">
        <v>122</v>
      </c>
      <c r="E47" s="4" t="str">
        <f t="shared" si="1"/>
        <v>0000000</v>
      </c>
      <c r="F47" s="4" t="s">
        <v>122</v>
      </c>
      <c r="G47" s="4" t="s">
        <v>122</v>
      </c>
      <c r="H47" s="4" t="s">
        <v>122</v>
      </c>
      <c r="I47" s="6"/>
      <c r="J47" s="4" t="s">
        <v>123</v>
      </c>
      <c r="K47" s="7">
        <v>1203.0287499999999</v>
      </c>
      <c r="L47" s="7">
        <v>1350</v>
      </c>
      <c r="M47" s="7">
        <v>89.113241000000002</v>
      </c>
      <c r="N47" s="4" t="s">
        <v>124</v>
      </c>
      <c r="O47" s="7">
        <v>0</v>
      </c>
      <c r="P47" s="7">
        <v>83.339967000000001</v>
      </c>
      <c r="Q47" s="7">
        <v>50</v>
      </c>
      <c r="R47" s="7">
        <v>50</v>
      </c>
      <c r="S47" s="7">
        <v>66.726999000000006</v>
      </c>
      <c r="T47" s="7">
        <v>75</v>
      </c>
      <c r="U47" s="7">
        <v>44.484665999999997</v>
      </c>
      <c r="V47" s="7">
        <v>50</v>
      </c>
      <c r="W47" s="7">
        <v>83.425734000000006</v>
      </c>
      <c r="X47" s="7">
        <v>50</v>
      </c>
      <c r="Y47" s="7">
        <v>50</v>
      </c>
      <c r="Z47" s="7">
        <v>75</v>
      </c>
      <c r="AA47" s="7">
        <v>66.133024000000006</v>
      </c>
      <c r="AB47" s="7">
        <v>44.088683000000003</v>
      </c>
      <c r="AC47" s="7">
        <v>50</v>
      </c>
      <c r="AD47" s="7">
        <v>78.404300000000006</v>
      </c>
      <c r="AE47" s="7">
        <v>50</v>
      </c>
      <c r="AF47" s="7">
        <v>50</v>
      </c>
      <c r="AG47" s="7">
        <v>59.513770999999998</v>
      </c>
      <c r="AH47" s="7">
        <v>75</v>
      </c>
      <c r="AI47" s="7">
        <v>39.675846999999997</v>
      </c>
      <c r="AJ47" s="7">
        <v>50</v>
      </c>
      <c r="AK47" s="7">
        <v>8.27</v>
      </c>
      <c r="AL47" s="7">
        <v>8.86</v>
      </c>
      <c r="AM47" s="7">
        <v>15.48</v>
      </c>
      <c r="AN47" s="7">
        <v>0.71864499999999998</v>
      </c>
      <c r="AO47" s="7">
        <v>71.864478000000005</v>
      </c>
      <c r="AP47" s="7">
        <v>100</v>
      </c>
      <c r="AQ47" s="7">
        <v>0.84666399999999997</v>
      </c>
      <c r="AR47" s="7">
        <v>84.666410999999997</v>
      </c>
      <c r="AS47" s="7">
        <v>100</v>
      </c>
      <c r="AT47" s="7">
        <v>0.60586399999999996</v>
      </c>
      <c r="AU47" s="7">
        <v>0.741309</v>
      </c>
      <c r="AV47" s="7">
        <v>60.586367000000003</v>
      </c>
      <c r="AW47" s="7">
        <v>100</v>
      </c>
      <c r="AX47" s="7">
        <v>0.73232699999999995</v>
      </c>
      <c r="AY47" s="7">
        <v>0.86946900000000005</v>
      </c>
      <c r="AZ47" s="7">
        <v>73.232744999999994</v>
      </c>
      <c r="BA47" s="7">
        <v>100</v>
      </c>
      <c r="BB47" s="4" t="s">
        <v>124</v>
      </c>
      <c r="BC47" s="4" t="s">
        <v>124</v>
      </c>
      <c r="BD47" s="4" t="s">
        <v>124</v>
      </c>
      <c r="BE47" s="4" t="s">
        <v>124</v>
      </c>
      <c r="BF47" s="4" t="s">
        <v>124</v>
      </c>
      <c r="BG47" s="4" t="s">
        <v>124</v>
      </c>
      <c r="BH47" s="7">
        <v>0</v>
      </c>
      <c r="BI47" s="7">
        <v>0.99108499999999999</v>
      </c>
      <c r="BJ47" s="7">
        <v>0.97494800000000004</v>
      </c>
      <c r="BK47" s="7">
        <v>0.99476399999999998</v>
      </c>
      <c r="BL47" s="7">
        <v>0.99031000000000002</v>
      </c>
      <c r="BM47" s="7">
        <v>0.96868500000000002</v>
      </c>
      <c r="BN47" s="7">
        <v>0.99524000000000001</v>
      </c>
      <c r="BO47" s="7">
        <v>0.98923799999999995</v>
      </c>
      <c r="BP47" s="7">
        <v>0.97129200000000004</v>
      </c>
      <c r="BQ47" s="7">
        <v>0.99337699999999995</v>
      </c>
      <c r="BR47" s="7">
        <v>3.075E-2</v>
      </c>
      <c r="BS47" s="7">
        <v>50</v>
      </c>
      <c r="BT47" s="7">
        <v>50</v>
      </c>
      <c r="BU47" s="7">
        <v>6.0741999999999997E-2</v>
      </c>
      <c r="BV47" s="7">
        <v>47.851519000000003</v>
      </c>
      <c r="BW47" s="7">
        <v>50</v>
      </c>
      <c r="BX47" s="7">
        <v>0.60337600000000002</v>
      </c>
      <c r="BY47" s="7">
        <v>40.225034999999998</v>
      </c>
      <c r="BZ47" s="7">
        <v>50</v>
      </c>
      <c r="CA47" s="7">
        <v>0.85513399999999995</v>
      </c>
      <c r="CB47" s="7">
        <v>50</v>
      </c>
      <c r="CC47" s="7">
        <v>50</v>
      </c>
      <c r="CD47" s="7">
        <v>0.98135799999999995</v>
      </c>
      <c r="CE47" s="7">
        <v>50</v>
      </c>
      <c r="CF47" s="7">
        <v>50</v>
      </c>
      <c r="CG47" s="7">
        <v>0.96511599999999997</v>
      </c>
      <c r="CH47" s="7">
        <v>100</v>
      </c>
      <c r="CI47" s="7">
        <v>100</v>
      </c>
      <c r="CJ47" s="7">
        <v>0</v>
      </c>
      <c r="CK47" s="7">
        <v>0.98275900000000005</v>
      </c>
      <c r="CL47" s="7">
        <v>100</v>
      </c>
      <c r="CM47" s="7">
        <v>100</v>
      </c>
      <c r="CN47" s="7">
        <v>0.89800000000000002</v>
      </c>
      <c r="CO47" s="7">
        <v>100</v>
      </c>
      <c r="CP47" s="7">
        <v>100</v>
      </c>
      <c r="CQ47" s="7">
        <v>0.695295</v>
      </c>
      <c r="CR47" s="7">
        <v>0.93180200000000002</v>
      </c>
      <c r="CS47" s="7">
        <v>46.353000000000002</v>
      </c>
      <c r="CT47" s="7">
        <v>50</v>
      </c>
      <c r="CU47" s="7">
        <v>0.61382700000000001</v>
      </c>
      <c r="CV47" s="7">
        <v>50</v>
      </c>
      <c r="CW47" s="7">
        <v>50</v>
      </c>
      <c r="CX47" s="7">
        <v>0.98275900000000005</v>
      </c>
      <c r="CY47" s="7">
        <v>0.94</v>
      </c>
      <c r="CZ47" s="7">
        <v>-4.2758999999999998E-2</v>
      </c>
      <c r="DA47" s="7">
        <v>15.389535</v>
      </c>
      <c r="DB47" s="7">
        <v>17.608319000000002</v>
      </c>
      <c r="DC47" s="7">
        <v>16.064022999999999</v>
      </c>
      <c r="DD47" s="7">
        <v>11.115401</v>
      </c>
      <c r="DE47" s="4" t="s">
        <v>124</v>
      </c>
      <c r="DF47" s="6"/>
      <c r="DG47" s="6"/>
      <c r="DH47" s="6"/>
      <c r="DI47" s="6"/>
      <c r="DJ47" s="4" t="s">
        <v>124</v>
      </c>
      <c r="DK47" s="4" t="s">
        <v>124</v>
      </c>
      <c r="DL47" s="4" t="s">
        <v>124</v>
      </c>
      <c r="DM47" s="4" t="s">
        <v>124</v>
      </c>
      <c r="DN47" s="4" t="s">
        <v>124</v>
      </c>
      <c r="DO47" s="4" t="s">
        <v>124</v>
      </c>
      <c r="DP47" s="6"/>
      <c r="DQ47" s="4" t="s">
        <v>125</v>
      </c>
    </row>
    <row r="48" spans="1:121" ht="20" customHeight="1" x14ac:dyDescent="0.15">
      <c r="A48" s="5">
        <v>2018</v>
      </c>
      <c r="B48" s="3" t="s">
        <v>171</v>
      </c>
      <c r="C48" s="4" t="str">
        <f t="shared" ref="C48:C391" si="46">"0450011"</f>
        <v>0450011</v>
      </c>
      <c r="D48" s="4" t="s">
        <v>122</v>
      </c>
      <c r="E48" s="4" t="str">
        <f t="shared" si="1"/>
        <v>0000000</v>
      </c>
      <c r="F48" s="4" t="s">
        <v>122</v>
      </c>
      <c r="G48" s="4" t="s">
        <v>122</v>
      </c>
      <c r="H48" s="4" t="s">
        <v>122</v>
      </c>
      <c r="I48" s="6"/>
      <c r="J48" s="4" t="s">
        <v>123</v>
      </c>
      <c r="K48" s="7">
        <v>1179.5594679999999</v>
      </c>
      <c r="L48" s="7">
        <v>1450</v>
      </c>
      <c r="M48" s="7">
        <v>81.348928999999998</v>
      </c>
      <c r="N48" s="4" t="s">
        <v>124</v>
      </c>
      <c r="O48" s="7">
        <v>0</v>
      </c>
      <c r="P48" s="7">
        <v>76.509073999999998</v>
      </c>
      <c r="Q48" s="7">
        <v>50</v>
      </c>
      <c r="R48" s="7">
        <v>50</v>
      </c>
      <c r="S48" s="7">
        <v>66.311886999999999</v>
      </c>
      <c r="T48" s="7">
        <v>75</v>
      </c>
      <c r="U48" s="7">
        <v>44.207923999999998</v>
      </c>
      <c r="V48" s="7">
        <v>50</v>
      </c>
      <c r="W48" s="7">
        <v>72.512885999999995</v>
      </c>
      <c r="X48" s="7">
        <v>48.341923999999999</v>
      </c>
      <c r="Y48" s="7">
        <v>50</v>
      </c>
      <c r="Z48" s="7">
        <v>75</v>
      </c>
      <c r="AA48" s="7">
        <v>61.637524999999997</v>
      </c>
      <c r="AB48" s="7">
        <v>41.091683000000003</v>
      </c>
      <c r="AC48" s="7">
        <v>50</v>
      </c>
      <c r="AD48" s="7">
        <v>73.736385999999996</v>
      </c>
      <c r="AE48" s="7">
        <v>49.157590999999996</v>
      </c>
      <c r="AF48" s="7">
        <v>50</v>
      </c>
      <c r="AG48" s="7">
        <v>63.092525000000002</v>
      </c>
      <c r="AH48" s="7">
        <v>75</v>
      </c>
      <c r="AI48" s="7">
        <v>42.061683000000002</v>
      </c>
      <c r="AJ48" s="7">
        <v>50</v>
      </c>
      <c r="AK48" s="7">
        <v>8.68</v>
      </c>
      <c r="AL48" s="7">
        <v>13.36</v>
      </c>
      <c r="AM48" s="7">
        <v>11.9</v>
      </c>
      <c r="AN48" s="7">
        <v>0.63284399999999996</v>
      </c>
      <c r="AO48" s="7">
        <v>63.284362999999999</v>
      </c>
      <c r="AP48" s="7">
        <v>100</v>
      </c>
      <c r="AQ48" s="7">
        <v>0.63089899999999999</v>
      </c>
      <c r="AR48" s="7">
        <v>63.089854000000003</v>
      </c>
      <c r="AS48" s="7">
        <v>100</v>
      </c>
      <c r="AT48" s="7">
        <v>0.56873499999999999</v>
      </c>
      <c r="AU48" s="7">
        <v>0.66148600000000002</v>
      </c>
      <c r="AV48" s="7">
        <v>56.873469</v>
      </c>
      <c r="AW48" s="7">
        <v>100</v>
      </c>
      <c r="AX48" s="7">
        <v>0.51790700000000001</v>
      </c>
      <c r="AY48" s="7">
        <v>0.68137999999999999</v>
      </c>
      <c r="AZ48" s="7">
        <v>51.790731999999998</v>
      </c>
      <c r="BA48" s="7">
        <v>100</v>
      </c>
      <c r="BB48" s="7">
        <v>0.85370800000000002</v>
      </c>
      <c r="BC48" s="7">
        <v>42.685381</v>
      </c>
      <c r="BD48" s="7">
        <v>50</v>
      </c>
      <c r="BE48" s="7">
        <v>0.66079200000000005</v>
      </c>
      <c r="BF48" s="7">
        <v>33.039619000000002</v>
      </c>
      <c r="BG48" s="7">
        <v>50</v>
      </c>
      <c r="BH48" s="7">
        <v>0</v>
      </c>
      <c r="BI48" s="7">
        <v>0.97694499999999995</v>
      </c>
      <c r="BJ48" s="7">
        <v>0.95833299999999999</v>
      </c>
      <c r="BK48" s="7">
        <v>0.98605200000000004</v>
      </c>
      <c r="BL48" s="7">
        <v>0.97694499999999995</v>
      </c>
      <c r="BM48" s="7">
        <v>0.95833299999999999</v>
      </c>
      <c r="BN48" s="7">
        <v>0.98605200000000004</v>
      </c>
      <c r="BO48" s="7">
        <v>0.97435899999999998</v>
      </c>
      <c r="BP48" s="7">
        <v>0.96279099999999995</v>
      </c>
      <c r="BQ48" s="7">
        <v>0.97991099999999998</v>
      </c>
      <c r="BR48" s="7">
        <v>4.5626E-2</v>
      </c>
      <c r="BS48" s="7">
        <v>50</v>
      </c>
      <c r="BT48" s="7">
        <v>50</v>
      </c>
      <c r="BU48" s="7">
        <v>7.8179999999999999E-2</v>
      </c>
      <c r="BV48" s="7">
        <v>44.364061</v>
      </c>
      <c r="BW48" s="7">
        <v>50</v>
      </c>
      <c r="BX48" s="7">
        <v>0.95816699999999999</v>
      </c>
      <c r="BY48" s="7">
        <v>50</v>
      </c>
      <c r="BZ48" s="7">
        <v>50</v>
      </c>
      <c r="CA48" s="7">
        <v>0.581673</v>
      </c>
      <c r="CB48" s="7">
        <v>38.778219999999997</v>
      </c>
      <c r="CC48" s="7">
        <v>50</v>
      </c>
      <c r="CD48" s="7">
        <v>0.97629299999999997</v>
      </c>
      <c r="CE48" s="7">
        <v>50</v>
      </c>
      <c r="CF48" s="7">
        <v>50</v>
      </c>
      <c r="CG48" s="7">
        <v>0.954704</v>
      </c>
      <c r="CH48" s="7">
        <v>100</v>
      </c>
      <c r="CI48" s="7">
        <v>100</v>
      </c>
      <c r="CJ48" s="7">
        <v>0</v>
      </c>
      <c r="CK48" s="7">
        <v>0.88888900000000004</v>
      </c>
      <c r="CL48" s="7">
        <v>94.562647999999996</v>
      </c>
      <c r="CM48" s="7">
        <v>100</v>
      </c>
      <c r="CN48" s="7">
        <v>0.77400000000000002</v>
      </c>
      <c r="CO48" s="7">
        <v>100</v>
      </c>
      <c r="CP48" s="7">
        <v>100</v>
      </c>
      <c r="CQ48" s="7">
        <v>0.61949299999999996</v>
      </c>
      <c r="CR48" s="7">
        <v>0.89808200000000005</v>
      </c>
      <c r="CS48" s="7">
        <v>20.649754999999999</v>
      </c>
      <c r="CT48" s="7">
        <v>50</v>
      </c>
      <c r="CU48" s="7">
        <v>0.54696699999999998</v>
      </c>
      <c r="CV48" s="7">
        <v>45.580561000000003</v>
      </c>
      <c r="CW48" s="7">
        <v>50</v>
      </c>
      <c r="CX48" s="7">
        <v>0.88888900000000004</v>
      </c>
      <c r="CY48" s="7">
        <v>0.94</v>
      </c>
      <c r="CZ48" s="7">
        <v>5.1110999999999997E-2</v>
      </c>
      <c r="DA48" s="7">
        <v>15.389535</v>
      </c>
      <c r="DB48" s="7">
        <v>17.608319000000002</v>
      </c>
      <c r="DC48" s="7">
        <v>16.064022999999999</v>
      </c>
      <c r="DD48" s="7">
        <v>11.115401</v>
      </c>
      <c r="DE48" s="4" t="s">
        <v>124</v>
      </c>
      <c r="DF48" s="6"/>
      <c r="DG48" s="6"/>
      <c r="DH48" s="6"/>
      <c r="DI48" s="6"/>
      <c r="DJ48" s="4" t="s">
        <v>124</v>
      </c>
      <c r="DK48" s="4" t="s">
        <v>124</v>
      </c>
      <c r="DL48" s="4" t="s">
        <v>124</v>
      </c>
      <c r="DM48" s="4" t="s">
        <v>124</v>
      </c>
      <c r="DN48" s="4" t="s">
        <v>124</v>
      </c>
      <c r="DO48" s="4" t="s">
        <v>124</v>
      </c>
      <c r="DP48" s="6"/>
      <c r="DQ48" s="4" t="s">
        <v>125</v>
      </c>
    </row>
    <row r="49" spans="1:121" ht="20" customHeight="1" x14ac:dyDescent="0.15">
      <c r="A49" s="5">
        <v>2018</v>
      </c>
      <c r="B49" s="3" t="s">
        <v>172</v>
      </c>
      <c r="C49" s="4" t="str">
        <f t="shared" ref="C49:C731" si="47">"0980011"</f>
        <v>0980011</v>
      </c>
      <c r="D49" s="4" t="s">
        <v>122</v>
      </c>
      <c r="E49" s="4" t="str">
        <f t="shared" si="1"/>
        <v>0000000</v>
      </c>
      <c r="F49" s="4" t="s">
        <v>122</v>
      </c>
      <c r="G49" s="4" t="s">
        <v>122</v>
      </c>
      <c r="H49" s="4" t="s">
        <v>122</v>
      </c>
      <c r="I49" s="6"/>
      <c r="J49" s="4" t="s">
        <v>123</v>
      </c>
      <c r="K49" s="7">
        <v>371.03631300000001</v>
      </c>
      <c r="L49" s="7">
        <v>550</v>
      </c>
      <c r="M49" s="7">
        <v>67.461147999999994</v>
      </c>
      <c r="N49" s="4" t="s">
        <v>124</v>
      </c>
      <c r="O49" s="7">
        <v>0</v>
      </c>
      <c r="P49" s="7">
        <v>72.718365000000006</v>
      </c>
      <c r="Q49" s="7">
        <v>48.478909999999999</v>
      </c>
      <c r="R49" s="7">
        <v>50</v>
      </c>
      <c r="S49" s="7">
        <v>64.145302000000001</v>
      </c>
      <c r="T49" s="7">
        <v>75</v>
      </c>
      <c r="U49" s="7">
        <v>42.763534999999997</v>
      </c>
      <c r="V49" s="7">
        <v>50</v>
      </c>
      <c r="W49" s="7">
        <v>68.008161000000001</v>
      </c>
      <c r="X49" s="7">
        <v>45.338774000000001</v>
      </c>
      <c r="Y49" s="7">
        <v>50</v>
      </c>
      <c r="Z49" s="7">
        <v>73.991933000000003</v>
      </c>
      <c r="AA49" s="7">
        <v>61.066986</v>
      </c>
      <c r="AB49" s="7">
        <v>40.711323999999998</v>
      </c>
      <c r="AC49" s="7">
        <v>50</v>
      </c>
      <c r="AD49" s="4" t="s">
        <v>124</v>
      </c>
      <c r="AE49" s="4" t="s">
        <v>124</v>
      </c>
      <c r="AF49" s="4" t="s">
        <v>124</v>
      </c>
      <c r="AG49" s="4" t="s">
        <v>124</v>
      </c>
      <c r="AH49" s="4" t="s">
        <v>124</v>
      </c>
      <c r="AI49" s="4" t="s">
        <v>124</v>
      </c>
      <c r="AJ49" s="4" t="s">
        <v>124</v>
      </c>
      <c r="AK49" s="7">
        <v>10.85</v>
      </c>
      <c r="AL49" s="7">
        <v>12.92</v>
      </c>
      <c r="AM49" s="4" t="s">
        <v>124</v>
      </c>
      <c r="AN49" s="7">
        <v>0.47083799999999998</v>
      </c>
      <c r="AO49" s="7">
        <v>47.083767999999999</v>
      </c>
      <c r="AP49" s="7">
        <v>100</v>
      </c>
      <c r="AQ49" s="7">
        <v>0.42603799999999997</v>
      </c>
      <c r="AR49" s="7">
        <v>42.603777999999998</v>
      </c>
      <c r="AS49" s="7">
        <v>100</v>
      </c>
      <c r="AT49" s="4" t="s">
        <v>124</v>
      </c>
      <c r="AU49" s="4" t="s">
        <v>124</v>
      </c>
      <c r="AV49" s="4" t="s">
        <v>124</v>
      </c>
      <c r="AW49" s="4" t="s">
        <v>124</v>
      </c>
      <c r="AX49" s="4" t="s">
        <v>124</v>
      </c>
      <c r="AY49" s="4" t="s">
        <v>124</v>
      </c>
      <c r="AZ49" s="4" t="s">
        <v>124</v>
      </c>
      <c r="BA49" s="4" t="s">
        <v>124</v>
      </c>
      <c r="BB49" s="4" t="s">
        <v>124</v>
      </c>
      <c r="BC49" s="4" t="s">
        <v>124</v>
      </c>
      <c r="BD49" s="4" t="s">
        <v>124</v>
      </c>
      <c r="BE49" s="4" t="s">
        <v>124</v>
      </c>
      <c r="BF49" s="4" t="s">
        <v>124</v>
      </c>
      <c r="BG49" s="4" t="s">
        <v>124</v>
      </c>
      <c r="BH49" s="7">
        <v>0</v>
      </c>
      <c r="BI49" s="7">
        <v>1</v>
      </c>
      <c r="BJ49" s="7">
        <v>1</v>
      </c>
      <c r="BK49" s="7">
        <v>1</v>
      </c>
      <c r="BL49" s="7">
        <v>1</v>
      </c>
      <c r="BM49" s="7">
        <v>1</v>
      </c>
      <c r="BN49" s="7">
        <v>1</v>
      </c>
      <c r="BO49" s="4" t="s">
        <v>124</v>
      </c>
      <c r="BP49" s="4" t="s">
        <v>124</v>
      </c>
      <c r="BQ49" s="4" t="s">
        <v>124</v>
      </c>
      <c r="BR49" s="7">
        <v>9.6385999999999999E-2</v>
      </c>
      <c r="BS49" s="7">
        <v>40.722892000000002</v>
      </c>
      <c r="BT49" s="7">
        <v>50</v>
      </c>
      <c r="BU49" s="7">
        <v>0.15</v>
      </c>
      <c r="BV49" s="7">
        <v>30</v>
      </c>
      <c r="BW49" s="7">
        <v>50</v>
      </c>
      <c r="BX49" s="4" t="s">
        <v>124</v>
      </c>
      <c r="BY49" s="4" t="s">
        <v>124</v>
      </c>
      <c r="BZ49" s="4" t="s">
        <v>124</v>
      </c>
      <c r="CA49" s="4" t="s">
        <v>124</v>
      </c>
      <c r="CB49" s="4" t="s">
        <v>124</v>
      </c>
      <c r="CC49" s="4" t="s">
        <v>124</v>
      </c>
      <c r="CD49" s="4" t="s">
        <v>124</v>
      </c>
      <c r="CE49" s="4" t="s">
        <v>124</v>
      </c>
      <c r="CF49" s="4" t="s">
        <v>124</v>
      </c>
      <c r="CG49" s="4" t="s">
        <v>124</v>
      </c>
      <c r="CH49" s="4" t="s">
        <v>124</v>
      </c>
      <c r="CI49" s="4" t="s">
        <v>124</v>
      </c>
      <c r="CJ49" s="4" t="s">
        <v>124</v>
      </c>
      <c r="CK49" s="4" t="s">
        <v>124</v>
      </c>
      <c r="CL49" s="4" t="s">
        <v>124</v>
      </c>
      <c r="CM49" s="4" t="s">
        <v>124</v>
      </c>
      <c r="CN49" s="4" t="s">
        <v>124</v>
      </c>
      <c r="CO49" s="4" t="s">
        <v>124</v>
      </c>
      <c r="CP49" s="4" t="s">
        <v>124</v>
      </c>
      <c r="CQ49" s="7">
        <v>0.5</v>
      </c>
      <c r="CR49" s="7">
        <v>0.92307700000000004</v>
      </c>
      <c r="CS49" s="7">
        <v>33.333333000000003</v>
      </c>
      <c r="CT49" s="7">
        <v>50</v>
      </c>
      <c r="CU49" s="4" t="s">
        <v>124</v>
      </c>
      <c r="CV49" s="4" t="s">
        <v>124</v>
      </c>
      <c r="CW49" s="4" t="s">
        <v>124</v>
      </c>
      <c r="CX49" s="4" t="s">
        <v>124</v>
      </c>
      <c r="CY49" s="4" t="s">
        <v>124</v>
      </c>
      <c r="CZ49" s="4" t="s">
        <v>124</v>
      </c>
      <c r="DA49" s="7">
        <v>15.389535</v>
      </c>
      <c r="DB49" s="7">
        <v>17.608319000000002</v>
      </c>
      <c r="DC49" s="7">
        <v>16.064022999999999</v>
      </c>
      <c r="DD49" s="4" t="s">
        <v>124</v>
      </c>
      <c r="DE49" s="4" t="s">
        <v>124</v>
      </c>
      <c r="DF49" s="6"/>
      <c r="DG49" s="6"/>
      <c r="DH49" s="6"/>
      <c r="DI49" s="6"/>
      <c r="DJ49" s="4" t="s">
        <v>124</v>
      </c>
      <c r="DK49" s="4" t="s">
        <v>124</v>
      </c>
      <c r="DL49" s="4" t="s">
        <v>124</v>
      </c>
      <c r="DM49" s="4" t="s">
        <v>124</v>
      </c>
      <c r="DN49" s="4" t="s">
        <v>124</v>
      </c>
      <c r="DO49" s="4" t="s">
        <v>124</v>
      </c>
      <c r="DP49" s="6"/>
      <c r="DQ49" s="4" t="s">
        <v>125</v>
      </c>
    </row>
    <row r="50" spans="1:121" ht="20" customHeight="1" x14ac:dyDescent="0.15">
      <c r="A50" s="5">
        <v>2018</v>
      </c>
      <c r="B50" s="3" t="s">
        <v>173</v>
      </c>
      <c r="C50" s="4" t="str">
        <f t="shared" ref="C50:C732" si="48">"0990011"</f>
        <v>0990011</v>
      </c>
      <c r="D50" s="4" t="s">
        <v>122</v>
      </c>
      <c r="E50" s="4" t="str">
        <f t="shared" si="1"/>
        <v>0000000</v>
      </c>
      <c r="F50" s="4" t="s">
        <v>122</v>
      </c>
      <c r="G50" s="4" t="s">
        <v>122</v>
      </c>
      <c r="H50" s="4" t="s">
        <v>122</v>
      </c>
      <c r="I50" s="6"/>
      <c r="J50" s="4" t="s">
        <v>123</v>
      </c>
      <c r="K50" s="7">
        <v>1053.487932</v>
      </c>
      <c r="L50" s="7">
        <v>1350</v>
      </c>
      <c r="M50" s="7">
        <v>78.036142999999996</v>
      </c>
      <c r="N50" s="4" t="s">
        <v>124</v>
      </c>
      <c r="O50" s="7">
        <v>1</v>
      </c>
      <c r="P50" s="7">
        <v>66.324661000000006</v>
      </c>
      <c r="Q50" s="7">
        <v>44.216441000000003</v>
      </c>
      <c r="R50" s="7">
        <v>50</v>
      </c>
      <c r="S50" s="7">
        <v>58.092680000000001</v>
      </c>
      <c r="T50" s="7">
        <v>70.677203000000006</v>
      </c>
      <c r="U50" s="7">
        <v>38.728453000000002</v>
      </c>
      <c r="V50" s="7">
        <v>50</v>
      </c>
      <c r="W50" s="7">
        <v>64.734922999999995</v>
      </c>
      <c r="X50" s="7">
        <v>43.156615000000002</v>
      </c>
      <c r="Y50" s="7">
        <v>50</v>
      </c>
      <c r="Z50" s="7">
        <v>70.128534000000002</v>
      </c>
      <c r="AA50" s="7">
        <v>54.470207000000002</v>
      </c>
      <c r="AB50" s="7">
        <v>36.313471</v>
      </c>
      <c r="AC50" s="7">
        <v>50</v>
      </c>
      <c r="AD50" s="7">
        <v>67.990618999999995</v>
      </c>
      <c r="AE50" s="7">
        <v>45.327078999999998</v>
      </c>
      <c r="AF50" s="7">
        <v>50</v>
      </c>
      <c r="AG50" s="7">
        <v>57.150967999999999</v>
      </c>
      <c r="AH50" s="7">
        <v>73.331322999999998</v>
      </c>
      <c r="AI50" s="7">
        <v>38.100645</v>
      </c>
      <c r="AJ50" s="7">
        <v>50</v>
      </c>
      <c r="AK50" s="7">
        <v>12.58</v>
      </c>
      <c r="AL50" s="7">
        <v>15.65</v>
      </c>
      <c r="AM50" s="7">
        <v>16.18</v>
      </c>
      <c r="AN50" s="7">
        <v>0.51190100000000005</v>
      </c>
      <c r="AO50" s="7">
        <v>51.190106</v>
      </c>
      <c r="AP50" s="7">
        <v>100</v>
      </c>
      <c r="AQ50" s="7">
        <v>0.62686799999999998</v>
      </c>
      <c r="AR50" s="7">
        <v>62.686777999999997</v>
      </c>
      <c r="AS50" s="7">
        <v>100</v>
      </c>
      <c r="AT50" s="7">
        <v>0.48081000000000002</v>
      </c>
      <c r="AU50" s="7">
        <v>0.52804600000000002</v>
      </c>
      <c r="AV50" s="7">
        <v>48.081021999999997</v>
      </c>
      <c r="AW50" s="7">
        <v>100</v>
      </c>
      <c r="AX50" s="7">
        <v>0.57483799999999996</v>
      </c>
      <c r="AY50" s="7">
        <v>0.65364999999999995</v>
      </c>
      <c r="AZ50" s="7">
        <v>57.483781999999998</v>
      </c>
      <c r="BA50" s="7">
        <v>100</v>
      </c>
      <c r="BB50" s="4" t="s">
        <v>124</v>
      </c>
      <c r="BC50" s="4" t="s">
        <v>124</v>
      </c>
      <c r="BD50" s="4" t="s">
        <v>124</v>
      </c>
      <c r="BE50" s="4" t="s">
        <v>124</v>
      </c>
      <c r="BF50" s="4" t="s">
        <v>124</v>
      </c>
      <c r="BG50" s="4" t="s">
        <v>124</v>
      </c>
      <c r="BH50" s="7">
        <v>0</v>
      </c>
      <c r="BI50" s="7">
        <v>0.98637300000000006</v>
      </c>
      <c r="BJ50" s="7">
        <v>0.98507500000000003</v>
      </c>
      <c r="BK50" s="7">
        <v>0.98707599999999995</v>
      </c>
      <c r="BL50" s="7">
        <v>0.98531000000000002</v>
      </c>
      <c r="BM50" s="7">
        <v>0.98203600000000002</v>
      </c>
      <c r="BN50" s="7">
        <v>0.98707599999999995</v>
      </c>
      <c r="BO50" s="7">
        <v>0.99277099999999996</v>
      </c>
      <c r="BP50" s="7">
        <v>0.98571399999999998</v>
      </c>
      <c r="BQ50" s="7">
        <v>0.99636400000000003</v>
      </c>
      <c r="BR50" s="7">
        <v>5.1582999999999997E-2</v>
      </c>
      <c r="BS50" s="7">
        <v>49.68347</v>
      </c>
      <c r="BT50" s="7">
        <v>50</v>
      </c>
      <c r="BU50" s="7">
        <v>9.7517999999999994E-2</v>
      </c>
      <c r="BV50" s="7">
        <v>40.496454</v>
      </c>
      <c r="BW50" s="7">
        <v>50</v>
      </c>
      <c r="BX50" s="7">
        <v>0.72862499999999997</v>
      </c>
      <c r="BY50" s="7">
        <v>48.574969000000003</v>
      </c>
      <c r="BZ50" s="7">
        <v>50</v>
      </c>
      <c r="CA50" s="7">
        <v>0.423792</v>
      </c>
      <c r="CB50" s="7">
        <v>28.252787999999999</v>
      </c>
      <c r="CC50" s="7">
        <v>50</v>
      </c>
      <c r="CD50" s="7">
        <v>0.94052000000000002</v>
      </c>
      <c r="CE50" s="7">
        <v>50</v>
      </c>
      <c r="CF50" s="7">
        <v>50</v>
      </c>
      <c r="CG50" s="7">
        <v>0.94039700000000004</v>
      </c>
      <c r="CH50" s="7">
        <v>100</v>
      </c>
      <c r="CI50" s="7">
        <v>100</v>
      </c>
      <c r="CJ50" s="7">
        <v>1</v>
      </c>
      <c r="CK50" s="7">
        <v>0.82352899999999996</v>
      </c>
      <c r="CL50" s="7">
        <v>87.609511999999995</v>
      </c>
      <c r="CM50" s="7">
        <v>100</v>
      </c>
      <c r="CN50" s="7">
        <v>0.85499999999999998</v>
      </c>
      <c r="CO50" s="7">
        <v>100</v>
      </c>
      <c r="CP50" s="7">
        <v>100</v>
      </c>
      <c r="CQ50" s="7">
        <v>0.59001800000000004</v>
      </c>
      <c r="CR50" s="7">
        <v>0.97905799999999998</v>
      </c>
      <c r="CS50" s="7">
        <v>39.334522</v>
      </c>
      <c r="CT50" s="7">
        <v>50</v>
      </c>
      <c r="CU50" s="7">
        <v>0.53102199999999999</v>
      </c>
      <c r="CV50" s="7">
        <v>44.251824999999997</v>
      </c>
      <c r="CW50" s="7">
        <v>50</v>
      </c>
      <c r="CX50" s="7">
        <v>0.82352899999999996</v>
      </c>
      <c r="CY50" s="7">
        <v>0.94</v>
      </c>
      <c r="CZ50" s="7">
        <v>0.11647100000000001</v>
      </c>
      <c r="DA50" s="7">
        <v>15.389535</v>
      </c>
      <c r="DB50" s="7">
        <v>17.608319000000002</v>
      </c>
      <c r="DC50" s="7">
        <v>16.064022999999999</v>
      </c>
      <c r="DD50" s="7">
        <v>11.115401</v>
      </c>
      <c r="DE50" s="4" t="s">
        <v>124</v>
      </c>
      <c r="DF50" s="6"/>
      <c r="DG50" s="6"/>
      <c r="DH50" s="6"/>
      <c r="DI50" s="6"/>
      <c r="DJ50" s="4" t="s">
        <v>124</v>
      </c>
      <c r="DK50" s="4" t="s">
        <v>124</v>
      </c>
      <c r="DL50" s="4" t="s">
        <v>124</v>
      </c>
      <c r="DM50" s="4" t="s">
        <v>124</v>
      </c>
      <c r="DN50" s="4" t="s">
        <v>124</v>
      </c>
      <c r="DO50" s="4" t="s">
        <v>124</v>
      </c>
      <c r="DP50" s="6"/>
      <c r="DQ50" s="4" t="s">
        <v>125</v>
      </c>
    </row>
    <row r="51" spans="1:121" ht="20" customHeight="1" x14ac:dyDescent="0.15">
      <c r="A51" s="5">
        <v>2018</v>
      </c>
      <c r="B51" s="3" t="s">
        <v>174</v>
      </c>
      <c r="C51" s="4" t="str">
        <f t="shared" ref="C51:C1057" si="49">"1620011"</f>
        <v>1620011</v>
      </c>
      <c r="D51" s="4" t="s">
        <v>122</v>
      </c>
      <c r="E51" s="4" t="str">
        <f t="shared" si="1"/>
        <v>0000000</v>
      </c>
      <c r="F51" s="4" t="s">
        <v>122</v>
      </c>
      <c r="G51" s="4" t="s">
        <v>122</v>
      </c>
      <c r="H51" s="4" t="s">
        <v>122</v>
      </c>
      <c r="I51" s="6"/>
      <c r="J51" s="4" t="s">
        <v>123</v>
      </c>
      <c r="K51" s="7">
        <v>753.58991200000003</v>
      </c>
      <c r="L51" s="7">
        <v>950</v>
      </c>
      <c r="M51" s="7">
        <v>79.325254000000001</v>
      </c>
      <c r="N51" s="4" t="s">
        <v>124</v>
      </c>
      <c r="O51" s="7">
        <v>0</v>
      </c>
      <c r="P51" s="7">
        <v>67.755000999999993</v>
      </c>
      <c r="Q51" s="7">
        <v>45.17</v>
      </c>
      <c r="R51" s="7">
        <v>50</v>
      </c>
      <c r="S51" s="7">
        <v>64.607811999999996</v>
      </c>
      <c r="T51" s="7">
        <v>75</v>
      </c>
      <c r="U51" s="7">
        <v>43.071874999999999</v>
      </c>
      <c r="V51" s="7">
        <v>50</v>
      </c>
      <c r="W51" s="7">
        <v>68.754476999999994</v>
      </c>
      <c r="X51" s="7">
        <v>45.836317999999999</v>
      </c>
      <c r="Y51" s="7">
        <v>50</v>
      </c>
      <c r="Z51" s="7">
        <v>75</v>
      </c>
      <c r="AA51" s="7">
        <v>65.431051999999994</v>
      </c>
      <c r="AB51" s="7">
        <v>43.620702000000001</v>
      </c>
      <c r="AC51" s="7">
        <v>50</v>
      </c>
      <c r="AD51" s="7">
        <v>64.633623999999998</v>
      </c>
      <c r="AE51" s="7">
        <v>43.089083000000002</v>
      </c>
      <c r="AF51" s="7">
        <v>50</v>
      </c>
      <c r="AG51" s="7">
        <v>61.363782999999998</v>
      </c>
      <c r="AH51" s="4" t="s">
        <v>124</v>
      </c>
      <c r="AI51" s="7">
        <v>40.909188999999998</v>
      </c>
      <c r="AJ51" s="7">
        <v>50</v>
      </c>
      <c r="AK51" s="7">
        <v>10.39</v>
      </c>
      <c r="AL51" s="7">
        <v>9.56</v>
      </c>
      <c r="AM51" s="4" t="s">
        <v>124</v>
      </c>
      <c r="AN51" s="7">
        <v>0.61474899999999999</v>
      </c>
      <c r="AO51" s="7">
        <v>61.474896999999999</v>
      </c>
      <c r="AP51" s="7">
        <v>100</v>
      </c>
      <c r="AQ51" s="7">
        <v>0.75213200000000002</v>
      </c>
      <c r="AR51" s="7">
        <v>75.213238000000004</v>
      </c>
      <c r="AS51" s="7">
        <v>100</v>
      </c>
      <c r="AT51" s="7">
        <v>0.61465499999999995</v>
      </c>
      <c r="AU51" s="7">
        <v>0.61499000000000004</v>
      </c>
      <c r="AV51" s="7">
        <v>61.465527000000002</v>
      </c>
      <c r="AW51" s="7">
        <v>100</v>
      </c>
      <c r="AX51" s="7">
        <v>0.732406</v>
      </c>
      <c r="AY51" s="7">
        <v>0.80280799999999997</v>
      </c>
      <c r="AZ51" s="7">
        <v>73.240632000000005</v>
      </c>
      <c r="BA51" s="7">
        <v>100</v>
      </c>
      <c r="BB51" s="7">
        <v>0.95587200000000005</v>
      </c>
      <c r="BC51" s="7">
        <v>47.793585999999998</v>
      </c>
      <c r="BD51" s="7">
        <v>50</v>
      </c>
      <c r="BE51" s="7">
        <v>0.71290200000000004</v>
      </c>
      <c r="BF51" s="7">
        <v>35.645124000000003</v>
      </c>
      <c r="BG51" s="7">
        <v>50</v>
      </c>
      <c r="BH51" s="7">
        <v>0</v>
      </c>
      <c r="BI51" s="7">
        <v>0.99337699999999995</v>
      </c>
      <c r="BJ51" s="7">
        <v>0.99111099999999996</v>
      </c>
      <c r="BK51" s="7">
        <v>1</v>
      </c>
      <c r="BL51" s="7">
        <v>0.99337699999999995</v>
      </c>
      <c r="BM51" s="7">
        <v>0.99111099999999996</v>
      </c>
      <c r="BN51" s="7">
        <v>1</v>
      </c>
      <c r="BO51" s="7">
        <v>0.98837200000000003</v>
      </c>
      <c r="BP51" s="7">
        <v>0.98571399999999998</v>
      </c>
      <c r="BQ51" s="4" t="s">
        <v>124</v>
      </c>
      <c r="BR51" s="7">
        <v>6.4077999999999996E-2</v>
      </c>
      <c r="BS51" s="7">
        <v>47.184466</v>
      </c>
      <c r="BT51" s="7">
        <v>50</v>
      </c>
      <c r="BU51" s="7">
        <v>8.5106000000000001E-2</v>
      </c>
      <c r="BV51" s="7">
        <v>42.978723000000002</v>
      </c>
      <c r="BW51" s="7">
        <v>50</v>
      </c>
      <c r="BX51" s="4" t="s">
        <v>124</v>
      </c>
      <c r="BY51" s="4" t="s">
        <v>124</v>
      </c>
      <c r="BZ51" s="4" t="s">
        <v>124</v>
      </c>
      <c r="CA51" s="4" t="s">
        <v>124</v>
      </c>
      <c r="CB51" s="4" t="s">
        <v>124</v>
      </c>
      <c r="CC51" s="4" t="s">
        <v>124</v>
      </c>
      <c r="CD51" s="4" t="s">
        <v>124</v>
      </c>
      <c r="CE51" s="4" t="s">
        <v>124</v>
      </c>
      <c r="CF51" s="4" t="s">
        <v>124</v>
      </c>
      <c r="CG51" s="4" t="s">
        <v>124</v>
      </c>
      <c r="CH51" s="4" t="s">
        <v>124</v>
      </c>
      <c r="CI51" s="4" t="s">
        <v>124</v>
      </c>
      <c r="CJ51" s="4" t="s">
        <v>124</v>
      </c>
      <c r="CK51" s="4" t="s">
        <v>124</v>
      </c>
      <c r="CL51" s="4" t="s">
        <v>124</v>
      </c>
      <c r="CM51" s="4" t="s">
        <v>124</v>
      </c>
      <c r="CN51" s="4" t="s">
        <v>124</v>
      </c>
      <c r="CO51" s="4" t="s">
        <v>124</v>
      </c>
      <c r="CP51" s="4" t="s">
        <v>124</v>
      </c>
      <c r="CQ51" s="7">
        <v>0.70344799999999996</v>
      </c>
      <c r="CR51" s="7">
        <v>0.95394699999999999</v>
      </c>
      <c r="CS51" s="7">
        <v>46.896552</v>
      </c>
      <c r="CT51" s="7">
        <v>50</v>
      </c>
      <c r="CU51" s="4" t="s">
        <v>124</v>
      </c>
      <c r="CV51" s="4" t="s">
        <v>124</v>
      </c>
      <c r="CW51" s="4" t="s">
        <v>124</v>
      </c>
      <c r="CX51" s="4" t="s">
        <v>124</v>
      </c>
      <c r="CY51" s="4" t="s">
        <v>124</v>
      </c>
      <c r="CZ51" s="4" t="s">
        <v>124</v>
      </c>
      <c r="DA51" s="7">
        <v>15.389535</v>
      </c>
      <c r="DB51" s="7">
        <v>17.608319000000002</v>
      </c>
      <c r="DC51" s="7">
        <v>16.064022999999999</v>
      </c>
      <c r="DD51" s="4" t="s">
        <v>124</v>
      </c>
      <c r="DE51" s="4" t="s">
        <v>124</v>
      </c>
      <c r="DF51" s="6"/>
      <c r="DG51" s="6"/>
      <c r="DH51" s="6"/>
      <c r="DI51" s="6"/>
      <c r="DJ51" s="4" t="s">
        <v>124</v>
      </c>
      <c r="DK51" s="4" t="s">
        <v>124</v>
      </c>
      <c r="DL51" s="4" t="s">
        <v>124</v>
      </c>
      <c r="DM51" s="4" t="s">
        <v>124</v>
      </c>
      <c r="DN51" s="4" t="s">
        <v>124</v>
      </c>
      <c r="DO51" s="4" t="s">
        <v>124</v>
      </c>
      <c r="DP51" s="6"/>
      <c r="DQ51" s="4" t="s">
        <v>125</v>
      </c>
    </row>
    <row r="52" spans="1:121" ht="20" customHeight="1" x14ac:dyDescent="0.15">
      <c r="A52" s="5">
        <v>2018</v>
      </c>
      <c r="B52" s="3" t="s">
        <v>175</v>
      </c>
      <c r="C52" s="4" t="str">
        <f t="shared" ref="C52:C1059" si="50">"1630011"</f>
        <v>1630011</v>
      </c>
      <c r="D52" s="4" t="s">
        <v>122</v>
      </c>
      <c r="E52" s="4" t="str">
        <f t="shared" si="1"/>
        <v>0000000</v>
      </c>
      <c r="F52" s="4" t="s">
        <v>122</v>
      </c>
      <c r="G52" s="4" t="s">
        <v>122</v>
      </c>
      <c r="H52" s="4" t="s">
        <v>122</v>
      </c>
      <c r="I52" s="6"/>
      <c r="J52" s="4" t="s">
        <v>123</v>
      </c>
      <c r="K52" s="7">
        <v>942.74621300000001</v>
      </c>
      <c r="L52" s="7">
        <v>1450</v>
      </c>
      <c r="M52" s="7">
        <v>65.016980000000004</v>
      </c>
      <c r="N52" s="4" t="s">
        <v>124</v>
      </c>
      <c r="O52" s="7">
        <v>1</v>
      </c>
      <c r="P52" s="7">
        <v>59.497501999999997</v>
      </c>
      <c r="Q52" s="7">
        <v>39.665000999999997</v>
      </c>
      <c r="R52" s="7">
        <v>50</v>
      </c>
      <c r="S52" s="7">
        <v>55.489179999999998</v>
      </c>
      <c r="T52" s="7">
        <v>74.540098</v>
      </c>
      <c r="U52" s="7">
        <v>36.992786000000002</v>
      </c>
      <c r="V52" s="7">
        <v>50</v>
      </c>
      <c r="W52" s="7">
        <v>55.263100000000001</v>
      </c>
      <c r="X52" s="7">
        <v>36.842066000000003</v>
      </c>
      <c r="Y52" s="7">
        <v>50</v>
      </c>
      <c r="Z52" s="7">
        <v>70.755536000000006</v>
      </c>
      <c r="AA52" s="7">
        <v>51.116075000000002</v>
      </c>
      <c r="AB52" s="7">
        <v>34.077382999999998</v>
      </c>
      <c r="AC52" s="7">
        <v>50</v>
      </c>
      <c r="AD52" s="7">
        <v>57.590204</v>
      </c>
      <c r="AE52" s="7">
        <v>38.393469000000003</v>
      </c>
      <c r="AF52" s="7">
        <v>50</v>
      </c>
      <c r="AG52" s="7">
        <v>53.536723000000002</v>
      </c>
      <c r="AH52" s="7">
        <v>71.522166999999996</v>
      </c>
      <c r="AI52" s="7">
        <v>35.691147999999998</v>
      </c>
      <c r="AJ52" s="7">
        <v>50</v>
      </c>
      <c r="AK52" s="7">
        <v>19.05</v>
      </c>
      <c r="AL52" s="7">
        <v>19.63</v>
      </c>
      <c r="AM52" s="7">
        <v>17.98</v>
      </c>
      <c r="AN52" s="7">
        <v>0.55476199999999998</v>
      </c>
      <c r="AO52" s="7">
        <v>55.476188999999998</v>
      </c>
      <c r="AP52" s="7">
        <v>100</v>
      </c>
      <c r="AQ52" s="7">
        <v>0.56925899999999996</v>
      </c>
      <c r="AR52" s="7">
        <v>56.925851000000002</v>
      </c>
      <c r="AS52" s="7">
        <v>100</v>
      </c>
      <c r="AT52" s="7">
        <v>0.527146</v>
      </c>
      <c r="AU52" s="7">
        <v>0.65001200000000003</v>
      </c>
      <c r="AV52" s="7">
        <v>52.714618000000002</v>
      </c>
      <c r="AW52" s="7">
        <v>100</v>
      </c>
      <c r="AX52" s="7">
        <v>0.52898000000000001</v>
      </c>
      <c r="AY52" s="7">
        <v>0.70782100000000003</v>
      </c>
      <c r="AZ52" s="7">
        <v>52.898040000000002</v>
      </c>
      <c r="BA52" s="7">
        <v>100</v>
      </c>
      <c r="BB52" s="7">
        <v>0.51980400000000004</v>
      </c>
      <c r="BC52" s="7">
        <v>25.990223</v>
      </c>
      <c r="BD52" s="7">
        <v>50</v>
      </c>
      <c r="BE52" s="7">
        <v>0.39960299999999999</v>
      </c>
      <c r="BF52" s="7">
        <v>19.980143000000002</v>
      </c>
      <c r="BG52" s="7">
        <v>50</v>
      </c>
      <c r="BH52" s="7">
        <v>0</v>
      </c>
      <c r="BI52" s="7">
        <v>0.98565100000000005</v>
      </c>
      <c r="BJ52" s="7">
        <v>0.98342499999999999</v>
      </c>
      <c r="BK52" s="7">
        <v>0.99450499999999997</v>
      </c>
      <c r="BL52" s="7">
        <v>0.98231999999999997</v>
      </c>
      <c r="BM52" s="7">
        <v>0.97925300000000004</v>
      </c>
      <c r="BN52" s="7">
        <v>0.99450499999999997</v>
      </c>
      <c r="BO52" s="7">
        <v>0.97575800000000001</v>
      </c>
      <c r="BP52" s="7">
        <v>0.97297299999999998</v>
      </c>
      <c r="BQ52" s="7">
        <v>0.98591499999999999</v>
      </c>
      <c r="BR52" s="7">
        <v>0.17874200000000001</v>
      </c>
      <c r="BS52" s="7">
        <v>24.251515999999999</v>
      </c>
      <c r="BT52" s="7">
        <v>50</v>
      </c>
      <c r="BU52" s="7">
        <v>0.20502699999999999</v>
      </c>
      <c r="BV52" s="7">
        <v>18.994501</v>
      </c>
      <c r="BW52" s="7">
        <v>50</v>
      </c>
      <c r="BX52" s="7">
        <v>0.75261299999999998</v>
      </c>
      <c r="BY52" s="7">
        <v>50</v>
      </c>
      <c r="BZ52" s="7">
        <v>50</v>
      </c>
      <c r="CA52" s="7">
        <v>0.13588900000000001</v>
      </c>
      <c r="CB52" s="7">
        <v>9.0592330000000008</v>
      </c>
      <c r="CC52" s="7">
        <v>50</v>
      </c>
      <c r="CD52" s="7">
        <v>0.72389800000000004</v>
      </c>
      <c r="CE52" s="7">
        <v>38.505208000000003</v>
      </c>
      <c r="CF52" s="7">
        <v>50</v>
      </c>
      <c r="CG52" s="7">
        <v>0.85185200000000005</v>
      </c>
      <c r="CH52" s="7">
        <v>90.622536999999994</v>
      </c>
      <c r="CI52" s="7">
        <v>100</v>
      </c>
      <c r="CJ52" s="7">
        <v>0</v>
      </c>
      <c r="CK52" s="7">
        <v>0.86324800000000002</v>
      </c>
      <c r="CL52" s="7">
        <v>91.834879000000001</v>
      </c>
      <c r="CM52" s="7">
        <v>100</v>
      </c>
      <c r="CN52" s="7">
        <v>0.39300000000000002</v>
      </c>
      <c r="CO52" s="7">
        <v>52.413792999999998</v>
      </c>
      <c r="CP52" s="7">
        <v>100</v>
      </c>
      <c r="CQ52" s="7">
        <v>0.47126400000000002</v>
      </c>
      <c r="CR52" s="7">
        <v>0.94940500000000005</v>
      </c>
      <c r="CS52" s="7">
        <v>31.417625000000001</v>
      </c>
      <c r="CT52" s="7">
        <v>50</v>
      </c>
      <c r="CU52" s="7">
        <v>0.65977699999999995</v>
      </c>
      <c r="CV52" s="7">
        <v>50</v>
      </c>
      <c r="CW52" s="7">
        <v>50</v>
      </c>
      <c r="CX52" s="7">
        <v>0.86324800000000002</v>
      </c>
      <c r="CY52" s="7">
        <v>0.94</v>
      </c>
      <c r="CZ52" s="7">
        <v>7.6752000000000001E-2</v>
      </c>
      <c r="DA52" s="7">
        <v>15.389535</v>
      </c>
      <c r="DB52" s="7">
        <v>17.608319000000002</v>
      </c>
      <c r="DC52" s="7">
        <v>16.064022999999999</v>
      </c>
      <c r="DD52" s="7">
        <v>11.115401</v>
      </c>
      <c r="DE52" s="4" t="s">
        <v>124</v>
      </c>
      <c r="DF52" s="6"/>
      <c r="DG52" s="6"/>
      <c r="DH52" s="6"/>
      <c r="DI52" s="6"/>
      <c r="DJ52" s="4" t="s">
        <v>124</v>
      </c>
      <c r="DK52" s="4" t="s">
        <v>124</v>
      </c>
      <c r="DL52" s="4" t="s">
        <v>124</v>
      </c>
      <c r="DM52" s="4" t="s">
        <v>124</v>
      </c>
      <c r="DN52" s="4" t="s">
        <v>124</v>
      </c>
      <c r="DO52" s="4" t="s">
        <v>124</v>
      </c>
      <c r="DP52" s="6"/>
      <c r="DQ52" s="4" t="s">
        <v>125</v>
      </c>
    </row>
    <row r="53" spans="1:121" ht="20" customHeight="1" x14ac:dyDescent="0.15">
      <c r="A53" s="5">
        <v>2018</v>
      </c>
      <c r="B53" s="3" t="s">
        <v>176</v>
      </c>
      <c r="C53" s="4" t="str">
        <f t="shared" ref="C53:C773" si="51">"1060011"</f>
        <v>1060011</v>
      </c>
      <c r="D53" s="4" t="s">
        <v>122</v>
      </c>
      <c r="E53" s="4" t="str">
        <f t="shared" si="1"/>
        <v>0000000</v>
      </c>
      <c r="F53" s="4" t="s">
        <v>122</v>
      </c>
      <c r="G53" s="4" t="s">
        <v>122</v>
      </c>
      <c r="H53" s="4" t="s">
        <v>122</v>
      </c>
      <c r="I53" s="6"/>
      <c r="J53" s="4" t="s">
        <v>123</v>
      </c>
      <c r="K53" s="7">
        <v>1237.6560280000001</v>
      </c>
      <c r="L53" s="7">
        <v>1450</v>
      </c>
      <c r="M53" s="7">
        <v>85.355587999999997</v>
      </c>
      <c r="N53" s="4" t="s">
        <v>124</v>
      </c>
      <c r="O53" s="7">
        <v>0</v>
      </c>
      <c r="P53" s="7">
        <v>74.363821999999999</v>
      </c>
      <c r="Q53" s="7">
        <v>49.575881000000003</v>
      </c>
      <c r="R53" s="7">
        <v>50</v>
      </c>
      <c r="S53" s="7">
        <v>66.002351000000004</v>
      </c>
      <c r="T53" s="7">
        <v>75</v>
      </c>
      <c r="U53" s="7">
        <v>44.001567000000001</v>
      </c>
      <c r="V53" s="7">
        <v>50</v>
      </c>
      <c r="W53" s="7">
        <v>70.930454999999995</v>
      </c>
      <c r="X53" s="7">
        <v>47.286969999999997</v>
      </c>
      <c r="Y53" s="7">
        <v>50</v>
      </c>
      <c r="Z53" s="7">
        <v>75</v>
      </c>
      <c r="AA53" s="7">
        <v>61.729478</v>
      </c>
      <c r="AB53" s="7">
        <v>41.152985000000001</v>
      </c>
      <c r="AC53" s="7">
        <v>50</v>
      </c>
      <c r="AD53" s="7">
        <v>70.538134999999997</v>
      </c>
      <c r="AE53" s="7">
        <v>47.025423000000004</v>
      </c>
      <c r="AF53" s="7">
        <v>50</v>
      </c>
      <c r="AG53" s="7">
        <v>60.121375</v>
      </c>
      <c r="AH53" s="7">
        <v>75</v>
      </c>
      <c r="AI53" s="7">
        <v>40.080916000000002</v>
      </c>
      <c r="AJ53" s="7">
        <v>50</v>
      </c>
      <c r="AK53" s="7">
        <v>8.99</v>
      </c>
      <c r="AL53" s="7">
        <v>13.27</v>
      </c>
      <c r="AM53" s="7">
        <v>14.87</v>
      </c>
      <c r="AN53" s="7">
        <v>0.78573599999999999</v>
      </c>
      <c r="AO53" s="7">
        <v>78.573566</v>
      </c>
      <c r="AP53" s="7">
        <v>100</v>
      </c>
      <c r="AQ53" s="7">
        <v>0.80858300000000005</v>
      </c>
      <c r="AR53" s="7">
        <v>80.858277999999999</v>
      </c>
      <c r="AS53" s="7">
        <v>100</v>
      </c>
      <c r="AT53" s="7">
        <v>0.764351</v>
      </c>
      <c r="AU53" s="7">
        <v>0.798566</v>
      </c>
      <c r="AV53" s="7">
        <v>76.435109999999995</v>
      </c>
      <c r="AW53" s="7">
        <v>100</v>
      </c>
      <c r="AX53" s="7">
        <v>0.77885499999999996</v>
      </c>
      <c r="AY53" s="7">
        <v>0.82655299999999998</v>
      </c>
      <c r="AZ53" s="7">
        <v>77.885452999999998</v>
      </c>
      <c r="BA53" s="7">
        <v>100</v>
      </c>
      <c r="BB53" s="7">
        <v>0.65198699999999998</v>
      </c>
      <c r="BC53" s="7">
        <v>32.599370999999998</v>
      </c>
      <c r="BD53" s="7">
        <v>50</v>
      </c>
      <c r="BE53" s="7">
        <v>0.45308500000000002</v>
      </c>
      <c r="BF53" s="7">
        <v>22.654253000000001</v>
      </c>
      <c r="BG53" s="7">
        <v>50</v>
      </c>
      <c r="BH53" s="7">
        <v>1</v>
      </c>
      <c r="BI53" s="7">
        <v>0.97586700000000004</v>
      </c>
      <c r="BJ53" s="7">
        <v>0.96899199999999996</v>
      </c>
      <c r="BK53" s="7">
        <v>0.98024699999999998</v>
      </c>
      <c r="BL53" s="7">
        <v>0.97586700000000004</v>
      </c>
      <c r="BM53" s="7">
        <v>0.97286799999999996</v>
      </c>
      <c r="BN53" s="7">
        <v>0.97777800000000004</v>
      </c>
      <c r="BO53" s="7">
        <v>0.93377500000000002</v>
      </c>
      <c r="BP53" s="7">
        <v>0.877193</v>
      </c>
      <c r="BQ53" s="7">
        <v>0.96808499999999997</v>
      </c>
      <c r="BR53" s="7">
        <v>8.0135999999999999E-2</v>
      </c>
      <c r="BS53" s="7">
        <v>43.972720000000002</v>
      </c>
      <c r="BT53" s="7">
        <v>50</v>
      </c>
      <c r="BU53" s="7">
        <v>0.14221200000000001</v>
      </c>
      <c r="BV53" s="7">
        <v>31.557562000000001</v>
      </c>
      <c r="BW53" s="7">
        <v>50</v>
      </c>
      <c r="BX53" s="7">
        <v>0.83263600000000004</v>
      </c>
      <c r="BY53" s="7">
        <v>50</v>
      </c>
      <c r="BZ53" s="7">
        <v>50</v>
      </c>
      <c r="CA53" s="7">
        <v>0.62343099999999996</v>
      </c>
      <c r="CB53" s="7">
        <v>41.562063999999999</v>
      </c>
      <c r="CC53" s="7">
        <v>50</v>
      </c>
      <c r="CD53" s="7">
        <v>0.98429299999999997</v>
      </c>
      <c r="CE53" s="7">
        <v>50</v>
      </c>
      <c r="CF53" s="7">
        <v>50</v>
      </c>
      <c r="CG53" s="7">
        <v>0.96363600000000005</v>
      </c>
      <c r="CH53" s="7">
        <v>100</v>
      </c>
      <c r="CI53" s="7">
        <v>100</v>
      </c>
      <c r="CJ53" s="7">
        <v>0</v>
      </c>
      <c r="CK53" s="7">
        <v>0.92307700000000004</v>
      </c>
      <c r="CL53" s="7">
        <v>98.199673000000004</v>
      </c>
      <c r="CM53" s="7">
        <v>100</v>
      </c>
      <c r="CN53" s="7">
        <v>0.85299999999999998</v>
      </c>
      <c r="CO53" s="7">
        <v>100</v>
      </c>
      <c r="CP53" s="7">
        <v>100</v>
      </c>
      <c r="CQ53" s="7">
        <v>0.51351400000000003</v>
      </c>
      <c r="CR53" s="7">
        <v>0.94871799999999995</v>
      </c>
      <c r="CS53" s="7">
        <v>34.234234000000001</v>
      </c>
      <c r="CT53" s="7">
        <v>50</v>
      </c>
      <c r="CU53" s="7">
        <v>0.76765399999999995</v>
      </c>
      <c r="CV53" s="7">
        <v>50</v>
      </c>
      <c r="CW53" s="7">
        <v>50</v>
      </c>
      <c r="CX53" s="7">
        <v>0.92307700000000004</v>
      </c>
      <c r="CY53" s="7">
        <v>0.94</v>
      </c>
      <c r="CZ53" s="7">
        <v>1.6923000000000001E-2</v>
      </c>
      <c r="DA53" s="7">
        <v>15.389535</v>
      </c>
      <c r="DB53" s="7">
        <v>17.608319000000002</v>
      </c>
      <c r="DC53" s="7">
        <v>16.064022999999999</v>
      </c>
      <c r="DD53" s="7">
        <v>11.115401</v>
      </c>
      <c r="DE53" s="4" t="s">
        <v>124</v>
      </c>
      <c r="DF53" s="6"/>
      <c r="DG53" s="6"/>
      <c r="DH53" s="6"/>
      <c r="DI53" s="6"/>
      <c r="DJ53" s="4" t="s">
        <v>124</v>
      </c>
      <c r="DK53" s="4" t="s">
        <v>124</v>
      </c>
      <c r="DL53" s="4" t="s">
        <v>124</v>
      </c>
      <c r="DM53" s="4" t="s">
        <v>124</v>
      </c>
      <c r="DN53" s="4" t="s">
        <v>124</v>
      </c>
      <c r="DO53" s="4" t="s">
        <v>124</v>
      </c>
      <c r="DP53" s="6"/>
      <c r="DQ53" s="4" t="s">
        <v>125</v>
      </c>
    </row>
    <row r="54" spans="1:121" ht="20" customHeight="1" x14ac:dyDescent="0.15">
      <c r="A54" s="5">
        <v>2018</v>
      </c>
      <c r="B54" s="3" t="s">
        <v>177</v>
      </c>
      <c r="C54" s="4" t="str">
        <f t="shared" ref="C54:C1095" si="52">"2070012"</f>
        <v>2070012</v>
      </c>
      <c r="D54" s="4" t="s">
        <v>122</v>
      </c>
      <c r="E54" s="4" t="str">
        <f t="shared" si="1"/>
        <v>0000000</v>
      </c>
      <c r="F54" s="4" t="s">
        <v>122</v>
      </c>
      <c r="G54" s="4" t="s">
        <v>122</v>
      </c>
      <c r="H54" s="4" t="s">
        <v>122</v>
      </c>
      <c r="I54" s="6"/>
      <c r="J54" s="4" t="s">
        <v>123</v>
      </c>
      <c r="K54" s="7">
        <v>1081.7591130000001</v>
      </c>
      <c r="L54" s="7">
        <v>1350</v>
      </c>
      <c r="M54" s="7">
        <v>80.130305000000007</v>
      </c>
      <c r="N54" s="4" t="s">
        <v>124</v>
      </c>
      <c r="O54" s="7">
        <v>1</v>
      </c>
      <c r="P54" s="7">
        <v>71.333532000000005</v>
      </c>
      <c r="Q54" s="7">
        <v>47.555688000000004</v>
      </c>
      <c r="R54" s="7">
        <v>50</v>
      </c>
      <c r="S54" s="7">
        <v>59.695936000000003</v>
      </c>
      <c r="T54" s="7">
        <v>75</v>
      </c>
      <c r="U54" s="7">
        <v>39.797291000000001</v>
      </c>
      <c r="V54" s="7">
        <v>50</v>
      </c>
      <c r="W54" s="7">
        <v>63.769354</v>
      </c>
      <c r="X54" s="7">
        <v>42.512901999999997</v>
      </c>
      <c r="Y54" s="7">
        <v>50</v>
      </c>
      <c r="Z54" s="7">
        <v>69.543695999999997</v>
      </c>
      <c r="AA54" s="7">
        <v>48.832417999999997</v>
      </c>
      <c r="AB54" s="7">
        <v>32.554944999999996</v>
      </c>
      <c r="AC54" s="7">
        <v>50</v>
      </c>
      <c r="AD54" s="7">
        <v>67.033449000000005</v>
      </c>
      <c r="AE54" s="7">
        <v>44.688966000000001</v>
      </c>
      <c r="AF54" s="7">
        <v>50</v>
      </c>
      <c r="AG54" s="7">
        <v>58.586072000000001</v>
      </c>
      <c r="AH54" s="7">
        <v>70.017156</v>
      </c>
      <c r="AI54" s="7">
        <v>39.057380999999999</v>
      </c>
      <c r="AJ54" s="7">
        <v>50</v>
      </c>
      <c r="AK54" s="7">
        <v>15.3</v>
      </c>
      <c r="AL54" s="7">
        <v>20.71</v>
      </c>
      <c r="AM54" s="7">
        <v>11.43</v>
      </c>
      <c r="AN54" s="7">
        <v>0.65757699999999997</v>
      </c>
      <c r="AO54" s="7">
        <v>65.757733000000002</v>
      </c>
      <c r="AP54" s="7">
        <v>100</v>
      </c>
      <c r="AQ54" s="7">
        <v>0.552728</v>
      </c>
      <c r="AR54" s="7">
        <v>55.272759000000001</v>
      </c>
      <c r="AS54" s="7">
        <v>100</v>
      </c>
      <c r="AT54" s="7">
        <v>0.58753500000000003</v>
      </c>
      <c r="AU54" s="7">
        <v>0.68786599999999998</v>
      </c>
      <c r="AV54" s="7">
        <v>58.753509999999999</v>
      </c>
      <c r="AW54" s="7">
        <v>100</v>
      </c>
      <c r="AX54" s="7">
        <v>0.38661899999999999</v>
      </c>
      <c r="AY54" s="7">
        <v>0.62404599999999999</v>
      </c>
      <c r="AZ54" s="7">
        <v>38.661867000000001</v>
      </c>
      <c r="BA54" s="7">
        <v>100</v>
      </c>
      <c r="BB54" s="4" t="s">
        <v>124</v>
      </c>
      <c r="BC54" s="4" t="s">
        <v>124</v>
      </c>
      <c r="BD54" s="4" t="s">
        <v>124</v>
      </c>
      <c r="BE54" s="4" t="s">
        <v>124</v>
      </c>
      <c r="BF54" s="4" t="s">
        <v>124</v>
      </c>
      <c r="BG54" s="4" t="s">
        <v>124</v>
      </c>
      <c r="BH54" s="7">
        <v>1</v>
      </c>
      <c r="BI54" s="7">
        <v>0.954148</v>
      </c>
      <c r="BJ54" s="7">
        <v>0.90977399999999997</v>
      </c>
      <c r="BK54" s="7">
        <v>0.97230799999999995</v>
      </c>
      <c r="BL54" s="7">
        <v>0.95196499999999995</v>
      </c>
      <c r="BM54" s="7">
        <v>0.90977399999999997</v>
      </c>
      <c r="BN54" s="7">
        <v>0.96923099999999995</v>
      </c>
      <c r="BO54" s="7">
        <v>0.96103899999999998</v>
      </c>
      <c r="BP54" s="7">
        <v>0.92771099999999995</v>
      </c>
      <c r="BQ54" s="7">
        <v>0.973333</v>
      </c>
      <c r="BR54" s="7">
        <v>7.8007999999999994E-2</v>
      </c>
      <c r="BS54" s="7">
        <v>44.398496000000002</v>
      </c>
      <c r="BT54" s="7">
        <v>50</v>
      </c>
      <c r="BU54" s="7">
        <v>0.13355</v>
      </c>
      <c r="BV54" s="7">
        <v>33.289901999999998</v>
      </c>
      <c r="BW54" s="7">
        <v>50</v>
      </c>
      <c r="BX54" s="7">
        <v>0.93297600000000003</v>
      </c>
      <c r="BY54" s="7">
        <v>50</v>
      </c>
      <c r="BZ54" s="7">
        <v>50</v>
      </c>
      <c r="CA54" s="7">
        <v>0.643432</v>
      </c>
      <c r="CB54" s="7">
        <v>42.895442000000003</v>
      </c>
      <c r="CC54" s="7">
        <v>50</v>
      </c>
      <c r="CD54" s="7">
        <v>0.96470599999999995</v>
      </c>
      <c r="CE54" s="7">
        <v>50</v>
      </c>
      <c r="CF54" s="7">
        <v>50</v>
      </c>
      <c r="CG54" s="7">
        <v>0.98181799999999997</v>
      </c>
      <c r="CH54" s="7">
        <v>100</v>
      </c>
      <c r="CI54" s="7">
        <v>100</v>
      </c>
      <c r="CJ54" s="7">
        <v>0</v>
      </c>
      <c r="CK54" s="7">
        <v>0.97872300000000001</v>
      </c>
      <c r="CL54" s="7">
        <v>100</v>
      </c>
      <c r="CM54" s="7">
        <v>100</v>
      </c>
      <c r="CN54" s="7">
        <v>0.77</v>
      </c>
      <c r="CO54" s="7">
        <v>100</v>
      </c>
      <c r="CP54" s="7">
        <v>100</v>
      </c>
      <c r="CQ54" s="7">
        <v>0.75792499999999996</v>
      </c>
      <c r="CR54" s="7">
        <v>0.96927399999999997</v>
      </c>
      <c r="CS54" s="7">
        <v>50</v>
      </c>
      <c r="CT54" s="7">
        <v>50</v>
      </c>
      <c r="CU54" s="7">
        <v>0.55874699999999999</v>
      </c>
      <c r="CV54" s="7">
        <v>46.562227999999998</v>
      </c>
      <c r="CW54" s="7">
        <v>50</v>
      </c>
      <c r="CX54" s="7">
        <v>0.97872300000000001</v>
      </c>
      <c r="CY54" s="7">
        <v>0.94</v>
      </c>
      <c r="CZ54" s="7">
        <v>-3.8723E-2</v>
      </c>
      <c r="DA54" s="7">
        <v>15.389535</v>
      </c>
      <c r="DB54" s="7">
        <v>17.608319000000002</v>
      </c>
      <c r="DC54" s="7">
        <v>16.064022999999999</v>
      </c>
      <c r="DD54" s="7">
        <v>11.115401</v>
      </c>
      <c r="DE54" s="4" t="s">
        <v>124</v>
      </c>
      <c r="DF54" s="6"/>
      <c r="DG54" s="6"/>
      <c r="DH54" s="6"/>
      <c r="DI54" s="6"/>
      <c r="DJ54" s="4" t="s">
        <v>124</v>
      </c>
      <c r="DK54" s="4" t="s">
        <v>124</v>
      </c>
      <c r="DL54" s="4" t="s">
        <v>124</v>
      </c>
      <c r="DM54" s="4" t="s">
        <v>124</v>
      </c>
      <c r="DN54" s="4" t="s">
        <v>124</v>
      </c>
      <c r="DO54" s="4" t="s">
        <v>124</v>
      </c>
      <c r="DP54" s="6"/>
      <c r="DQ54" s="4" t="s">
        <v>125</v>
      </c>
    </row>
    <row r="55" spans="1:121" ht="20" customHeight="1" x14ac:dyDescent="0.15">
      <c r="A55" s="5">
        <v>2018</v>
      </c>
      <c r="B55" s="3" t="s">
        <v>178</v>
      </c>
      <c r="C55" s="4" t="str">
        <f t="shared" ref="C55:C1097" si="53">"2080012"</f>
        <v>2080012</v>
      </c>
      <c r="D55" s="4" t="s">
        <v>122</v>
      </c>
      <c r="E55" s="4" t="str">
        <f t="shared" si="1"/>
        <v>0000000</v>
      </c>
      <c r="F55" s="4" t="s">
        <v>122</v>
      </c>
      <c r="G55" s="4" t="s">
        <v>122</v>
      </c>
      <c r="H55" s="4" t="s">
        <v>122</v>
      </c>
      <c r="I55" s="6"/>
      <c r="J55" s="4" t="s">
        <v>123</v>
      </c>
      <c r="K55" s="7">
        <v>1020.108869</v>
      </c>
      <c r="L55" s="7">
        <v>1350</v>
      </c>
      <c r="M55" s="7">
        <v>75.56362</v>
      </c>
      <c r="N55" s="4" t="s">
        <v>124</v>
      </c>
      <c r="O55" s="7">
        <v>1</v>
      </c>
      <c r="P55" s="7">
        <v>70.710881999999998</v>
      </c>
      <c r="Q55" s="7">
        <v>47.140588000000001</v>
      </c>
      <c r="R55" s="7">
        <v>50</v>
      </c>
      <c r="S55" s="7">
        <v>56.598363999999997</v>
      </c>
      <c r="T55" s="7">
        <v>75</v>
      </c>
      <c r="U55" s="7">
        <v>37.732241999999999</v>
      </c>
      <c r="V55" s="7">
        <v>50</v>
      </c>
      <c r="W55" s="7">
        <v>68.296667999999997</v>
      </c>
      <c r="X55" s="7">
        <v>45.531112</v>
      </c>
      <c r="Y55" s="7">
        <v>50</v>
      </c>
      <c r="Z55" s="7">
        <v>73.546772000000004</v>
      </c>
      <c r="AA55" s="7">
        <v>52.429685999999997</v>
      </c>
      <c r="AB55" s="7">
        <v>34.953124000000003</v>
      </c>
      <c r="AC55" s="7">
        <v>50</v>
      </c>
      <c r="AD55" s="7">
        <v>69.788781999999998</v>
      </c>
      <c r="AE55" s="7">
        <v>46.525855</v>
      </c>
      <c r="AF55" s="7">
        <v>50</v>
      </c>
      <c r="AG55" s="7">
        <v>57.038103999999997</v>
      </c>
      <c r="AH55" s="7">
        <v>73.841052000000005</v>
      </c>
      <c r="AI55" s="7">
        <v>38.025402999999997</v>
      </c>
      <c r="AJ55" s="7">
        <v>50</v>
      </c>
      <c r="AK55" s="7">
        <v>18.399999999999999</v>
      </c>
      <c r="AL55" s="7">
        <v>21.11</v>
      </c>
      <c r="AM55" s="7">
        <v>16.8</v>
      </c>
      <c r="AN55" s="7">
        <v>0.51330500000000001</v>
      </c>
      <c r="AO55" s="7">
        <v>51.330506999999997</v>
      </c>
      <c r="AP55" s="7">
        <v>100</v>
      </c>
      <c r="AQ55" s="7">
        <v>0.545821</v>
      </c>
      <c r="AR55" s="7">
        <v>54.582129000000002</v>
      </c>
      <c r="AS55" s="7">
        <v>100</v>
      </c>
      <c r="AT55" s="7">
        <v>0.39852900000000002</v>
      </c>
      <c r="AU55" s="7">
        <v>0.55408500000000005</v>
      </c>
      <c r="AV55" s="7">
        <v>39.852871</v>
      </c>
      <c r="AW55" s="7">
        <v>100</v>
      </c>
      <c r="AX55" s="7">
        <v>0.40310200000000002</v>
      </c>
      <c r="AY55" s="7">
        <v>0.59653</v>
      </c>
      <c r="AZ55" s="7">
        <v>40.310214999999999</v>
      </c>
      <c r="BA55" s="7">
        <v>100</v>
      </c>
      <c r="BB55" s="4" t="s">
        <v>124</v>
      </c>
      <c r="BC55" s="4" t="s">
        <v>124</v>
      </c>
      <c r="BD55" s="4" t="s">
        <v>124</v>
      </c>
      <c r="BE55" s="4" t="s">
        <v>124</v>
      </c>
      <c r="BF55" s="4" t="s">
        <v>124</v>
      </c>
      <c r="BG55" s="4" t="s">
        <v>124</v>
      </c>
      <c r="BH55" s="7">
        <v>0</v>
      </c>
      <c r="BI55" s="7">
        <v>0.98921800000000004</v>
      </c>
      <c r="BJ55" s="7">
        <v>0.98941800000000002</v>
      </c>
      <c r="BK55" s="7">
        <v>0.98914999999999997</v>
      </c>
      <c r="BL55" s="7">
        <v>0.98921800000000004</v>
      </c>
      <c r="BM55" s="7">
        <v>0.98941800000000002</v>
      </c>
      <c r="BN55" s="7">
        <v>0.98914999999999997</v>
      </c>
      <c r="BO55" s="7">
        <v>0.98377300000000001</v>
      </c>
      <c r="BP55" s="7">
        <v>0.97541</v>
      </c>
      <c r="BQ55" s="7">
        <v>0.98652300000000004</v>
      </c>
      <c r="BR55" s="7">
        <v>7.3640999999999998E-2</v>
      </c>
      <c r="BS55" s="7">
        <v>45.271850999999998</v>
      </c>
      <c r="BT55" s="7">
        <v>50</v>
      </c>
      <c r="BU55" s="7">
        <v>0.20177999999999999</v>
      </c>
      <c r="BV55" s="7">
        <v>19.643916999999998</v>
      </c>
      <c r="BW55" s="7">
        <v>50</v>
      </c>
      <c r="BX55" s="7">
        <v>0.859155</v>
      </c>
      <c r="BY55" s="7">
        <v>50</v>
      </c>
      <c r="BZ55" s="7">
        <v>50</v>
      </c>
      <c r="CA55" s="7">
        <v>0.67001999999999995</v>
      </c>
      <c r="CB55" s="7">
        <v>44.668008</v>
      </c>
      <c r="CC55" s="7">
        <v>50</v>
      </c>
      <c r="CD55" s="7">
        <v>0.95305200000000001</v>
      </c>
      <c r="CE55" s="7">
        <v>50</v>
      </c>
      <c r="CF55" s="7">
        <v>50</v>
      </c>
      <c r="CG55" s="7">
        <v>0.94505499999999998</v>
      </c>
      <c r="CH55" s="7">
        <v>100</v>
      </c>
      <c r="CI55" s="7">
        <v>100</v>
      </c>
      <c r="CJ55" s="7">
        <v>0</v>
      </c>
      <c r="CK55" s="7">
        <v>0.89090899999999995</v>
      </c>
      <c r="CL55" s="7">
        <v>94.777563000000001</v>
      </c>
      <c r="CM55" s="7">
        <v>100</v>
      </c>
      <c r="CN55" s="7">
        <v>0.84699999999999998</v>
      </c>
      <c r="CO55" s="7">
        <v>100</v>
      </c>
      <c r="CP55" s="7">
        <v>100</v>
      </c>
      <c r="CQ55" s="7">
        <v>0.67756000000000005</v>
      </c>
      <c r="CR55" s="7">
        <v>0.91800000000000004</v>
      </c>
      <c r="CS55" s="7">
        <v>45.170661000000003</v>
      </c>
      <c r="CT55" s="7">
        <v>50</v>
      </c>
      <c r="CU55" s="7">
        <v>0.41511399999999998</v>
      </c>
      <c r="CV55" s="7">
        <v>34.592823000000003</v>
      </c>
      <c r="CW55" s="7">
        <v>50</v>
      </c>
      <c r="CX55" s="7">
        <v>0.89090899999999995</v>
      </c>
      <c r="CY55" s="7">
        <v>0.94</v>
      </c>
      <c r="CZ55" s="7">
        <v>4.9091000000000003E-2</v>
      </c>
      <c r="DA55" s="7">
        <v>15.389535</v>
      </c>
      <c r="DB55" s="7">
        <v>17.608319000000002</v>
      </c>
      <c r="DC55" s="7">
        <v>16.064022999999999</v>
      </c>
      <c r="DD55" s="7">
        <v>11.115401</v>
      </c>
      <c r="DE55" s="4" t="s">
        <v>124</v>
      </c>
      <c r="DF55" s="6"/>
      <c r="DG55" s="6"/>
      <c r="DH55" s="6"/>
      <c r="DI55" s="6"/>
      <c r="DJ55" s="4" t="s">
        <v>124</v>
      </c>
      <c r="DK55" s="4" t="s">
        <v>124</v>
      </c>
      <c r="DL55" s="4" t="s">
        <v>124</v>
      </c>
      <c r="DM55" s="4" t="s">
        <v>124</v>
      </c>
      <c r="DN55" s="4" t="s">
        <v>124</v>
      </c>
      <c r="DO55" s="4" t="s">
        <v>124</v>
      </c>
      <c r="DP55" s="6"/>
      <c r="DQ55" s="4" t="s">
        <v>125</v>
      </c>
    </row>
    <row r="56" spans="1:121" ht="20" customHeight="1" x14ac:dyDescent="0.15">
      <c r="A56" s="5">
        <v>2018</v>
      </c>
      <c r="B56" s="3" t="s">
        <v>179</v>
      </c>
      <c r="C56" s="4" t="str">
        <f t="shared" ref="C56:C1032" si="54">"1570011"</f>
        <v>1570011</v>
      </c>
      <c r="D56" s="4" t="s">
        <v>122</v>
      </c>
      <c r="E56" s="4" t="str">
        <f t="shared" si="1"/>
        <v>0000000</v>
      </c>
      <c r="F56" s="4" t="s">
        <v>122</v>
      </c>
      <c r="G56" s="4" t="s">
        <v>122</v>
      </c>
      <c r="H56" s="4" t="s">
        <v>122</v>
      </c>
      <c r="I56" s="6"/>
      <c r="J56" s="4" t="s">
        <v>123</v>
      </c>
      <c r="K56" s="7">
        <v>1153.2645</v>
      </c>
      <c r="L56" s="7">
        <v>1350</v>
      </c>
      <c r="M56" s="7">
        <v>85.427000000000007</v>
      </c>
      <c r="N56" s="4" t="s">
        <v>124</v>
      </c>
      <c r="O56" s="7">
        <v>1</v>
      </c>
      <c r="P56" s="7">
        <v>78.984392999999997</v>
      </c>
      <c r="Q56" s="7">
        <v>50</v>
      </c>
      <c r="R56" s="7">
        <v>50</v>
      </c>
      <c r="S56" s="7">
        <v>62.887067000000002</v>
      </c>
      <c r="T56" s="7">
        <v>75</v>
      </c>
      <c r="U56" s="7">
        <v>41.924711000000002</v>
      </c>
      <c r="V56" s="7">
        <v>50</v>
      </c>
      <c r="W56" s="7">
        <v>76.472148000000004</v>
      </c>
      <c r="X56" s="7">
        <v>50</v>
      </c>
      <c r="Y56" s="7">
        <v>50</v>
      </c>
      <c r="Z56" s="7">
        <v>75</v>
      </c>
      <c r="AA56" s="7">
        <v>59.941988000000002</v>
      </c>
      <c r="AB56" s="7">
        <v>39.961325000000002</v>
      </c>
      <c r="AC56" s="7">
        <v>50</v>
      </c>
      <c r="AD56" s="7">
        <v>80.385846999999998</v>
      </c>
      <c r="AE56" s="7">
        <v>50</v>
      </c>
      <c r="AF56" s="7">
        <v>50</v>
      </c>
      <c r="AG56" s="7">
        <v>58.142946000000002</v>
      </c>
      <c r="AH56" s="7">
        <v>75</v>
      </c>
      <c r="AI56" s="7">
        <v>38.761963999999999</v>
      </c>
      <c r="AJ56" s="7">
        <v>50</v>
      </c>
      <c r="AK56" s="7">
        <v>12.11</v>
      </c>
      <c r="AL56" s="7">
        <v>15.05</v>
      </c>
      <c r="AM56" s="7">
        <v>16.850000000000001</v>
      </c>
      <c r="AN56" s="7">
        <v>0.64650799999999997</v>
      </c>
      <c r="AO56" s="7">
        <v>64.650782000000007</v>
      </c>
      <c r="AP56" s="7">
        <v>100</v>
      </c>
      <c r="AQ56" s="7">
        <v>0.75123200000000001</v>
      </c>
      <c r="AR56" s="7">
        <v>75.123243000000002</v>
      </c>
      <c r="AS56" s="7">
        <v>100</v>
      </c>
      <c r="AT56" s="7">
        <v>0.52603299999999997</v>
      </c>
      <c r="AU56" s="7">
        <v>0.66233900000000001</v>
      </c>
      <c r="AV56" s="7">
        <v>52.603347999999997</v>
      </c>
      <c r="AW56" s="7">
        <v>100</v>
      </c>
      <c r="AX56" s="7">
        <v>0.64174799999999999</v>
      </c>
      <c r="AY56" s="7">
        <v>0.76571400000000001</v>
      </c>
      <c r="AZ56" s="7">
        <v>64.174814999999995</v>
      </c>
      <c r="BA56" s="7">
        <v>100</v>
      </c>
      <c r="BB56" s="4" t="s">
        <v>124</v>
      </c>
      <c r="BC56" s="4" t="s">
        <v>124</v>
      </c>
      <c r="BD56" s="4" t="s">
        <v>124</v>
      </c>
      <c r="BE56" s="4" t="s">
        <v>124</v>
      </c>
      <c r="BF56" s="4" t="s">
        <v>124</v>
      </c>
      <c r="BG56" s="4" t="s">
        <v>124</v>
      </c>
      <c r="BH56" s="7">
        <v>0</v>
      </c>
      <c r="BI56" s="7">
        <v>0.98904499999999995</v>
      </c>
      <c r="BJ56" s="7">
        <v>0.96571399999999996</v>
      </c>
      <c r="BK56" s="7">
        <v>0.99274700000000005</v>
      </c>
      <c r="BL56" s="7">
        <v>0.98591499999999999</v>
      </c>
      <c r="BM56" s="7">
        <v>0.96571399999999996</v>
      </c>
      <c r="BN56" s="7">
        <v>0.98912100000000003</v>
      </c>
      <c r="BO56" s="7">
        <v>0.989286</v>
      </c>
      <c r="BP56" s="7">
        <v>0.97101400000000004</v>
      </c>
      <c r="BQ56" s="7">
        <v>0.99185299999999998</v>
      </c>
      <c r="BR56" s="7">
        <v>7.5347999999999998E-2</v>
      </c>
      <c r="BS56" s="7">
        <v>44.930314000000003</v>
      </c>
      <c r="BT56" s="7">
        <v>50</v>
      </c>
      <c r="BU56" s="7">
        <v>0.12956799999999999</v>
      </c>
      <c r="BV56" s="7">
        <v>34.086379000000001</v>
      </c>
      <c r="BW56" s="7">
        <v>50</v>
      </c>
      <c r="BX56" s="7">
        <v>0.98746900000000004</v>
      </c>
      <c r="BY56" s="7">
        <v>50</v>
      </c>
      <c r="BZ56" s="7">
        <v>50</v>
      </c>
      <c r="CA56" s="7">
        <v>0.84962400000000005</v>
      </c>
      <c r="CB56" s="7">
        <v>50</v>
      </c>
      <c r="CC56" s="7">
        <v>50</v>
      </c>
      <c r="CD56" s="7">
        <v>0.98746900000000004</v>
      </c>
      <c r="CE56" s="7">
        <v>50</v>
      </c>
      <c r="CF56" s="7">
        <v>50</v>
      </c>
      <c r="CG56" s="7">
        <v>0.98048800000000003</v>
      </c>
      <c r="CH56" s="7">
        <v>100</v>
      </c>
      <c r="CI56" s="7">
        <v>100</v>
      </c>
      <c r="CJ56" s="7">
        <v>0</v>
      </c>
      <c r="CK56" s="7">
        <v>0.96666700000000005</v>
      </c>
      <c r="CL56" s="7">
        <v>100</v>
      </c>
      <c r="CM56" s="7">
        <v>100</v>
      </c>
      <c r="CN56" s="7">
        <v>0.93100000000000005</v>
      </c>
      <c r="CO56" s="7">
        <v>100</v>
      </c>
      <c r="CP56" s="7">
        <v>100</v>
      </c>
      <c r="CQ56" s="7">
        <v>0.70571399999999995</v>
      </c>
      <c r="CR56" s="7">
        <v>0.93333299999999997</v>
      </c>
      <c r="CS56" s="7">
        <v>47.047618999999997</v>
      </c>
      <c r="CT56" s="7">
        <v>50</v>
      </c>
      <c r="CU56" s="7">
        <v>0.697044</v>
      </c>
      <c r="CV56" s="7">
        <v>50</v>
      </c>
      <c r="CW56" s="7">
        <v>50</v>
      </c>
      <c r="CX56" s="7">
        <v>0.96666700000000005</v>
      </c>
      <c r="CY56" s="7">
        <v>0.94</v>
      </c>
      <c r="CZ56" s="7">
        <v>-2.6667E-2</v>
      </c>
      <c r="DA56" s="7">
        <v>15.389535</v>
      </c>
      <c r="DB56" s="7">
        <v>17.608319000000002</v>
      </c>
      <c r="DC56" s="7">
        <v>16.064022999999999</v>
      </c>
      <c r="DD56" s="7">
        <v>11.115401</v>
      </c>
      <c r="DE56" s="4" t="s">
        <v>124</v>
      </c>
      <c r="DF56" s="6"/>
      <c r="DG56" s="6"/>
      <c r="DH56" s="6"/>
      <c r="DI56" s="6"/>
      <c r="DJ56" s="4" t="s">
        <v>124</v>
      </c>
      <c r="DK56" s="4" t="s">
        <v>124</v>
      </c>
      <c r="DL56" s="4" t="s">
        <v>124</v>
      </c>
      <c r="DM56" s="4" t="s">
        <v>124</v>
      </c>
      <c r="DN56" s="4" t="s">
        <v>124</v>
      </c>
      <c r="DO56" s="4" t="s">
        <v>124</v>
      </c>
      <c r="DP56" s="6"/>
      <c r="DQ56" s="4" t="s">
        <v>125</v>
      </c>
    </row>
    <row r="57" spans="1:121" ht="20" customHeight="1" x14ac:dyDescent="0.15">
      <c r="A57" s="5">
        <v>2018</v>
      </c>
      <c r="B57" s="3" t="s">
        <v>180</v>
      </c>
      <c r="C57" s="4" t="str">
        <f t="shared" ref="C57:C232" si="55">"0110011"</f>
        <v>0110011</v>
      </c>
      <c r="D57" s="4" t="s">
        <v>122</v>
      </c>
      <c r="E57" s="4" t="str">
        <f t="shared" si="1"/>
        <v>0000000</v>
      </c>
      <c r="F57" s="4" t="s">
        <v>122</v>
      </c>
      <c r="G57" s="4" t="s">
        <v>122</v>
      </c>
      <c r="H57" s="4" t="s">
        <v>122</v>
      </c>
      <c r="I57" s="6"/>
      <c r="J57" s="4" t="s">
        <v>123</v>
      </c>
      <c r="K57" s="7">
        <v>1042.9155840000001</v>
      </c>
      <c r="L57" s="7">
        <v>1450</v>
      </c>
      <c r="M57" s="7">
        <v>71.925212999999999</v>
      </c>
      <c r="N57" s="4" t="s">
        <v>124</v>
      </c>
      <c r="O57" s="7">
        <v>0</v>
      </c>
      <c r="P57" s="7">
        <v>59.491793000000001</v>
      </c>
      <c r="Q57" s="7">
        <v>39.661194999999999</v>
      </c>
      <c r="R57" s="7">
        <v>50</v>
      </c>
      <c r="S57" s="7">
        <v>56.522544000000003</v>
      </c>
      <c r="T57" s="7">
        <v>65.402628000000007</v>
      </c>
      <c r="U57" s="7">
        <v>37.681696000000002</v>
      </c>
      <c r="V57" s="7">
        <v>50</v>
      </c>
      <c r="W57" s="7">
        <v>54.089044999999999</v>
      </c>
      <c r="X57" s="7">
        <v>36.059362999999998</v>
      </c>
      <c r="Y57" s="7">
        <v>50</v>
      </c>
      <c r="Z57" s="7">
        <v>59.996017999999999</v>
      </c>
      <c r="AA57" s="7">
        <v>51.117099000000003</v>
      </c>
      <c r="AB57" s="7">
        <v>34.078066</v>
      </c>
      <c r="AC57" s="7">
        <v>50</v>
      </c>
      <c r="AD57" s="7">
        <v>54.565809000000002</v>
      </c>
      <c r="AE57" s="7">
        <v>36.377206000000001</v>
      </c>
      <c r="AF57" s="7">
        <v>50</v>
      </c>
      <c r="AG57" s="7">
        <v>52.145288000000001</v>
      </c>
      <c r="AH57" s="7">
        <v>58.324382999999997</v>
      </c>
      <c r="AI57" s="7">
        <v>34.763525000000001</v>
      </c>
      <c r="AJ57" s="7">
        <v>50</v>
      </c>
      <c r="AK57" s="7">
        <v>8.8800000000000008</v>
      </c>
      <c r="AL57" s="7">
        <v>8.8699999999999992</v>
      </c>
      <c r="AM57" s="7">
        <v>6.17</v>
      </c>
      <c r="AN57" s="7">
        <v>0.55296999999999996</v>
      </c>
      <c r="AO57" s="7">
        <v>55.297027999999997</v>
      </c>
      <c r="AP57" s="7">
        <v>100</v>
      </c>
      <c r="AQ57" s="7">
        <v>0.55446200000000001</v>
      </c>
      <c r="AR57" s="7">
        <v>55.446179999999998</v>
      </c>
      <c r="AS57" s="7">
        <v>100</v>
      </c>
      <c r="AT57" s="7">
        <v>0.55244199999999999</v>
      </c>
      <c r="AU57" s="7">
        <v>0.55415199999999998</v>
      </c>
      <c r="AV57" s="7">
        <v>55.244219999999999</v>
      </c>
      <c r="AW57" s="7">
        <v>100</v>
      </c>
      <c r="AX57" s="7">
        <v>0.55394100000000002</v>
      </c>
      <c r="AY57" s="7">
        <v>0.55562199999999995</v>
      </c>
      <c r="AZ57" s="7">
        <v>55.394105000000003</v>
      </c>
      <c r="BA57" s="7">
        <v>100</v>
      </c>
      <c r="BB57" s="7">
        <v>0.59444300000000005</v>
      </c>
      <c r="BC57" s="7">
        <v>29.722131000000001</v>
      </c>
      <c r="BD57" s="7">
        <v>50</v>
      </c>
      <c r="BE57" s="7">
        <v>0.62991699999999995</v>
      </c>
      <c r="BF57" s="7">
        <v>31.495832</v>
      </c>
      <c r="BG57" s="7">
        <v>50</v>
      </c>
      <c r="BH57" s="7">
        <v>0</v>
      </c>
      <c r="BI57" s="7">
        <v>0.99115900000000001</v>
      </c>
      <c r="BJ57" s="7">
        <v>0.99114999999999998</v>
      </c>
      <c r="BK57" s="7">
        <v>0.99117599999999995</v>
      </c>
      <c r="BL57" s="7">
        <v>0.99017699999999997</v>
      </c>
      <c r="BM57" s="7">
        <v>0.989676</v>
      </c>
      <c r="BN57" s="7">
        <v>0.99117599999999995</v>
      </c>
      <c r="BO57" s="7">
        <v>0.98160899999999995</v>
      </c>
      <c r="BP57" s="7">
        <v>0.98134299999999997</v>
      </c>
      <c r="BQ57" s="7">
        <v>0.98203600000000002</v>
      </c>
      <c r="BR57" s="7">
        <v>8.0644999999999994E-2</v>
      </c>
      <c r="BS57" s="7">
        <v>43.870967999999998</v>
      </c>
      <c r="BT57" s="7">
        <v>50</v>
      </c>
      <c r="BU57" s="7">
        <v>0.102424</v>
      </c>
      <c r="BV57" s="7">
        <v>39.515245999999998</v>
      </c>
      <c r="BW57" s="7">
        <v>50</v>
      </c>
      <c r="BX57" s="7">
        <v>0.64723900000000001</v>
      </c>
      <c r="BY57" s="7">
        <v>43.149284000000002</v>
      </c>
      <c r="BZ57" s="7">
        <v>50</v>
      </c>
      <c r="CA57" s="7">
        <v>0.19018399999999999</v>
      </c>
      <c r="CB57" s="7">
        <v>12.678936999999999</v>
      </c>
      <c r="CC57" s="7">
        <v>50</v>
      </c>
      <c r="CD57" s="7">
        <v>0.83793099999999998</v>
      </c>
      <c r="CE57" s="7">
        <v>44.570799999999998</v>
      </c>
      <c r="CF57" s="7">
        <v>50</v>
      </c>
      <c r="CG57" s="7">
        <v>0.875</v>
      </c>
      <c r="CH57" s="7">
        <v>93.085105999999996</v>
      </c>
      <c r="CI57" s="7">
        <v>100</v>
      </c>
      <c r="CJ57" s="7">
        <v>0</v>
      </c>
      <c r="CK57" s="7">
        <v>0.88541700000000001</v>
      </c>
      <c r="CL57" s="7">
        <v>94.193262000000004</v>
      </c>
      <c r="CM57" s="7">
        <v>100</v>
      </c>
      <c r="CN57" s="7">
        <v>0.69899999999999995</v>
      </c>
      <c r="CO57" s="7">
        <v>93.162392999999994</v>
      </c>
      <c r="CP57" s="7">
        <v>100</v>
      </c>
      <c r="CQ57" s="7">
        <v>0.56972800000000001</v>
      </c>
      <c r="CR57" s="7">
        <v>0.96078399999999997</v>
      </c>
      <c r="CS57" s="7">
        <v>37.981859</v>
      </c>
      <c r="CT57" s="7">
        <v>50</v>
      </c>
      <c r="CU57" s="7">
        <v>0.47384599999999999</v>
      </c>
      <c r="CV57" s="7">
        <v>39.487178999999998</v>
      </c>
      <c r="CW57" s="7">
        <v>50</v>
      </c>
      <c r="CX57" s="7">
        <v>0.88541700000000001</v>
      </c>
      <c r="CY57" s="7">
        <v>0.94</v>
      </c>
      <c r="CZ57" s="7">
        <v>5.4583E-2</v>
      </c>
      <c r="DA57" s="7">
        <v>15.389535</v>
      </c>
      <c r="DB57" s="7">
        <v>17.608319000000002</v>
      </c>
      <c r="DC57" s="7">
        <v>16.064022999999999</v>
      </c>
      <c r="DD57" s="7">
        <v>11.115401</v>
      </c>
      <c r="DE57" s="4" t="s">
        <v>124</v>
      </c>
      <c r="DF57" s="6"/>
      <c r="DG57" s="6"/>
      <c r="DH57" s="6"/>
      <c r="DI57" s="6"/>
      <c r="DJ57" s="4" t="s">
        <v>124</v>
      </c>
      <c r="DK57" s="4" t="s">
        <v>124</v>
      </c>
      <c r="DL57" s="4" t="s">
        <v>124</v>
      </c>
      <c r="DM57" s="4" t="s">
        <v>124</v>
      </c>
      <c r="DN57" s="4" t="s">
        <v>124</v>
      </c>
      <c r="DO57" s="4" t="s">
        <v>124</v>
      </c>
      <c r="DP57" s="6"/>
      <c r="DQ57" s="4" t="s">
        <v>125</v>
      </c>
    </row>
    <row r="58" spans="1:121" ht="20" customHeight="1" x14ac:dyDescent="0.15">
      <c r="A58" s="5">
        <v>2018</v>
      </c>
      <c r="B58" s="3" t="s">
        <v>181</v>
      </c>
      <c r="C58" s="4" t="str">
        <f t="shared" ref="C58:C470" si="56">"0590011"</f>
        <v>0590011</v>
      </c>
      <c r="D58" s="4" t="s">
        <v>122</v>
      </c>
      <c r="E58" s="4" t="str">
        <f t="shared" si="1"/>
        <v>0000000</v>
      </c>
      <c r="F58" s="4" t="s">
        <v>122</v>
      </c>
      <c r="G58" s="4" t="s">
        <v>122</v>
      </c>
      <c r="H58" s="4" t="s">
        <v>122</v>
      </c>
      <c r="I58" s="6"/>
      <c r="J58" s="4" t="s">
        <v>123</v>
      </c>
      <c r="K58" s="7">
        <v>1116.2566650000001</v>
      </c>
      <c r="L58" s="7">
        <v>1450</v>
      </c>
      <c r="M58" s="7">
        <v>76.983217999999994</v>
      </c>
      <c r="N58" s="4" t="s">
        <v>124</v>
      </c>
      <c r="O58" s="7">
        <v>0</v>
      </c>
      <c r="P58" s="7">
        <v>68.867272</v>
      </c>
      <c r="Q58" s="7">
        <v>45.911513999999997</v>
      </c>
      <c r="R58" s="7">
        <v>50</v>
      </c>
      <c r="S58" s="7">
        <v>61.706124000000003</v>
      </c>
      <c r="T58" s="7">
        <v>75</v>
      </c>
      <c r="U58" s="7">
        <v>41.137416000000002</v>
      </c>
      <c r="V58" s="7">
        <v>50</v>
      </c>
      <c r="W58" s="7">
        <v>63.761491999999997</v>
      </c>
      <c r="X58" s="7">
        <v>42.507660999999999</v>
      </c>
      <c r="Y58" s="7">
        <v>50</v>
      </c>
      <c r="Z58" s="7">
        <v>72.197205999999994</v>
      </c>
      <c r="AA58" s="7">
        <v>57.059949000000003</v>
      </c>
      <c r="AB58" s="7">
        <v>38.039966</v>
      </c>
      <c r="AC58" s="7">
        <v>50</v>
      </c>
      <c r="AD58" s="7">
        <v>65.436972999999995</v>
      </c>
      <c r="AE58" s="7">
        <v>43.624648000000001</v>
      </c>
      <c r="AF58" s="7">
        <v>50</v>
      </c>
      <c r="AG58" s="7">
        <v>58.847124000000001</v>
      </c>
      <c r="AH58" s="7">
        <v>73.229872999999998</v>
      </c>
      <c r="AI58" s="7">
        <v>39.231416000000003</v>
      </c>
      <c r="AJ58" s="7">
        <v>50</v>
      </c>
      <c r="AK58" s="7">
        <v>13.29</v>
      </c>
      <c r="AL58" s="7">
        <v>15.13</v>
      </c>
      <c r="AM58" s="7">
        <v>14.38</v>
      </c>
      <c r="AN58" s="7">
        <v>0.61266299999999996</v>
      </c>
      <c r="AO58" s="7">
        <v>61.266292</v>
      </c>
      <c r="AP58" s="7">
        <v>100</v>
      </c>
      <c r="AQ58" s="7">
        <v>0.69504900000000003</v>
      </c>
      <c r="AR58" s="7">
        <v>69.504942</v>
      </c>
      <c r="AS58" s="7">
        <v>100</v>
      </c>
      <c r="AT58" s="7">
        <v>0.59054899999999999</v>
      </c>
      <c r="AU58" s="7">
        <v>0.64027100000000003</v>
      </c>
      <c r="AV58" s="7">
        <v>59.054926999999999</v>
      </c>
      <c r="AW58" s="7">
        <v>100</v>
      </c>
      <c r="AX58" s="7">
        <v>0.68460600000000005</v>
      </c>
      <c r="AY58" s="7">
        <v>0.70807600000000004</v>
      </c>
      <c r="AZ58" s="7">
        <v>68.460583999999997</v>
      </c>
      <c r="BA58" s="7">
        <v>100</v>
      </c>
      <c r="BB58" s="7">
        <v>0.70091700000000001</v>
      </c>
      <c r="BC58" s="7">
        <v>35.045859</v>
      </c>
      <c r="BD58" s="7">
        <v>50</v>
      </c>
      <c r="BE58" s="7">
        <v>0.67144700000000002</v>
      </c>
      <c r="BF58" s="7">
        <v>33.57235</v>
      </c>
      <c r="BG58" s="7">
        <v>50</v>
      </c>
      <c r="BH58" s="7">
        <v>0</v>
      </c>
      <c r="BI58" s="7">
        <v>0.99035799999999996</v>
      </c>
      <c r="BJ58" s="7">
        <v>0.98714900000000005</v>
      </c>
      <c r="BK58" s="7">
        <v>0.994641</v>
      </c>
      <c r="BL58" s="7">
        <v>0.98895999999999995</v>
      </c>
      <c r="BM58" s="7">
        <v>0.98470199999999997</v>
      </c>
      <c r="BN58" s="7">
        <v>0.99463500000000005</v>
      </c>
      <c r="BO58" s="7">
        <v>0.97429900000000003</v>
      </c>
      <c r="BP58" s="7">
        <v>0.96443500000000004</v>
      </c>
      <c r="BQ58" s="7">
        <v>0.98677199999999998</v>
      </c>
      <c r="BR58" s="7">
        <v>0.122352</v>
      </c>
      <c r="BS58" s="7">
        <v>35.529528999999997</v>
      </c>
      <c r="BT58" s="7">
        <v>50</v>
      </c>
      <c r="BU58" s="7">
        <v>0.16427</v>
      </c>
      <c r="BV58" s="7">
        <v>27.145969000000001</v>
      </c>
      <c r="BW58" s="7">
        <v>50</v>
      </c>
      <c r="BX58" s="7">
        <v>0.74904199999999999</v>
      </c>
      <c r="BY58" s="7">
        <v>49.936143000000001</v>
      </c>
      <c r="BZ58" s="7">
        <v>50</v>
      </c>
      <c r="CA58" s="7">
        <v>0.40612999999999999</v>
      </c>
      <c r="CB58" s="7">
        <v>27.075351000000001</v>
      </c>
      <c r="CC58" s="7">
        <v>50</v>
      </c>
      <c r="CD58" s="7">
        <v>0.94802900000000001</v>
      </c>
      <c r="CE58" s="7">
        <v>50</v>
      </c>
      <c r="CF58" s="7">
        <v>50</v>
      </c>
      <c r="CG58" s="7">
        <v>0.83695699999999995</v>
      </c>
      <c r="CH58" s="7">
        <v>89.037927999999994</v>
      </c>
      <c r="CI58" s="7">
        <v>100</v>
      </c>
      <c r="CJ58" s="7">
        <v>0</v>
      </c>
      <c r="CK58" s="7">
        <v>0.83561600000000003</v>
      </c>
      <c r="CL58" s="7">
        <v>88.895365999999996</v>
      </c>
      <c r="CM58" s="7">
        <v>100</v>
      </c>
      <c r="CN58" s="7">
        <v>0.65200000000000002</v>
      </c>
      <c r="CO58" s="7">
        <v>86.981402000000003</v>
      </c>
      <c r="CP58" s="7">
        <v>100</v>
      </c>
      <c r="CQ58" s="7">
        <v>0.51446099999999995</v>
      </c>
      <c r="CR58" s="7">
        <v>0.94219699999999995</v>
      </c>
      <c r="CS58" s="7">
        <v>34.297400000000003</v>
      </c>
      <c r="CT58" s="7">
        <v>50</v>
      </c>
      <c r="CU58" s="7">
        <v>0.60076799999999997</v>
      </c>
      <c r="CV58" s="7">
        <v>50</v>
      </c>
      <c r="CW58" s="7">
        <v>50</v>
      </c>
      <c r="CX58" s="7">
        <v>0.83561600000000003</v>
      </c>
      <c r="CY58" s="7">
        <v>0.94</v>
      </c>
      <c r="CZ58" s="7">
        <v>0.104384</v>
      </c>
      <c r="DA58" s="7">
        <v>15.389535</v>
      </c>
      <c r="DB58" s="7">
        <v>17.608319000000002</v>
      </c>
      <c r="DC58" s="7">
        <v>16.064022999999999</v>
      </c>
      <c r="DD58" s="7">
        <v>11.115401</v>
      </c>
      <c r="DE58" s="4" t="s">
        <v>124</v>
      </c>
      <c r="DF58" s="6"/>
      <c r="DG58" s="6"/>
      <c r="DH58" s="6"/>
      <c r="DI58" s="6"/>
      <c r="DJ58" s="4" t="s">
        <v>124</v>
      </c>
      <c r="DK58" s="4" t="s">
        <v>124</v>
      </c>
      <c r="DL58" s="4" t="s">
        <v>124</v>
      </c>
      <c r="DM58" s="4" t="s">
        <v>124</v>
      </c>
      <c r="DN58" s="4" t="s">
        <v>124</v>
      </c>
      <c r="DO58" s="4" t="s">
        <v>124</v>
      </c>
      <c r="DP58" s="6"/>
      <c r="DQ58" s="4" t="s">
        <v>125</v>
      </c>
    </row>
    <row r="59" spans="1:121" ht="20" customHeight="1" x14ac:dyDescent="0.15">
      <c r="A59" s="5">
        <v>2018</v>
      </c>
      <c r="B59" s="3" t="s">
        <v>182</v>
      </c>
      <c r="C59" s="4" t="str">
        <f t="shared" ref="C59:C583" si="57">"0790011"</f>
        <v>0790011</v>
      </c>
      <c r="D59" s="4" t="s">
        <v>122</v>
      </c>
      <c r="E59" s="4" t="str">
        <f t="shared" si="1"/>
        <v>0000000</v>
      </c>
      <c r="F59" s="4" t="s">
        <v>122</v>
      </c>
      <c r="G59" s="4" t="s">
        <v>122</v>
      </c>
      <c r="H59" s="4" t="s">
        <v>122</v>
      </c>
      <c r="I59" s="6"/>
      <c r="J59" s="4" t="s">
        <v>123</v>
      </c>
      <c r="K59" s="7">
        <v>623.10528499999998</v>
      </c>
      <c r="L59" s="7">
        <v>800</v>
      </c>
      <c r="M59" s="7">
        <v>77.888160999999997</v>
      </c>
      <c r="N59" s="4" t="s">
        <v>124</v>
      </c>
      <c r="O59" s="7">
        <v>0</v>
      </c>
      <c r="P59" s="7">
        <v>75.383343999999994</v>
      </c>
      <c r="Q59" s="7">
        <v>50</v>
      </c>
      <c r="R59" s="7">
        <v>50</v>
      </c>
      <c r="S59" s="7">
        <v>66.819124000000002</v>
      </c>
      <c r="T59" s="7">
        <v>75</v>
      </c>
      <c r="U59" s="7">
        <v>44.546083000000003</v>
      </c>
      <c r="V59" s="7">
        <v>50</v>
      </c>
      <c r="W59" s="7">
        <v>73.686048999999997</v>
      </c>
      <c r="X59" s="7">
        <v>49.124032999999997</v>
      </c>
      <c r="Y59" s="7">
        <v>50</v>
      </c>
      <c r="Z59" s="7">
        <v>75</v>
      </c>
      <c r="AA59" s="7">
        <v>63.096532000000003</v>
      </c>
      <c r="AB59" s="7">
        <v>42.064354999999999</v>
      </c>
      <c r="AC59" s="7">
        <v>50</v>
      </c>
      <c r="AD59" s="7">
        <v>84.285281999999995</v>
      </c>
      <c r="AE59" s="7">
        <v>50</v>
      </c>
      <c r="AF59" s="7">
        <v>50</v>
      </c>
      <c r="AG59" s="4" t="s">
        <v>124</v>
      </c>
      <c r="AH59" s="7">
        <v>75</v>
      </c>
      <c r="AI59" s="4" t="s">
        <v>124</v>
      </c>
      <c r="AJ59" s="4" t="s">
        <v>124</v>
      </c>
      <c r="AK59" s="7">
        <v>8.18</v>
      </c>
      <c r="AL59" s="7">
        <v>11.9</v>
      </c>
      <c r="AM59" s="4" t="s">
        <v>124</v>
      </c>
      <c r="AN59" s="7">
        <v>0.64568499999999995</v>
      </c>
      <c r="AO59" s="7">
        <v>64.568483000000001</v>
      </c>
      <c r="AP59" s="7">
        <v>100</v>
      </c>
      <c r="AQ59" s="7">
        <v>0.82001400000000002</v>
      </c>
      <c r="AR59" s="7">
        <v>82.001407</v>
      </c>
      <c r="AS59" s="7">
        <v>100</v>
      </c>
      <c r="AT59" s="7">
        <v>0.55845299999999998</v>
      </c>
      <c r="AU59" s="7">
        <v>0.67457299999999998</v>
      </c>
      <c r="AV59" s="7">
        <v>55.845291000000003</v>
      </c>
      <c r="AW59" s="7">
        <v>100</v>
      </c>
      <c r="AX59" s="7">
        <v>0.67462599999999995</v>
      </c>
      <c r="AY59" s="7">
        <v>0.86816199999999999</v>
      </c>
      <c r="AZ59" s="7">
        <v>67.462585000000004</v>
      </c>
      <c r="BA59" s="7">
        <v>100</v>
      </c>
      <c r="BB59" s="4" t="s">
        <v>124</v>
      </c>
      <c r="BC59" s="4" t="s">
        <v>124</v>
      </c>
      <c r="BD59" s="4" t="s">
        <v>124</v>
      </c>
      <c r="BE59" s="4" t="s">
        <v>124</v>
      </c>
      <c r="BF59" s="4" t="s">
        <v>124</v>
      </c>
      <c r="BG59" s="4" t="s">
        <v>124</v>
      </c>
      <c r="BH59" s="7">
        <v>0</v>
      </c>
      <c r="BI59" s="7">
        <v>0.99641599999999997</v>
      </c>
      <c r="BJ59" s="7">
        <v>0.98717900000000003</v>
      </c>
      <c r="BK59" s="7">
        <v>1</v>
      </c>
      <c r="BL59" s="7">
        <v>0.99642900000000001</v>
      </c>
      <c r="BM59" s="7">
        <v>0.98734200000000005</v>
      </c>
      <c r="BN59" s="7">
        <v>1</v>
      </c>
      <c r="BO59" s="7">
        <v>1</v>
      </c>
      <c r="BP59" s="4" t="s">
        <v>124</v>
      </c>
      <c r="BQ59" s="7">
        <v>1</v>
      </c>
      <c r="BR59" s="7">
        <v>0.103926</v>
      </c>
      <c r="BS59" s="7">
        <v>39.214781000000002</v>
      </c>
      <c r="BT59" s="7">
        <v>50</v>
      </c>
      <c r="BU59" s="7">
        <v>0.154472</v>
      </c>
      <c r="BV59" s="7">
        <v>29.105691</v>
      </c>
      <c r="BW59" s="7">
        <v>50</v>
      </c>
      <c r="BX59" s="4" t="s">
        <v>124</v>
      </c>
      <c r="BY59" s="4" t="s">
        <v>124</v>
      </c>
      <c r="BZ59" s="4" t="s">
        <v>124</v>
      </c>
      <c r="CA59" s="4" t="s">
        <v>124</v>
      </c>
      <c r="CB59" s="4" t="s">
        <v>124</v>
      </c>
      <c r="CC59" s="4" t="s">
        <v>124</v>
      </c>
      <c r="CD59" s="4" t="s">
        <v>124</v>
      </c>
      <c r="CE59" s="4" t="s">
        <v>124</v>
      </c>
      <c r="CF59" s="4" t="s">
        <v>124</v>
      </c>
      <c r="CG59" s="4" t="s">
        <v>124</v>
      </c>
      <c r="CH59" s="4" t="s">
        <v>124</v>
      </c>
      <c r="CI59" s="4" t="s">
        <v>124</v>
      </c>
      <c r="CJ59" s="4" t="s">
        <v>124</v>
      </c>
      <c r="CK59" s="4" t="s">
        <v>124</v>
      </c>
      <c r="CL59" s="4" t="s">
        <v>124</v>
      </c>
      <c r="CM59" s="4" t="s">
        <v>124</v>
      </c>
      <c r="CN59" s="4" t="s">
        <v>124</v>
      </c>
      <c r="CO59" s="4" t="s">
        <v>124</v>
      </c>
      <c r="CP59" s="4" t="s">
        <v>124</v>
      </c>
      <c r="CQ59" s="7">
        <v>0.73758900000000005</v>
      </c>
      <c r="CR59" s="7">
        <v>0.95270299999999997</v>
      </c>
      <c r="CS59" s="7">
        <v>49.172576999999997</v>
      </c>
      <c r="CT59" s="7">
        <v>50</v>
      </c>
      <c r="CU59" s="4" t="s">
        <v>124</v>
      </c>
      <c r="CV59" s="4" t="s">
        <v>124</v>
      </c>
      <c r="CW59" s="4" t="s">
        <v>124</v>
      </c>
      <c r="CX59" s="4" t="s">
        <v>124</v>
      </c>
      <c r="CY59" s="4" t="s">
        <v>124</v>
      </c>
      <c r="CZ59" s="4" t="s">
        <v>124</v>
      </c>
      <c r="DA59" s="7">
        <v>15.389535</v>
      </c>
      <c r="DB59" s="7">
        <v>17.608319000000002</v>
      </c>
      <c r="DC59" s="7">
        <v>16.064022999999999</v>
      </c>
      <c r="DD59" s="4" t="s">
        <v>124</v>
      </c>
      <c r="DE59" s="4" t="s">
        <v>124</v>
      </c>
      <c r="DF59" s="6"/>
      <c r="DG59" s="6"/>
      <c r="DH59" s="6"/>
      <c r="DI59" s="6"/>
      <c r="DJ59" s="4" t="s">
        <v>124</v>
      </c>
      <c r="DK59" s="4" t="s">
        <v>124</v>
      </c>
      <c r="DL59" s="4" t="s">
        <v>124</v>
      </c>
      <c r="DM59" s="4" t="s">
        <v>124</v>
      </c>
      <c r="DN59" s="4" t="s">
        <v>124</v>
      </c>
      <c r="DO59" s="4" t="s">
        <v>124</v>
      </c>
      <c r="DP59" s="6"/>
      <c r="DQ59" s="4" t="s">
        <v>125</v>
      </c>
    </row>
    <row r="60" spans="1:121" ht="20" customHeight="1" x14ac:dyDescent="0.15">
      <c r="A60" s="5">
        <v>2018</v>
      </c>
      <c r="B60" s="3" t="s">
        <v>183</v>
      </c>
      <c r="C60" s="4" t="str">
        <f t="shared" ref="C60:C584" si="58">"0800011"</f>
        <v>0800011</v>
      </c>
      <c r="D60" s="4" t="s">
        <v>122</v>
      </c>
      <c r="E60" s="4" t="str">
        <f t="shared" si="1"/>
        <v>0000000</v>
      </c>
      <c r="F60" s="4" t="s">
        <v>122</v>
      </c>
      <c r="G60" s="4" t="s">
        <v>122</v>
      </c>
      <c r="H60" s="4" t="s">
        <v>122</v>
      </c>
      <c r="I60" s="6"/>
      <c r="J60" s="4" t="s">
        <v>123</v>
      </c>
      <c r="K60" s="7">
        <v>1006.903426</v>
      </c>
      <c r="L60" s="7">
        <v>1450</v>
      </c>
      <c r="M60" s="7">
        <v>69.441615999999996</v>
      </c>
      <c r="N60" s="4" t="s">
        <v>124</v>
      </c>
      <c r="O60" s="7">
        <v>0</v>
      </c>
      <c r="P60" s="7">
        <v>63.083823000000002</v>
      </c>
      <c r="Q60" s="7">
        <v>42.055881999999997</v>
      </c>
      <c r="R60" s="7">
        <v>50</v>
      </c>
      <c r="S60" s="7">
        <v>60.612499999999997</v>
      </c>
      <c r="T60" s="7">
        <v>73.932055000000005</v>
      </c>
      <c r="U60" s="7">
        <v>40.408332999999999</v>
      </c>
      <c r="V60" s="7">
        <v>50</v>
      </c>
      <c r="W60" s="7">
        <v>57.873379</v>
      </c>
      <c r="X60" s="7">
        <v>38.582251999999997</v>
      </c>
      <c r="Y60" s="7">
        <v>50</v>
      </c>
      <c r="Z60" s="7">
        <v>68.584397999999993</v>
      </c>
      <c r="AA60" s="7">
        <v>55.406517000000001</v>
      </c>
      <c r="AB60" s="7">
        <v>36.937677999999998</v>
      </c>
      <c r="AC60" s="7">
        <v>50</v>
      </c>
      <c r="AD60" s="7">
        <v>55.986936</v>
      </c>
      <c r="AE60" s="7">
        <v>37.324624</v>
      </c>
      <c r="AF60" s="7">
        <v>50</v>
      </c>
      <c r="AG60" s="7">
        <v>53.503613999999999</v>
      </c>
      <c r="AH60" s="7">
        <v>66.197817999999998</v>
      </c>
      <c r="AI60" s="7">
        <v>35.669075999999997</v>
      </c>
      <c r="AJ60" s="7">
        <v>50</v>
      </c>
      <c r="AK60" s="7">
        <v>13.31</v>
      </c>
      <c r="AL60" s="7">
        <v>13.17</v>
      </c>
      <c r="AM60" s="7">
        <v>12.69</v>
      </c>
      <c r="AN60" s="7">
        <v>0.61562099999999997</v>
      </c>
      <c r="AO60" s="7">
        <v>61.562123999999997</v>
      </c>
      <c r="AP60" s="7">
        <v>100</v>
      </c>
      <c r="AQ60" s="7">
        <v>0.60642099999999999</v>
      </c>
      <c r="AR60" s="7">
        <v>60.642130000000002</v>
      </c>
      <c r="AS60" s="7">
        <v>100</v>
      </c>
      <c r="AT60" s="7">
        <v>0.60858500000000004</v>
      </c>
      <c r="AU60" s="7">
        <v>0.64597300000000002</v>
      </c>
      <c r="AV60" s="7">
        <v>60.858459000000003</v>
      </c>
      <c r="AW60" s="7">
        <v>100</v>
      </c>
      <c r="AX60" s="7">
        <v>0.59074800000000005</v>
      </c>
      <c r="AY60" s="7">
        <v>0.67277200000000004</v>
      </c>
      <c r="AZ60" s="7">
        <v>59.074834000000003</v>
      </c>
      <c r="BA60" s="7">
        <v>100</v>
      </c>
      <c r="BB60" s="7">
        <v>0.55072299999999996</v>
      </c>
      <c r="BC60" s="7">
        <v>27.536145999999999</v>
      </c>
      <c r="BD60" s="7">
        <v>50</v>
      </c>
      <c r="BE60" s="7">
        <v>0.46245599999999998</v>
      </c>
      <c r="BF60" s="7">
        <v>23.122783999999999</v>
      </c>
      <c r="BG60" s="7">
        <v>50</v>
      </c>
      <c r="BH60" s="7">
        <v>0</v>
      </c>
      <c r="BI60" s="7">
        <v>0.97988799999999998</v>
      </c>
      <c r="BJ60" s="7">
        <v>0.97715600000000002</v>
      </c>
      <c r="BK60" s="7">
        <v>0.99224800000000002</v>
      </c>
      <c r="BL60" s="7">
        <v>0.97285299999999997</v>
      </c>
      <c r="BM60" s="7">
        <v>0.96856200000000003</v>
      </c>
      <c r="BN60" s="7">
        <v>0.99224800000000002</v>
      </c>
      <c r="BO60" s="7">
        <v>0.96814299999999998</v>
      </c>
      <c r="BP60" s="7">
        <v>0.96402399999999999</v>
      </c>
      <c r="BQ60" s="7">
        <v>0.98575500000000005</v>
      </c>
      <c r="BR60" s="7">
        <v>0.14824599999999999</v>
      </c>
      <c r="BS60" s="7">
        <v>30.350743999999999</v>
      </c>
      <c r="BT60" s="7">
        <v>50</v>
      </c>
      <c r="BU60" s="7">
        <v>0.17113300000000001</v>
      </c>
      <c r="BV60" s="7">
        <v>25.773389999999999</v>
      </c>
      <c r="BW60" s="7">
        <v>50</v>
      </c>
      <c r="BX60" s="7">
        <v>0.74753800000000004</v>
      </c>
      <c r="BY60" s="7">
        <v>49.83587</v>
      </c>
      <c r="BZ60" s="7">
        <v>50</v>
      </c>
      <c r="CA60" s="7">
        <v>0.14324100000000001</v>
      </c>
      <c r="CB60" s="7">
        <v>9.5493880000000004</v>
      </c>
      <c r="CC60" s="7">
        <v>50</v>
      </c>
      <c r="CD60" s="7">
        <v>0.92032199999999997</v>
      </c>
      <c r="CE60" s="7">
        <v>48.953313000000001</v>
      </c>
      <c r="CF60" s="7">
        <v>50</v>
      </c>
      <c r="CG60" s="7">
        <v>0.78594200000000003</v>
      </c>
      <c r="CH60" s="7">
        <v>83.610902999999993</v>
      </c>
      <c r="CI60" s="7">
        <v>100</v>
      </c>
      <c r="CJ60" s="7">
        <v>1</v>
      </c>
      <c r="CK60" s="7">
        <v>0.73260899999999995</v>
      </c>
      <c r="CL60" s="7">
        <v>77.937094999999999</v>
      </c>
      <c r="CM60" s="7">
        <v>100</v>
      </c>
      <c r="CN60" s="7">
        <v>0.52300000000000002</v>
      </c>
      <c r="CO60" s="7">
        <v>69.781931</v>
      </c>
      <c r="CP60" s="7">
        <v>100</v>
      </c>
      <c r="CQ60" s="7">
        <v>0.592754</v>
      </c>
      <c r="CR60" s="7">
        <v>0.96341500000000002</v>
      </c>
      <c r="CS60" s="7">
        <v>39.516950000000001</v>
      </c>
      <c r="CT60" s="7">
        <v>50</v>
      </c>
      <c r="CU60" s="7">
        <v>0.57383399999999996</v>
      </c>
      <c r="CV60" s="7">
        <v>47.819516</v>
      </c>
      <c r="CW60" s="7">
        <v>50</v>
      </c>
      <c r="CX60" s="7">
        <v>0.73260899999999995</v>
      </c>
      <c r="CY60" s="7">
        <v>0.94</v>
      </c>
      <c r="CZ60" s="7">
        <v>0.20739099999999999</v>
      </c>
      <c r="DA60" s="7">
        <v>15.389535</v>
      </c>
      <c r="DB60" s="7">
        <v>17.608319000000002</v>
      </c>
      <c r="DC60" s="7">
        <v>16.064022999999999</v>
      </c>
      <c r="DD60" s="7">
        <v>11.115401</v>
      </c>
      <c r="DE60" s="4" t="s">
        <v>124</v>
      </c>
      <c r="DF60" s="6"/>
      <c r="DG60" s="6"/>
      <c r="DH60" s="6"/>
      <c r="DI60" s="6"/>
      <c r="DJ60" s="4" t="s">
        <v>124</v>
      </c>
      <c r="DK60" s="4" t="s">
        <v>124</v>
      </c>
      <c r="DL60" s="4" t="s">
        <v>124</v>
      </c>
      <c r="DM60" s="4" t="s">
        <v>124</v>
      </c>
      <c r="DN60" s="4" t="s">
        <v>124</v>
      </c>
      <c r="DO60" s="4" t="s">
        <v>124</v>
      </c>
      <c r="DP60" s="6"/>
      <c r="DQ60" s="4" t="s">
        <v>125</v>
      </c>
    </row>
    <row r="61" spans="1:121" ht="20" customHeight="1" x14ac:dyDescent="0.15">
      <c r="A61" s="5">
        <v>2018</v>
      </c>
      <c r="B61" s="3" t="s">
        <v>184</v>
      </c>
      <c r="C61" s="4" t="str">
        <f t="shared" ref="C61:C214" si="59">"0050011"</f>
        <v>0050011</v>
      </c>
      <c r="D61" s="4" t="s">
        <v>122</v>
      </c>
      <c r="E61" s="4" t="str">
        <f t="shared" si="1"/>
        <v>0000000</v>
      </c>
      <c r="F61" s="4" t="s">
        <v>122</v>
      </c>
      <c r="G61" s="4" t="s">
        <v>122</v>
      </c>
      <c r="H61" s="4" t="s">
        <v>122</v>
      </c>
      <c r="I61" s="6"/>
      <c r="J61" s="4" t="s">
        <v>123</v>
      </c>
      <c r="K61" s="7">
        <v>665.85208299999999</v>
      </c>
      <c r="L61" s="7">
        <v>800</v>
      </c>
      <c r="M61" s="7">
        <v>83.23151</v>
      </c>
      <c r="N61" s="4" t="s">
        <v>124</v>
      </c>
      <c r="O61" s="7">
        <v>0</v>
      </c>
      <c r="P61" s="7">
        <v>74.646620999999996</v>
      </c>
      <c r="Q61" s="7">
        <v>49.764414000000002</v>
      </c>
      <c r="R61" s="7">
        <v>50</v>
      </c>
      <c r="S61" s="7">
        <v>66.446854999999999</v>
      </c>
      <c r="T61" s="7">
        <v>75</v>
      </c>
      <c r="U61" s="7">
        <v>44.297902999999998</v>
      </c>
      <c r="V61" s="7">
        <v>50</v>
      </c>
      <c r="W61" s="7">
        <v>70.052075000000002</v>
      </c>
      <c r="X61" s="7">
        <v>46.701383</v>
      </c>
      <c r="Y61" s="7">
        <v>50</v>
      </c>
      <c r="Z61" s="7">
        <v>75</v>
      </c>
      <c r="AA61" s="7">
        <v>61.744481</v>
      </c>
      <c r="AB61" s="7">
        <v>41.162987000000001</v>
      </c>
      <c r="AC61" s="7">
        <v>50</v>
      </c>
      <c r="AD61" s="7">
        <v>75.455408000000006</v>
      </c>
      <c r="AE61" s="7">
        <v>50</v>
      </c>
      <c r="AF61" s="7">
        <v>50</v>
      </c>
      <c r="AG61" s="4" t="s">
        <v>124</v>
      </c>
      <c r="AH61" s="4" t="s">
        <v>124</v>
      </c>
      <c r="AI61" s="4" t="s">
        <v>124</v>
      </c>
      <c r="AJ61" s="4" t="s">
        <v>124</v>
      </c>
      <c r="AK61" s="7">
        <v>8.5500000000000007</v>
      </c>
      <c r="AL61" s="7">
        <v>13.25</v>
      </c>
      <c r="AM61" s="4" t="s">
        <v>124</v>
      </c>
      <c r="AN61" s="7">
        <v>0.69712099999999999</v>
      </c>
      <c r="AO61" s="7">
        <v>69.712137999999996</v>
      </c>
      <c r="AP61" s="7">
        <v>100</v>
      </c>
      <c r="AQ61" s="7">
        <v>0.84460299999999999</v>
      </c>
      <c r="AR61" s="7">
        <v>84.460294000000005</v>
      </c>
      <c r="AS61" s="7">
        <v>100</v>
      </c>
      <c r="AT61" s="7">
        <v>0.593221</v>
      </c>
      <c r="AU61" s="7">
        <v>0.78337800000000002</v>
      </c>
      <c r="AV61" s="7">
        <v>59.322122</v>
      </c>
      <c r="AW61" s="7">
        <v>100</v>
      </c>
      <c r="AX61" s="7">
        <v>0.75986399999999998</v>
      </c>
      <c r="AY61" s="7">
        <v>0.91495199999999999</v>
      </c>
      <c r="AZ61" s="7">
        <v>75.986397999999994</v>
      </c>
      <c r="BA61" s="7">
        <v>100</v>
      </c>
      <c r="BB61" s="4" t="s">
        <v>124</v>
      </c>
      <c r="BC61" s="4" t="s">
        <v>124</v>
      </c>
      <c r="BD61" s="4" t="s">
        <v>124</v>
      </c>
      <c r="BE61" s="4" t="s">
        <v>124</v>
      </c>
      <c r="BF61" s="4" t="s">
        <v>124</v>
      </c>
      <c r="BG61" s="4" t="s">
        <v>124</v>
      </c>
      <c r="BH61" s="7">
        <v>0</v>
      </c>
      <c r="BI61" s="7">
        <v>0.97142899999999999</v>
      </c>
      <c r="BJ61" s="7">
        <v>0.96551699999999996</v>
      </c>
      <c r="BK61" s="7">
        <v>0.97560999999999998</v>
      </c>
      <c r="BL61" s="7">
        <v>0.97142899999999999</v>
      </c>
      <c r="BM61" s="7">
        <v>0.96551699999999996</v>
      </c>
      <c r="BN61" s="7">
        <v>0.97560999999999998</v>
      </c>
      <c r="BO61" s="7">
        <v>1</v>
      </c>
      <c r="BP61" s="7">
        <v>1</v>
      </c>
      <c r="BQ61" s="4" t="s">
        <v>124</v>
      </c>
      <c r="BR61" s="7">
        <v>2.3584999999999998E-2</v>
      </c>
      <c r="BS61" s="7">
        <v>50</v>
      </c>
      <c r="BT61" s="7">
        <v>50</v>
      </c>
      <c r="BU61" s="7">
        <v>3.3708000000000002E-2</v>
      </c>
      <c r="BV61" s="7">
        <v>50</v>
      </c>
      <c r="BW61" s="7">
        <v>50</v>
      </c>
      <c r="BX61" s="4" t="s">
        <v>124</v>
      </c>
      <c r="BY61" s="4" t="s">
        <v>124</v>
      </c>
      <c r="BZ61" s="4" t="s">
        <v>124</v>
      </c>
      <c r="CA61" s="4" t="s">
        <v>124</v>
      </c>
      <c r="CB61" s="4" t="s">
        <v>124</v>
      </c>
      <c r="CC61" s="4" t="s">
        <v>124</v>
      </c>
      <c r="CD61" s="4" t="s">
        <v>124</v>
      </c>
      <c r="CE61" s="4" t="s">
        <v>124</v>
      </c>
      <c r="CF61" s="4" t="s">
        <v>124</v>
      </c>
      <c r="CG61" s="4" t="s">
        <v>124</v>
      </c>
      <c r="CH61" s="4" t="s">
        <v>124</v>
      </c>
      <c r="CI61" s="4" t="s">
        <v>124</v>
      </c>
      <c r="CJ61" s="4" t="s">
        <v>124</v>
      </c>
      <c r="CK61" s="4" t="s">
        <v>124</v>
      </c>
      <c r="CL61" s="4" t="s">
        <v>124</v>
      </c>
      <c r="CM61" s="4" t="s">
        <v>124</v>
      </c>
      <c r="CN61" s="4" t="s">
        <v>124</v>
      </c>
      <c r="CO61" s="4" t="s">
        <v>124</v>
      </c>
      <c r="CP61" s="4" t="s">
        <v>124</v>
      </c>
      <c r="CQ61" s="7">
        <v>0.66666700000000001</v>
      </c>
      <c r="CR61" s="7">
        <v>0.98630099999999998</v>
      </c>
      <c r="CS61" s="7">
        <v>44.444443999999997</v>
      </c>
      <c r="CT61" s="7">
        <v>50</v>
      </c>
      <c r="CU61" s="4" t="s">
        <v>124</v>
      </c>
      <c r="CV61" s="4" t="s">
        <v>124</v>
      </c>
      <c r="CW61" s="4" t="s">
        <v>124</v>
      </c>
      <c r="CX61" s="4" t="s">
        <v>124</v>
      </c>
      <c r="CY61" s="4" t="s">
        <v>124</v>
      </c>
      <c r="CZ61" s="4" t="s">
        <v>124</v>
      </c>
      <c r="DA61" s="7">
        <v>15.389535</v>
      </c>
      <c r="DB61" s="7">
        <v>17.608319000000002</v>
      </c>
      <c r="DC61" s="7">
        <v>16.064022999999999</v>
      </c>
      <c r="DD61" s="4" t="s">
        <v>124</v>
      </c>
      <c r="DE61" s="4" t="s">
        <v>124</v>
      </c>
      <c r="DF61" s="6"/>
      <c r="DG61" s="6"/>
      <c r="DH61" s="6"/>
      <c r="DI61" s="6"/>
      <c r="DJ61" s="4" t="s">
        <v>124</v>
      </c>
      <c r="DK61" s="4" t="s">
        <v>124</v>
      </c>
      <c r="DL61" s="4" t="s">
        <v>124</v>
      </c>
      <c r="DM61" s="4" t="s">
        <v>124</v>
      </c>
      <c r="DN61" s="4" t="s">
        <v>124</v>
      </c>
      <c r="DO61" s="4" t="s">
        <v>124</v>
      </c>
      <c r="DP61" s="6"/>
      <c r="DQ61" s="4" t="s">
        <v>125</v>
      </c>
    </row>
    <row r="62" spans="1:121" ht="20" customHeight="1" x14ac:dyDescent="0.15">
      <c r="A62" s="5">
        <v>2018</v>
      </c>
      <c r="B62" s="3" t="s">
        <v>185</v>
      </c>
      <c r="C62" s="4" t="str">
        <f t="shared" ref="C62:C219" si="60">"0070011"</f>
        <v>0070011</v>
      </c>
      <c r="D62" s="4" t="s">
        <v>122</v>
      </c>
      <c r="E62" s="4" t="str">
        <f t="shared" si="1"/>
        <v>0000000</v>
      </c>
      <c r="F62" s="4" t="s">
        <v>122</v>
      </c>
      <c r="G62" s="4" t="s">
        <v>122</v>
      </c>
      <c r="H62" s="4" t="s">
        <v>122</v>
      </c>
      <c r="I62" s="6"/>
      <c r="J62" s="4" t="s">
        <v>123</v>
      </c>
      <c r="K62" s="7">
        <v>1160.9611910000001</v>
      </c>
      <c r="L62" s="7">
        <v>1450</v>
      </c>
      <c r="M62" s="7">
        <v>80.066288999999998</v>
      </c>
      <c r="N62" s="4" t="s">
        <v>124</v>
      </c>
      <c r="O62" s="7">
        <v>1</v>
      </c>
      <c r="P62" s="7">
        <v>71.049863999999999</v>
      </c>
      <c r="Q62" s="7">
        <v>47.366576000000002</v>
      </c>
      <c r="R62" s="7">
        <v>50</v>
      </c>
      <c r="S62" s="7">
        <v>59.814390000000003</v>
      </c>
      <c r="T62" s="7">
        <v>75</v>
      </c>
      <c r="U62" s="7">
        <v>39.876260000000002</v>
      </c>
      <c r="V62" s="7">
        <v>50</v>
      </c>
      <c r="W62" s="7">
        <v>69.706993999999995</v>
      </c>
      <c r="X62" s="7">
        <v>46.471328999999997</v>
      </c>
      <c r="Y62" s="7">
        <v>50</v>
      </c>
      <c r="Z62" s="7">
        <v>75</v>
      </c>
      <c r="AA62" s="7">
        <v>57.075769000000001</v>
      </c>
      <c r="AB62" s="7">
        <v>38.050513000000002</v>
      </c>
      <c r="AC62" s="7">
        <v>50</v>
      </c>
      <c r="AD62" s="7">
        <v>68.058515</v>
      </c>
      <c r="AE62" s="7">
        <v>45.372343000000001</v>
      </c>
      <c r="AF62" s="7">
        <v>50</v>
      </c>
      <c r="AG62" s="7">
        <v>57.959659000000002</v>
      </c>
      <c r="AH62" s="7">
        <v>72.857744999999994</v>
      </c>
      <c r="AI62" s="7">
        <v>38.639772999999998</v>
      </c>
      <c r="AJ62" s="7">
        <v>50</v>
      </c>
      <c r="AK62" s="7">
        <v>15.18</v>
      </c>
      <c r="AL62" s="7">
        <v>17.920000000000002</v>
      </c>
      <c r="AM62" s="7">
        <v>14.89</v>
      </c>
      <c r="AN62" s="7">
        <v>0.55510199999999998</v>
      </c>
      <c r="AO62" s="7">
        <v>55.510223000000003</v>
      </c>
      <c r="AP62" s="7">
        <v>100</v>
      </c>
      <c r="AQ62" s="7">
        <v>0.65188199999999996</v>
      </c>
      <c r="AR62" s="7">
        <v>65.188210999999995</v>
      </c>
      <c r="AS62" s="7">
        <v>100</v>
      </c>
      <c r="AT62" s="7">
        <v>0.53796999999999995</v>
      </c>
      <c r="AU62" s="7">
        <v>0.56250199999999995</v>
      </c>
      <c r="AV62" s="7">
        <v>53.796950000000002</v>
      </c>
      <c r="AW62" s="7">
        <v>100</v>
      </c>
      <c r="AX62" s="7">
        <v>0.64263700000000001</v>
      </c>
      <c r="AY62" s="7">
        <v>0.65583000000000002</v>
      </c>
      <c r="AZ62" s="7">
        <v>64.263705999999999</v>
      </c>
      <c r="BA62" s="7">
        <v>100</v>
      </c>
      <c r="BB62" s="7">
        <v>0.63168199999999997</v>
      </c>
      <c r="BC62" s="7">
        <v>31.584102999999999</v>
      </c>
      <c r="BD62" s="7">
        <v>50</v>
      </c>
      <c r="BE62" s="7">
        <v>0.67447500000000005</v>
      </c>
      <c r="BF62" s="7">
        <v>33.723756000000002</v>
      </c>
      <c r="BG62" s="7">
        <v>50</v>
      </c>
      <c r="BH62" s="7">
        <v>0</v>
      </c>
      <c r="BI62" s="7">
        <v>0.98130799999999996</v>
      </c>
      <c r="BJ62" s="7">
        <v>0.97983900000000002</v>
      </c>
      <c r="BK62" s="7">
        <v>0.98203600000000002</v>
      </c>
      <c r="BL62" s="7">
        <v>0.98128300000000002</v>
      </c>
      <c r="BM62" s="7">
        <v>0.97983900000000002</v>
      </c>
      <c r="BN62" s="7">
        <v>0.98199999999999998</v>
      </c>
      <c r="BO62" s="7">
        <v>0.97790900000000003</v>
      </c>
      <c r="BP62" s="7">
        <v>0.973333</v>
      </c>
      <c r="BQ62" s="7">
        <v>0.98017600000000005</v>
      </c>
      <c r="BR62" s="7">
        <v>3.9287000000000002E-2</v>
      </c>
      <c r="BS62" s="7">
        <v>50</v>
      </c>
      <c r="BT62" s="7">
        <v>50</v>
      </c>
      <c r="BU62" s="7">
        <v>8.4407999999999997E-2</v>
      </c>
      <c r="BV62" s="7">
        <v>43.118406</v>
      </c>
      <c r="BW62" s="7">
        <v>50</v>
      </c>
      <c r="BX62" s="7">
        <v>0.77777799999999997</v>
      </c>
      <c r="BY62" s="7">
        <v>50</v>
      </c>
      <c r="BZ62" s="7">
        <v>50</v>
      </c>
      <c r="CA62" s="7">
        <v>0.56462599999999996</v>
      </c>
      <c r="CB62" s="7">
        <v>37.641722999999999</v>
      </c>
      <c r="CC62" s="7">
        <v>50</v>
      </c>
      <c r="CD62" s="7">
        <v>0.96453900000000004</v>
      </c>
      <c r="CE62" s="7">
        <v>50</v>
      </c>
      <c r="CF62" s="7">
        <v>50</v>
      </c>
      <c r="CG62" s="7">
        <v>0.93981499999999996</v>
      </c>
      <c r="CH62" s="7">
        <v>99.980299000000002</v>
      </c>
      <c r="CI62" s="7">
        <v>100</v>
      </c>
      <c r="CJ62" s="7">
        <v>0</v>
      </c>
      <c r="CK62" s="7">
        <v>0.89830500000000002</v>
      </c>
      <c r="CL62" s="7">
        <v>95.564370999999994</v>
      </c>
      <c r="CM62" s="7">
        <v>100</v>
      </c>
      <c r="CN62" s="7">
        <v>0.84799999999999998</v>
      </c>
      <c r="CO62" s="7">
        <v>100</v>
      </c>
      <c r="CP62" s="7">
        <v>100</v>
      </c>
      <c r="CQ62" s="7">
        <v>0.60756500000000002</v>
      </c>
      <c r="CR62" s="7">
        <v>0.90967699999999996</v>
      </c>
      <c r="CS62" s="7">
        <v>40.504334</v>
      </c>
      <c r="CT62" s="7">
        <v>50</v>
      </c>
      <c r="CU62" s="7">
        <v>0.41170000000000001</v>
      </c>
      <c r="CV62" s="7">
        <v>34.308315</v>
      </c>
      <c r="CW62" s="7">
        <v>50</v>
      </c>
      <c r="CX62" s="7">
        <v>0.89830500000000002</v>
      </c>
      <c r="CY62" s="7">
        <v>0.94</v>
      </c>
      <c r="CZ62" s="7">
        <v>4.1695000000000003E-2</v>
      </c>
      <c r="DA62" s="7">
        <v>15.389535</v>
      </c>
      <c r="DB62" s="7">
        <v>17.608319000000002</v>
      </c>
      <c r="DC62" s="7">
        <v>16.064022999999999</v>
      </c>
      <c r="DD62" s="7">
        <v>11.115401</v>
      </c>
      <c r="DE62" s="4" t="s">
        <v>124</v>
      </c>
      <c r="DF62" s="6"/>
      <c r="DG62" s="6"/>
      <c r="DH62" s="6"/>
      <c r="DI62" s="6"/>
      <c r="DJ62" s="4" t="s">
        <v>124</v>
      </c>
      <c r="DK62" s="4" t="s">
        <v>124</v>
      </c>
      <c r="DL62" s="4" t="s">
        <v>124</v>
      </c>
      <c r="DM62" s="4" t="s">
        <v>124</v>
      </c>
      <c r="DN62" s="4" t="s">
        <v>124</v>
      </c>
      <c r="DO62" s="4" t="s">
        <v>124</v>
      </c>
      <c r="DP62" s="6"/>
      <c r="DQ62" s="4" t="s">
        <v>125</v>
      </c>
    </row>
    <row r="63" spans="1:121" ht="20" customHeight="1" x14ac:dyDescent="0.15">
      <c r="A63" s="5">
        <v>2018</v>
      </c>
      <c r="B63" s="3" t="s">
        <v>186</v>
      </c>
      <c r="C63" s="4" t="str">
        <f t="shared" ref="C63:C929" si="61">"1430011"</f>
        <v>1430011</v>
      </c>
      <c r="D63" s="4" t="s">
        <v>122</v>
      </c>
      <c r="E63" s="4" t="str">
        <f t="shared" si="1"/>
        <v>0000000</v>
      </c>
      <c r="F63" s="4" t="s">
        <v>122</v>
      </c>
      <c r="G63" s="4" t="s">
        <v>122</v>
      </c>
      <c r="H63" s="4" t="s">
        <v>122</v>
      </c>
      <c r="I63" s="6"/>
      <c r="J63" s="4" t="s">
        <v>123</v>
      </c>
      <c r="K63" s="7">
        <v>986.51421100000005</v>
      </c>
      <c r="L63" s="7">
        <v>1450</v>
      </c>
      <c r="M63" s="7">
        <v>68.035462999999993</v>
      </c>
      <c r="N63" s="4" t="s">
        <v>124</v>
      </c>
      <c r="O63" s="7">
        <v>0</v>
      </c>
      <c r="P63" s="7">
        <v>62.409636999999996</v>
      </c>
      <c r="Q63" s="7">
        <v>41.606425000000002</v>
      </c>
      <c r="R63" s="7">
        <v>50</v>
      </c>
      <c r="S63" s="7">
        <v>58.558517000000002</v>
      </c>
      <c r="T63" s="7">
        <v>71.422631999999993</v>
      </c>
      <c r="U63" s="7">
        <v>39.039011000000002</v>
      </c>
      <c r="V63" s="7">
        <v>50</v>
      </c>
      <c r="W63" s="7">
        <v>55.810822999999999</v>
      </c>
      <c r="X63" s="7">
        <v>37.207214999999998</v>
      </c>
      <c r="Y63" s="7">
        <v>50</v>
      </c>
      <c r="Z63" s="7">
        <v>64.545514999999995</v>
      </c>
      <c r="AA63" s="7">
        <v>52.072567999999997</v>
      </c>
      <c r="AB63" s="7">
        <v>34.715046000000001</v>
      </c>
      <c r="AC63" s="7">
        <v>50</v>
      </c>
      <c r="AD63" s="7">
        <v>58.545718000000001</v>
      </c>
      <c r="AE63" s="7">
        <v>39.030479</v>
      </c>
      <c r="AF63" s="7">
        <v>50</v>
      </c>
      <c r="AG63" s="7">
        <v>55.162607000000001</v>
      </c>
      <c r="AH63" s="7">
        <v>65.749300000000005</v>
      </c>
      <c r="AI63" s="7">
        <v>36.775072000000002</v>
      </c>
      <c r="AJ63" s="7">
        <v>50</v>
      </c>
      <c r="AK63" s="7">
        <v>12.86</v>
      </c>
      <c r="AL63" s="7">
        <v>12.47</v>
      </c>
      <c r="AM63" s="7">
        <v>10.58</v>
      </c>
      <c r="AN63" s="7">
        <v>0.53002400000000005</v>
      </c>
      <c r="AO63" s="7">
        <v>53.002408000000003</v>
      </c>
      <c r="AP63" s="7">
        <v>100</v>
      </c>
      <c r="AQ63" s="7">
        <v>0.56972500000000004</v>
      </c>
      <c r="AR63" s="7">
        <v>56.972484999999999</v>
      </c>
      <c r="AS63" s="7">
        <v>100</v>
      </c>
      <c r="AT63" s="7">
        <v>0.50681100000000001</v>
      </c>
      <c r="AU63" s="7">
        <v>0.58176000000000005</v>
      </c>
      <c r="AV63" s="7">
        <v>50.681116000000003</v>
      </c>
      <c r="AW63" s="7">
        <v>100</v>
      </c>
      <c r="AX63" s="7">
        <v>0.54523999999999995</v>
      </c>
      <c r="AY63" s="7">
        <v>0.62401700000000004</v>
      </c>
      <c r="AZ63" s="7">
        <v>54.524025000000002</v>
      </c>
      <c r="BA63" s="7">
        <v>100</v>
      </c>
      <c r="BB63" s="7">
        <v>0.54691599999999996</v>
      </c>
      <c r="BC63" s="7">
        <v>27.345808999999999</v>
      </c>
      <c r="BD63" s="7">
        <v>50</v>
      </c>
      <c r="BE63" s="7">
        <v>0.54480499999999998</v>
      </c>
      <c r="BF63" s="7">
        <v>27.240228999999999</v>
      </c>
      <c r="BG63" s="7">
        <v>50</v>
      </c>
      <c r="BH63" s="7">
        <v>0</v>
      </c>
      <c r="BI63" s="7">
        <v>0.98236900000000005</v>
      </c>
      <c r="BJ63" s="7">
        <v>0.98248999999999997</v>
      </c>
      <c r="BK63" s="7">
        <v>0.98209000000000002</v>
      </c>
      <c r="BL63" s="7">
        <v>0.98192500000000005</v>
      </c>
      <c r="BM63" s="7">
        <v>0.98182999999999998</v>
      </c>
      <c r="BN63" s="7">
        <v>0.98214299999999999</v>
      </c>
      <c r="BO63" s="7">
        <v>0.980769</v>
      </c>
      <c r="BP63" s="7">
        <v>0.98009999999999997</v>
      </c>
      <c r="BQ63" s="7">
        <v>0.98220600000000002</v>
      </c>
      <c r="BR63" s="7">
        <v>0.114954</v>
      </c>
      <c r="BS63" s="7">
        <v>37.009103000000003</v>
      </c>
      <c r="BT63" s="7">
        <v>50</v>
      </c>
      <c r="BU63" s="7">
        <v>0.14400299999999999</v>
      </c>
      <c r="BV63" s="7">
        <v>31.199417</v>
      </c>
      <c r="BW63" s="7">
        <v>50</v>
      </c>
      <c r="BX63" s="7">
        <v>0.87990199999999996</v>
      </c>
      <c r="BY63" s="7">
        <v>50</v>
      </c>
      <c r="BZ63" s="7">
        <v>50</v>
      </c>
      <c r="CA63" s="7">
        <v>0.24019599999999999</v>
      </c>
      <c r="CB63" s="7">
        <v>16.013072000000001</v>
      </c>
      <c r="CC63" s="7">
        <v>50</v>
      </c>
      <c r="CD63" s="7">
        <v>0.84843500000000005</v>
      </c>
      <c r="CE63" s="7">
        <v>45.129517</v>
      </c>
      <c r="CF63" s="7">
        <v>50</v>
      </c>
      <c r="CG63" s="7">
        <v>0.82845199999999997</v>
      </c>
      <c r="CH63" s="7">
        <v>88.133178999999998</v>
      </c>
      <c r="CI63" s="7">
        <v>100</v>
      </c>
      <c r="CJ63" s="7">
        <v>1</v>
      </c>
      <c r="CK63" s="7">
        <v>0.76331400000000005</v>
      </c>
      <c r="CL63" s="7">
        <v>81.203575000000001</v>
      </c>
      <c r="CM63" s="7">
        <v>100</v>
      </c>
      <c r="CN63" s="7">
        <v>0.60299999999999998</v>
      </c>
      <c r="CO63" s="7">
        <v>80.392156999999997</v>
      </c>
      <c r="CP63" s="7">
        <v>100</v>
      </c>
      <c r="CQ63" s="7">
        <v>0.27884599999999998</v>
      </c>
      <c r="CR63" s="7">
        <v>0.84897999999999996</v>
      </c>
      <c r="CS63" s="7">
        <v>9.2948719999999998</v>
      </c>
      <c r="CT63" s="7">
        <v>50</v>
      </c>
      <c r="CU63" s="7">
        <v>0.68124300000000004</v>
      </c>
      <c r="CV63" s="7">
        <v>50</v>
      </c>
      <c r="CW63" s="7">
        <v>50</v>
      </c>
      <c r="CX63" s="7">
        <v>0.76331400000000005</v>
      </c>
      <c r="CY63" s="7">
        <v>0.94</v>
      </c>
      <c r="CZ63" s="7">
        <v>0.17668600000000001</v>
      </c>
      <c r="DA63" s="7">
        <v>15.389535</v>
      </c>
      <c r="DB63" s="7">
        <v>17.608319000000002</v>
      </c>
      <c r="DC63" s="7">
        <v>16.064022999999999</v>
      </c>
      <c r="DD63" s="7">
        <v>11.115401</v>
      </c>
      <c r="DE63" s="4" t="s">
        <v>124</v>
      </c>
      <c r="DF63" s="6"/>
      <c r="DG63" s="6"/>
      <c r="DH63" s="6"/>
      <c r="DI63" s="6"/>
      <c r="DJ63" s="4" t="s">
        <v>124</v>
      </c>
      <c r="DK63" s="4" t="s">
        <v>124</v>
      </c>
      <c r="DL63" s="4" t="s">
        <v>124</v>
      </c>
      <c r="DM63" s="4" t="s">
        <v>124</v>
      </c>
      <c r="DN63" s="4" t="s">
        <v>124</v>
      </c>
      <c r="DO63" s="4" t="s">
        <v>124</v>
      </c>
      <c r="DP63" s="6"/>
      <c r="DQ63" s="4" t="s">
        <v>125</v>
      </c>
    </row>
    <row r="64" spans="1:121" ht="20" customHeight="1" x14ac:dyDescent="0.15">
      <c r="A64" s="5">
        <v>2018</v>
      </c>
      <c r="B64" s="3" t="s">
        <v>187</v>
      </c>
      <c r="C64" s="4" t="str">
        <f t="shared" ref="C64:C318" si="62">"0290011"</f>
        <v>0290011</v>
      </c>
      <c r="D64" s="4" t="s">
        <v>122</v>
      </c>
      <c r="E64" s="4" t="str">
        <f t="shared" si="1"/>
        <v>0000000</v>
      </c>
      <c r="F64" s="4" t="s">
        <v>122</v>
      </c>
      <c r="G64" s="4" t="s">
        <v>122</v>
      </c>
      <c r="H64" s="4" t="s">
        <v>122</v>
      </c>
      <c r="I64" s="6"/>
      <c r="J64" s="4" t="s">
        <v>123</v>
      </c>
      <c r="K64" s="7">
        <v>483.00836700000002</v>
      </c>
      <c r="L64" s="7">
        <v>550</v>
      </c>
      <c r="M64" s="7">
        <v>87.819703000000004</v>
      </c>
      <c r="N64" s="4" t="s">
        <v>124</v>
      </c>
      <c r="O64" s="7">
        <v>0</v>
      </c>
      <c r="P64" s="7">
        <v>81.921363999999997</v>
      </c>
      <c r="Q64" s="7">
        <v>50</v>
      </c>
      <c r="R64" s="7">
        <v>50</v>
      </c>
      <c r="S64" s="7">
        <v>70.447902999999997</v>
      </c>
      <c r="T64" s="7">
        <v>75</v>
      </c>
      <c r="U64" s="7">
        <v>46.965268000000002</v>
      </c>
      <c r="V64" s="7">
        <v>50</v>
      </c>
      <c r="W64" s="7">
        <v>74.679205999999994</v>
      </c>
      <c r="X64" s="7">
        <v>49.786136999999997</v>
      </c>
      <c r="Y64" s="7">
        <v>50</v>
      </c>
      <c r="Z64" s="7">
        <v>75</v>
      </c>
      <c r="AA64" s="7">
        <v>64.281739000000002</v>
      </c>
      <c r="AB64" s="7">
        <v>42.854492</v>
      </c>
      <c r="AC64" s="7">
        <v>50</v>
      </c>
      <c r="AD64" s="4" t="s">
        <v>124</v>
      </c>
      <c r="AE64" s="4" t="s">
        <v>124</v>
      </c>
      <c r="AF64" s="4" t="s">
        <v>124</v>
      </c>
      <c r="AG64" s="4" t="s">
        <v>124</v>
      </c>
      <c r="AH64" s="4" t="s">
        <v>124</v>
      </c>
      <c r="AI64" s="4" t="s">
        <v>124</v>
      </c>
      <c r="AJ64" s="4" t="s">
        <v>124</v>
      </c>
      <c r="AK64" s="7">
        <v>4.55</v>
      </c>
      <c r="AL64" s="7">
        <v>10.71</v>
      </c>
      <c r="AM64" s="4" t="s">
        <v>124</v>
      </c>
      <c r="AN64" s="7">
        <v>0.772567</v>
      </c>
      <c r="AO64" s="7">
        <v>77.256707000000006</v>
      </c>
      <c r="AP64" s="7">
        <v>100</v>
      </c>
      <c r="AQ64" s="7">
        <v>0.66145799999999999</v>
      </c>
      <c r="AR64" s="7">
        <v>66.145760999999993</v>
      </c>
      <c r="AS64" s="7">
        <v>100</v>
      </c>
      <c r="AT64" s="4" t="s">
        <v>124</v>
      </c>
      <c r="AU64" s="7">
        <v>0.90915199999999996</v>
      </c>
      <c r="AV64" s="4" t="s">
        <v>124</v>
      </c>
      <c r="AW64" s="4" t="s">
        <v>124</v>
      </c>
      <c r="AX64" s="4" t="s">
        <v>124</v>
      </c>
      <c r="AY64" s="7">
        <v>0.77750300000000006</v>
      </c>
      <c r="AZ64" s="4" t="s">
        <v>124</v>
      </c>
      <c r="BA64" s="4" t="s">
        <v>124</v>
      </c>
      <c r="BB64" s="4" t="s">
        <v>124</v>
      </c>
      <c r="BC64" s="4" t="s">
        <v>124</v>
      </c>
      <c r="BD64" s="4" t="s">
        <v>124</v>
      </c>
      <c r="BE64" s="4" t="s">
        <v>124</v>
      </c>
      <c r="BF64" s="4" t="s">
        <v>124</v>
      </c>
      <c r="BG64" s="4" t="s">
        <v>124</v>
      </c>
      <c r="BH64" s="7">
        <v>1</v>
      </c>
      <c r="BI64" s="7">
        <v>0.94545500000000005</v>
      </c>
      <c r="BJ64" s="7">
        <v>0.88888900000000004</v>
      </c>
      <c r="BK64" s="7">
        <v>1</v>
      </c>
      <c r="BL64" s="7">
        <v>0.94545500000000005</v>
      </c>
      <c r="BM64" s="7">
        <v>0.88888900000000004</v>
      </c>
      <c r="BN64" s="7">
        <v>1</v>
      </c>
      <c r="BO64" s="4" t="s">
        <v>124</v>
      </c>
      <c r="BP64" s="4" t="s">
        <v>124</v>
      </c>
      <c r="BQ64" s="4" t="s">
        <v>124</v>
      </c>
      <c r="BR64" s="7">
        <v>1.1494000000000001E-2</v>
      </c>
      <c r="BS64" s="7">
        <v>50</v>
      </c>
      <c r="BT64" s="7">
        <v>50</v>
      </c>
      <c r="BU64" s="7">
        <v>2.3810000000000001E-2</v>
      </c>
      <c r="BV64" s="7">
        <v>50</v>
      </c>
      <c r="BW64" s="7">
        <v>50</v>
      </c>
      <c r="BX64" s="4" t="s">
        <v>124</v>
      </c>
      <c r="BY64" s="4" t="s">
        <v>124</v>
      </c>
      <c r="BZ64" s="4" t="s">
        <v>124</v>
      </c>
      <c r="CA64" s="4" t="s">
        <v>124</v>
      </c>
      <c r="CB64" s="4" t="s">
        <v>124</v>
      </c>
      <c r="CC64" s="4" t="s">
        <v>124</v>
      </c>
      <c r="CD64" s="4" t="s">
        <v>124</v>
      </c>
      <c r="CE64" s="4" t="s">
        <v>124</v>
      </c>
      <c r="CF64" s="4" t="s">
        <v>124</v>
      </c>
      <c r="CG64" s="4" t="s">
        <v>124</v>
      </c>
      <c r="CH64" s="4" t="s">
        <v>124</v>
      </c>
      <c r="CI64" s="4" t="s">
        <v>124</v>
      </c>
      <c r="CJ64" s="4" t="s">
        <v>124</v>
      </c>
      <c r="CK64" s="4" t="s">
        <v>124</v>
      </c>
      <c r="CL64" s="4" t="s">
        <v>124</v>
      </c>
      <c r="CM64" s="4" t="s">
        <v>124</v>
      </c>
      <c r="CN64" s="4" t="s">
        <v>124</v>
      </c>
      <c r="CO64" s="4" t="s">
        <v>124</v>
      </c>
      <c r="CP64" s="4" t="s">
        <v>124</v>
      </c>
      <c r="CQ64" s="7">
        <v>0.76666699999999999</v>
      </c>
      <c r="CR64" s="7">
        <v>1</v>
      </c>
      <c r="CS64" s="7">
        <v>50</v>
      </c>
      <c r="CT64" s="7">
        <v>50</v>
      </c>
      <c r="CU64" s="4" t="s">
        <v>124</v>
      </c>
      <c r="CV64" s="4" t="s">
        <v>124</v>
      </c>
      <c r="CW64" s="4" t="s">
        <v>124</v>
      </c>
      <c r="CX64" s="4" t="s">
        <v>124</v>
      </c>
      <c r="CY64" s="4" t="s">
        <v>124</v>
      </c>
      <c r="CZ64" s="4" t="s">
        <v>124</v>
      </c>
      <c r="DA64" s="7">
        <v>15.389535</v>
      </c>
      <c r="DB64" s="7">
        <v>17.608319000000002</v>
      </c>
      <c r="DC64" s="7">
        <v>16.064022999999999</v>
      </c>
      <c r="DD64" s="4" t="s">
        <v>124</v>
      </c>
      <c r="DE64" s="4" t="s">
        <v>124</v>
      </c>
      <c r="DF64" s="6"/>
      <c r="DG64" s="6"/>
      <c r="DH64" s="6"/>
      <c r="DI64" s="6"/>
      <c r="DJ64" s="4" t="s">
        <v>124</v>
      </c>
      <c r="DK64" s="4" t="s">
        <v>124</v>
      </c>
      <c r="DL64" s="4" t="s">
        <v>124</v>
      </c>
      <c r="DM64" s="4" t="s">
        <v>124</v>
      </c>
      <c r="DN64" s="4" t="s">
        <v>124</v>
      </c>
      <c r="DO64" s="4" t="s">
        <v>124</v>
      </c>
      <c r="DP64" s="6"/>
      <c r="DQ64" s="4" t="s">
        <v>125</v>
      </c>
    </row>
    <row r="65" spans="1:121" ht="20" customHeight="1" x14ac:dyDescent="0.15">
      <c r="A65" s="5">
        <v>2018</v>
      </c>
      <c r="B65" s="3" t="s">
        <v>188</v>
      </c>
      <c r="C65" s="4" t="str">
        <f t="shared" ref="C65:C319" si="63">"0300011"</f>
        <v>0300011</v>
      </c>
      <c r="D65" s="4" t="s">
        <v>122</v>
      </c>
      <c r="E65" s="4" t="str">
        <f t="shared" si="1"/>
        <v>0000000</v>
      </c>
      <c r="F65" s="4" t="s">
        <v>122</v>
      </c>
      <c r="G65" s="4" t="s">
        <v>122</v>
      </c>
      <c r="H65" s="4" t="s">
        <v>122</v>
      </c>
      <c r="I65" s="6"/>
      <c r="J65" s="4" t="s">
        <v>123</v>
      </c>
      <c r="K65" s="7">
        <v>691.30042100000003</v>
      </c>
      <c r="L65" s="7">
        <v>900</v>
      </c>
      <c r="M65" s="7">
        <v>76.811158000000006</v>
      </c>
      <c r="N65" s="4" t="s">
        <v>124</v>
      </c>
      <c r="O65" s="7">
        <v>1</v>
      </c>
      <c r="P65" s="7">
        <v>72.971266</v>
      </c>
      <c r="Q65" s="7">
        <v>48.647509999999997</v>
      </c>
      <c r="R65" s="7">
        <v>50</v>
      </c>
      <c r="S65" s="7">
        <v>63.291722</v>
      </c>
      <c r="T65" s="7">
        <v>75</v>
      </c>
      <c r="U65" s="7">
        <v>42.194481000000003</v>
      </c>
      <c r="V65" s="7">
        <v>50</v>
      </c>
      <c r="W65" s="7">
        <v>65.315486000000007</v>
      </c>
      <c r="X65" s="7">
        <v>43.543657000000003</v>
      </c>
      <c r="Y65" s="7">
        <v>50</v>
      </c>
      <c r="Z65" s="7">
        <v>69.538141999999993</v>
      </c>
      <c r="AA65" s="7">
        <v>55.181111999999999</v>
      </c>
      <c r="AB65" s="7">
        <v>36.787407999999999</v>
      </c>
      <c r="AC65" s="7">
        <v>50</v>
      </c>
      <c r="AD65" s="7">
        <v>71.104836000000006</v>
      </c>
      <c r="AE65" s="7">
        <v>47.403224000000002</v>
      </c>
      <c r="AF65" s="7">
        <v>50</v>
      </c>
      <c r="AG65" s="7">
        <v>58.645332000000003</v>
      </c>
      <c r="AH65" s="7">
        <v>75</v>
      </c>
      <c r="AI65" s="7">
        <v>39.096888</v>
      </c>
      <c r="AJ65" s="7">
        <v>50</v>
      </c>
      <c r="AK65" s="7">
        <v>11.7</v>
      </c>
      <c r="AL65" s="7">
        <v>14.35</v>
      </c>
      <c r="AM65" s="7">
        <v>16.350000000000001</v>
      </c>
      <c r="AN65" s="7">
        <v>0.66169999999999995</v>
      </c>
      <c r="AO65" s="7">
        <v>66.170043000000007</v>
      </c>
      <c r="AP65" s="7">
        <v>100</v>
      </c>
      <c r="AQ65" s="7">
        <v>0.53859999999999997</v>
      </c>
      <c r="AR65" s="7">
        <v>53.859983</v>
      </c>
      <c r="AS65" s="7">
        <v>100</v>
      </c>
      <c r="AT65" s="7">
        <v>0.65073099999999995</v>
      </c>
      <c r="AU65" s="7">
        <v>0.66694299999999995</v>
      </c>
      <c r="AV65" s="7">
        <v>65.073091000000005</v>
      </c>
      <c r="AW65" s="7">
        <v>100</v>
      </c>
      <c r="AX65" s="7">
        <v>0.50319000000000003</v>
      </c>
      <c r="AY65" s="7">
        <v>0.55512399999999995</v>
      </c>
      <c r="AZ65" s="7">
        <v>50.319006999999999</v>
      </c>
      <c r="BA65" s="7">
        <v>100</v>
      </c>
      <c r="BB65" s="4" t="s">
        <v>124</v>
      </c>
      <c r="BC65" s="4" t="s">
        <v>124</v>
      </c>
      <c r="BD65" s="4" t="s">
        <v>124</v>
      </c>
      <c r="BE65" s="4" t="s">
        <v>124</v>
      </c>
      <c r="BF65" s="4" t="s">
        <v>124</v>
      </c>
      <c r="BG65" s="4" t="s">
        <v>124</v>
      </c>
      <c r="BH65" s="7">
        <v>1</v>
      </c>
      <c r="BI65" s="7">
        <v>0.97590399999999999</v>
      </c>
      <c r="BJ65" s="7">
        <v>0.93670900000000001</v>
      </c>
      <c r="BK65" s="7">
        <v>0.99411799999999995</v>
      </c>
      <c r="BL65" s="7">
        <v>0.96385500000000002</v>
      </c>
      <c r="BM65" s="7">
        <v>0.91139199999999998</v>
      </c>
      <c r="BN65" s="7">
        <v>0.98823499999999997</v>
      </c>
      <c r="BO65" s="7">
        <v>0.94898000000000005</v>
      </c>
      <c r="BP65" s="7">
        <v>0.89655200000000002</v>
      </c>
      <c r="BQ65" s="7">
        <v>0.97101400000000004</v>
      </c>
      <c r="BR65" s="7">
        <v>2.7918999999999999E-2</v>
      </c>
      <c r="BS65" s="7">
        <v>50</v>
      </c>
      <c r="BT65" s="7">
        <v>50</v>
      </c>
      <c r="BU65" s="7">
        <v>3.3057999999999997E-2</v>
      </c>
      <c r="BV65" s="7">
        <v>50</v>
      </c>
      <c r="BW65" s="7">
        <v>50</v>
      </c>
      <c r="BX65" s="4" t="s">
        <v>124</v>
      </c>
      <c r="BY65" s="4" t="s">
        <v>124</v>
      </c>
      <c r="BZ65" s="4" t="s">
        <v>124</v>
      </c>
      <c r="CA65" s="4" t="s">
        <v>124</v>
      </c>
      <c r="CB65" s="4" t="s">
        <v>124</v>
      </c>
      <c r="CC65" s="4" t="s">
        <v>124</v>
      </c>
      <c r="CD65" s="7">
        <v>0.95454499999999998</v>
      </c>
      <c r="CE65" s="7">
        <v>50</v>
      </c>
      <c r="CF65" s="7">
        <v>50</v>
      </c>
      <c r="CG65" s="4" t="s">
        <v>124</v>
      </c>
      <c r="CH65" s="4" t="s">
        <v>124</v>
      </c>
      <c r="CI65" s="4" t="s">
        <v>124</v>
      </c>
      <c r="CJ65" s="4" t="s">
        <v>124</v>
      </c>
      <c r="CK65" s="4" t="s">
        <v>124</v>
      </c>
      <c r="CL65" s="4" t="s">
        <v>124</v>
      </c>
      <c r="CM65" s="4" t="s">
        <v>124</v>
      </c>
      <c r="CN65" s="4" t="s">
        <v>124</v>
      </c>
      <c r="CO65" s="4" t="s">
        <v>124</v>
      </c>
      <c r="CP65" s="4" t="s">
        <v>124</v>
      </c>
      <c r="CQ65" s="7">
        <v>0.72307699999999997</v>
      </c>
      <c r="CR65" s="7">
        <v>1</v>
      </c>
      <c r="CS65" s="7">
        <v>48.205128000000002</v>
      </c>
      <c r="CT65" s="7">
        <v>50</v>
      </c>
      <c r="CU65" s="4" t="s">
        <v>124</v>
      </c>
      <c r="CV65" s="4" t="s">
        <v>124</v>
      </c>
      <c r="CW65" s="4" t="s">
        <v>124</v>
      </c>
      <c r="CX65" s="4" t="s">
        <v>124</v>
      </c>
      <c r="CY65" s="4" t="s">
        <v>124</v>
      </c>
      <c r="CZ65" s="4" t="s">
        <v>124</v>
      </c>
      <c r="DA65" s="7">
        <v>15.389535</v>
      </c>
      <c r="DB65" s="7">
        <v>17.608319000000002</v>
      </c>
      <c r="DC65" s="7">
        <v>16.064022999999999</v>
      </c>
      <c r="DD65" s="4" t="s">
        <v>124</v>
      </c>
      <c r="DE65" s="4" t="s">
        <v>124</v>
      </c>
      <c r="DF65" s="6"/>
      <c r="DG65" s="6"/>
      <c r="DH65" s="6"/>
      <c r="DI65" s="6"/>
      <c r="DJ65" s="4" t="s">
        <v>124</v>
      </c>
      <c r="DK65" s="4" t="s">
        <v>124</v>
      </c>
      <c r="DL65" s="4" t="s">
        <v>124</v>
      </c>
      <c r="DM65" s="4" t="s">
        <v>124</v>
      </c>
      <c r="DN65" s="4" t="s">
        <v>124</v>
      </c>
      <c r="DO65" s="4" t="s">
        <v>124</v>
      </c>
      <c r="DP65" s="6"/>
      <c r="DQ65" s="4" t="s">
        <v>125</v>
      </c>
    </row>
    <row r="66" spans="1:121" ht="20" customHeight="1" x14ac:dyDescent="0.15">
      <c r="A66" s="5">
        <v>2018</v>
      </c>
      <c r="B66" s="3" t="s">
        <v>189</v>
      </c>
      <c r="C66" s="4" t="str">
        <f t="shared" ref="C66:C952" si="64">"1470011"</f>
        <v>1470011</v>
      </c>
      <c r="D66" s="4" t="s">
        <v>122</v>
      </c>
      <c r="E66" s="4" t="str">
        <f t="shared" si="1"/>
        <v>0000000</v>
      </c>
      <c r="F66" s="4" t="s">
        <v>122</v>
      </c>
      <c r="G66" s="4" t="s">
        <v>122</v>
      </c>
      <c r="H66" s="4" t="s">
        <v>122</v>
      </c>
      <c r="I66" s="6"/>
      <c r="J66" s="4" t="s">
        <v>123</v>
      </c>
      <c r="K66" s="7">
        <v>676.49125300000003</v>
      </c>
      <c r="L66" s="7">
        <v>850</v>
      </c>
      <c r="M66" s="7">
        <v>79.587205999999995</v>
      </c>
      <c r="N66" s="4" t="s">
        <v>124</v>
      </c>
      <c r="O66" s="7">
        <v>0</v>
      </c>
      <c r="P66" s="7">
        <v>74.887585000000001</v>
      </c>
      <c r="Q66" s="7">
        <v>49.925057000000002</v>
      </c>
      <c r="R66" s="7">
        <v>50</v>
      </c>
      <c r="S66" s="7">
        <v>61.561396999999999</v>
      </c>
      <c r="T66" s="7">
        <v>75</v>
      </c>
      <c r="U66" s="7">
        <v>41.040931</v>
      </c>
      <c r="V66" s="7">
        <v>50</v>
      </c>
      <c r="W66" s="7">
        <v>71.824151000000001</v>
      </c>
      <c r="X66" s="7">
        <v>47.882767000000001</v>
      </c>
      <c r="Y66" s="7">
        <v>50</v>
      </c>
      <c r="Z66" s="7">
        <v>75</v>
      </c>
      <c r="AA66" s="7">
        <v>58.459786999999999</v>
      </c>
      <c r="AB66" s="7">
        <v>38.973191</v>
      </c>
      <c r="AC66" s="7">
        <v>50</v>
      </c>
      <c r="AD66" s="7">
        <v>78.222024000000005</v>
      </c>
      <c r="AE66" s="7">
        <v>50</v>
      </c>
      <c r="AF66" s="7">
        <v>50</v>
      </c>
      <c r="AG66" s="4" t="s">
        <v>124</v>
      </c>
      <c r="AH66" s="7">
        <v>75</v>
      </c>
      <c r="AI66" s="4" t="s">
        <v>124</v>
      </c>
      <c r="AJ66" s="4" t="s">
        <v>124</v>
      </c>
      <c r="AK66" s="7">
        <v>13.43</v>
      </c>
      <c r="AL66" s="7">
        <v>16.54</v>
      </c>
      <c r="AM66" s="4" t="s">
        <v>124</v>
      </c>
      <c r="AN66" s="7">
        <v>0.69911800000000002</v>
      </c>
      <c r="AO66" s="7">
        <v>69.911778999999996</v>
      </c>
      <c r="AP66" s="7">
        <v>100</v>
      </c>
      <c r="AQ66" s="7">
        <v>0.79778400000000005</v>
      </c>
      <c r="AR66" s="7">
        <v>79.778351999999998</v>
      </c>
      <c r="AS66" s="7">
        <v>100</v>
      </c>
      <c r="AT66" s="7">
        <v>0.62940700000000005</v>
      </c>
      <c r="AU66" s="7">
        <v>0.73677800000000004</v>
      </c>
      <c r="AV66" s="7">
        <v>62.940674000000001</v>
      </c>
      <c r="AW66" s="7">
        <v>100</v>
      </c>
      <c r="AX66" s="7">
        <v>0.67733600000000005</v>
      </c>
      <c r="AY66" s="7">
        <v>0.86285299999999998</v>
      </c>
      <c r="AZ66" s="7">
        <v>67.733587</v>
      </c>
      <c r="BA66" s="7">
        <v>100</v>
      </c>
      <c r="BB66" s="4" t="s">
        <v>124</v>
      </c>
      <c r="BC66" s="4" t="s">
        <v>124</v>
      </c>
      <c r="BD66" s="4" t="s">
        <v>124</v>
      </c>
      <c r="BE66" s="4" t="s">
        <v>124</v>
      </c>
      <c r="BF66" s="4" t="s">
        <v>124</v>
      </c>
      <c r="BG66" s="4" t="s">
        <v>124</v>
      </c>
      <c r="BH66" s="7">
        <v>0</v>
      </c>
      <c r="BI66" s="7">
        <v>1</v>
      </c>
      <c r="BJ66" s="7">
        <v>1</v>
      </c>
      <c r="BK66" s="7">
        <v>1</v>
      </c>
      <c r="BL66" s="7">
        <v>1</v>
      </c>
      <c r="BM66" s="7">
        <v>1</v>
      </c>
      <c r="BN66" s="7">
        <v>1</v>
      </c>
      <c r="BO66" s="7">
        <v>1</v>
      </c>
      <c r="BP66" s="4" t="s">
        <v>124</v>
      </c>
      <c r="BQ66" s="7">
        <v>1</v>
      </c>
      <c r="BR66" s="7">
        <v>3.9822999999999997E-2</v>
      </c>
      <c r="BS66" s="7">
        <v>50</v>
      </c>
      <c r="BT66" s="7">
        <v>50</v>
      </c>
      <c r="BU66" s="7">
        <v>5.4945000000000001E-2</v>
      </c>
      <c r="BV66" s="7">
        <v>49.010989000000002</v>
      </c>
      <c r="BW66" s="7">
        <v>50</v>
      </c>
      <c r="BX66" s="4" t="s">
        <v>124</v>
      </c>
      <c r="BY66" s="4" t="s">
        <v>124</v>
      </c>
      <c r="BZ66" s="4" t="s">
        <v>124</v>
      </c>
      <c r="CA66" s="4" t="s">
        <v>124</v>
      </c>
      <c r="CB66" s="4" t="s">
        <v>124</v>
      </c>
      <c r="CC66" s="4" t="s">
        <v>124</v>
      </c>
      <c r="CD66" s="7">
        <v>0.90322599999999997</v>
      </c>
      <c r="CE66" s="7">
        <v>48.043925999999999</v>
      </c>
      <c r="CF66" s="7">
        <v>50</v>
      </c>
      <c r="CG66" s="4" t="s">
        <v>124</v>
      </c>
      <c r="CH66" s="4" t="s">
        <v>124</v>
      </c>
      <c r="CI66" s="4" t="s">
        <v>124</v>
      </c>
      <c r="CJ66" s="4" t="s">
        <v>124</v>
      </c>
      <c r="CK66" s="4" t="s">
        <v>124</v>
      </c>
      <c r="CL66" s="4" t="s">
        <v>124</v>
      </c>
      <c r="CM66" s="4" t="s">
        <v>124</v>
      </c>
      <c r="CN66" s="4" t="s">
        <v>124</v>
      </c>
      <c r="CO66" s="4" t="s">
        <v>124</v>
      </c>
      <c r="CP66" s="4" t="s">
        <v>124</v>
      </c>
      <c r="CQ66" s="7">
        <v>0.63749999999999996</v>
      </c>
      <c r="CR66" s="7">
        <v>0.89887600000000001</v>
      </c>
      <c r="CS66" s="7">
        <v>21.25</v>
      </c>
      <c r="CT66" s="7">
        <v>50</v>
      </c>
      <c r="CU66" s="4" t="s">
        <v>124</v>
      </c>
      <c r="CV66" s="4" t="s">
        <v>124</v>
      </c>
      <c r="CW66" s="4" t="s">
        <v>124</v>
      </c>
      <c r="CX66" s="4" t="s">
        <v>124</v>
      </c>
      <c r="CY66" s="4" t="s">
        <v>124</v>
      </c>
      <c r="CZ66" s="4" t="s">
        <v>124</v>
      </c>
      <c r="DA66" s="7">
        <v>15.389535</v>
      </c>
      <c r="DB66" s="7">
        <v>17.608319000000002</v>
      </c>
      <c r="DC66" s="7">
        <v>16.064022999999999</v>
      </c>
      <c r="DD66" s="4" t="s">
        <v>124</v>
      </c>
      <c r="DE66" s="4" t="s">
        <v>124</v>
      </c>
      <c r="DF66" s="6"/>
      <c r="DG66" s="6"/>
      <c r="DH66" s="6"/>
      <c r="DI66" s="6"/>
      <c r="DJ66" s="4" t="s">
        <v>124</v>
      </c>
      <c r="DK66" s="4" t="s">
        <v>124</v>
      </c>
      <c r="DL66" s="4" t="s">
        <v>124</v>
      </c>
      <c r="DM66" s="4" t="s">
        <v>124</v>
      </c>
      <c r="DN66" s="4" t="s">
        <v>124</v>
      </c>
      <c r="DO66" s="4" t="s">
        <v>124</v>
      </c>
      <c r="DP66" s="6"/>
      <c r="DQ66" s="4" t="s">
        <v>125</v>
      </c>
    </row>
    <row r="67" spans="1:121" ht="20" customHeight="1" x14ac:dyDescent="0.15">
      <c r="A67" s="5">
        <v>2018</v>
      </c>
      <c r="B67" s="3" t="s">
        <v>190</v>
      </c>
      <c r="C67" s="4" t="str">
        <f t="shared" ref="C67:C953" si="65">"1480011"</f>
        <v>1480011</v>
      </c>
      <c r="D67" s="4" t="s">
        <v>122</v>
      </c>
      <c r="E67" s="4" t="str">
        <f t="shared" si="1"/>
        <v>0000000</v>
      </c>
      <c r="F67" s="4" t="s">
        <v>122</v>
      </c>
      <c r="G67" s="4" t="s">
        <v>122</v>
      </c>
      <c r="H67" s="4" t="s">
        <v>122</v>
      </c>
      <c r="I67" s="6"/>
      <c r="J67" s="4" t="s">
        <v>123</v>
      </c>
      <c r="K67" s="7">
        <v>1100.5746079999999</v>
      </c>
      <c r="L67" s="7">
        <v>1450</v>
      </c>
      <c r="M67" s="7">
        <v>75.901696999999999</v>
      </c>
      <c r="N67" s="4" t="s">
        <v>124</v>
      </c>
      <c r="O67" s="7">
        <v>0</v>
      </c>
      <c r="P67" s="7">
        <v>66.661383999999998</v>
      </c>
      <c r="Q67" s="7">
        <v>44.440922</v>
      </c>
      <c r="R67" s="7">
        <v>50</v>
      </c>
      <c r="S67" s="7">
        <v>58.001511000000001</v>
      </c>
      <c r="T67" s="7">
        <v>72.890871000000004</v>
      </c>
      <c r="U67" s="7">
        <v>38.667673999999998</v>
      </c>
      <c r="V67" s="7">
        <v>50</v>
      </c>
      <c r="W67" s="7">
        <v>61.453494999999997</v>
      </c>
      <c r="X67" s="7">
        <v>40.968997000000002</v>
      </c>
      <c r="Y67" s="7">
        <v>50</v>
      </c>
      <c r="Z67" s="7">
        <v>67.834479999999999</v>
      </c>
      <c r="AA67" s="7">
        <v>52.560732999999999</v>
      </c>
      <c r="AB67" s="7">
        <v>35.040489000000001</v>
      </c>
      <c r="AC67" s="7">
        <v>50</v>
      </c>
      <c r="AD67" s="7">
        <v>65.630537000000004</v>
      </c>
      <c r="AE67" s="7">
        <v>43.753691000000003</v>
      </c>
      <c r="AF67" s="7">
        <v>50</v>
      </c>
      <c r="AG67" s="7">
        <v>57.053668999999999</v>
      </c>
      <c r="AH67" s="7">
        <v>71.173856000000001</v>
      </c>
      <c r="AI67" s="7">
        <v>38.035778999999998</v>
      </c>
      <c r="AJ67" s="7">
        <v>50</v>
      </c>
      <c r="AK67" s="7">
        <v>14.88</v>
      </c>
      <c r="AL67" s="7">
        <v>15.27</v>
      </c>
      <c r="AM67" s="7">
        <v>14.12</v>
      </c>
      <c r="AN67" s="7">
        <v>0.58535400000000004</v>
      </c>
      <c r="AO67" s="7">
        <v>58.535438999999997</v>
      </c>
      <c r="AP67" s="7">
        <v>100</v>
      </c>
      <c r="AQ67" s="7">
        <v>0.56390099999999999</v>
      </c>
      <c r="AR67" s="7">
        <v>56.390135999999998</v>
      </c>
      <c r="AS67" s="7">
        <v>100</v>
      </c>
      <c r="AT67" s="7">
        <v>0.539636</v>
      </c>
      <c r="AU67" s="7">
        <v>0.61690500000000004</v>
      </c>
      <c r="AV67" s="7">
        <v>53.963572999999997</v>
      </c>
      <c r="AW67" s="7">
        <v>100</v>
      </c>
      <c r="AX67" s="7">
        <v>0.52947500000000003</v>
      </c>
      <c r="AY67" s="7">
        <v>0.58747799999999994</v>
      </c>
      <c r="AZ67" s="7">
        <v>52.947476999999999</v>
      </c>
      <c r="BA67" s="7">
        <v>100</v>
      </c>
      <c r="BB67" s="7">
        <v>0.67744599999999999</v>
      </c>
      <c r="BC67" s="7">
        <v>33.872320999999999</v>
      </c>
      <c r="BD67" s="7">
        <v>50</v>
      </c>
      <c r="BE67" s="7">
        <v>0.53608100000000003</v>
      </c>
      <c r="BF67" s="7">
        <v>26.804072999999999</v>
      </c>
      <c r="BG67" s="7">
        <v>50</v>
      </c>
      <c r="BH67" s="7">
        <v>0</v>
      </c>
      <c r="BI67" s="7">
        <v>0.98486399999999996</v>
      </c>
      <c r="BJ67" s="7">
        <v>0.97810799999999998</v>
      </c>
      <c r="BK67" s="7">
        <v>0.98996499999999998</v>
      </c>
      <c r="BL67" s="7">
        <v>0.98385500000000004</v>
      </c>
      <c r="BM67" s="7">
        <v>0.97576200000000002</v>
      </c>
      <c r="BN67" s="7">
        <v>0.98996499999999998</v>
      </c>
      <c r="BO67" s="7">
        <v>0.97834200000000004</v>
      </c>
      <c r="BP67" s="7">
        <v>0.96309999999999996</v>
      </c>
      <c r="BQ67" s="7">
        <v>0.98870800000000003</v>
      </c>
      <c r="BR67" s="7">
        <v>6.0176E-2</v>
      </c>
      <c r="BS67" s="7">
        <v>47.964793</v>
      </c>
      <c r="BT67" s="7">
        <v>50</v>
      </c>
      <c r="BU67" s="7">
        <v>0.109083</v>
      </c>
      <c r="BV67" s="7">
        <v>38.183399000000001</v>
      </c>
      <c r="BW67" s="7">
        <v>50</v>
      </c>
      <c r="BX67" s="7">
        <v>0.79343200000000003</v>
      </c>
      <c r="BY67" s="7">
        <v>50</v>
      </c>
      <c r="BZ67" s="7">
        <v>50</v>
      </c>
      <c r="CA67" s="7">
        <v>0.42584699999999998</v>
      </c>
      <c r="CB67" s="7">
        <v>28.389831000000001</v>
      </c>
      <c r="CC67" s="7">
        <v>50</v>
      </c>
      <c r="CD67" s="7">
        <v>0.99133300000000002</v>
      </c>
      <c r="CE67" s="7">
        <v>50</v>
      </c>
      <c r="CF67" s="7">
        <v>50</v>
      </c>
      <c r="CG67" s="7">
        <v>0.93361899999999998</v>
      </c>
      <c r="CH67" s="7">
        <v>99.321154000000007</v>
      </c>
      <c r="CI67" s="7">
        <v>100</v>
      </c>
      <c r="CJ67" s="7">
        <v>0</v>
      </c>
      <c r="CK67" s="7">
        <v>0.87026999999999999</v>
      </c>
      <c r="CL67" s="7">
        <v>92.581943999999993</v>
      </c>
      <c r="CM67" s="7">
        <v>100</v>
      </c>
      <c r="CN67" s="7">
        <v>0.73499999999999999</v>
      </c>
      <c r="CO67" s="7">
        <v>97.977528000000007</v>
      </c>
      <c r="CP67" s="7">
        <v>100</v>
      </c>
      <c r="CQ67" s="7">
        <v>0.47964600000000002</v>
      </c>
      <c r="CR67" s="7">
        <v>0.93853799999999998</v>
      </c>
      <c r="CS67" s="7">
        <v>31.976400999999999</v>
      </c>
      <c r="CT67" s="7">
        <v>50</v>
      </c>
      <c r="CU67" s="7">
        <v>0.48910799999999999</v>
      </c>
      <c r="CV67" s="7">
        <v>40.758989999999997</v>
      </c>
      <c r="CW67" s="7">
        <v>50</v>
      </c>
      <c r="CX67" s="7">
        <v>0.87026999999999999</v>
      </c>
      <c r="CY67" s="7">
        <v>0.94</v>
      </c>
      <c r="CZ67" s="7">
        <v>6.973E-2</v>
      </c>
      <c r="DA67" s="7">
        <v>15.389535</v>
      </c>
      <c r="DB67" s="7">
        <v>17.608319000000002</v>
      </c>
      <c r="DC67" s="7">
        <v>16.064022999999999</v>
      </c>
      <c r="DD67" s="7">
        <v>11.115401</v>
      </c>
      <c r="DE67" s="4" t="s">
        <v>124</v>
      </c>
      <c r="DF67" s="6"/>
      <c r="DG67" s="6"/>
      <c r="DH67" s="6"/>
      <c r="DI67" s="6"/>
      <c r="DJ67" s="4" t="s">
        <v>124</v>
      </c>
      <c r="DK67" s="4" t="s">
        <v>124</v>
      </c>
      <c r="DL67" s="4" t="s">
        <v>124</v>
      </c>
      <c r="DM67" s="4" t="s">
        <v>124</v>
      </c>
      <c r="DN67" s="4" t="s">
        <v>124</v>
      </c>
      <c r="DO67" s="4" t="s">
        <v>124</v>
      </c>
      <c r="DP67" s="6"/>
      <c r="DQ67" s="4" t="s">
        <v>125</v>
      </c>
    </row>
    <row r="68" spans="1:121" ht="20" customHeight="1" x14ac:dyDescent="0.15">
      <c r="A68" s="5">
        <v>2018</v>
      </c>
      <c r="B68" s="3" t="s">
        <v>191</v>
      </c>
      <c r="C68" s="4" t="str">
        <f t="shared" ref="C68:C1053" si="66">"1610011"</f>
        <v>1610011</v>
      </c>
      <c r="D68" s="4" t="s">
        <v>122</v>
      </c>
      <c r="E68" s="4" t="str">
        <f t="shared" si="1"/>
        <v>0000000</v>
      </c>
      <c r="F68" s="4" t="s">
        <v>122</v>
      </c>
      <c r="G68" s="4" t="s">
        <v>122</v>
      </c>
      <c r="H68" s="4" t="s">
        <v>122</v>
      </c>
      <c r="I68" s="6"/>
      <c r="J68" s="4" t="s">
        <v>123</v>
      </c>
      <c r="K68" s="7">
        <v>1147.240033</v>
      </c>
      <c r="L68" s="7">
        <v>1350</v>
      </c>
      <c r="M68" s="7">
        <v>84.980743000000004</v>
      </c>
      <c r="N68" s="4" t="s">
        <v>124</v>
      </c>
      <c r="O68" s="7">
        <v>1</v>
      </c>
      <c r="P68" s="7">
        <v>80.597142000000005</v>
      </c>
      <c r="Q68" s="7">
        <v>50</v>
      </c>
      <c r="R68" s="7">
        <v>50</v>
      </c>
      <c r="S68" s="7">
        <v>65.600412000000006</v>
      </c>
      <c r="T68" s="7">
        <v>75</v>
      </c>
      <c r="U68" s="7">
        <v>43.733607999999997</v>
      </c>
      <c r="V68" s="7">
        <v>50</v>
      </c>
      <c r="W68" s="7">
        <v>76.458414000000005</v>
      </c>
      <c r="X68" s="7">
        <v>50</v>
      </c>
      <c r="Y68" s="7">
        <v>50</v>
      </c>
      <c r="Z68" s="7">
        <v>75</v>
      </c>
      <c r="AA68" s="7">
        <v>60.207169</v>
      </c>
      <c r="AB68" s="7">
        <v>40.138112999999997</v>
      </c>
      <c r="AC68" s="7">
        <v>50</v>
      </c>
      <c r="AD68" s="7">
        <v>73.561082999999996</v>
      </c>
      <c r="AE68" s="7">
        <v>49.040722000000002</v>
      </c>
      <c r="AF68" s="7">
        <v>50</v>
      </c>
      <c r="AG68" s="7">
        <v>58.606499999999997</v>
      </c>
      <c r="AH68" s="7">
        <v>75</v>
      </c>
      <c r="AI68" s="7">
        <v>39.070999999999998</v>
      </c>
      <c r="AJ68" s="7">
        <v>50</v>
      </c>
      <c r="AK68" s="7">
        <v>9.39</v>
      </c>
      <c r="AL68" s="7">
        <v>14.79</v>
      </c>
      <c r="AM68" s="7">
        <v>16.39</v>
      </c>
      <c r="AN68" s="7">
        <v>0.66285700000000003</v>
      </c>
      <c r="AO68" s="7">
        <v>66.285701000000003</v>
      </c>
      <c r="AP68" s="7">
        <v>100</v>
      </c>
      <c r="AQ68" s="7">
        <v>0.73269499999999999</v>
      </c>
      <c r="AR68" s="7">
        <v>73.269508999999999</v>
      </c>
      <c r="AS68" s="7">
        <v>100</v>
      </c>
      <c r="AT68" s="7">
        <v>0.54181199999999996</v>
      </c>
      <c r="AU68" s="7">
        <v>0.69155</v>
      </c>
      <c r="AV68" s="7">
        <v>54.181229000000002</v>
      </c>
      <c r="AW68" s="7">
        <v>100</v>
      </c>
      <c r="AX68" s="7">
        <v>0.54876599999999998</v>
      </c>
      <c r="AY68" s="7">
        <v>0.77578899999999995</v>
      </c>
      <c r="AZ68" s="7">
        <v>54.876600000000003</v>
      </c>
      <c r="BA68" s="7">
        <v>100</v>
      </c>
      <c r="BB68" s="4" t="s">
        <v>124</v>
      </c>
      <c r="BC68" s="4" t="s">
        <v>124</v>
      </c>
      <c r="BD68" s="4" t="s">
        <v>124</v>
      </c>
      <c r="BE68" s="4" t="s">
        <v>124</v>
      </c>
      <c r="BF68" s="4" t="s">
        <v>124</v>
      </c>
      <c r="BG68" s="4" t="s">
        <v>124</v>
      </c>
      <c r="BH68" s="7">
        <v>1</v>
      </c>
      <c r="BI68" s="7">
        <v>0.96381099999999997</v>
      </c>
      <c r="BJ68" s="7">
        <v>0.92608699999999999</v>
      </c>
      <c r="BK68" s="7">
        <v>0.97388300000000005</v>
      </c>
      <c r="BL68" s="7">
        <v>0.96425300000000003</v>
      </c>
      <c r="BM68" s="7">
        <v>0.92592600000000003</v>
      </c>
      <c r="BN68" s="7">
        <v>0.97446299999999997</v>
      </c>
      <c r="BO68" s="7">
        <v>0.93382399999999999</v>
      </c>
      <c r="BP68" s="7">
        <v>0.85650199999999999</v>
      </c>
      <c r="BQ68" s="7">
        <v>0.95747599999999999</v>
      </c>
      <c r="BR68" s="7">
        <v>4.7962999999999999E-2</v>
      </c>
      <c r="BS68" s="7">
        <v>50</v>
      </c>
      <c r="BT68" s="7">
        <v>50</v>
      </c>
      <c r="BU68" s="7">
        <v>0.120779</v>
      </c>
      <c r="BV68" s="7">
        <v>35.844155999999998</v>
      </c>
      <c r="BW68" s="7">
        <v>50</v>
      </c>
      <c r="BX68" s="7">
        <v>0.89763800000000005</v>
      </c>
      <c r="BY68" s="7">
        <v>50</v>
      </c>
      <c r="BZ68" s="7">
        <v>50</v>
      </c>
      <c r="CA68" s="7">
        <v>0.8</v>
      </c>
      <c r="CB68" s="7">
        <v>50</v>
      </c>
      <c r="CC68" s="7">
        <v>50</v>
      </c>
      <c r="CD68" s="7">
        <v>0.93252599999999997</v>
      </c>
      <c r="CE68" s="7">
        <v>49.602443999999998</v>
      </c>
      <c r="CF68" s="7">
        <v>50</v>
      </c>
      <c r="CG68" s="7">
        <v>0.975684</v>
      </c>
      <c r="CH68" s="7">
        <v>100</v>
      </c>
      <c r="CI68" s="7">
        <v>100</v>
      </c>
      <c r="CJ68" s="7">
        <v>0</v>
      </c>
      <c r="CK68" s="7">
        <v>0.94736799999999999</v>
      </c>
      <c r="CL68" s="7">
        <v>100</v>
      </c>
      <c r="CM68" s="7">
        <v>100</v>
      </c>
      <c r="CN68" s="7">
        <v>0.91800000000000004</v>
      </c>
      <c r="CO68" s="7">
        <v>100</v>
      </c>
      <c r="CP68" s="7">
        <v>100</v>
      </c>
      <c r="CQ68" s="7">
        <v>0.70193899999999998</v>
      </c>
      <c r="CR68" s="7">
        <v>0.93433999999999995</v>
      </c>
      <c r="CS68" s="7">
        <v>46.795907</v>
      </c>
      <c r="CT68" s="7">
        <v>50</v>
      </c>
      <c r="CU68" s="7">
        <v>0.53281299999999998</v>
      </c>
      <c r="CV68" s="7">
        <v>44.401041999999997</v>
      </c>
      <c r="CW68" s="7">
        <v>50</v>
      </c>
      <c r="CX68" s="7">
        <v>0.94736799999999999</v>
      </c>
      <c r="CY68" s="7">
        <v>0.94</v>
      </c>
      <c r="CZ68" s="7">
        <v>-7.3680000000000004E-3</v>
      </c>
      <c r="DA68" s="7">
        <v>15.389535</v>
      </c>
      <c r="DB68" s="7">
        <v>17.608319000000002</v>
      </c>
      <c r="DC68" s="7">
        <v>16.064022999999999</v>
      </c>
      <c r="DD68" s="7">
        <v>11.115401</v>
      </c>
      <c r="DE68" s="4" t="s">
        <v>124</v>
      </c>
      <c r="DF68" s="6"/>
      <c r="DG68" s="6"/>
      <c r="DH68" s="6"/>
      <c r="DI68" s="6"/>
      <c r="DJ68" s="4" t="s">
        <v>124</v>
      </c>
      <c r="DK68" s="4" t="s">
        <v>124</v>
      </c>
      <c r="DL68" s="4" t="s">
        <v>124</v>
      </c>
      <c r="DM68" s="4" t="s">
        <v>124</v>
      </c>
      <c r="DN68" s="4" t="s">
        <v>124</v>
      </c>
      <c r="DO68" s="4" t="s">
        <v>124</v>
      </c>
      <c r="DP68" s="6"/>
      <c r="DQ68" s="4" t="s">
        <v>125</v>
      </c>
    </row>
    <row r="69" spans="1:121" ht="20" customHeight="1" x14ac:dyDescent="0.15">
      <c r="A69" s="5">
        <v>2018</v>
      </c>
      <c r="B69" s="3" t="s">
        <v>192</v>
      </c>
      <c r="C69" s="4" t="str">
        <f t="shared" ref="C69:C431" si="67">"0520011"</f>
        <v>0520011</v>
      </c>
      <c r="D69" s="4" t="s">
        <v>122</v>
      </c>
      <c r="E69" s="4" t="str">
        <f t="shared" si="1"/>
        <v>0000000</v>
      </c>
      <c r="F69" s="4" t="s">
        <v>122</v>
      </c>
      <c r="G69" s="4" t="s">
        <v>122</v>
      </c>
      <c r="H69" s="4" t="s">
        <v>122</v>
      </c>
      <c r="I69" s="6"/>
      <c r="J69" s="4" t="s">
        <v>123</v>
      </c>
      <c r="K69" s="7">
        <v>1220.94183</v>
      </c>
      <c r="L69" s="7">
        <v>1450</v>
      </c>
      <c r="M69" s="7">
        <v>84.202884999999995</v>
      </c>
      <c r="N69" s="4" t="s">
        <v>124</v>
      </c>
      <c r="O69" s="7">
        <v>0</v>
      </c>
      <c r="P69" s="7">
        <v>81.419061999999997</v>
      </c>
      <c r="Q69" s="7">
        <v>50</v>
      </c>
      <c r="R69" s="7">
        <v>50</v>
      </c>
      <c r="S69" s="7">
        <v>69.234142000000006</v>
      </c>
      <c r="T69" s="7">
        <v>75</v>
      </c>
      <c r="U69" s="7">
        <v>46.156094000000003</v>
      </c>
      <c r="V69" s="7">
        <v>50</v>
      </c>
      <c r="W69" s="7">
        <v>77.547616000000005</v>
      </c>
      <c r="X69" s="7">
        <v>50</v>
      </c>
      <c r="Y69" s="7">
        <v>50</v>
      </c>
      <c r="Z69" s="7">
        <v>75</v>
      </c>
      <c r="AA69" s="7">
        <v>64.450458999999995</v>
      </c>
      <c r="AB69" s="7">
        <v>42.966971999999998</v>
      </c>
      <c r="AC69" s="7">
        <v>50</v>
      </c>
      <c r="AD69" s="7">
        <v>81.100970000000004</v>
      </c>
      <c r="AE69" s="7">
        <v>50</v>
      </c>
      <c r="AF69" s="7">
        <v>50</v>
      </c>
      <c r="AG69" s="7">
        <v>68.679483000000005</v>
      </c>
      <c r="AH69" s="7">
        <v>75</v>
      </c>
      <c r="AI69" s="7">
        <v>45.786321999999998</v>
      </c>
      <c r="AJ69" s="7">
        <v>50</v>
      </c>
      <c r="AK69" s="7">
        <v>5.76</v>
      </c>
      <c r="AL69" s="7">
        <v>10.54</v>
      </c>
      <c r="AM69" s="7">
        <v>6.32</v>
      </c>
      <c r="AN69" s="7">
        <v>0.706839</v>
      </c>
      <c r="AO69" s="7">
        <v>70.683948000000001</v>
      </c>
      <c r="AP69" s="7">
        <v>100</v>
      </c>
      <c r="AQ69" s="7">
        <v>0.74625300000000006</v>
      </c>
      <c r="AR69" s="7">
        <v>74.625342000000003</v>
      </c>
      <c r="AS69" s="7">
        <v>100</v>
      </c>
      <c r="AT69" s="7">
        <v>0.57910200000000001</v>
      </c>
      <c r="AU69" s="7">
        <v>0.74919599999999997</v>
      </c>
      <c r="AV69" s="7">
        <v>57.910212999999999</v>
      </c>
      <c r="AW69" s="7">
        <v>100</v>
      </c>
      <c r="AX69" s="7">
        <v>0.61180100000000004</v>
      </c>
      <c r="AY69" s="7">
        <v>0.79064199999999996</v>
      </c>
      <c r="AZ69" s="7">
        <v>61.180073</v>
      </c>
      <c r="BA69" s="7">
        <v>100</v>
      </c>
      <c r="BB69" s="7">
        <v>0.51328499999999999</v>
      </c>
      <c r="BC69" s="7">
        <v>25.664225999999999</v>
      </c>
      <c r="BD69" s="7">
        <v>50</v>
      </c>
      <c r="BE69" s="7">
        <v>0.58410099999999998</v>
      </c>
      <c r="BF69" s="7">
        <v>29.20505</v>
      </c>
      <c r="BG69" s="7">
        <v>50</v>
      </c>
      <c r="BH69" s="7">
        <v>0</v>
      </c>
      <c r="BI69" s="7">
        <v>0.99371600000000004</v>
      </c>
      <c r="BJ69" s="7">
        <v>0.989811</v>
      </c>
      <c r="BK69" s="7">
        <v>0.99545700000000004</v>
      </c>
      <c r="BL69" s="7">
        <v>0.99326400000000004</v>
      </c>
      <c r="BM69" s="7">
        <v>0.98833800000000005</v>
      </c>
      <c r="BN69" s="7">
        <v>0.99545700000000004</v>
      </c>
      <c r="BO69" s="7">
        <v>0.98734200000000005</v>
      </c>
      <c r="BP69" s="7">
        <v>0.97482000000000002</v>
      </c>
      <c r="BQ69" s="7">
        <v>0.992537</v>
      </c>
      <c r="BR69" s="7">
        <v>5.4378000000000003E-2</v>
      </c>
      <c r="BS69" s="7">
        <v>49.124470000000002</v>
      </c>
      <c r="BT69" s="7">
        <v>50</v>
      </c>
      <c r="BU69" s="7">
        <v>0.11806800000000001</v>
      </c>
      <c r="BV69" s="7">
        <v>36.386403999999999</v>
      </c>
      <c r="BW69" s="7">
        <v>50</v>
      </c>
      <c r="BX69" s="7">
        <v>0.78842999999999996</v>
      </c>
      <c r="BY69" s="7">
        <v>50</v>
      </c>
      <c r="BZ69" s="7">
        <v>50</v>
      </c>
      <c r="CA69" s="7">
        <v>0.70082599999999995</v>
      </c>
      <c r="CB69" s="7">
        <v>46.721763000000003</v>
      </c>
      <c r="CC69" s="7">
        <v>50</v>
      </c>
      <c r="CD69" s="7">
        <v>0.98936199999999996</v>
      </c>
      <c r="CE69" s="7">
        <v>50</v>
      </c>
      <c r="CF69" s="7">
        <v>50</v>
      </c>
      <c r="CG69" s="7">
        <v>0.956229</v>
      </c>
      <c r="CH69" s="7">
        <v>100</v>
      </c>
      <c r="CI69" s="7">
        <v>100</v>
      </c>
      <c r="CJ69" s="7">
        <v>0</v>
      </c>
      <c r="CK69" s="7">
        <v>0.93670900000000001</v>
      </c>
      <c r="CL69" s="7">
        <v>99.649878999999999</v>
      </c>
      <c r="CM69" s="7">
        <v>100</v>
      </c>
      <c r="CN69" s="7">
        <v>0.81899999999999995</v>
      </c>
      <c r="CO69" s="7">
        <v>100</v>
      </c>
      <c r="CP69" s="7">
        <v>100</v>
      </c>
      <c r="CQ69" s="7">
        <v>0.554392</v>
      </c>
      <c r="CR69" s="7">
        <v>0.95756200000000002</v>
      </c>
      <c r="CS69" s="7">
        <v>36.959440999999998</v>
      </c>
      <c r="CT69" s="7">
        <v>50</v>
      </c>
      <c r="CU69" s="7">
        <v>0.57506000000000002</v>
      </c>
      <c r="CV69" s="7">
        <v>47.921630999999998</v>
      </c>
      <c r="CW69" s="7">
        <v>50</v>
      </c>
      <c r="CX69" s="7">
        <v>0.93670900000000001</v>
      </c>
      <c r="CY69" s="7">
        <v>0.94</v>
      </c>
      <c r="CZ69" s="7">
        <v>3.2910000000000001E-3</v>
      </c>
      <c r="DA69" s="7">
        <v>15.389535</v>
      </c>
      <c r="DB69" s="7">
        <v>17.608319000000002</v>
      </c>
      <c r="DC69" s="7">
        <v>16.064022999999999</v>
      </c>
      <c r="DD69" s="7">
        <v>11.115401</v>
      </c>
      <c r="DE69" s="4" t="s">
        <v>124</v>
      </c>
      <c r="DF69" s="6"/>
      <c r="DG69" s="6"/>
      <c r="DH69" s="6"/>
      <c r="DI69" s="6"/>
      <c r="DJ69" s="4" t="s">
        <v>124</v>
      </c>
      <c r="DK69" s="4" t="s">
        <v>124</v>
      </c>
      <c r="DL69" s="4" t="s">
        <v>124</v>
      </c>
      <c r="DM69" s="4" t="s">
        <v>124</v>
      </c>
      <c r="DN69" s="4" t="s">
        <v>124</v>
      </c>
      <c r="DO69" s="4" t="s">
        <v>124</v>
      </c>
      <c r="DP69" s="6"/>
      <c r="DQ69" s="4" t="s">
        <v>125</v>
      </c>
    </row>
    <row r="70" spans="1:121" ht="20" customHeight="1" x14ac:dyDescent="0.15">
      <c r="A70" s="5">
        <v>2018</v>
      </c>
      <c r="B70" s="3" t="s">
        <v>193</v>
      </c>
      <c r="C70" s="4" t="str">
        <f t="shared" ref="C70:C1073" si="68">"1650011"</f>
        <v>1650011</v>
      </c>
      <c r="D70" s="4" t="s">
        <v>122</v>
      </c>
      <c r="E70" s="4" t="str">
        <f t="shared" si="1"/>
        <v>0000000</v>
      </c>
      <c r="F70" s="4" t="s">
        <v>122</v>
      </c>
      <c r="G70" s="4" t="s">
        <v>122</v>
      </c>
      <c r="H70" s="4" t="s">
        <v>122</v>
      </c>
      <c r="I70" s="6"/>
      <c r="J70" s="4" t="s">
        <v>123</v>
      </c>
      <c r="K70" s="7">
        <v>1039.16257</v>
      </c>
      <c r="L70" s="7">
        <v>1450</v>
      </c>
      <c r="M70" s="7">
        <v>71.666383999999994</v>
      </c>
      <c r="N70" s="4" t="s">
        <v>124</v>
      </c>
      <c r="O70" s="7">
        <v>0</v>
      </c>
      <c r="P70" s="7">
        <v>63.241636999999997</v>
      </c>
      <c r="Q70" s="7">
        <v>42.161090999999999</v>
      </c>
      <c r="R70" s="7">
        <v>50</v>
      </c>
      <c r="S70" s="7">
        <v>58.046128000000003</v>
      </c>
      <c r="T70" s="7">
        <v>70.678020000000004</v>
      </c>
      <c r="U70" s="7">
        <v>38.697418999999996</v>
      </c>
      <c r="V70" s="7">
        <v>50</v>
      </c>
      <c r="W70" s="7">
        <v>59.347234</v>
      </c>
      <c r="X70" s="7">
        <v>39.564822999999997</v>
      </c>
      <c r="Y70" s="7">
        <v>50</v>
      </c>
      <c r="Z70" s="7">
        <v>66.497246000000004</v>
      </c>
      <c r="AA70" s="7">
        <v>54.351801000000002</v>
      </c>
      <c r="AB70" s="7">
        <v>36.234533999999996</v>
      </c>
      <c r="AC70" s="7">
        <v>50</v>
      </c>
      <c r="AD70" s="7">
        <v>57.133580000000002</v>
      </c>
      <c r="AE70" s="7">
        <v>38.089053999999997</v>
      </c>
      <c r="AF70" s="7">
        <v>50</v>
      </c>
      <c r="AG70" s="7">
        <v>51.935087000000003</v>
      </c>
      <c r="AH70" s="7">
        <v>64.314233000000002</v>
      </c>
      <c r="AI70" s="7">
        <v>34.623390999999998</v>
      </c>
      <c r="AJ70" s="7">
        <v>50</v>
      </c>
      <c r="AK70" s="7">
        <v>12.63</v>
      </c>
      <c r="AL70" s="7">
        <v>12.14</v>
      </c>
      <c r="AM70" s="7">
        <v>12.37</v>
      </c>
      <c r="AN70" s="7">
        <v>0.49911499999999998</v>
      </c>
      <c r="AO70" s="7">
        <v>49.911524</v>
      </c>
      <c r="AP70" s="7">
        <v>100</v>
      </c>
      <c r="AQ70" s="7">
        <v>0.58089900000000005</v>
      </c>
      <c r="AR70" s="7">
        <v>58.089852999999998</v>
      </c>
      <c r="AS70" s="7">
        <v>100</v>
      </c>
      <c r="AT70" s="7">
        <v>0.45501000000000003</v>
      </c>
      <c r="AU70" s="7">
        <v>0.56338200000000005</v>
      </c>
      <c r="AV70" s="7">
        <v>45.501041999999998</v>
      </c>
      <c r="AW70" s="7">
        <v>100</v>
      </c>
      <c r="AX70" s="7">
        <v>0.57512799999999997</v>
      </c>
      <c r="AY70" s="7">
        <v>0.589252</v>
      </c>
      <c r="AZ70" s="7">
        <v>57.512818000000003</v>
      </c>
      <c r="BA70" s="7">
        <v>100</v>
      </c>
      <c r="BB70" s="7">
        <v>0.70999699999999999</v>
      </c>
      <c r="BC70" s="7">
        <v>35.499834999999997</v>
      </c>
      <c r="BD70" s="7">
        <v>50</v>
      </c>
      <c r="BE70" s="7">
        <v>0.59024399999999999</v>
      </c>
      <c r="BF70" s="7">
        <v>29.512186</v>
      </c>
      <c r="BG70" s="7">
        <v>50</v>
      </c>
      <c r="BH70" s="7">
        <v>0</v>
      </c>
      <c r="BI70" s="7">
        <v>0.98750000000000004</v>
      </c>
      <c r="BJ70" s="7">
        <v>0.98124999999999996</v>
      </c>
      <c r="BK70" s="7">
        <v>0.99687499999999996</v>
      </c>
      <c r="BL70" s="7">
        <v>0.98750000000000004</v>
      </c>
      <c r="BM70" s="7">
        <v>0.98124999999999996</v>
      </c>
      <c r="BN70" s="7">
        <v>0.99687499999999996</v>
      </c>
      <c r="BO70" s="7">
        <v>0.99415200000000004</v>
      </c>
      <c r="BP70" s="7">
        <v>0.99</v>
      </c>
      <c r="BQ70" s="7">
        <v>1</v>
      </c>
      <c r="BR70" s="7">
        <v>0.12600500000000001</v>
      </c>
      <c r="BS70" s="7">
        <v>34.798927999999997</v>
      </c>
      <c r="BT70" s="7">
        <v>50</v>
      </c>
      <c r="BU70" s="7">
        <v>0.166852</v>
      </c>
      <c r="BV70" s="7">
        <v>26.629587999999998</v>
      </c>
      <c r="BW70" s="7">
        <v>50</v>
      </c>
      <c r="BX70" s="7">
        <v>0.86639699999999997</v>
      </c>
      <c r="BY70" s="7">
        <v>50</v>
      </c>
      <c r="BZ70" s="7">
        <v>50</v>
      </c>
      <c r="CA70" s="7">
        <v>0.31174099999999999</v>
      </c>
      <c r="CB70" s="7">
        <v>20.782726</v>
      </c>
      <c r="CC70" s="7">
        <v>50</v>
      </c>
      <c r="CD70" s="7">
        <v>0.85520399999999996</v>
      </c>
      <c r="CE70" s="7">
        <v>45.489553999999998</v>
      </c>
      <c r="CF70" s="7">
        <v>50</v>
      </c>
      <c r="CG70" s="7">
        <v>0.89344299999999999</v>
      </c>
      <c r="CH70" s="7">
        <v>95.047088000000002</v>
      </c>
      <c r="CI70" s="7">
        <v>100</v>
      </c>
      <c r="CJ70" s="7">
        <v>0</v>
      </c>
      <c r="CK70" s="7">
        <v>0.93589699999999998</v>
      </c>
      <c r="CL70" s="7">
        <v>99.563557000000003</v>
      </c>
      <c r="CM70" s="7">
        <v>100</v>
      </c>
      <c r="CN70" s="7">
        <v>0.624</v>
      </c>
      <c r="CO70" s="7">
        <v>83.190882999999999</v>
      </c>
      <c r="CP70" s="7">
        <v>100</v>
      </c>
      <c r="CQ70" s="7">
        <v>0.42393999999999998</v>
      </c>
      <c r="CR70" s="7">
        <v>0.92183899999999996</v>
      </c>
      <c r="CS70" s="7">
        <v>28.262677</v>
      </c>
      <c r="CT70" s="7">
        <v>50</v>
      </c>
      <c r="CU70" s="7">
        <v>0.60599599999999998</v>
      </c>
      <c r="CV70" s="7">
        <v>50</v>
      </c>
      <c r="CW70" s="7">
        <v>50</v>
      </c>
      <c r="CX70" s="7">
        <v>0.93589699999999998</v>
      </c>
      <c r="CY70" s="7">
        <v>0.94</v>
      </c>
      <c r="CZ70" s="7">
        <v>4.1029999999999999E-3</v>
      </c>
      <c r="DA70" s="7">
        <v>15.389535</v>
      </c>
      <c r="DB70" s="7">
        <v>17.608319000000002</v>
      </c>
      <c r="DC70" s="7">
        <v>16.064022999999999</v>
      </c>
      <c r="DD70" s="7">
        <v>11.115401</v>
      </c>
      <c r="DE70" s="4" t="s">
        <v>124</v>
      </c>
      <c r="DF70" s="6"/>
      <c r="DG70" s="6"/>
      <c r="DH70" s="6"/>
      <c r="DI70" s="6"/>
      <c r="DJ70" s="4" t="s">
        <v>124</v>
      </c>
      <c r="DK70" s="4" t="s">
        <v>124</v>
      </c>
      <c r="DL70" s="4" t="s">
        <v>124</v>
      </c>
      <c r="DM70" s="4" t="s">
        <v>124</v>
      </c>
      <c r="DN70" s="4" t="s">
        <v>124</v>
      </c>
      <c r="DO70" s="4" t="s">
        <v>124</v>
      </c>
      <c r="DP70" s="6"/>
      <c r="DQ70" s="4" t="s">
        <v>125</v>
      </c>
    </row>
    <row r="71" spans="1:121" ht="20" customHeight="1" x14ac:dyDescent="0.15">
      <c r="A71" s="5">
        <v>2018</v>
      </c>
      <c r="B71" s="3" t="s">
        <v>194</v>
      </c>
      <c r="C71" s="4" t="str">
        <f t="shared" ref="C71:C1091" si="69">"2060012"</f>
        <v>2060012</v>
      </c>
      <c r="D71" s="4" t="s">
        <v>122</v>
      </c>
      <c r="E71" s="4" t="str">
        <f t="shared" si="1"/>
        <v>0000000</v>
      </c>
      <c r="F71" s="4" t="s">
        <v>122</v>
      </c>
      <c r="G71" s="4" t="s">
        <v>122</v>
      </c>
      <c r="H71" s="4" t="s">
        <v>122</v>
      </c>
      <c r="I71" s="6"/>
      <c r="J71" s="4" t="s">
        <v>123</v>
      </c>
      <c r="K71" s="7">
        <v>1077.733733</v>
      </c>
      <c r="L71" s="7">
        <v>1350</v>
      </c>
      <c r="M71" s="7">
        <v>79.832127999999997</v>
      </c>
      <c r="N71" s="4" t="s">
        <v>124</v>
      </c>
      <c r="O71" s="7">
        <v>0</v>
      </c>
      <c r="P71" s="7">
        <v>74.120125999999999</v>
      </c>
      <c r="Q71" s="7">
        <v>49.413417000000003</v>
      </c>
      <c r="R71" s="7">
        <v>50</v>
      </c>
      <c r="S71" s="7">
        <v>63.670963999999998</v>
      </c>
      <c r="T71" s="7">
        <v>75</v>
      </c>
      <c r="U71" s="7">
        <v>42.447308999999997</v>
      </c>
      <c r="V71" s="7">
        <v>50</v>
      </c>
      <c r="W71" s="7">
        <v>68.115724999999998</v>
      </c>
      <c r="X71" s="7">
        <v>45.410482999999999</v>
      </c>
      <c r="Y71" s="7">
        <v>50</v>
      </c>
      <c r="Z71" s="7">
        <v>72.897024000000002</v>
      </c>
      <c r="AA71" s="7">
        <v>57.396358999999997</v>
      </c>
      <c r="AB71" s="7">
        <v>38.264240000000001</v>
      </c>
      <c r="AC71" s="7">
        <v>50</v>
      </c>
      <c r="AD71" s="7">
        <v>66.789282</v>
      </c>
      <c r="AE71" s="7">
        <v>44.526187999999998</v>
      </c>
      <c r="AF71" s="7">
        <v>50</v>
      </c>
      <c r="AG71" s="7">
        <v>59.451549999999997</v>
      </c>
      <c r="AH71" s="7">
        <v>69.685755</v>
      </c>
      <c r="AI71" s="7">
        <v>39.634366999999997</v>
      </c>
      <c r="AJ71" s="7">
        <v>50</v>
      </c>
      <c r="AK71" s="7">
        <v>11.32</v>
      </c>
      <c r="AL71" s="7">
        <v>15.5</v>
      </c>
      <c r="AM71" s="7">
        <v>10.23</v>
      </c>
      <c r="AN71" s="7">
        <v>0.59290200000000004</v>
      </c>
      <c r="AO71" s="7">
        <v>59.290202999999998</v>
      </c>
      <c r="AP71" s="7">
        <v>100</v>
      </c>
      <c r="AQ71" s="7">
        <v>0.69899299999999998</v>
      </c>
      <c r="AR71" s="7">
        <v>69.899337000000003</v>
      </c>
      <c r="AS71" s="7">
        <v>100</v>
      </c>
      <c r="AT71" s="7">
        <v>0.542883</v>
      </c>
      <c r="AU71" s="7">
        <v>0.61807299999999998</v>
      </c>
      <c r="AV71" s="7">
        <v>54.288285999999999</v>
      </c>
      <c r="AW71" s="7">
        <v>100</v>
      </c>
      <c r="AX71" s="7">
        <v>0.624475</v>
      </c>
      <c r="AY71" s="7">
        <v>0.73673699999999998</v>
      </c>
      <c r="AZ71" s="7">
        <v>62.447468999999998</v>
      </c>
      <c r="BA71" s="7">
        <v>100</v>
      </c>
      <c r="BB71" s="4" t="s">
        <v>124</v>
      </c>
      <c r="BC71" s="4" t="s">
        <v>124</v>
      </c>
      <c r="BD71" s="4" t="s">
        <v>124</v>
      </c>
      <c r="BE71" s="4" t="s">
        <v>124</v>
      </c>
      <c r="BF71" s="4" t="s">
        <v>124</v>
      </c>
      <c r="BG71" s="4" t="s">
        <v>124</v>
      </c>
      <c r="BH71" s="7">
        <v>0</v>
      </c>
      <c r="BI71" s="7">
        <v>0.99511000000000005</v>
      </c>
      <c r="BJ71" s="7">
        <v>0.99218799999999996</v>
      </c>
      <c r="BK71" s="7">
        <v>0.99644100000000002</v>
      </c>
      <c r="BL71" s="7">
        <v>0.99511000000000005</v>
      </c>
      <c r="BM71" s="7">
        <v>0.99218799999999996</v>
      </c>
      <c r="BN71" s="7">
        <v>0.99644100000000002</v>
      </c>
      <c r="BO71" s="7">
        <v>0.99532699999999996</v>
      </c>
      <c r="BP71" s="7">
        <v>0.98360700000000001</v>
      </c>
      <c r="BQ71" s="7">
        <v>1</v>
      </c>
      <c r="BR71" s="7">
        <v>6.9494E-2</v>
      </c>
      <c r="BS71" s="7">
        <v>46.101295999999998</v>
      </c>
      <c r="BT71" s="7">
        <v>50</v>
      </c>
      <c r="BU71" s="7">
        <v>0.12595400000000001</v>
      </c>
      <c r="BV71" s="7">
        <v>34.809159999999999</v>
      </c>
      <c r="BW71" s="7">
        <v>50</v>
      </c>
      <c r="BX71" s="7">
        <v>0.975248</v>
      </c>
      <c r="BY71" s="7">
        <v>50</v>
      </c>
      <c r="BZ71" s="7">
        <v>50</v>
      </c>
      <c r="CA71" s="7">
        <v>0.37623800000000002</v>
      </c>
      <c r="CB71" s="7">
        <v>25.082508000000001</v>
      </c>
      <c r="CC71" s="7">
        <v>50</v>
      </c>
      <c r="CD71" s="7">
        <v>0.96078399999999997</v>
      </c>
      <c r="CE71" s="7">
        <v>50</v>
      </c>
      <c r="CF71" s="7">
        <v>50</v>
      </c>
      <c r="CG71" s="7">
        <v>0.97222200000000003</v>
      </c>
      <c r="CH71" s="7">
        <v>100</v>
      </c>
      <c r="CI71" s="7">
        <v>100</v>
      </c>
      <c r="CJ71" s="7">
        <v>0</v>
      </c>
      <c r="CK71" s="7">
        <v>0.93548399999999998</v>
      </c>
      <c r="CL71" s="7">
        <v>99.519560999999996</v>
      </c>
      <c r="CM71" s="7">
        <v>100</v>
      </c>
      <c r="CN71" s="7">
        <v>0.67600000000000005</v>
      </c>
      <c r="CO71" s="7">
        <v>90.158730000000006</v>
      </c>
      <c r="CP71" s="7">
        <v>100</v>
      </c>
      <c r="CQ71" s="7">
        <v>0.62809899999999996</v>
      </c>
      <c r="CR71" s="7">
        <v>0.90636700000000003</v>
      </c>
      <c r="CS71" s="7">
        <v>41.873277999999999</v>
      </c>
      <c r="CT71" s="7">
        <v>50</v>
      </c>
      <c r="CU71" s="7">
        <v>0.41481499999999999</v>
      </c>
      <c r="CV71" s="7">
        <v>34.567900999999999</v>
      </c>
      <c r="CW71" s="7">
        <v>50</v>
      </c>
      <c r="CX71" s="7">
        <v>0.93548399999999998</v>
      </c>
      <c r="CY71" s="7">
        <v>0.94</v>
      </c>
      <c r="CZ71" s="7">
        <v>4.516E-3</v>
      </c>
      <c r="DA71" s="7">
        <v>15.389535</v>
      </c>
      <c r="DB71" s="7">
        <v>17.608319000000002</v>
      </c>
      <c r="DC71" s="7">
        <v>16.064022999999999</v>
      </c>
      <c r="DD71" s="7">
        <v>11.115401</v>
      </c>
      <c r="DE71" s="4" t="s">
        <v>124</v>
      </c>
      <c r="DF71" s="6"/>
      <c r="DG71" s="6"/>
      <c r="DH71" s="6"/>
      <c r="DI71" s="6"/>
      <c r="DJ71" s="4" t="s">
        <v>124</v>
      </c>
      <c r="DK71" s="4" t="s">
        <v>124</v>
      </c>
      <c r="DL71" s="4" t="s">
        <v>124</v>
      </c>
      <c r="DM71" s="4" t="s">
        <v>124</v>
      </c>
      <c r="DN71" s="4" t="s">
        <v>124</v>
      </c>
      <c r="DO71" s="4" t="s">
        <v>124</v>
      </c>
      <c r="DP71" s="6"/>
      <c r="DQ71" s="4" t="s">
        <v>125</v>
      </c>
    </row>
    <row r="72" spans="1:121" ht="20" customHeight="1" x14ac:dyDescent="0.15">
      <c r="A72" s="5">
        <v>2018</v>
      </c>
      <c r="B72" s="3" t="s">
        <v>195</v>
      </c>
      <c r="C72" s="4" t="str">
        <f t="shared" ref="C72:C447" si="70">"0560011"</f>
        <v>0560011</v>
      </c>
      <c r="D72" s="4" t="s">
        <v>122</v>
      </c>
      <c r="E72" s="4" t="str">
        <f t="shared" si="1"/>
        <v>0000000</v>
      </c>
      <c r="F72" s="4" t="s">
        <v>122</v>
      </c>
      <c r="G72" s="4" t="s">
        <v>122</v>
      </c>
      <c r="H72" s="4" t="s">
        <v>122</v>
      </c>
      <c r="I72" s="6"/>
      <c r="J72" s="4" t="s">
        <v>123</v>
      </c>
      <c r="K72" s="7">
        <v>1145.456101</v>
      </c>
      <c r="L72" s="7">
        <v>1350</v>
      </c>
      <c r="M72" s="7">
        <v>84.848600000000005</v>
      </c>
      <c r="N72" s="4" t="s">
        <v>124</v>
      </c>
      <c r="O72" s="7">
        <v>0</v>
      </c>
      <c r="P72" s="7">
        <v>77.189096000000006</v>
      </c>
      <c r="Q72" s="7">
        <v>50</v>
      </c>
      <c r="R72" s="7">
        <v>50</v>
      </c>
      <c r="S72" s="7">
        <v>66.096292000000005</v>
      </c>
      <c r="T72" s="7">
        <v>75</v>
      </c>
      <c r="U72" s="7">
        <v>44.064194999999998</v>
      </c>
      <c r="V72" s="7">
        <v>50</v>
      </c>
      <c r="W72" s="7">
        <v>70.973256000000006</v>
      </c>
      <c r="X72" s="7">
        <v>47.315503999999997</v>
      </c>
      <c r="Y72" s="7">
        <v>50</v>
      </c>
      <c r="Z72" s="7">
        <v>75</v>
      </c>
      <c r="AA72" s="7">
        <v>58.411403</v>
      </c>
      <c r="AB72" s="7">
        <v>38.940935000000003</v>
      </c>
      <c r="AC72" s="7">
        <v>50</v>
      </c>
      <c r="AD72" s="7">
        <v>77.852232999999998</v>
      </c>
      <c r="AE72" s="7">
        <v>50</v>
      </c>
      <c r="AF72" s="7">
        <v>50</v>
      </c>
      <c r="AG72" s="7">
        <v>63.146813999999999</v>
      </c>
      <c r="AH72" s="7">
        <v>75</v>
      </c>
      <c r="AI72" s="7">
        <v>42.097875999999999</v>
      </c>
      <c r="AJ72" s="7">
        <v>50</v>
      </c>
      <c r="AK72" s="7">
        <v>8.9</v>
      </c>
      <c r="AL72" s="7">
        <v>16.579999999999998</v>
      </c>
      <c r="AM72" s="7">
        <v>11.85</v>
      </c>
      <c r="AN72" s="7">
        <v>0.68610400000000005</v>
      </c>
      <c r="AO72" s="7">
        <v>68.610394999999997</v>
      </c>
      <c r="AP72" s="7">
        <v>100</v>
      </c>
      <c r="AQ72" s="7">
        <v>0.67362200000000005</v>
      </c>
      <c r="AR72" s="7">
        <v>67.362217999999999</v>
      </c>
      <c r="AS72" s="7">
        <v>100</v>
      </c>
      <c r="AT72" s="7">
        <v>0.59083399999999997</v>
      </c>
      <c r="AU72" s="7">
        <v>0.71960400000000002</v>
      </c>
      <c r="AV72" s="7">
        <v>59.083353000000002</v>
      </c>
      <c r="AW72" s="7">
        <v>100</v>
      </c>
      <c r="AX72" s="7">
        <v>0.58761099999999999</v>
      </c>
      <c r="AY72" s="7">
        <v>0.70340199999999997</v>
      </c>
      <c r="AZ72" s="7">
        <v>58.761118000000003</v>
      </c>
      <c r="BA72" s="7">
        <v>100</v>
      </c>
      <c r="BB72" s="4" t="s">
        <v>124</v>
      </c>
      <c r="BC72" s="4" t="s">
        <v>124</v>
      </c>
      <c r="BD72" s="4" t="s">
        <v>124</v>
      </c>
      <c r="BE72" s="4" t="s">
        <v>124</v>
      </c>
      <c r="BF72" s="4" t="s">
        <v>124</v>
      </c>
      <c r="BG72" s="4" t="s">
        <v>124</v>
      </c>
      <c r="BH72" s="7">
        <v>0</v>
      </c>
      <c r="BI72" s="7">
        <v>0.99390199999999995</v>
      </c>
      <c r="BJ72" s="7">
        <v>0.98467400000000005</v>
      </c>
      <c r="BK72" s="7">
        <v>0.99723399999999995</v>
      </c>
      <c r="BL72" s="7">
        <v>0.99086300000000005</v>
      </c>
      <c r="BM72" s="7">
        <v>0.97701099999999996</v>
      </c>
      <c r="BN72" s="7">
        <v>0.99585599999999996</v>
      </c>
      <c r="BO72" s="7">
        <v>0.98341199999999995</v>
      </c>
      <c r="BP72" s="7">
        <v>0.96226400000000001</v>
      </c>
      <c r="BQ72" s="7">
        <v>0.990506</v>
      </c>
      <c r="BR72" s="7">
        <v>5.2283999999999997E-2</v>
      </c>
      <c r="BS72" s="7">
        <v>49.543202999999998</v>
      </c>
      <c r="BT72" s="7">
        <v>50</v>
      </c>
      <c r="BU72" s="7">
        <v>0.11479</v>
      </c>
      <c r="BV72" s="7">
        <v>37.041943000000003</v>
      </c>
      <c r="BW72" s="7">
        <v>50</v>
      </c>
      <c r="BX72" s="7">
        <v>0.97604800000000003</v>
      </c>
      <c r="BY72" s="7">
        <v>50</v>
      </c>
      <c r="BZ72" s="7">
        <v>50</v>
      </c>
      <c r="CA72" s="7">
        <v>0.65269500000000003</v>
      </c>
      <c r="CB72" s="7">
        <v>43.512974</v>
      </c>
      <c r="CC72" s="7">
        <v>50</v>
      </c>
      <c r="CD72" s="7">
        <v>0.98701300000000003</v>
      </c>
      <c r="CE72" s="7">
        <v>50</v>
      </c>
      <c r="CF72" s="7">
        <v>50</v>
      </c>
      <c r="CG72" s="7">
        <v>0.969136</v>
      </c>
      <c r="CH72" s="7">
        <v>100</v>
      </c>
      <c r="CI72" s="7">
        <v>100</v>
      </c>
      <c r="CJ72" s="7">
        <v>0</v>
      </c>
      <c r="CK72" s="7">
        <v>0.97222200000000003</v>
      </c>
      <c r="CL72" s="7">
        <v>100</v>
      </c>
      <c r="CM72" s="7">
        <v>100</v>
      </c>
      <c r="CN72" s="7">
        <v>0.79600000000000004</v>
      </c>
      <c r="CO72" s="7">
        <v>100</v>
      </c>
      <c r="CP72" s="7">
        <v>100</v>
      </c>
      <c r="CQ72" s="7">
        <v>0.65272699999999995</v>
      </c>
      <c r="CR72" s="7">
        <v>0.95652199999999998</v>
      </c>
      <c r="CS72" s="7">
        <v>43.515152</v>
      </c>
      <c r="CT72" s="7">
        <v>50</v>
      </c>
      <c r="CU72" s="7">
        <v>0.54728699999999997</v>
      </c>
      <c r="CV72" s="7">
        <v>45.607235000000003</v>
      </c>
      <c r="CW72" s="7">
        <v>50</v>
      </c>
      <c r="CX72" s="7">
        <v>0.97222200000000003</v>
      </c>
      <c r="CY72" s="7">
        <v>0.94</v>
      </c>
      <c r="CZ72" s="7">
        <v>-3.2222000000000001E-2</v>
      </c>
      <c r="DA72" s="7">
        <v>15.389535</v>
      </c>
      <c r="DB72" s="7">
        <v>17.608319000000002</v>
      </c>
      <c r="DC72" s="7">
        <v>16.064022999999999</v>
      </c>
      <c r="DD72" s="7">
        <v>11.115401</v>
      </c>
      <c r="DE72" s="4" t="s">
        <v>124</v>
      </c>
      <c r="DF72" s="6"/>
      <c r="DG72" s="6"/>
      <c r="DH72" s="6"/>
      <c r="DI72" s="6"/>
      <c r="DJ72" s="4" t="s">
        <v>124</v>
      </c>
      <c r="DK72" s="4" t="s">
        <v>124</v>
      </c>
      <c r="DL72" s="4" t="s">
        <v>124</v>
      </c>
      <c r="DM72" s="4" t="s">
        <v>124</v>
      </c>
      <c r="DN72" s="4" t="s">
        <v>124</v>
      </c>
      <c r="DO72" s="4" t="s">
        <v>124</v>
      </c>
      <c r="DP72" s="6"/>
      <c r="DQ72" s="4" t="s">
        <v>125</v>
      </c>
    </row>
    <row r="73" spans="1:121" ht="20" customHeight="1" x14ac:dyDescent="0.15">
      <c r="A73" s="5">
        <v>2018</v>
      </c>
      <c r="B73" s="3" t="s">
        <v>196</v>
      </c>
      <c r="C73" s="4" t="str">
        <f t="shared" ref="C73:C451" si="71">"0570011"</f>
        <v>0570011</v>
      </c>
      <c r="D73" s="4" t="s">
        <v>122</v>
      </c>
      <c r="E73" s="4" t="str">
        <f t="shared" si="1"/>
        <v>0000000</v>
      </c>
      <c r="F73" s="4" t="s">
        <v>122</v>
      </c>
      <c r="G73" s="4" t="s">
        <v>122</v>
      </c>
      <c r="H73" s="4" t="s">
        <v>122</v>
      </c>
      <c r="I73" s="6"/>
      <c r="J73" s="4" t="s">
        <v>123</v>
      </c>
      <c r="K73" s="7">
        <v>1265.857358</v>
      </c>
      <c r="L73" s="7">
        <v>1450</v>
      </c>
      <c r="M73" s="7">
        <v>87.300506999999996</v>
      </c>
      <c r="N73" s="4" t="s">
        <v>124</v>
      </c>
      <c r="O73" s="7">
        <v>0</v>
      </c>
      <c r="P73" s="7">
        <v>79.265915000000007</v>
      </c>
      <c r="Q73" s="7">
        <v>50</v>
      </c>
      <c r="R73" s="7">
        <v>50</v>
      </c>
      <c r="S73" s="7">
        <v>66.416827999999995</v>
      </c>
      <c r="T73" s="7">
        <v>75</v>
      </c>
      <c r="U73" s="7">
        <v>44.277884999999998</v>
      </c>
      <c r="V73" s="7">
        <v>50</v>
      </c>
      <c r="W73" s="7">
        <v>76.342945</v>
      </c>
      <c r="X73" s="7">
        <v>50</v>
      </c>
      <c r="Y73" s="7">
        <v>50</v>
      </c>
      <c r="Z73" s="7">
        <v>75</v>
      </c>
      <c r="AA73" s="7">
        <v>62.327441999999998</v>
      </c>
      <c r="AB73" s="7">
        <v>41.551628000000001</v>
      </c>
      <c r="AC73" s="7">
        <v>50</v>
      </c>
      <c r="AD73" s="7">
        <v>77.398301000000004</v>
      </c>
      <c r="AE73" s="7">
        <v>50</v>
      </c>
      <c r="AF73" s="7">
        <v>50</v>
      </c>
      <c r="AG73" s="7">
        <v>65.848805999999996</v>
      </c>
      <c r="AH73" s="7">
        <v>75</v>
      </c>
      <c r="AI73" s="7">
        <v>43.899203999999997</v>
      </c>
      <c r="AJ73" s="7">
        <v>50</v>
      </c>
      <c r="AK73" s="7">
        <v>8.58</v>
      </c>
      <c r="AL73" s="7">
        <v>12.67</v>
      </c>
      <c r="AM73" s="7">
        <v>9.15</v>
      </c>
      <c r="AN73" s="7">
        <v>0.68881000000000003</v>
      </c>
      <c r="AO73" s="7">
        <v>68.880962999999994</v>
      </c>
      <c r="AP73" s="7">
        <v>100</v>
      </c>
      <c r="AQ73" s="7">
        <v>0.73736699999999999</v>
      </c>
      <c r="AR73" s="7">
        <v>73.736688000000001</v>
      </c>
      <c r="AS73" s="7">
        <v>100</v>
      </c>
      <c r="AT73" s="7">
        <v>0.62030200000000002</v>
      </c>
      <c r="AU73" s="7">
        <v>0.718445</v>
      </c>
      <c r="AV73" s="7">
        <v>62.030175</v>
      </c>
      <c r="AW73" s="7">
        <v>100</v>
      </c>
      <c r="AX73" s="7">
        <v>0.63281900000000002</v>
      </c>
      <c r="AY73" s="7">
        <v>0.782586</v>
      </c>
      <c r="AZ73" s="7">
        <v>63.281894999999999</v>
      </c>
      <c r="BA73" s="7">
        <v>100</v>
      </c>
      <c r="BB73" s="7">
        <v>0.79644599999999999</v>
      </c>
      <c r="BC73" s="7">
        <v>39.822307000000002</v>
      </c>
      <c r="BD73" s="7">
        <v>50</v>
      </c>
      <c r="BE73" s="7">
        <v>0.77425999999999995</v>
      </c>
      <c r="BF73" s="7">
        <v>38.71302</v>
      </c>
      <c r="BG73" s="7">
        <v>50</v>
      </c>
      <c r="BH73" s="7">
        <v>0</v>
      </c>
      <c r="BI73" s="7">
        <v>0.994861</v>
      </c>
      <c r="BJ73" s="7">
        <v>0.99216899999999997</v>
      </c>
      <c r="BK73" s="7">
        <v>0.99625600000000003</v>
      </c>
      <c r="BL73" s="7">
        <v>0.99342399999999997</v>
      </c>
      <c r="BM73" s="7">
        <v>0.98916300000000001</v>
      </c>
      <c r="BN73" s="7">
        <v>0.99563199999999996</v>
      </c>
      <c r="BO73" s="7">
        <v>0.99579200000000001</v>
      </c>
      <c r="BP73" s="7">
        <v>0.99163199999999996</v>
      </c>
      <c r="BQ73" s="7">
        <v>0.99789000000000005</v>
      </c>
      <c r="BR73" s="7">
        <v>3.8906000000000003E-2</v>
      </c>
      <c r="BS73" s="7">
        <v>50</v>
      </c>
      <c r="BT73" s="7">
        <v>50</v>
      </c>
      <c r="BU73" s="7">
        <v>7.0330000000000004E-2</v>
      </c>
      <c r="BV73" s="7">
        <v>45.934066000000001</v>
      </c>
      <c r="BW73" s="7">
        <v>50</v>
      </c>
      <c r="BX73" s="7">
        <v>0.95142899999999997</v>
      </c>
      <c r="BY73" s="7">
        <v>50</v>
      </c>
      <c r="BZ73" s="7">
        <v>50</v>
      </c>
      <c r="CA73" s="7">
        <v>0.72428599999999999</v>
      </c>
      <c r="CB73" s="7">
        <v>48.285713999999999</v>
      </c>
      <c r="CC73" s="7">
        <v>50</v>
      </c>
      <c r="CD73" s="7">
        <v>0.96359399999999995</v>
      </c>
      <c r="CE73" s="7">
        <v>50</v>
      </c>
      <c r="CF73" s="7">
        <v>50</v>
      </c>
      <c r="CG73" s="7">
        <v>0.95008099999999995</v>
      </c>
      <c r="CH73" s="7">
        <v>100</v>
      </c>
      <c r="CI73" s="7">
        <v>100</v>
      </c>
      <c r="CJ73" s="7">
        <v>0</v>
      </c>
      <c r="CK73" s="7">
        <v>0.93814399999999998</v>
      </c>
      <c r="CL73" s="7">
        <v>99.802588</v>
      </c>
      <c r="CM73" s="7">
        <v>100</v>
      </c>
      <c r="CN73" s="7">
        <v>0.84199999999999997</v>
      </c>
      <c r="CO73" s="7">
        <v>100</v>
      </c>
      <c r="CP73" s="7">
        <v>100</v>
      </c>
      <c r="CQ73" s="7">
        <v>0.68461799999999995</v>
      </c>
      <c r="CR73" s="7">
        <v>0.93277900000000002</v>
      </c>
      <c r="CS73" s="7">
        <v>45.641224000000001</v>
      </c>
      <c r="CT73" s="7">
        <v>50</v>
      </c>
      <c r="CU73" s="7">
        <v>0.64119099999999996</v>
      </c>
      <c r="CV73" s="7">
        <v>50</v>
      </c>
      <c r="CW73" s="7">
        <v>50</v>
      </c>
      <c r="CX73" s="7">
        <v>0.93814399999999998</v>
      </c>
      <c r="CY73" s="7">
        <v>0.94</v>
      </c>
      <c r="CZ73" s="7">
        <v>1.856E-3</v>
      </c>
      <c r="DA73" s="7">
        <v>15.389535</v>
      </c>
      <c r="DB73" s="7">
        <v>17.608319000000002</v>
      </c>
      <c r="DC73" s="7">
        <v>16.064022999999999</v>
      </c>
      <c r="DD73" s="7">
        <v>11.115401</v>
      </c>
      <c r="DE73" s="4" t="s">
        <v>124</v>
      </c>
      <c r="DF73" s="6"/>
      <c r="DG73" s="6"/>
      <c r="DH73" s="6"/>
      <c r="DI73" s="6"/>
      <c r="DJ73" s="4" t="s">
        <v>124</v>
      </c>
      <c r="DK73" s="4" t="s">
        <v>124</v>
      </c>
      <c r="DL73" s="4" t="s">
        <v>124</v>
      </c>
      <c r="DM73" s="4" t="s">
        <v>124</v>
      </c>
      <c r="DN73" s="4" t="s">
        <v>124</v>
      </c>
      <c r="DO73" s="4" t="s">
        <v>124</v>
      </c>
      <c r="DP73" s="6"/>
      <c r="DQ73" s="4" t="s">
        <v>125</v>
      </c>
    </row>
    <row r="74" spans="1:121" ht="20" customHeight="1" x14ac:dyDescent="0.15">
      <c r="A74" s="5">
        <v>2018</v>
      </c>
      <c r="B74" s="3" t="s">
        <v>197</v>
      </c>
      <c r="C74" s="4" t="str">
        <f t="shared" ref="C74:C220" si="72">"0080011"</f>
        <v>0080011</v>
      </c>
      <c r="D74" s="4" t="s">
        <v>122</v>
      </c>
      <c r="E74" s="4" t="str">
        <f t="shared" si="1"/>
        <v>0000000</v>
      </c>
      <c r="F74" s="4" t="s">
        <v>122</v>
      </c>
      <c r="G74" s="4" t="s">
        <v>122</v>
      </c>
      <c r="H74" s="4" t="s">
        <v>122</v>
      </c>
      <c r="I74" s="6"/>
      <c r="J74" s="4" t="s">
        <v>123</v>
      </c>
      <c r="K74" s="7">
        <v>646.60709599999996</v>
      </c>
      <c r="L74" s="7">
        <v>800</v>
      </c>
      <c r="M74" s="7">
        <v>80.825886999999994</v>
      </c>
      <c r="N74" s="4" t="s">
        <v>124</v>
      </c>
      <c r="O74" s="7">
        <v>0</v>
      </c>
      <c r="P74" s="7">
        <v>76.372236999999998</v>
      </c>
      <c r="Q74" s="7">
        <v>50</v>
      </c>
      <c r="R74" s="7">
        <v>50</v>
      </c>
      <c r="S74" s="7">
        <v>62.564568999999999</v>
      </c>
      <c r="T74" s="7">
        <v>75</v>
      </c>
      <c r="U74" s="7">
        <v>41.709713000000001</v>
      </c>
      <c r="V74" s="7">
        <v>50</v>
      </c>
      <c r="W74" s="7">
        <v>71.778416000000007</v>
      </c>
      <c r="X74" s="7">
        <v>47.852277999999998</v>
      </c>
      <c r="Y74" s="7">
        <v>50</v>
      </c>
      <c r="Z74" s="7">
        <v>75</v>
      </c>
      <c r="AA74" s="7">
        <v>60.281193999999999</v>
      </c>
      <c r="AB74" s="7">
        <v>40.187463000000001</v>
      </c>
      <c r="AC74" s="7">
        <v>50</v>
      </c>
      <c r="AD74" s="7">
        <v>73.538200000000003</v>
      </c>
      <c r="AE74" s="7">
        <v>49.025466999999999</v>
      </c>
      <c r="AF74" s="7">
        <v>50</v>
      </c>
      <c r="AG74" s="4" t="s">
        <v>124</v>
      </c>
      <c r="AH74" s="7">
        <v>75</v>
      </c>
      <c r="AI74" s="4" t="s">
        <v>124</v>
      </c>
      <c r="AJ74" s="4" t="s">
        <v>124</v>
      </c>
      <c r="AK74" s="7">
        <v>12.43</v>
      </c>
      <c r="AL74" s="7">
        <v>14.71</v>
      </c>
      <c r="AM74" s="4" t="s">
        <v>124</v>
      </c>
      <c r="AN74" s="7">
        <v>0.72747600000000001</v>
      </c>
      <c r="AO74" s="7">
        <v>72.747624000000002</v>
      </c>
      <c r="AP74" s="7">
        <v>100</v>
      </c>
      <c r="AQ74" s="7">
        <v>0.78297600000000001</v>
      </c>
      <c r="AR74" s="7">
        <v>78.297590999999997</v>
      </c>
      <c r="AS74" s="7">
        <v>100</v>
      </c>
      <c r="AT74" s="7">
        <v>0.594109</v>
      </c>
      <c r="AU74" s="7">
        <v>0.78409399999999996</v>
      </c>
      <c r="AV74" s="7">
        <v>59.410935000000002</v>
      </c>
      <c r="AW74" s="7">
        <v>100</v>
      </c>
      <c r="AX74" s="7">
        <v>0.72000500000000001</v>
      </c>
      <c r="AY74" s="7">
        <v>0.80970900000000001</v>
      </c>
      <c r="AZ74" s="7">
        <v>72.000521000000006</v>
      </c>
      <c r="BA74" s="7">
        <v>100</v>
      </c>
      <c r="BB74" s="4" t="s">
        <v>124</v>
      </c>
      <c r="BC74" s="4" t="s">
        <v>124</v>
      </c>
      <c r="BD74" s="4" t="s">
        <v>124</v>
      </c>
      <c r="BE74" s="4" t="s">
        <v>124</v>
      </c>
      <c r="BF74" s="4" t="s">
        <v>124</v>
      </c>
      <c r="BG74" s="4" t="s">
        <v>124</v>
      </c>
      <c r="BH74" s="7">
        <v>0</v>
      </c>
      <c r="BI74" s="7">
        <v>0.98591499999999999</v>
      </c>
      <c r="BJ74" s="7">
        <v>1</v>
      </c>
      <c r="BK74" s="7">
        <v>0.98</v>
      </c>
      <c r="BL74" s="7">
        <v>0.98591499999999999</v>
      </c>
      <c r="BM74" s="7">
        <v>1</v>
      </c>
      <c r="BN74" s="7">
        <v>0.98</v>
      </c>
      <c r="BO74" s="7">
        <v>0.95161300000000004</v>
      </c>
      <c r="BP74" s="4" t="s">
        <v>124</v>
      </c>
      <c r="BQ74" s="7">
        <v>0.93478300000000003</v>
      </c>
      <c r="BR74" s="7">
        <v>5.3671999999999997E-2</v>
      </c>
      <c r="BS74" s="7">
        <v>49.265537000000002</v>
      </c>
      <c r="BT74" s="7">
        <v>50</v>
      </c>
      <c r="BU74" s="7">
        <v>0.10377400000000001</v>
      </c>
      <c r="BV74" s="7">
        <v>39.245283000000001</v>
      </c>
      <c r="BW74" s="7">
        <v>50</v>
      </c>
      <c r="BX74" s="4" t="s">
        <v>124</v>
      </c>
      <c r="BY74" s="4" t="s">
        <v>124</v>
      </c>
      <c r="BZ74" s="4" t="s">
        <v>124</v>
      </c>
      <c r="CA74" s="4" t="s">
        <v>124</v>
      </c>
      <c r="CB74" s="4" t="s">
        <v>124</v>
      </c>
      <c r="CC74" s="4" t="s">
        <v>124</v>
      </c>
      <c r="CD74" s="4" t="s">
        <v>124</v>
      </c>
      <c r="CE74" s="4" t="s">
        <v>124</v>
      </c>
      <c r="CF74" s="4" t="s">
        <v>124</v>
      </c>
      <c r="CG74" s="4" t="s">
        <v>124</v>
      </c>
      <c r="CH74" s="4" t="s">
        <v>124</v>
      </c>
      <c r="CI74" s="4" t="s">
        <v>124</v>
      </c>
      <c r="CJ74" s="4" t="s">
        <v>124</v>
      </c>
      <c r="CK74" s="4" t="s">
        <v>124</v>
      </c>
      <c r="CL74" s="4" t="s">
        <v>124</v>
      </c>
      <c r="CM74" s="4" t="s">
        <v>124</v>
      </c>
      <c r="CN74" s="4" t="s">
        <v>124</v>
      </c>
      <c r="CO74" s="4" t="s">
        <v>124</v>
      </c>
      <c r="CP74" s="4" t="s">
        <v>124</v>
      </c>
      <c r="CQ74" s="7">
        <v>0.70296999999999998</v>
      </c>
      <c r="CR74" s="7">
        <v>0.99019599999999997</v>
      </c>
      <c r="CS74" s="7">
        <v>46.864685999999999</v>
      </c>
      <c r="CT74" s="7">
        <v>50</v>
      </c>
      <c r="CU74" s="4" t="s">
        <v>124</v>
      </c>
      <c r="CV74" s="4" t="s">
        <v>124</v>
      </c>
      <c r="CW74" s="4" t="s">
        <v>124</v>
      </c>
      <c r="CX74" s="4" t="s">
        <v>124</v>
      </c>
      <c r="CY74" s="4" t="s">
        <v>124</v>
      </c>
      <c r="CZ74" s="4" t="s">
        <v>124</v>
      </c>
      <c r="DA74" s="7">
        <v>15.389535</v>
      </c>
      <c r="DB74" s="7">
        <v>17.608319000000002</v>
      </c>
      <c r="DC74" s="7">
        <v>16.064022999999999</v>
      </c>
      <c r="DD74" s="4" t="s">
        <v>124</v>
      </c>
      <c r="DE74" s="4" t="s">
        <v>124</v>
      </c>
      <c r="DF74" s="6"/>
      <c r="DG74" s="6"/>
      <c r="DH74" s="6"/>
      <c r="DI74" s="6"/>
      <c r="DJ74" s="4" t="s">
        <v>124</v>
      </c>
      <c r="DK74" s="4" t="s">
        <v>124</v>
      </c>
      <c r="DL74" s="4" t="s">
        <v>124</v>
      </c>
      <c r="DM74" s="4" t="s">
        <v>124</v>
      </c>
      <c r="DN74" s="4" t="s">
        <v>124</v>
      </c>
      <c r="DO74" s="4" t="s">
        <v>124</v>
      </c>
      <c r="DP74" s="6"/>
      <c r="DQ74" s="4" t="s">
        <v>125</v>
      </c>
    </row>
    <row r="75" spans="1:121" ht="20" customHeight="1" x14ac:dyDescent="0.15">
      <c r="A75" s="5">
        <v>2018</v>
      </c>
      <c r="B75" s="3" t="s">
        <v>198</v>
      </c>
      <c r="C75" s="4" t="str">
        <f t="shared" ref="C75:C466" si="73">"0580011"</f>
        <v>0580011</v>
      </c>
      <c r="D75" s="4" t="s">
        <v>122</v>
      </c>
      <c r="E75" s="4" t="str">
        <f t="shared" si="1"/>
        <v>0000000</v>
      </c>
      <c r="F75" s="4" t="s">
        <v>122</v>
      </c>
      <c r="G75" s="4" t="s">
        <v>122</v>
      </c>
      <c r="H75" s="4" t="s">
        <v>122</v>
      </c>
      <c r="I75" s="6"/>
      <c r="J75" s="4" t="s">
        <v>123</v>
      </c>
      <c r="K75" s="7">
        <v>1024.7309230000001</v>
      </c>
      <c r="L75" s="7">
        <v>1350</v>
      </c>
      <c r="M75" s="7">
        <v>75.905994000000007</v>
      </c>
      <c r="N75" s="4" t="s">
        <v>124</v>
      </c>
      <c r="O75" s="7">
        <v>1</v>
      </c>
      <c r="P75" s="7">
        <v>66.873328000000001</v>
      </c>
      <c r="Q75" s="7">
        <v>44.582217999999997</v>
      </c>
      <c r="R75" s="7">
        <v>50</v>
      </c>
      <c r="S75" s="7">
        <v>60.300136000000002</v>
      </c>
      <c r="T75" s="7">
        <v>73.812544000000003</v>
      </c>
      <c r="U75" s="7">
        <v>40.200091</v>
      </c>
      <c r="V75" s="7">
        <v>50</v>
      </c>
      <c r="W75" s="7">
        <v>64.858348000000007</v>
      </c>
      <c r="X75" s="7">
        <v>43.238899000000004</v>
      </c>
      <c r="Y75" s="7">
        <v>50</v>
      </c>
      <c r="Z75" s="7">
        <v>72.279775999999998</v>
      </c>
      <c r="AA75" s="7">
        <v>57.828380000000003</v>
      </c>
      <c r="AB75" s="7">
        <v>38.552253999999998</v>
      </c>
      <c r="AC75" s="7">
        <v>50</v>
      </c>
      <c r="AD75" s="7">
        <v>65.453187999999997</v>
      </c>
      <c r="AE75" s="7">
        <v>43.635458999999997</v>
      </c>
      <c r="AF75" s="7">
        <v>50</v>
      </c>
      <c r="AG75" s="7">
        <v>57.557122999999997</v>
      </c>
      <c r="AH75" s="7">
        <v>74.341654000000005</v>
      </c>
      <c r="AI75" s="7">
        <v>38.371416000000004</v>
      </c>
      <c r="AJ75" s="7">
        <v>50</v>
      </c>
      <c r="AK75" s="7">
        <v>13.51</v>
      </c>
      <c r="AL75" s="7">
        <v>14.45</v>
      </c>
      <c r="AM75" s="7">
        <v>16.78</v>
      </c>
      <c r="AN75" s="7">
        <v>0.57198199999999999</v>
      </c>
      <c r="AO75" s="7">
        <v>57.198222999999999</v>
      </c>
      <c r="AP75" s="7">
        <v>100</v>
      </c>
      <c r="AQ75" s="7">
        <v>0.62544699999999998</v>
      </c>
      <c r="AR75" s="7">
        <v>62.544733999999998</v>
      </c>
      <c r="AS75" s="7">
        <v>100</v>
      </c>
      <c r="AT75" s="7">
        <v>0.55663600000000002</v>
      </c>
      <c r="AU75" s="7">
        <v>0.58670299999999997</v>
      </c>
      <c r="AV75" s="7">
        <v>55.663584999999998</v>
      </c>
      <c r="AW75" s="7">
        <v>100</v>
      </c>
      <c r="AX75" s="7">
        <v>0.62201300000000004</v>
      </c>
      <c r="AY75" s="7">
        <v>0.62874200000000002</v>
      </c>
      <c r="AZ75" s="7">
        <v>62.201293999999997</v>
      </c>
      <c r="BA75" s="7">
        <v>100</v>
      </c>
      <c r="BB75" s="4" t="s">
        <v>124</v>
      </c>
      <c r="BC75" s="4" t="s">
        <v>124</v>
      </c>
      <c r="BD75" s="4" t="s">
        <v>124</v>
      </c>
      <c r="BE75" s="4" t="s">
        <v>124</v>
      </c>
      <c r="BF75" s="4" t="s">
        <v>124</v>
      </c>
      <c r="BG75" s="4" t="s">
        <v>124</v>
      </c>
      <c r="BH75" s="7">
        <v>0</v>
      </c>
      <c r="BI75" s="7">
        <v>0.99127600000000005</v>
      </c>
      <c r="BJ75" s="7">
        <v>0.985294</v>
      </c>
      <c r="BK75" s="7">
        <v>0.99773199999999995</v>
      </c>
      <c r="BL75" s="7">
        <v>0.99127600000000005</v>
      </c>
      <c r="BM75" s="7">
        <v>0.985294</v>
      </c>
      <c r="BN75" s="7">
        <v>0.99773199999999995</v>
      </c>
      <c r="BO75" s="7">
        <v>0.98499999999999999</v>
      </c>
      <c r="BP75" s="7">
        <v>0.97209299999999998</v>
      </c>
      <c r="BQ75" s="7">
        <v>1</v>
      </c>
      <c r="BR75" s="7">
        <v>0.106866</v>
      </c>
      <c r="BS75" s="7">
        <v>38.626866</v>
      </c>
      <c r="BT75" s="7">
        <v>50</v>
      </c>
      <c r="BU75" s="7">
        <v>0.15134500000000001</v>
      </c>
      <c r="BV75" s="7">
        <v>29.730941999999999</v>
      </c>
      <c r="BW75" s="7">
        <v>50</v>
      </c>
      <c r="BX75" s="7">
        <v>0.94296599999999997</v>
      </c>
      <c r="BY75" s="7">
        <v>50</v>
      </c>
      <c r="BZ75" s="7">
        <v>50</v>
      </c>
      <c r="CA75" s="7">
        <v>0.28517100000000001</v>
      </c>
      <c r="CB75" s="7">
        <v>19.011406999999998</v>
      </c>
      <c r="CC75" s="7">
        <v>50</v>
      </c>
      <c r="CD75" s="7">
        <v>0.89818200000000004</v>
      </c>
      <c r="CE75" s="7">
        <v>47.775629000000002</v>
      </c>
      <c r="CF75" s="7">
        <v>50</v>
      </c>
      <c r="CG75" s="7">
        <v>0.87012999999999996</v>
      </c>
      <c r="CH75" s="7">
        <v>92.567007000000004</v>
      </c>
      <c r="CI75" s="7">
        <v>100</v>
      </c>
      <c r="CJ75" s="7">
        <v>1</v>
      </c>
      <c r="CK75" s="7">
        <v>0.78571400000000002</v>
      </c>
      <c r="CL75" s="7">
        <v>83.586625999999995</v>
      </c>
      <c r="CM75" s="7">
        <v>100</v>
      </c>
      <c r="CN75" s="7">
        <v>0.65200000000000002</v>
      </c>
      <c r="CO75" s="7">
        <v>86.868686999999994</v>
      </c>
      <c r="CP75" s="7">
        <v>100</v>
      </c>
      <c r="CQ75" s="7">
        <v>0.60563400000000001</v>
      </c>
      <c r="CR75" s="7">
        <v>0.96692599999999995</v>
      </c>
      <c r="CS75" s="7">
        <v>40.375587000000003</v>
      </c>
      <c r="CT75" s="7">
        <v>50</v>
      </c>
      <c r="CU75" s="7">
        <v>0.60594800000000004</v>
      </c>
      <c r="CV75" s="7">
        <v>50</v>
      </c>
      <c r="CW75" s="7">
        <v>50</v>
      </c>
      <c r="CX75" s="7">
        <v>0.78571400000000002</v>
      </c>
      <c r="CY75" s="7">
        <v>0.94</v>
      </c>
      <c r="CZ75" s="7">
        <v>0.15428600000000001</v>
      </c>
      <c r="DA75" s="7">
        <v>15.389535</v>
      </c>
      <c r="DB75" s="7">
        <v>17.608319000000002</v>
      </c>
      <c r="DC75" s="7">
        <v>16.064022999999999</v>
      </c>
      <c r="DD75" s="7">
        <v>11.115401</v>
      </c>
      <c r="DE75" s="4" t="s">
        <v>124</v>
      </c>
      <c r="DF75" s="6"/>
      <c r="DG75" s="6"/>
      <c r="DH75" s="6"/>
      <c r="DI75" s="6"/>
      <c r="DJ75" s="4" t="s">
        <v>124</v>
      </c>
      <c r="DK75" s="4" t="s">
        <v>124</v>
      </c>
      <c r="DL75" s="4" t="s">
        <v>124</v>
      </c>
      <c r="DM75" s="4" t="s">
        <v>124</v>
      </c>
      <c r="DN75" s="4" t="s">
        <v>124</v>
      </c>
      <c r="DO75" s="4" t="s">
        <v>124</v>
      </c>
      <c r="DP75" s="6"/>
      <c r="DQ75" s="4" t="s">
        <v>125</v>
      </c>
    </row>
    <row r="76" spans="1:121" ht="20" customHeight="1" x14ac:dyDescent="0.15">
      <c r="A76" s="5">
        <v>2018</v>
      </c>
      <c r="B76" s="3" t="s">
        <v>199</v>
      </c>
      <c r="C76" s="4" t="str">
        <f t="shared" ref="C76:C935" si="74">"1440011"</f>
        <v>1440011</v>
      </c>
      <c r="D76" s="4" t="s">
        <v>122</v>
      </c>
      <c r="E76" s="4" t="str">
        <f t="shared" si="1"/>
        <v>0000000</v>
      </c>
      <c r="F76" s="4" t="s">
        <v>122</v>
      </c>
      <c r="G76" s="4" t="s">
        <v>122</v>
      </c>
      <c r="H76" s="4" t="s">
        <v>122</v>
      </c>
      <c r="I76" s="6"/>
      <c r="J76" s="4" t="s">
        <v>123</v>
      </c>
      <c r="K76" s="7">
        <v>1216.082838</v>
      </c>
      <c r="L76" s="7">
        <v>1450</v>
      </c>
      <c r="M76" s="7">
        <v>83.867782000000005</v>
      </c>
      <c r="N76" s="4" t="s">
        <v>124</v>
      </c>
      <c r="O76" s="7">
        <v>0</v>
      </c>
      <c r="P76" s="7">
        <v>79.934168999999997</v>
      </c>
      <c r="Q76" s="7">
        <v>50</v>
      </c>
      <c r="R76" s="7">
        <v>50</v>
      </c>
      <c r="S76" s="7">
        <v>68.220682999999994</v>
      </c>
      <c r="T76" s="7">
        <v>75</v>
      </c>
      <c r="U76" s="7">
        <v>45.480454999999999</v>
      </c>
      <c r="V76" s="7">
        <v>50</v>
      </c>
      <c r="W76" s="7">
        <v>77.190458000000007</v>
      </c>
      <c r="X76" s="7">
        <v>50</v>
      </c>
      <c r="Y76" s="7">
        <v>50</v>
      </c>
      <c r="Z76" s="7">
        <v>75</v>
      </c>
      <c r="AA76" s="7">
        <v>65.621270999999993</v>
      </c>
      <c r="AB76" s="7">
        <v>43.747514000000002</v>
      </c>
      <c r="AC76" s="7">
        <v>50</v>
      </c>
      <c r="AD76" s="7">
        <v>78.444920999999994</v>
      </c>
      <c r="AE76" s="7">
        <v>50</v>
      </c>
      <c r="AF76" s="7">
        <v>50</v>
      </c>
      <c r="AG76" s="7">
        <v>64.905102999999997</v>
      </c>
      <c r="AH76" s="7">
        <v>75</v>
      </c>
      <c r="AI76" s="7">
        <v>43.270068999999999</v>
      </c>
      <c r="AJ76" s="7">
        <v>50</v>
      </c>
      <c r="AK76" s="7">
        <v>6.77</v>
      </c>
      <c r="AL76" s="7">
        <v>9.3699999999999992</v>
      </c>
      <c r="AM76" s="7">
        <v>10.09</v>
      </c>
      <c r="AN76" s="7">
        <v>0.68609200000000004</v>
      </c>
      <c r="AO76" s="7">
        <v>68.609181000000007</v>
      </c>
      <c r="AP76" s="7">
        <v>100</v>
      </c>
      <c r="AQ76" s="7">
        <v>0.72811700000000001</v>
      </c>
      <c r="AR76" s="7">
        <v>72.811678999999998</v>
      </c>
      <c r="AS76" s="7">
        <v>100</v>
      </c>
      <c r="AT76" s="7">
        <v>0.59828700000000001</v>
      </c>
      <c r="AU76" s="7">
        <v>0.71666399999999997</v>
      </c>
      <c r="AV76" s="7">
        <v>59.828718000000002</v>
      </c>
      <c r="AW76" s="7">
        <v>100</v>
      </c>
      <c r="AX76" s="7">
        <v>0.63375800000000004</v>
      </c>
      <c r="AY76" s="7">
        <v>0.76085000000000003</v>
      </c>
      <c r="AZ76" s="7">
        <v>63.375791999999997</v>
      </c>
      <c r="BA76" s="7">
        <v>100</v>
      </c>
      <c r="BB76" s="7">
        <v>0.76262700000000005</v>
      </c>
      <c r="BC76" s="7">
        <v>38.131346999999998</v>
      </c>
      <c r="BD76" s="7">
        <v>50</v>
      </c>
      <c r="BE76" s="7">
        <v>0.53210800000000003</v>
      </c>
      <c r="BF76" s="7">
        <v>26.605384999999998</v>
      </c>
      <c r="BG76" s="7">
        <v>50</v>
      </c>
      <c r="BH76" s="7">
        <v>0</v>
      </c>
      <c r="BI76" s="7">
        <v>0.99154900000000001</v>
      </c>
      <c r="BJ76" s="7">
        <v>0.98823499999999997</v>
      </c>
      <c r="BK76" s="7">
        <v>0.99288500000000002</v>
      </c>
      <c r="BL76" s="7">
        <v>0.98985900000000004</v>
      </c>
      <c r="BM76" s="7">
        <v>0.98235300000000003</v>
      </c>
      <c r="BN76" s="7">
        <v>0.99288500000000002</v>
      </c>
      <c r="BO76" s="7">
        <v>0.99356900000000004</v>
      </c>
      <c r="BP76" s="7">
        <v>0.98855800000000005</v>
      </c>
      <c r="BQ76" s="7">
        <v>0.99552799999999997</v>
      </c>
      <c r="BR76" s="7">
        <v>4.6450999999999999E-2</v>
      </c>
      <c r="BS76" s="7">
        <v>50</v>
      </c>
      <c r="BT76" s="7">
        <v>50</v>
      </c>
      <c r="BU76" s="7">
        <v>9.9603999999999998E-2</v>
      </c>
      <c r="BV76" s="7">
        <v>40.079230000000003</v>
      </c>
      <c r="BW76" s="7">
        <v>50</v>
      </c>
      <c r="BX76" s="7">
        <v>0.93690200000000001</v>
      </c>
      <c r="BY76" s="7">
        <v>50</v>
      </c>
      <c r="BZ76" s="7">
        <v>50</v>
      </c>
      <c r="CA76" s="7">
        <v>0.68068799999999996</v>
      </c>
      <c r="CB76" s="7">
        <v>45.379221999999999</v>
      </c>
      <c r="CC76" s="7">
        <v>50</v>
      </c>
      <c r="CD76" s="7">
        <v>0.98540099999999997</v>
      </c>
      <c r="CE76" s="7">
        <v>50</v>
      </c>
      <c r="CF76" s="7">
        <v>50</v>
      </c>
      <c r="CG76" s="7">
        <v>0.96842099999999998</v>
      </c>
      <c r="CH76" s="7">
        <v>100</v>
      </c>
      <c r="CI76" s="7">
        <v>100</v>
      </c>
      <c r="CJ76" s="7">
        <v>0</v>
      </c>
      <c r="CK76" s="7">
        <v>0.92079200000000005</v>
      </c>
      <c r="CL76" s="7">
        <v>97.956603999999999</v>
      </c>
      <c r="CM76" s="7">
        <v>100</v>
      </c>
      <c r="CN76" s="7">
        <v>0.83599999999999997</v>
      </c>
      <c r="CO76" s="7">
        <v>100</v>
      </c>
      <c r="CP76" s="7">
        <v>100</v>
      </c>
      <c r="CQ76" s="7">
        <v>0.63870000000000005</v>
      </c>
      <c r="CR76" s="7">
        <v>0.93940900000000005</v>
      </c>
      <c r="CS76" s="7">
        <v>42.579968999999998</v>
      </c>
      <c r="CT76" s="7">
        <v>50</v>
      </c>
      <c r="CU76" s="7">
        <v>0.33873199999999998</v>
      </c>
      <c r="CV76" s="7">
        <v>28.227671999999998</v>
      </c>
      <c r="CW76" s="7">
        <v>50</v>
      </c>
      <c r="CX76" s="7">
        <v>0.92079200000000005</v>
      </c>
      <c r="CY76" s="7">
        <v>0.94</v>
      </c>
      <c r="CZ76" s="7">
        <v>1.9207999999999999E-2</v>
      </c>
      <c r="DA76" s="7">
        <v>15.389535</v>
      </c>
      <c r="DB76" s="7">
        <v>17.608319000000002</v>
      </c>
      <c r="DC76" s="7">
        <v>16.064022999999999</v>
      </c>
      <c r="DD76" s="7">
        <v>11.115401</v>
      </c>
      <c r="DE76" s="4" t="s">
        <v>124</v>
      </c>
      <c r="DF76" s="6"/>
      <c r="DG76" s="6"/>
      <c r="DH76" s="6"/>
      <c r="DI76" s="6"/>
      <c r="DJ76" s="4" t="s">
        <v>124</v>
      </c>
      <c r="DK76" s="4" t="s">
        <v>124</v>
      </c>
      <c r="DL76" s="4" t="s">
        <v>124</v>
      </c>
      <c r="DM76" s="4" t="s">
        <v>124</v>
      </c>
      <c r="DN76" s="4" t="s">
        <v>124</v>
      </c>
      <c r="DO76" s="4" t="s">
        <v>124</v>
      </c>
      <c r="DP76" s="6"/>
      <c r="DQ76" s="4" t="s">
        <v>125</v>
      </c>
    </row>
    <row r="77" spans="1:121" ht="20" customHeight="1" x14ac:dyDescent="0.15">
      <c r="A77" s="5">
        <v>2018</v>
      </c>
      <c r="B77" s="3" t="s">
        <v>200</v>
      </c>
      <c r="C77" s="4" t="str">
        <f t="shared" ref="C77:C320" si="75">"0310011"</f>
        <v>0310011</v>
      </c>
      <c r="D77" s="4" t="s">
        <v>122</v>
      </c>
      <c r="E77" s="4" t="str">
        <f t="shared" si="1"/>
        <v>0000000</v>
      </c>
      <c r="F77" s="4" t="s">
        <v>122</v>
      </c>
      <c r="G77" s="4" t="s">
        <v>122</v>
      </c>
      <c r="H77" s="4" t="s">
        <v>122</v>
      </c>
      <c r="I77" s="6"/>
      <c r="J77" s="4" t="s">
        <v>123</v>
      </c>
      <c r="K77" s="7">
        <v>456.07795800000002</v>
      </c>
      <c r="L77" s="7">
        <v>500</v>
      </c>
      <c r="M77" s="7">
        <v>91.215592000000001</v>
      </c>
      <c r="N77" s="4" t="s">
        <v>124</v>
      </c>
      <c r="O77" s="7">
        <v>0</v>
      </c>
      <c r="P77" s="7">
        <v>76.665791999999996</v>
      </c>
      <c r="Q77" s="7">
        <v>50</v>
      </c>
      <c r="R77" s="7">
        <v>50</v>
      </c>
      <c r="S77" s="4" t="s">
        <v>124</v>
      </c>
      <c r="T77" s="7">
        <v>75</v>
      </c>
      <c r="U77" s="4" t="s">
        <v>124</v>
      </c>
      <c r="V77" s="4" t="s">
        <v>124</v>
      </c>
      <c r="W77" s="7">
        <v>70.289567000000005</v>
      </c>
      <c r="X77" s="7">
        <v>46.859712000000002</v>
      </c>
      <c r="Y77" s="7">
        <v>50</v>
      </c>
      <c r="Z77" s="7">
        <v>75</v>
      </c>
      <c r="AA77" s="4" t="s">
        <v>124</v>
      </c>
      <c r="AB77" s="4" t="s">
        <v>124</v>
      </c>
      <c r="AC77" s="4" t="s">
        <v>124</v>
      </c>
      <c r="AD77" s="7">
        <v>75.881101999999998</v>
      </c>
      <c r="AE77" s="7">
        <v>50</v>
      </c>
      <c r="AF77" s="7">
        <v>50</v>
      </c>
      <c r="AG77" s="4" t="s">
        <v>124</v>
      </c>
      <c r="AH77" s="7">
        <v>75</v>
      </c>
      <c r="AI77" s="4" t="s">
        <v>124</v>
      </c>
      <c r="AJ77" s="4" t="s">
        <v>124</v>
      </c>
      <c r="AK77" s="4" t="s">
        <v>124</v>
      </c>
      <c r="AL77" s="4" t="s">
        <v>124</v>
      </c>
      <c r="AM77" s="4" t="s">
        <v>124</v>
      </c>
      <c r="AN77" s="7">
        <v>0.73205200000000004</v>
      </c>
      <c r="AO77" s="7">
        <v>73.205241999999998</v>
      </c>
      <c r="AP77" s="7">
        <v>100</v>
      </c>
      <c r="AQ77" s="7">
        <v>0.86012999999999995</v>
      </c>
      <c r="AR77" s="7">
        <v>86.013005000000007</v>
      </c>
      <c r="AS77" s="7">
        <v>100</v>
      </c>
      <c r="AT77" s="4" t="s">
        <v>124</v>
      </c>
      <c r="AU77" s="7">
        <v>0.73979300000000003</v>
      </c>
      <c r="AV77" s="4" t="s">
        <v>124</v>
      </c>
      <c r="AW77" s="4" t="s">
        <v>124</v>
      </c>
      <c r="AX77" s="4" t="s">
        <v>124</v>
      </c>
      <c r="AY77" s="7">
        <v>0.89185199999999998</v>
      </c>
      <c r="AZ77" s="4" t="s">
        <v>124</v>
      </c>
      <c r="BA77" s="4" t="s">
        <v>124</v>
      </c>
      <c r="BB77" s="4" t="s">
        <v>124</v>
      </c>
      <c r="BC77" s="4" t="s">
        <v>124</v>
      </c>
      <c r="BD77" s="4" t="s">
        <v>124</v>
      </c>
      <c r="BE77" s="4" t="s">
        <v>124</v>
      </c>
      <c r="BF77" s="4" t="s">
        <v>124</v>
      </c>
      <c r="BG77" s="4" t="s">
        <v>124</v>
      </c>
      <c r="BH77" s="7">
        <v>0</v>
      </c>
      <c r="BI77" s="7">
        <v>0.95522399999999996</v>
      </c>
      <c r="BJ77" s="4" t="s">
        <v>124</v>
      </c>
      <c r="BK77" s="7">
        <v>0.9375</v>
      </c>
      <c r="BL77" s="7">
        <v>0.95522399999999996</v>
      </c>
      <c r="BM77" s="4" t="s">
        <v>124</v>
      </c>
      <c r="BN77" s="7">
        <v>0.9375</v>
      </c>
      <c r="BO77" s="7">
        <v>0.96551699999999996</v>
      </c>
      <c r="BP77" s="4" t="s">
        <v>124</v>
      </c>
      <c r="BQ77" s="7">
        <v>0.95454499999999998</v>
      </c>
      <c r="BR77" s="7">
        <v>3.2608999999999999E-2</v>
      </c>
      <c r="BS77" s="7">
        <v>50</v>
      </c>
      <c r="BT77" s="7">
        <v>50</v>
      </c>
      <c r="BU77" s="7">
        <v>0</v>
      </c>
      <c r="BV77" s="7">
        <v>50</v>
      </c>
      <c r="BW77" s="7">
        <v>50</v>
      </c>
      <c r="BX77" s="4" t="s">
        <v>124</v>
      </c>
      <c r="BY77" s="4" t="s">
        <v>124</v>
      </c>
      <c r="BZ77" s="4" t="s">
        <v>124</v>
      </c>
      <c r="CA77" s="4" t="s">
        <v>124</v>
      </c>
      <c r="CB77" s="4" t="s">
        <v>124</v>
      </c>
      <c r="CC77" s="4" t="s">
        <v>124</v>
      </c>
      <c r="CD77" s="4" t="s">
        <v>124</v>
      </c>
      <c r="CE77" s="4" t="s">
        <v>124</v>
      </c>
      <c r="CF77" s="4" t="s">
        <v>124</v>
      </c>
      <c r="CG77" s="4" t="s">
        <v>124</v>
      </c>
      <c r="CH77" s="4" t="s">
        <v>124</v>
      </c>
      <c r="CI77" s="4" t="s">
        <v>124</v>
      </c>
      <c r="CJ77" s="4" t="s">
        <v>124</v>
      </c>
      <c r="CK77" s="4" t="s">
        <v>124</v>
      </c>
      <c r="CL77" s="4" t="s">
        <v>124</v>
      </c>
      <c r="CM77" s="4" t="s">
        <v>124</v>
      </c>
      <c r="CN77" s="4" t="s">
        <v>124</v>
      </c>
      <c r="CO77" s="4" t="s">
        <v>124</v>
      </c>
      <c r="CP77" s="4" t="s">
        <v>124</v>
      </c>
      <c r="CQ77" s="7">
        <v>0.86666699999999997</v>
      </c>
      <c r="CR77" s="7">
        <v>1</v>
      </c>
      <c r="CS77" s="7">
        <v>50</v>
      </c>
      <c r="CT77" s="7">
        <v>50</v>
      </c>
      <c r="CU77" s="4" t="s">
        <v>124</v>
      </c>
      <c r="CV77" s="4" t="s">
        <v>124</v>
      </c>
      <c r="CW77" s="4" t="s">
        <v>124</v>
      </c>
      <c r="CX77" s="4" t="s">
        <v>124</v>
      </c>
      <c r="CY77" s="4" t="s">
        <v>124</v>
      </c>
      <c r="CZ77" s="4" t="s">
        <v>124</v>
      </c>
      <c r="DA77" s="7">
        <v>15.389535</v>
      </c>
      <c r="DB77" s="7">
        <v>17.608319000000002</v>
      </c>
      <c r="DC77" s="7">
        <v>16.064022999999999</v>
      </c>
      <c r="DD77" s="4" t="s">
        <v>124</v>
      </c>
      <c r="DE77" s="4" t="s">
        <v>124</v>
      </c>
      <c r="DF77" s="6"/>
      <c r="DG77" s="6"/>
      <c r="DH77" s="6"/>
      <c r="DI77" s="6"/>
      <c r="DJ77" s="4" t="s">
        <v>124</v>
      </c>
      <c r="DK77" s="4" t="s">
        <v>124</v>
      </c>
      <c r="DL77" s="4" t="s">
        <v>124</v>
      </c>
      <c r="DM77" s="4" t="s">
        <v>124</v>
      </c>
      <c r="DN77" s="4" t="s">
        <v>124</v>
      </c>
      <c r="DO77" s="4" t="s">
        <v>124</v>
      </c>
      <c r="DP77" s="6"/>
      <c r="DQ77" s="4" t="s">
        <v>125</v>
      </c>
    </row>
    <row r="78" spans="1:121" ht="20" customHeight="1" x14ac:dyDescent="0.15">
      <c r="A78" s="5">
        <v>2018</v>
      </c>
      <c r="B78" s="3" t="s">
        <v>201</v>
      </c>
      <c r="C78" s="4" t="str">
        <f t="shared" ref="C78:C915" si="76">"1390011"</f>
        <v>1390011</v>
      </c>
      <c r="D78" s="4" t="s">
        <v>122</v>
      </c>
      <c r="E78" s="4" t="str">
        <f t="shared" si="1"/>
        <v>0000000</v>
      </c>
      <c r="F78" s="4" t="s">
        <v>122</v>
      </c>
      <c r="G78" s="4" t="s">
        <v>122</v>
      </c>
      <c r="H78" s="4" t="s">
        <v>122</v>
      </c>
      <c r="I78" s="6"/>
      <c r="J78" s="4" t="s">
        <v>123</v>
      </c>
      <c r="K78" s="7">
        <v>1112.9462390000001</v>
      </c>
      <c r="L78" s="7">
        <v>1400</v>
      </c>
      <c r="M78" s="7">
        <v>79.496160000000003</v>
      </c>
      <c r="N78" s="4" t="s">
        <v>124</v>
      </c>
      <c r="O78" s="7">
        <v>0</v>
      </c>
      <c r="P78" s="7">
        <v>73.563599999999994</v>
      </c>
      <c r="Q78" s="7">
        <v>49.042400000000001</v>
      </c>
      <c r="R78" s="7">
        <v>50</v>
      </c>
      <c r="S78" s="7">
        <v>62.259270999999998</v>
      </c>
      <c r="T78" s="7">
        <v>75</v>
      </c>
      <c r="U78" s="7">
        <v>41.506180999999998</v>
      </c>
      <c r="V78" s="7">
        <v>50</v>
      </c>
      <c r="W78" s="7">
        <v>68.514983000000001</v>
      </c>
      <c r="X78" s="7">
        <v>45.676654999999997</v>
      </c>
      <c r="Y78" s="7">
        <v>50</v>
      </c>
      <c r="Z78" s="7">
        <v>73.091162999999995</v>
      </c>
      <c r="AA78" s="7">
        <v>55.714942999999998</v>
      </c>
      <c r="AB78" s="7">
        <v>37.143295000000002</v>
      </c>
      <c r="AC78" s="7">
        <v>50</v>
      </c>
      <c r="AD78" s="7">
        <v>73.562117999999998</v>
      </c>
      <c r="AE78" s="7">
        <v>49.041412000000001</v>
      </c>
      <c r="AF78" s="7">
        <v>50</v>
      </c>
      <c r="AG78" s="7">
        <v>60.357805999999997</v>
      </c>
      <c r="AH78" s="7">
        <v>75</v>
      </c>
      <c r="AI78" s="7">
        <v>40.238537999999998</v>
      </c>
      <c r="AJ78" s="7">
        <v>50</v>
      </c>
      <c r="AK78" s="7">
        <v>12.74</v>
      </c>
      <c r="AL78" s="7">
        <v>17.37</v>
      </c>
      <c r="AM78" s="7">
        <v>14.64</v>
      </c>
      <c r="AN78" s="7">
        <v>0.65761199999999997</v>
      </c>
      <c r="AO78" s="7">
        <v>65.761184</v>
      </c>
      <c r="AP78" s="7">
        <v>100</v>
      </c>
      <c r="AQ78" s="7">
        <v>0.73921300000000001</v>
      </c>
      <c r="AR78" s="7">
        <v>73.921327000000005</v>
      </c>
      <c r="AS78" s="7">
        <v>100</v>
      </c>
      <c r="AT78" s="7">
        <v>0.58035199999999998</v>
      </c>
      <c r="AU78" s="7">
        <v>0.68222000000000005</v>
      </c>
      <c r="AV78" s="7">
        <v>58.035226999999999</v>
      </c>
      <c r="AW78" s="7">
        <v>100</v>
      </c>
      <c r="AX78" s="7">
        <v>0.68243100000000001</v>
      </c>
      <c r="AY78" s="7">
        <v>0.75729999999999997</v>
      </c>
      <c r="AZ78" s="7">
        <v>68.243088</v>
      </c>
      <c r="BA78" s="7">
        <v>100</v>
      </c>
      <c r="BB78" s="4" t="s">
        <v>124</v>
      </c>
      <c r="BC78" s="4" t="s">
        <v>124</v>
      </c>
      <c r="BD78" s="4" t="s">
        <v>124</v>
      </c>
      <c r="BE78" s="7">
        <v>0.596024</v>
      </c>
      <c r="BF78" s="7">
        <v>29.801207999999999</v>
      </c>
      <c r="BG78" s="7">
        <v>50</v>
      </c>
      <c r="BH78" s="7">
        <v>1</v>
      </c>
      <c r="BI78" s="7">
        <v>0.980769</v>
      </c>
      <c r="BJ78" s="7">
        <v>0.954098</v>
      </c>
      <c r="BK78" s="7">
        <v>0.99110500000000001</v>
      </c>
      <c r="BL78" s="7">
        <v>0.98078699999999996</v>
      </c>
      <c r="BM78" s="7">
        <v>0.95098000000000005</v>
      </c>
      <c r="BN78" s="7">
        <v>0.99237600000000004</v>
      </c>
      <c r="BO78" s="7">
        <v>0.97727299999999995</v>
      </c>
      <c r="BP78" s="7">
        <v>0.94871799999999995</v>
      </c>
      <c r="BQ78" s="7">
        <v>0.98637600000000003</v>
      </c>
      <c r="BR78" s="7">
        <v>6.5248E-2</v>
      </c>
      <c r="BS78" s="7">
        <v>46.950355000000002</v>
      </c>
      <c r="BT78" s="7">
        <v>50</v>
      </c>
      <c r="BU78" s="7">
        <v>0.15614</v>
      </c>
      <c r="BV78" s="7">
        <v>28.771930000000001</v>
      </c>
      <c r="BW78" s="7">
        <v>50</v>
      </c>
      <c r="BX78" s="7">
        <v>0.97738700000000001</v>
      </c>
      <c r="BY78" s="7">
        <v>50</v>
      </c>
      <c r="BZ78" s="7">
        <v>50</v>
      </c>
      <c r="CA78" s="7">
        <v>0.58040199999999997</v>
      </c>
      <c r="CB78" s="7">
        <v>38.693466999999998</v>
      </c>
      <c r="CC78" s="7">
        <v>50</v>
      </c>
      <c r="CD78" s="7">
        <v>0.95707100000000001</v>
      </c>
      <c r="CE78" s="7">
        <v>50</v>
      </c>
      <c r="CF78" s="7">
        <v>50</v>
      </c>
      <c r="CG78" s="7">
        <v>0.95811500000000005</v>
      </c>
      <c r="CH78" s="7">
        <v>100</v>
      </c>
      <c r="CI78" s="7">
        <v>100</v>
      </c>
      <c r="CJ78" s="7">
        <v>0</v>
      </c>
      <c r="CK78" s="7">
        <v>0.86666699999999997</v>
      </c>
      <c r="CL78" s="7">
        <v>92.198582000000002</v>
      </c>
      <c r="CM78" s="7">
        <v>100</v>
      </c>
      <c r="CN78" s="7">
        <v>0.76</v>
      </c>
      <c r="CO78" s="7">
        <v>100</v>
      </c>
      <c r="CP78" s="7">
        <v>100</v>
      </c>
      <c r="CQ78" s="7">
        <v>0.44557799999999997</v>
      </c>
      <c r="CR78" s="7">
        <v>0.89226099999999997</v>
      </c>
      <c r="CS78" s="7">
        <v>14.852608</v>
      </c>
      <c r="CT78" s="7">
        <v>50</v>
      </c>
      <c r="CU78" s="7">
        <v>0.39682499999999998</v>
      </c>
      <c r="CV78" s="7">
        <v>33.068783000000003</v>
      </c>
      <c r="CW78" s="7">
        <v>50</v>
      </c>
      <c r="CX78" s="7">
        <v>0.86666699999999997</v>
      </c>
      <c r="CY78" s="7">
        <v>0.94</v>
      </c>
      <c r="CZ78" s="7">
        <v>7.3332999999999995E-2</v>
      </c>
      <c r="DA78" s="7">
        <v>15.389535</v>
      </c>
      <c r="DB78" s="7">
        <v>17.608319000000002</v>
      </c>
      <c r="DC78" s="7">
        <v>16.064022999999999</v>
      </c>
      <c r="DD78" s="7">
        <v>11.115401</v>
      </c>
      <c r="DE78" s="4" t="s">
        <v>124</v>
      </c>
      <c r="DF78" s="6"/>
      <c r="DG78" s="6"/>
      <c r="DH78" s="6"/>
      <c r="DI78" s="6"/>
      <c r="DJ78" s="4" t="s">
        <v>124</v>
      </c>
      <c r="DK78" s="4" t="s">
        <v>124</v>
      </c>
      <c r="DL78" s="4" t="s">
        <v>124</v>
      </c>
      <c r="DM78" s="4" t="s">
        <v>124</v>
      </c>
      <c r="DN78" s="4" t="s">
        <v>124</v>
      </c>
      <c r="DO78" s="4" t="s">
        <v>124</v>
      </c>
      <c r="DP78" s="6"/>
      <c r="DQ78" s="4" t="s">
        <v>125</v>
      </c>
    </row>
    <row r="79" spans="1:121" ht="20" customHeight="1" x14ac:dyDescent="0.15">
      <c r="A79" s="5">
        <v>2018</v>
      </c>
      <c r="B79" s="3" t="s">
        <v>202</v>
      </c>
      <c r="C79" s="4" t="str">
        <f t="shared" ref="C79:C308" si="77">"0250011"</f>
        <v>0250011</v>
      </c>
      <c r="D79" s="4" t="s">
        <v>122</v>
      </c>
      <c r="E79" s="4" t="str">
        <f t="shared" si="1"/>
        <v>0000000</v>
      </c>
      <c r="F79" s="4" t="s">
        <v>122</v>
      </c>
      <c r="G79" s="4" t="s">
        <v>122</v>
      </c>
      <c r="H79" s="4" t="s">
        <v>122</v>
      </c>
      <c r="I79" s="6"/>
      <c r="J79" s="4" t="s">
        <v>123</v>
      </c>
      <c r="K79" s="7">
        <v>1224.9498160000001</v>
      </c>
      <c r="L79" s="7">
        <v>1450</v>
      </c>
      <c r="M79" s="7">
        <v>84.479298</v>
      </c>
      <c r="N79" s="4" t="s">
        <v>124</v>
      </c>
      <c r="O79" s="7">
        <v>0</v>
      </c>
      <c r="P79" s="7">
        <v>80.416989000000001</v>
      </c>
      <c r="Q79" s="7">
        <v>50</v>
      </c>
      <c r="R79" s="7">
        <v>50</v>
      </c>
      <c r="S79" s="7">
        <v>66.134773999999993</v>
      </c>
      <c r="T79" s="7">
        <v>75</v>
      </c>
      <c r="U79" s="7">
        <v>44.089849999999998</v>
      </c>
      <c r="V79" s="7">
        <v>50</v>
      </c>
      <c r="W79" s="7">
        <v>76.535967999999997</v>
      </c>
      <c r="X79" s="7">
        <v>50</v>
      </c>
      <c r="Y79" s="7">
        <v>50</v>
      </c>
      <c r="Z79" s="7">
        <v>75</v>
      </c>
      <c r="AA79" s="7">
        <v>60.400731</v>
      </c>
      <c r="AB79" s="7">
        <v>40.267153999999998</v>
      </c>
      <c r="AC79" s="7">
        <v>50</v>
      </c>
      <c r="AD79" s="7">
        <v>75.330657000000002</v>
      </c>
      <c r="AE79" s="7">
        <v>50</v>
      </c>
      <c r="AF79" s="7">
        <v>50</v>
      </c>
      <c r="AG79" s="7">
        <v>63.250610999999999</v>
      </c>
      <c r="AH79" s="7">
        <v>75</v>
      </c>
      <c r="AI79" s="7">
        <v>42.167074</v>
      </c>
      <c r="AJ79" s="7">
        <v>50</v>
      </c>
      <c r="AK79" s="7">
        <v>8.86</v>
      </c>
      <c r="AL79" s="7">
        <v>14.59</v>
      </c>
      <c r="AM79" s="7">
        <v>11.74</v>
      </c>
      <c r="AN79" s="7">
        <v>0.70459499999999997</v>
      </c>
      <c r="AO79" s="7">
        <v>70.459548999999996</v>
      </c>
      <c r="AP79" s="7">
        <v>100</v>
      </c>
      <c r="AQ79" s="7">
        <v>0.773312</v>
      </c>
      <c r="AR79" s="7">
        <v>77.331196000000006</v>
      </c>
      <c r="AS79" s="7">
        <v>100</v>
      </c>
      <c r="AT79" s="7">
        <v>0.60312500000000002</v>
      </c>
      <c r="AU79" s="7">
        <v>0.73156900000000002</v>
      </c>
      <c r="AV79" s="7">
        <v>60.312508999999999</v>
      </c>
      <c r="AW79" s="7">
        <v>100</v>
      </c>
      <c r="AX79" s="7">
        <v>0.65332900000000005</v>
      </c>
      <c r="AY79" s="7">
        <v>0.80513199999999996</v>
      </c>
      <c r="AZ79" s="7">
        <v>65.332864999999998</v>
      </c>
      <c r="BA79" s="7">
        <v>100</v>
      </c>
      <c r="BB79" s="7">
        <v>0.72410300000000005</v>
      </c>
      <c r="BC79" s="7">
        <v>36.205145999999999</v>
      </c>
      <c r="BD79" s="7">
        <v>50</v>
      </c>
      <c r="BE79" s="7">
        <v>0.64386399999999999</v>
      </c>
      <c r="BF79" s="7">
        <v>32.193219999999997</v>
      </c>
      <c r="BG79" s="7">
        <v>50</v>
      </c>
      <c r="BH79" s="7">
        <v>0</v>
      </c>
      <c r="BI79" s="7">
        <v>0.98116599999999998</v>
      </c>
      <c r="BJ79" s="7">
        <v>0.95938100000000004</v>
      </c>
      <c r="BK79" s="7">
        <v>0.98774099999999998</v>
      </c>
      <c r="BL79" s="7">
        <v>0.97937200000000002</v>
      </c>
      <c r="BM79" s="7">
        <v>0.95357800000000004</v>
      </c>
      <c r="BN79" s="7">
        <v>0.98715699999999995</v>
      </c>
      <c r="BO79" s="7">
        <v>0.98128099999999996</v>
      </c>
      <c r="BP79" s="7">
        <v>0.96491199999999999</v>
      </c>
      <c r="BQ79" s="7">
        <v>0.98602299999999998</v>
      </c>
      <c r="BR79" s="7">
        <v>5.9846999999999997E-2</v>
      </c>
      <c r="BS79" s="7">
        <v>48.030520000000003</v>
      </c>
      <c r="BT79" s="7">
        <v>50</v>
      </c>
      <c r="BU79" s="7">
        <v>0.14891499999999999</v>
      </c>
      <c r="BV79" s="7">
        <v>30.216963</v>
      </c>
      <c r="BW79" s="7">
        <v>50</v>
      </c>
      <c r="BX79" s="7">
        <v>0.98125799999999996</v>
      </c>
      <c r="BY79" s="7">
        <v>50</v>
      </c>
      <c r="BZ79" s="7">
        <v>50</v>
      </c>
      <c r="CA79" s="7">
        <v>0.63186100000000001</v>
      </c>
      <c r="CB79" s="7">
        <v>42.124051999999999</v>
      </c>
      <c r="CC79" s="7">
        <v>50</v>
      </c>
      <c r="CD79" s="7">
        <v>0.97797900000000004</v>
      </c>
      <c r="CE79" s="7">
        <v>50</v>
      </c>
      <c r="CF79" s="7">
        <v>50</v>
      </c>
      <c r="CG79" s="7">
        <v>0.94871799999999995</v>
      </c>
      <c r="CH79" s="7">
        <v>100</v>
      </c>
      <c r="CI79" s="7">
        <v>100</v>
      </c>
      <c r="CJ79" s="7">
        <v>0</v>
      </c>
      <c r="CK79" s="7">
        <v>0.97979799999999995</v>
      </c>
      <c r="CL79" s="7">
        <v>100</v>
      </c>
      <c r="CM79" s="7">
        <v>100</v>
      </c>
      <c r="CN79" s="7">
        <v>0.85899999999999999</v>
      </c>
      <c r="CO79" s="7">
        <v>100</v>
      </c>
      <c r="CP79" s="7">
        <v>100</v>
      </c>
      <c r="CQ79" s="7">
        <v>0.62912900000000005</v>
      </c>
      <c r="CR79" s="7">
        <v>0.98593600000000003</v>
      </c>
      <c r="CS79" s="7">
        <v>41.941941999999997</v>
      </c>
      <c r="CT79" s="7">
        <v>50</v>
      </c>
      <c r="CU79" s="7">
        <v>0.53133300000000006</v>
      </c>
      <c r="CV79" s="7">
        <v>44.277777999999998</v>
      </c>
      <c r="CW79" s="7">
        <v>50</v>
      </c>
      <c r="CX79" s="7">
        <v>0.97979799999999995</v>
      </c>
      <c r="CY79" s="7">
        <v>0.94</v>
      </c>
      <c r="CZ79" s="7">
        <v>-3.9798E-2</v>
      </c>
      <c r="DA79" s="7">
        <v>15.389535</v>
      </c>
      <c r="DB79" s="7">
        <v>17.608319000000002</v>
      </c>
      <c r="DC79" s="7">
        <v>16.064022999999999</v>
      </c>
      <c r="DD79" s="7">
        <v>11.115401</v>
      </c>
      <c r="DE79" s="4" t="s">
        <v>124</v>
      </c>
      <c r="DF79" s="6"/>
      <c r="DG79" s="6"/>
      <c r="DH79" s="6"/>
      <c r="DI79" s="6"/>
      <c r="DJ79" s="4" t="s">
        <v>124</v>
      </c>
      <c r="DK79" s="4" t="s">
        <v>124</v>
      </c>
      <c r="DL79" s="4" t="s">
        <v>124</v>
      </c>
      <c r="DM79" s="4" t="s">
        <v>124</v>
      </c>
      <c r="DN79" s="4" t="s">
        <v>124</v>
      </c>
      <c r="DO79" s="4" t="s">
        <v>124</v>
      </c>
      <c r="DP79" s="6"/>
      <c r="DQ79" s="4" t="s">
        <v>125</v>
      </c>
    </row>
    <row r="80" spans="1:121" ht="20" customHeight="1" x14ac:dyDescent="0.15">
      <c r="A80" s="5">
        <v>2018</v>
      </c>
      <c r="B80" s="3" t="s">
        <v>203</v>
      </c>
      <c r="C80" s="4" t="str">
        <f t="shared" ref="C80:C653" si="78">"0900011"</f>
        <v>0900011</v>
      </c>
      <c r="D80" s="4" t="s">
        <v>122</v>
      </c>
      <c r="E80" s="4" t="str">
        <f t="shared" si="1"/>
        <v>0000000</v>
      </c>
      <c r="F80" s="4" t="s">
        <v>122</v>
      </c>
      <c r="G80" s="4" t="s">
        <v>122</v>
      </c>
      <c r="H80" s="4" t="s">
        <v>122</v>
      </c>
      <c r="I80" s="6"/>
      <c r="J80" s="4" t="s">
        <v>123</v>
      </c>
      <c r="K80" s="7">
        <v>1282.1716739999999</v>
      </c>
      <c r="L80" s="7">
        <v>1450</v>
      </c>
      <c r="M80" s="7">
        <v>88.425633000000005</v>
      </c>
      <c r="N80" s="4" t="s">
        <v>124</v>
      </c>
      <c r="O80" s="7">
        <v>0</v>
      </c>
      <c r="P80" s="7">
        <v>86.641976</v>
      </c>
      <c r="Q80" s="7">
        <v>50</v>
      </c>
      <c r="R80" s="7">
        <v>50</v>
      </c>
      <c r="S80" s="7">
        <v>66.487924000000007</v>
      </c>
      <c r="T80" s="7">
        <v>75</v>
      </c>
      <c r="U80" s="7">
        <v>44.325282000000001</v>
      </c>
      <c r="V80" s="7">
        <v>50</v>
      </c>
      <c r="W80" s="7">
        <v>85.975491000000005</v>
      </c>
      <c r="X80" s="7">
        <v>50</v>
      </c>
      <c r="Y80" s="7">
        <v>50</v>
      </c>
      <c r="Z80" s="7">
        <v>75</v>
      </c>
      <c r="AA80" s="7">
        <v>65.602697000000006</v>
      </c>
      <c r="AB80" s="7">
        <v>43.735131000000003</v>
      </c>
      <c r="AC80" s="7">
        <v>50</v>
      </c>
      <c r="AD80" s="7">
        <v>81.524592999999996</v>
      </c>
      <c r="AE80" s="7">
        <v>50</v>
      </c>
      <c r="AF80" s="7">
        <v>50</v>
      </c>
      <c r="AG80" s="7">
        <v>64.620962000000006</v>
      </c>
      <c r="AH80" s="7">
        <v>75</v>
      </c>
      <c r="AI80" s="7">
        <v>43.080641</v>
      </c>
      <c r="AJ80" s="7">
        <v>50</v>
      </c>
      <c r="AK80" s="7">
        <v>8.51</v>
      </c>
      <c r="AL80" s="7">
        <v>9.39</v>
      </c>
      <c r="AM80" s="7">
        <v>10.37</v>
      </c>
      <c r="AN80" s="7">
        <v>0.72816199999999998</v>
      </c>
      <c r="AO80" s="7">
        <v>72.816209999999998</v>
      </c>
      <c r="AP80" s="7">
        <v>100</v>
      </c>
      <c r="AQ80" s="7">
        <v>0.84688399999999997</v>
      </c>
      <c r="AR80" s="7">
        <v>84.688438000000005</v>
      </c>
      <c r="AS80" s="7">
        <v>100</v>
      </c>
      <c r="AT80" s="7">
        <v>0.52695499999999995</v>
      </c>
      <c r="AU80" s="7">
        <v>0.75406300000000004</v>
      </c>
      <c r="AV80" s="7">
        <v>52.695461000000002</v>
      </c>
      <c r="AW80" s="7">
        <v>100</v>
      </c>
      <c r="AX80" s="7">
        <v>0.61075100000000004</v>
      </c>
      <c r="AY80" s="7">
        <v>0.87713099999999999</v>
      </c>
      <c r="AZ80" s="7">
        <v>61.075145999999997</v>
      </c>
      <c r="BA80" s="7">
        <v>100</v>
      </c>
      <c r="BB80" s="7">
        <v>0.99371799999999999</v>
      </c>
      <c r="BC80" s="7">
        <v>49.685884999999999</v>
      </c>
      <c r="BD80" s="7">
        <v>50</v>
      </c>
      <c r="BE80" s="7">
        <v>0.79213299999999998</v>
      </c>
      <c r="BF80" s="7">
        <v>39.606642999999998</v>
      </c>
      <c r="BG80" s="7">
        <v>50</v>
      </c>
      <c r="BH80" s="7">
        <v>0</v>
      </c>
      <c r="BI80" s="7">
        <v>0.98959200000000003</v>
      </c>
      <c r="BJ80" s="7">
        <v>0.95882400000000001</v>
      </c>
      <c r="BK80" s="7">
        <v>0.99491399999999997</v>
      </c>
      <c r="BL80" s="7">
        <v>0.98915900000000001</v>
      </c>
      <c r="BM80" s="7">
        <v>0.95882400000000001</v>
      </c>
      <c r="BN80" s="7">
        <v>0.99440499999999998</v>
      </c>
      <c r="BO80" s="7">
        <v>0.99376299999999995</v>
      </c>
      <c r="BP80" s="7">
        <v>0.96376799999999996</v>
      </c>
      <c r="BQ80" s="7">
        <v>0.99878599999999995</v>
      </c>
      <c r="BR80" s="7">
        <v>3.6617999999999998E-2</v>
      </c>
      <c r="BS80" s="7">
        <v>50</v>
      </c>
      <c r="BT80" s="7">
        <v>50</v>
      </c>
      <c r="BU80" s="7">
        <v>6.0498000000000003E-2</v>
      </c>
      <c r="BV80" s="7">
        <v>47.900356000000002</v>
      </c>
      <c r="BW80" s="7">
        <v>50</v>
      </c>
      <c r="BX80" s="7">
        <v>0.97468399999999999</v>
      </c>
      <c r="BY80" s="7">
        <v>50</v>
      </c>
      <c r="BZ80" s="7">
        <v>50</v>
      </c>
      <c r="CA80" s="7">
        <v>0.83860800000000002</v>
      </c>
      <c r="CB80" s="7">
        <v>50</v>
      </c>
      <c r="CC80" s="7">
        <v>50</v>
      </c>
      <c r="CD80" s="7">
        <v>0.98938099999999995</v>
      </c>
      <c r="CE80" s="7">
        <v>50</v>
      </c>
      <c r="CF80" s="7">
        <v>50</v>
      </c>
      <c r="CG80" s="7">
        <v>0.98089199999999999</v>
      </c>
      <c r="CH80" s="7">
        <v>100</v>
      </c>
      <c r="CI80" s="7">
        <v>100</v>
      </c>
      <c r="CJ80" s="7">
        <v>0</v>
      </c>
      <c r="CK80" s="7">
        <v>0.93333299999999997</v>
      </c>
      <c r="CL80" s="7">
        <v>99.290779999999998</v>
      </c>
      <c r="CM80" s="7">
        <v>100</v>
      </c>
      <c r="CN80" s="7">
        <v>0.85699999999999998</v>
      </c>
      <c r="CO80" s="7">
        <v>100</v>
      </c>
      <c r="CP80" s="7">
        <v>100</v>
      </c>
      <c r="CQ80" s="7">
        <v>0.75371500000000002</v>
      </c>
      <c r="CR80" s="7">
        <v>0.99157899999999999</v>
      </c>
      <c r="CS80" s="7">
        <v>50</v>
      </c>
      <c r="CT80" s="7">
        <v>50</v>
      </c>
      <c r="CU80" s="7">
        <v>0.51926000000000005</v>
      </c>
      <c r="CV80" s="7">
        <v>43.271700000000003</v>
      </c>
      <c r="CW80" s="7">
        <v>50</v>
      </c>
      <c r="CX80" s="7">
        <v>0.93333299999999997</v>
      </c>
      <c r="CY80" s="7">
        <v>0.94</v>
      </c>
      <c r="CZ80" s="7">
        <v>6.6670000000000002E-3</v>
      </c>
      <c r="DA80" s="7">
        <v>15.389535</v>
      </c>
      <c r="DB80" s="7">
        <v>17.608319000000002</v>
      </c>
      <c r="DC80" s="7">
        <v>16.064022999999999</v>
      </c>
      <c r="DD80" s="7">
        <v>11.115401</v>
      </c>
      <c r="DE80" s="4" t="s">
        <v>124</v>
      </c>
      <c r="DF80" s="6"/>
      <c r="DG80" s="6"/>
      <c r="DH80" s="6"/>
      <c r="DI80" s="6"/>
      <c r="DJ80" s="4" t="s">
        <v>124</v>
      </c>
      <c r="DK80" s="4" t="s">
        <v>124</v>
      </c>
      <c r="DL80" s="4" t="s">
        <v>124</v>
      </c>
      <c r="DM80" s="4" t="s">
        <v>124</v>
      </c>
      <c r="DN80" s="4" t="s">
        <v>124</v>
      </c>
      <c r="DO80" s="4" t="s">
        <v>124</v>
      </c>
      <c r="DP80" s="6"/>
      <c r="DQ80" s="4" t="s">
        <v>125</v>
      </c>
    </row>
    <row r="81" spans="1:121" ht="20" customHeight="1" x14ac:dyDescent="0.15">
      <c r="A81" s="5">
        <v>2018</v>
      </c>
      <c r="B81" s="3" t="s">
        <v>204</v>
      </c>
      <c r="C81" s="4" t="str">
        <f t="shared" ref="C81:C329" si="79">"0330011"</f>
        <v>0330011</v>
      </c>
      <c r="D81" s="4" t="s">
        <v>122</v>
      </c>
      <c r="E81" s="4" t="str">
        <f t="shared" si="1"/>
        <v>0000000</v>
      </c>
      <c r="F81" s="4" t="s">
        <v>122</v>
      </c>
      <c r="G81" s="4" t="s">
        <v>122</v>
      </c>
      <c r="H81" s="4" t="s">
        <v>122</v>
      </c>
      <c r="I81" s="6"/>
      <c r="J81" s="4" t="s">
        <v>123</v>
      </c>
      <c r="K81" s="7">
        <v>1216.0771749999999</v>
      </c>
      <c r="L81" s="7">
        <v>1450</v>
      </c>
      <c r="M81" s="7">
        <v>83.867390999999998</v>
      </c>
      <c r="N81" s="4" t="s">
        <v>124</v>
      </c>
      <c r="O81" s="7">
        <v>0</v>
      </c>
      <c r="P81" s="7">
        <v>72.484224999999995</v>
      </c>
      <c r="Q81" s="7">
        <v>48.322817000000001</v>
      </c>
      <c r="R81" s="7">
        <v>50</v>
      </c>
      <c r="S81" s="7">
        <v>62.289254</v>
      </c>
      <c r="T81" s="7">
        <v>75</v>
      </c>
      <c r="U81" s="7">
        <v>41.526169000000003</v>
      </c>
      <c r="V81" s="7">
        <v>50</v>
      </c>
      <c r="W81" s="7">
        <v>69.024969999999996</v>
      </c>
      <c r="X81" s="7">
        <v>46.016646999999999</v>
      </c>
      <c r="Y81" s="7">
        <v>50</v>
      </c>
      <c r="Z81" s="7">
        <v>74.067920999999998</v>
      </c>
      <c r="AA81" s="7">
        <v>58.598928000000001</v>
      </c>
      <c r="AB81" s="7">
        <v>39.065952000000003</v>
      </c>
      <c r="AC81" s="7">
        <v>50</v>
      </c>
      <c r="AD81" s="7">
        <v>65.932472000000004</v>
      </c>
      <c r="AE81" s="7">
        <v>43.954980999999997</v>
      </c>
      <c r="AF81" s="7">
        <v>50</v>
      </c>
      <c r="AG81" s="7">
        <v>55.634202999999999</v>
      </c>
      <c r="AH81" s="7">
        <v>70.454468000000006</v>
      </c>
      <c r="AI81" s="7">
        <v>37.089469000000001</v>
      </c>
      <c r="AJ81" s="7">
        <v>50</v>
      </c>
      <c r="AK81" s="7">
        <v>12.71</v>
      </c>
      <c r="AL81" s="7">
        <v>15.46</v>
      </c>
      <c r="AM81" s="7">
        <v>14.82</v>
      </c>
      <c r="AN81" s="7">
        <v>0.67651700000000003</v>
      </c>
      <c r="AO81" s="7">
        <v>67.651734000000005</v>
      </c>
      <c r="AP81" s="7">
        <v>100</v>
      </c>
      <c r="AQ81" s="7">
        <v>0.76676800000000001</v>
      </c>
      <c r="AR81" s="7">
        <v>76.676803000000007</v>
      </c>
      <c r="AS81" s="7">
        <v>100</v>
      </c>
      <c r="AT81" s="7">
        <v>0.63030699999999995</v>
      </c>
      <c r="AU81" s="7">
        <v>0.69739499999999999</v>
      </c>
      <c r="AV81" s="7">
        <v>63.030740999999999</v>
      </c>
      <c r="AW81" s="7">
        <v>100</v>
      </c>
      <c r="AX81" s="7">
        <v>0.71550800000000003</v>
      </c>
      <c r="AY81" s="7">
        <v>0.78983000000000003</v>
      </c>
      <c r="AZ81" s="7">
        <v>71.550819000000004</v>
      </c>
      <c r="BA81" s="7">
        <v>100</v>
      </c>
      <c r="BB81" s="7">
        <v>0.69811800000000002</v>
      </c>
      <c r="BC81" s="7">
        <v>34.905901</v>
      </c>
      <c r="BD81" s="7">
        <v>50</v>
      </c>
      <c r="BE81" s="7">
        <v>0.585314</v>
      </c>
      <c r="BF81" s="7">
        <v>29.265681000000001</v>
      </c>
      <c r="BG81" s="7">
        <v>50</v>
      </c>
      <c r="BH81" s="7">
        <v>0</v>
      </c>
      <c r="BI81" s="7">
        <v>0.99534900000000004</v>
      </c>
      <c r="BJ81" s="7">
        <v>0.98885800000000001</v>
      </c>
      <c r="BK81" s="7">
        <v>0.99860300000000002</v>
      </c>
      <c r="BL81" s="7">
        <v>0.99441900000000005</v>
      </c>
      <c r="BM81" s="7">
        <v>0.98607199999999995</v>
      </c>
      <c r="BN81" s="7">
        <v>0.99860300000000002</v>
      </c>
      <c r="BO81" s="7">
        <v>0.995614</v>
      </c>
      <c r="BP81" s="7">
        <v>0.98591499999999999</v>
      </c>
      <c r="BQ81" s="7">
        <v>1</v>
      </c>
      <c r="BR81" s="7">
        <v>3.9112000000000001E-2</v>
      </c>
      <c r="BS81" s="7">
        <v>50</v>
      </c>
      <c r="BT81" s="7">
        <v>50</v>
      </c>
      <c r="BU81" s="7">
        <v>6.7544999999999994E-2</v>
      </c>
      <c r="BV81" s="7">
        <v>46.490938999999997</v>
      </c>
      <c r="BW81" s="7">
        <v>50</v>
      </c>
      <c r="BX81" s="7">
        <v>0.72413799999999995</v>
      </c>
      <c r="BY81" s="7">
        <v>48.275861999999996</v>
      </c>
      <c r="BZ81" s="7">
        <v>50</v>
      </c>
      <c r="CA81" s="7">
        <v>0.45977000000000001</v>
      </c>
      <c r="CB81" s="7">
        <v>30.651340999999999</v>
      </c>
      <c r="CC81" s="7">
        <v>50</v>
      </c>
      <c r="CD81" s="7">
        <v>0.95019200000000004</v>
      </c>
      <c r="CE81" s="7">
        <v>50</v>
      </c>
      <c r="CF81" s="7">
        <v>50</v>
      </c>
      <c r="CG81" s="7">
        <v>0.98039200000000004</v>
      </c>
      <c r="CH81" s="7">
        <v>100</v>
      </c>
      <c r="CI81" s="7">
        <v>100</v>
      </c>
      <c r="CJ81" s="7">
        <v>0</v>
      </c>
      <c r="CK81" s="7">
        <v>0.90476199999999996</v>
      </c>
      <c r="CL81" s="7">
        <v>96.251266000000001</v>
      </c>
      <c r="CM81" s="7">
        <v>100</v>
      </c>
      <c r="CN81" s="7">
        <v>0.82799999999999996</v>
      </c>
      <c r="CO81" s="7">
        <v>100</v>
      </c>
      <c r="CP81" s="7">
        <v>100</v>
      </c>
      <c r="CQ81" s="7">
        <v>0.68025100000000005</v>
      </c>
      <c r="CR81" s="7">
        <v>0.99222399999999999</v>
      </c>
      <c r="CS81" s="7">
        <v>45.350051999999998</v>
      </c>
      <c r="CT81" s="7">
        <v>50</v>
      </c>
      <c r="CU81" s="7">
        <v>0.60754699999999995</v>
      </c>
      <c r="CV81" s="7">
        <v>50</v>
      </c>
      <c r="CW81" s="7">
        <v>50</v>
      </c>
      <c r="CX81" s="7">
        <v>0.90476199999999996</v>
      </c>
      <c r="CY81" s="7">
        <v>0.94</v>
      </c>
      <c r="CZ81" s="7">
        <v>3.5237999999999998E-2</v>
      </c>
      <c r="DA81" s="7">
        <v>15.389535</v>
      </c>
      <c r="DB81" s="7">
        <v>17.608319000000002</v>
      </c>
      <c r="DC81" s="7">
        <v>16.064022999999999</v>
      </c>
      <c r="DD81" s="7">
        <v>11.115401</v>
      </c>
      <c r="DE81" s="4" t="s">
        <v>124</v>
      </c>
      <c r="DF81" s="6"/>
      <c r="DG81" s="6"/>
      <c r="DH81" s="6"/>
      <c r="DI81" s="6"/>
      <c r="DJ81" s="4" t="s">
        <v>124</v>
      </c>
      <c r="DK81" s="4" t="s">
        <v>124</v>
      </c>
      <c r="DL81" s="4" t="s">
        <v>124</v>
      </c>
      <c r="DM81" s="4" t="s">
        <v>124</v>
      </c>
      <c r="DN81" s="4" t="s">
        <v>124</v>
      </c>
      <c r="DO81" s="4" t="s">
        <v>124</v>
      </c>
      <c r="DP81" s="6"/>
      <c r="DQ81" s="4" t="s">
        <v>125</v>
      </c>
    </row>
    <row r="82" spans="1:121" ht="20" customHeight="1" x14ac:dyDescent="0.15">
      <c r="A82" s="5">
        <v>2018</v>
      </c>
      <c r="B82" s="3" t="s">
        <v>205</v>
      </c>
      <c r="C82" s="4" t="str">
        <f t="shared" ref="C82:C665" si="80">"0930011"</f>
        <v>0930011</v>
      </c>
      <c r="D82" s="4" t="s">
        <v>122</v>
      </c>
      <c r="E82" s="4" t="str">
        <f t="shared" si="1"/>
        <v>0000000</v>
      </c>
      <c r="F82" s="4" t="s">
        <v>122</v>
      </c>
      <c r="G82" s="4" t="s">
        <v>122</v>
      </c>
      <c r="H82" s="4" t="s">
        <v>122</v>
      </c>
      <c r="I82" s="6"/>
      <c r="J82" s="4" t="s">
        <v>123</v>
      </c>
      <c r="K82" s="7">
        <v>937.71937200000002</v>
      </c>
      <c r="L82" s="7">
        <v>1450</v>
      </c>
      <c r="M82" s="7">
        <v>64.670302000000007</v>
      </c>
      <c r="N82" s="4" t="s">
        <v>124</v>
      </c>
      <c r="O82" s="7">
        <v>1</v>
      </c>
      <c r="P82" s="7">
        <v>57.823636</v>
      </c>
      <c r="Q82" s="7">
        <v>38.549090999999997</v>
      </c>
      <c r="R82" s="7">
        <v>50</v>
      </c>
      <c r="S82" s="7">
        <v>54.892274</v>
      </c>
      <c r="T82" s="7">
        <v>70.979868999999994</v>
      </c>
      <c r="U82" s="7">
        <v>36.594849000000004</v>
      </c>
      <c r="V82" s="7">
        <v>50</v>
      </c>
      <c r="W82" s="7">
        <v>50.632579</v>
      </c>
      <c r="X82" s="7">
        <v>33.755052999999997</v>
      </c>
      <c r="Y82" s="7">
        <v>50</v>
      </c>
      <c r="Z82" s="7">
        <v>63.171894000000002</v>
      </c>
      <c r="AA82" s="7">
        <v>47.83916</v>
      </c>
      <c r="AB82" s="7">
        <v>31.892772999999998</v>
      </c>
      <c r="AC82" s="7">
        <v>50</v>
      </c>
      <c r="AD82" s="7">
        <v>51.979877000000002</v>
      </c>
      <c r="AE82" s="7">
        <v>34.653250999999997</v>
      </c>
      <c r="AF82" s="7">
        <v>50</v>
      </c>
      <c r="AG82" s="7">
        <v>49.519981999999999</v>
      </c>
      <c r="AH82" s="7">
        <v>62.638364000000003</v>
      </c>
      <c r="AI82" s="7">
        <v>33.013320999999998</v>
      </c>
      <c r="AJ82" s="7">
        <v>50</v>
      </c>
      <c r="AK82" s="7">
        <v>16.079999999999998</v>
      </c>
      <c r="AL82" s="7">
        <v>15.33</v>
      </c>
      <c r="AM82" s="7">
        <v>13.11</v>
      </c>
      <c r="AN82" s="7">
        <v>0.55197300000000005</v>
      </c>
      <c r="AO82" s="7">
        <v>55.197263999999997</v>
      </c>
      <c r="AP82" s="7">
        <v>100</v>
      </c>
      <c r="AQ82" s="7">
        <v>0.53611399999999998</v>
      </c>
      <c r="AR82" s="7">
        <v>53.611384000000001</v>
      </c>
      <c r="AS82" s="7">
        <v>100</v>
      </c>
      <c r="AT82" s="7">
        <v>0.53619600000000001</v>
      </c>
      <c r="AU82" s="7">
        <v>0.62455099999999997</v>
      </c>
      <c r="AV82" s="7">
        <v>53.619633</v>
      </c>
      <c r="AW82" s="7">
        <v>100</v>
      </c>
      <c r="AX82" s="7">
        <v>0.52411399999999997</v>
      </c>
      <c r="AY82" s="7">
        <v>0.59140999999999999</v>
      </c>
      <c r="AZ82" s="7">
        <v>52.411377999999999</v>
      </c>
      <c r="BA82" s="7">
        <v>100</v>
      </c>
      <c r="BB82" s="7">
        <v>0.59070100000000003</v>
      </c>
      <c r="BC82" s="7">
        <v>29.535052</v>
      </c>
      <c r="BD82" s="7">
        <v>50</v>
      </c>
      <c r="BE82" s="7">
        <v>0.48257100000000003</v>
      </c>
      <c r="BF82" s="7">
        <v>24.128544999999999</v>
      </c>
      <c r="BG82" s="7">
        <v>50</v>
      </c>
      <c r="BH82" s="7">
        <v>0</v>
      </c>
      <c r="BI82" s="7">
        <v>0.98753199999999997</v>
      </c>
      <c r="BJ82" s="7">
        <v>0.98727100000000001</v>
      </c>
      <c r="BK82" s="7">
        <v>0.98870100000000005</v>
      </c>
      <c r="BL82" s="7">
        <v>0.98546</v>
      </c>
      <c r="BM82" s="7">
        <v>0.98508300000000004</v>
      </c>
      <c r="BN82" s="7">
        <v>0.987147</v>
      </c>
      <c r="BO82" s="7">
        <v>0.98263699999999998</v>
      </c>
      <c r="BP82" s="7">
        <v>0.98280699999999999</v>
      </c>
      <c r="BQ82" s="7">
        <v>0.98190599999999995</v>
      </c>
      <c r="BR82" s="7">
        <v>0.19342000000000001</v>
      </c>
      <c r="BS82" s="7">
        <v>21.315939</v>
      </c>
      <c r="BT82" s="7">
        <v>50</v>
      </c>
      <c r="BU82" s="7">
        <v>0.212871</v>
      </c>
      <c r="BV82" s="7">
        <v>17.425743000000001</v>
      </c>
      <c r="BW82" s="7">
        <v>50</v>
      </c>
      <c r="BX82" s="7">
        <v>0.65706500000000001</v>
      </c>
      <c r="BY82" s="7">
        <v>43.804333999999997</v>
      </c>
      <c r="BZ82" s="7">
        <v>50</v>
      </c>
      <c r="CA82" s="7">
        <v>0.180615</v>
      </c>
      <c r="CB82" s="7">
        <v>12.041002000000001</v>
      </c>
      <c r="CC82" s="7">
        <v>50</v>
      </c>
      <c r="CD82" s="7">
        <v>0.85281499999999999</v>
      </c>
      <c r="CE82" s="7">
        <v>45.362515000000002</v>
      </c>
      <c r="CF82" s="7">
        <v>50</v>
      </c>
      <c r="CG82" s="7">
        <v>0.78861300000000001</v>
      </c>
      <c r="CH82" s="7">
        <v>83.894953999999998</v>
      </c>
      <c r="CI82" s="7">
        <v>100</v>
      </c>
      <c r="CJ82" s="7">
        <v>0</v>
      </c>
      <c r="CK82" s="7">
        <v>0.82697200000000004</v>
      </c>
      <c r="CL82" s="7">
        <v>87.975746000000001</v>
      </c>
      <c r="CM82" s="7">
        <v>100</v>
      </c>
      <c r="CN82" s="7">
        <v>0.58899999999999997</v>
      </c>
      <c r="CO82" s="7">
        <v>78.541667000000004</v>
      </c>
      <c r="CP82" s="7">
        <v>100</v>
      </c>
      <c r="CQ82" s="7">
        <v>0.48471199999999998</v>
      </c>
      <c r="CR82" s="7">
        <v>0.93992500000000001</v>
      </c>
      <c r="CS82" s="7">
        <v>32.314158999999997</v>
      </c>
      <c r="CT82" s="7">
        <v>50</v>
      </c>
      <c r="CU82" s="7">
        <v>0.45698100000000003</v>
      </c>
      <c r="CV82" s="7">
        <v>38.081721999999999</v>
      </c>
      <c r="CW82" s="7">
        <v>50</v>
      </c>
      <c r="CX82" s="7">
        <v>0.82697200000000004</v>
      </c>
      <c r="CY82" s="7">
        <v>0.88345899999999999</v>
      </c>
      <c r="CZ82" s="7">
        <v>5.6487000000000002E-2</v>
      </c>
      <c r="DA82" s="7">
        <v>15.389535</v>
      </c>
      <c r="DB82" s="7">
        <v>17.608319000000002</v>
      </c>
      <c r="DC82" s="7">
        <v>16.064022999999999</v>
      </c>
      <c r="DD82" s="7">
        <v>11.115401</v>
      </c>
      <c r="DE82" s="4" t="s">
        <v>124</v>
      </c>
      <c r="DF82" s="6"/>
      <c r="DG82" s="6"/>
      <c r="DH82" s="6"/>
      <c r="DI82" s="6"/>
      <c r="DJ82" s="4" t="s">
        <v>124</v>
      </c>
      <c r="DK82" s="4" t="s">
        <v>124</v>
      </c>
      <c r="DL82" s="4" t="s">
        <v>124</v>
      </c>
      <c r="DM82" s="4" t="s">
        <v>124</v>
      </c>
      <c r="DN82" s="4" t="s">
        <v>124</v>
      </c>
      <c r="DO82" s="4" t="s">
        <v>124</v>
      </c>
      <c r="DP82" s="6"/>
      <c r="DQ82" s="4" t="s">
        <v>125</v>
      </c>
    </row>
    <row r="83" spans="1:121" ht="20" customHeight="1" x14ac:dyDescent="0.15">
      <c r="A83" s="5">
        <v>2018</v>
      </c>
      <c r="B83" s="3" t="s">
        <v>206</v>
      </c>
      <c r="C83" s="4" t="str">
        <f t="shared" ref="C83:C1000" si="81">"1530011"</f>
        <v>1530011</v>
      </c>
      <c r="D83" s="4" t="s">
        <v>122</v>
      </c>
      <c r="E83" s="4" t="str">
        <f t="shared" si="1"/>
        <v>0000000</v>
      </c>
      <c r="F83" s="4" t="s">
        <v>122</v>
      </c>
      <c r="G83" s="4" t="s">
        <v>122</v>
      </c>
      <c r="H83" s="4" t="s">
        <v>122</v>
      </c>
      <c r="I83" s="6"/>
      <c r="J83" s="4" t="s">
        <v>123</v>
      </c>
      <c r="K83" s="7">
        <v>1107.227918</v>
      </c>
      <c r="L83" s="7">
        <v>1450</v>
      </c>
      <c r="M83" s="7">
        <v>76.360545999999999</v>
      </c>
      <c r="N83" s="4" t="s">
        <v>124</v>
      </c>
      <c r="O83" s="7">
        <v>0</v>
      </c>
      <c r="P83" s="7">
        <v>70.046154999999999</v>
      </c>
      <c r="Q83" s="7">
        <v>46.697436000000003</v>
      </c>
      <c r="R83" s="7">
        <v>50</v>
      </c>
      <c r="S83" s="7">
        <v>63.791480999999997</v>
      </c>
      <c r="T83" s="7">
        <v>74.636948000000004</v>
      </c>
      <c r="U83" s="7">
        <v>42.527653999999998</v>
      </c>
      <c r="V83" s="7">
        <v>50</v>
      </c>
      <c r="W83" s="7">
        <v>64.825207000000006</v>
      </c>
      <c r="X83" s="7">
        <v>43.216805000000001</v>
      </c>
      <c r="Y83" s="7">
        <v>50</v>
      </c>
      <c r="Z83" s="7">
        <v>69.971187</v>
      </c>
      <c r="AA83" s="7">
        <v>57.819541000000001</v>
      </c>
      <c r="AB83" s="7">
        <v>38.546360999999997</v>
      </c>
      <c r="AC83" s="7">
        <v>50</v>
      </c>
      <c r="AD83" s="7">
        <v>64.548783999999998</v>
      </c>
      <c r="AE83" s="7">
        <v>43.032522999999998</v>
      </c>
      <c r="AF83" s="7">
        <v>50</v>
      </c>
      <c r="AG83" s="7">
        <v>59.73827</v>
      </c>
      <c r="AH83" s="7">
        <v>68.195238000000003</v>
      </c>
      <c r="AI83" s="7">
        <v>39.825513000000001</v>
      </c>
      <c r="AJ83" s="7">
        <v>50</v>
      </c>
      <c r="AK83" s="7">
        <v>10.84</v>
      </c>
      <c r="AL83" s="7">
        <v>12.15</v>
      </c>
      <c r="AM83" s="7">
        <v>8.4499999999999993</v>
      </c>
      <c r="AN83" s="7">
        <v>0.57626299999999997</v>
      </c>
      <c r="AO83" s="7">
        <v>57.626280999999999</v>
      </c>
      <c r="AP83" s="7">
        <v>100</v>
      </c>
      <c r="AQ83" s="7">
        <v>0.56050900000000003</v>
      </c>
      <c r="AR83" s="7">
        <v>56.050933000000001</v>
      </c>
      <c r="AS83" s="7">
        <v>100</v>
      </c>
      <c r="AT83" s="7">
        <v>0.572658</v>
      </c>
      <c r="AU83" s="7">
        <v>0.57894000000000001</v>
      </c>
      <c r="AV83" s="7">
        <v>57.265802999999998</v>
      </c>
      <c r="AW83" s="7">
        <v>100</v>
      </c>
      <c r="AX83" s="7">
        <v>0.53217400000000004</v>
      </c>
      <c r="AY83" s="7">
        <v>0.58149499999999998</v>
      </c>
      <c r="AZ83" s="7">
        <v>53.217410999999998</v>
      </c>
      <c r="BA83" s="7">
        <v>100</v>
      </c>
      <c r="BB83" s="7">
        <v>0.75231999999999999</v>
      </c>
      <c r="BC83" s="7">
        <v>37.616011</v>
      </c>
      <c r="BD83" s="7">
        <v>50</v>
      </c>
      <c r="BE83" s="7">
        <v>0.51871900000000004</v>
      </c>
      <c r="BF83" s="7">
        <v>25.935955</v>
      </c>
      <c r="BG83" s="7">
        <v>50</v>
      </c>
      <c r="BH83" s="7">
        <v>0</v>
      </c>
      <c r="BI83" s="7">
        <v>0.98522500000000002</v>
      </c>
      <c r="BJ83" s="7">
        <v>0.97699400000000003</v>
      </c>
      <c r="BK83" s="7">
        <v>0.99163699999999999</v>
      </c>
      <c r="BL83" s="7">
        <v>0.98387100000000005</v>
      </c>
      <c r="BM83" s="7">
        <v>0.97545999999999999</v>
      </c>
      <c r="BN83" s="7">
        <v>0.99043099999999995</v>
      </c>
      <c r="BO83" s="7">
        <v>0.98713799999999996</v>
      </c>
      <c r="BP83" s="7">
        <v>0.978182</v>
      </c>
      <c r="BQ83" s="7">
        <v>0.99423600000000001</v>
      </c>
      <c r="BR83" s="7">
        <v>0.104517</v>
      </c>
      <c r="BS83" s="7">
        <v>39.096677999999997</v>
      </c>
      <c r="BT83" s="7">
        <v>50</v>
      </c>
      <c r="BU83" s="7">
        <v>0.151591</v>
      </c>
      <c r="BV83" s="7">
        <v>29.681742</v>
      </c>
      <c r="BW83" s="7">
        <v>50</v>
      </c>
      <c r="BX83" s="7">
        <v>0.63364100000000001</v>
      </c>
      <c r="BY83" s="7">
        <v>42.242704000000003</v>
      </c>
      <c r="BZ83" s="7">
        <v>50</v>
      </c>
      <c r="CA83" s="7">
        <v>0.384793</v>
      </c>
      <c r="CB83" s="7">
        <v>25.652842</v>
      </c>
      <c r="CC83" s="7">
        <v>50</v>
      </c>
      <c r="CD83" s="7">
        <v>0.91525400000000001</v>
      </c>
      <c r="CE83" s="7">
        <v>48.683736000000003</v>
      </c>
      <c r="CF83" s="7">
        <v>50</v>
      </c>
      <c r="CG83" s="7">
        <v>0.917431</v>
      </c>
      <c r="CH83" s="7">
        <v>97.599063000000001</v>
      </c>
      <c r="CI83" s="7">
        <v>100</v>
      </c>
      <c r="CJ83" s="7">
        <v>0</v>
      </c>
      <c r="CK83" s="7">
        <v>0.95294100000000004</v>
      </c>
      <c r="CL83" s="7">
        <v>100</v>
      </c>
      <c r="CM83" s="7">
        <v>100</v>
      </c>
      <c r="CN83" s="7">
        <v>0.748</v>
      </c>
      <c r="CO83" s="7">
        <v>99.676374999999993</v>
      </c>
      <c r="CP83" s="7">
        <v>100</v>
      </c>
      <c r="CQ83" s="7">
        <v>0.49554100000000001</v>
      </c>
      <c r="CR83" s="7">
        <v>0.93119799999999997</v>
      </c>
      <c r="CS83" s="7">
        <v>33.036093000000001</v>
      </c>
      <c r="CT83" s="7">
        <v>50</v>
      </c>
      <c r="CU83" s="7">
        <v>0.60516599999999998</v>
      </c>
      <c r="CV83" s="7">
        <v>50</v>
      </c>
      <c r="CW83" s="7">
        <v>50</v>
      </c>
      <c r="CX83" s="7">
        <v>0.95294100000000004</v>
      </c>
      <c r="CY83" s="7">
        <v>0.94</v>
      </c>
      <c r="CZ83" s="7">
        <v>-1.2940999999999999E-2</v>
      </c>
      <c r="DA83" s="7">
        <v>15.389535</v>
      </c>
      <c r="DB83" s="7">
        <v>17.608319000000002</v>
      </c>
      <c r="DC83" s="7">
        <v>16.064022999999999</v>
      </c>
      <c r="DD83" s="7">
        <v>11.115401</v>
      </c>
      <c r="DE83" s="4" t="s">
        <v>124</v>
      </c>
      <c r="DF83" s="6"/>
      <c r="DG83" s="6"/>
      <c r="DH83" s="6"/>
      <c r="DI83" s="6"/>
      <c r="DJ83" s="4" t="s">
        <v>124</v>
      </c>
      <c r="DK83" s="4" t="s">
        <v>124</v>
      </c>
      <c r="DL83" s="4" t="s">
        <v>124</v>
      </c>
      <c r="DM83" s="4" t="s">
        <v>124</v>
      </c>
      <c r="DN83" s="4" t="s">
        <v>124</v>
      </c>
      <c r="DO83" s="4" t="s">
        <v>124</v>
      </c>
      <c r="DP83" s="6"/>
      <c r="DQ83" s="4" t="s">
        <v>125</v>
      </c>
    </row>
    <row r="84" spans="1:121" ht="20" customHeight="1" x14ac:dyDescent="0.15">
      <c r="A84" s="5">
        <v>2018</v>
      </c>
      <c r="B84" s="3" t="s">
        <v>207</v>
      </c>
      <c r="C84" s="4" t="str">
        <f t="shared" ref="C84:C719" si="82">"0960011"</f>
        <v>0960011</v>
      </c>
      <c r="D84" s="4" t="s">
        <v>122</v>
      </c>
      <c r="E84" s="4" t="str">
        <f t="shared" si="1"/>
        <v>0000000</v>
      </c>
      <c r="F84" s="4" t="s">
        <v>122</v>
      </c>
      <c r="G84" s="4" t="s">
        <v>122</v>
      </c>
      <c r="H84" s="4" t="s">
        <v>122</v>
      </c>
      <c r="I84" s="6"/>
      <c r="J84" s="4" t="s">
        <v>123</v>
      </c>
      <c r="K84" s="7">
        <v>1125.9461269999999</v>
      </c>
      <c r="L84" s="7">
        <v>1450</v>
      </c>
      <c r="M84" s="7">
        <v>77.651456999999994</v>
      </c>
      <c r="N84" s="4" t="s">
        <v>124</v>
      </c>
      <c r="O84" s="7">
        <v>0</v>
      </c>
      <c r="P84" s="7">
        <v>67.782004999999998</v>
      </c>
      <c r="Q84" s="7">
        <v>45.188003000000002</v>
      </c>
      <c r="R84" s="7">
        <v>50</v>
      </c>
      <c r="S84" s="7">
        <v>60.658987000000003</v>
      </c>
      <c r="T84" s="7">
        <v>73.121201999999997</v>
      </c>
      <c r="U84" s="7">
        <v>40.439324999999997</v>
      </c>
      <c r="V84" s="7">
        <v>50</v>
      </c>
      <c r="W84" s="7">
        <v>64.973947999999993</v>
      </c>
      <c r="X84" s="7">
        <v>43.315966000000003</v>
      </c>
      <c r="Y84" s="7">
        <v>50</v>
      </c>
      <c r="Z84" s="7">
        <v>70.796690999999996</v>
      </c>
      <c r="AA84" s="7">
        <v>57.187879000000002</v>
      </c>
      <c r="AB84" s="7">
        <v>38.125252000000003</v>
      </c>
      <c r="AC84" s="7">
        <v>50</v>
      </c>
      <c r="AD84" s="7">
        <v>67.194134000000005</v>
      </c>
      <c r="AE84" s="7">
        <v>44.79609</v>
      </c>
      <c r="AF84" s="7">
        <v>50</v>
      </c>
      <c r="AG84" s="7">
        <v>59.334372999999999</v>
      </c>
      <c r="AH84" s="7">
        <v>72.476231999999996</v>
      </c>
      <c r="AI84" s="7">
        <v>39.556247999999997</v>
      </c>
      <c r="AJ84" s="7">
        <v>50</v>
      </c>
      <c r="AK84" s="7">
        <v>12.46</v>
      </c>
      <c r="AL84" s="7">
        <v>13.6</v>
      </c>
      <c r="AM84" s="7">
        <v>13.14</v>
      </c>
      <c r="AN84" s="7">
        <v>0.55010999999999999</v>
      </c>
      <c r="AO84" s="7">
        <v>55.011001</v>
      </c>
      <c r="AP84" s="7">
        <v>100</v>
      </c>
      <c r="AQ84" s="7">
        <v>0.63390999999999997</v>
      </c>
      <c r="AR84" s="7">
        <v>63.390996999999999</v>
      </c>
      <c r="AS84" s="7">
        <v>100</v>
      </c>
      <c r="AT84" s="7">
        <v>0.54007700000000003</v>
      </c>
      <c r="AU84" s="7">
        <v>0.55771400000000004</v>
      </c>
      <c r="AV84" s="7">
        <v>54.007733999999999</v>
      </c>
      <c r="AW84" s="7">
        <v>100</v>
      </c>
      <c r="AX84" s="7">
        <v>0.60930700000000004</v>
      </c>
      <c r="AY84" s="7">
        <v>0.65252100000000002</v>
      </c>
      <c r="AZ84" s="7">
        <v>60.930666000000002</v>
      </c>
      <c r="BA84" s="7">
        <v>100</v>
      </c>
      <c r="BB84" s="7">
        <v>0.63830500000000001</v>
      </c>
      <c r="BC84" s="7">
        <v>31.915248999999999</v>
      </c>
      <c r="BD84" s="7">
        <v>50</v>
      </c>
      <c r="BE84" s="7">
        <v>0.68810199999999999</v>
      </c>
      <c r="BF84" s="7">
        <v>34.405099</v>
      </c>
      <c r="BG84" s="7">
        <v>50</v>
      </c>
      <c r="BH84" s="7">
        <v>0</v>
      </c>
      <c r="BI84" s="7">
        <v>0.97792400000000002</v>
      </c>
      <c r="BJ84" s="7">
        <v>0.97542700000000004</v>
      </c>
      <c r="BK84" s="7">
        <v>0.97988299999999995</v>
      </c>
      <c r="BL84" s="7">
        <v>0.97415399999999996</v>
      </c>
      <c r="BM84" s="7">
        <v>0.97008499999999998</v>
      </c>
      <c r="BN84" s="7">
        <v>0.97734900000000002</v>
      </c>
      <c r="BO84" s="7">
        <v>0.98140499999999997</v>
      </c>
      <c r="BP84" s="7">
        <v>0.97744399999999998</v>
      </c>
      <c r="BQ84" s="7">
        <v>0.98418300000000003</v>
      </c>
      <c r="BR84" s="7">
        <v>6.7322999999999994E-2</v>
      </c>
      <c r="BS84" s="7">
        <v>46.535474000000001</v>
      </c>
      <c r="BT84" s="7">
        <v>50</v>
      </c>
      <c r="BU84" s="7">
        <v>0.112167</v>
      </c>
      <c r="BV84" s="7">
        <v>37.566540000000003</v>
      </c>
      <c r="BW84" s="7">
        <v>50</v>
      </c>
      <c r="BX84" s="7">
        <v>0.95319799999999999</v>
      </c>
      <c r="BY84" s="7">
        <v>50</v>
      </c>
      <c r="BZ84" s="7">
        <v>50</v>
      </c>
      <c r="CA84" s="7">
        <v>0.53822199999999998</v>
      </c>
      <c r="CB84" s="7">
        <v>35.881435000000003</v>
      </c>
      <c r="CC84" s="7">
        <v>50</v>
      </c>
      <c r="CD84" s="7">
        <v>0.94545500000000005</v>
      </c>
      <c r="CE84" s="7">
        <v>50</v>
      </c>
      <c r="CF84" s="7">
        <v>50</v>
      </c>
      <c r="CG84" s="7">
        <v>0.91830999999999996</v>
      </c>
      <c r="CH84" s="7">
        <v>97.692537999999999</v>
      </c>
      <c r="CI84" s="7">
        <v>100</v>
      </c>
      <c r="CJ84" s="7">
        <v>1</v>
      </c>
      <c r="CK84" s="7">
        <v>0.81720400000000004</v>
      </c>
      <c r="CL84" s="7">
        <v>86.936627999999999</v>
      </c>
      <c r="CM84" s="7">
        <v>100</v>
      </c>
      <c r="CN84" s="7">
        <v>0.80700000000000005</v>
      </c>
      <c r="CO84" s="7">
        <v>100</v>
      </c>
      <c r="CP84" s="7">
        <v>100</v>
      </c>
      <c r="CQ84" s="7">
        <v>0.45238099999999998</v>
      </c>
      <c r="CR84" s="7">
        <v>0.95529399999999998</v>
      </c>
      <c r="CS84" s="7">
        <v>30.158729999999998</v>
      </c>
      <c r="CT84" s="7">
        <v>50</v>
      </c>
      <c r="CU84" s="7">
        <v>0.48111799999999999</v>
      </c>
      <c r="CV84" s="7">
        <v>40.093152000000003</v>
      </c>
      <c r="CW84" s="7">
        <v>50</v>
      </c>
      <c r="CX84" s="7">
        <v>0.81720400000000004</v>
      </c>
      <c r="CY84" s="7">
        <v>0.94</v>
      </c>
      <c r="CZ84" s="7">
        <v>0.122796</v>
      </c>
      <c r="DA84" s="7">
        <v>15.389535</v>
      </c>
      <c r="DB84" s="7">
        <v>17.608319000000002</v>
      </c>
      <c r="DC84" s="7">
        <v>16.064022999999999</v>
      </c>
      <c r="DD84" s="7">
        <v>11.115401</v>
      </c>
      <c r="DE84" s="4" t="s">
        <v>124</v>
      </c>
      <c r="DF84" s="6"/>
      <c r="DG84" s="6"/>
      <c r="DH84" s="6"/>
      <c r="DI84" s="6"/>
      <c r="DJ84" s="4" t="s">
        <v>124</v>
      </c>
      <c r="DK84" s="4" t="s">
        <v>124</v>
      </c>
      <c r="DL84" s="4" t="s">
        <v>124</v>
      </c>
      <c r="DM84" s="4" t="s">
        <v>124</v>
      </c>
      <c r="DN84" s="4" t="s">
        <v>124</v>
      </c>
      <c r="DO84" s="4" t="s">
        <v>124</v>
      </c>
      <c r="DP84" s="6"/>
      <c r="DQ84" s="4" t="s">
        <v>125</v>
      </c>
    </row>
    <row r="85" spans="1:121" ht="20" customHeight="1" x14ac:dyDescent="0.15">
      <c r="A85" s="5">
        <v>2018</v>
      </c>
      <c r="B85" s="3" t="s">
        <v>208</v>
      </c>
      <c r="C85" s="4" t="str">
        <f t="shared" ref="C85:C1044" si="83">"1590011"</f>
        <v>1590011</v>
      </c>
      <c r="D85" s="4" t="s">
        <v>122</v>
      </c>
      <c r="E85" s="4" t="str">
        <f t="shared" si="1"/>
        <v>0000000</v>
      </c>
      <c r="F85" s="4" t="s">
        <v>122</v>
      </c>
      <c r="G85" s="4" t="s">
        <v>122</v>
      </c>
      <c r="H85" s="4" t="s">
        <v>122</v>
      </c>
      <c r="I85" s="6"/>
      <c r="J85" s="4" t="s">
        <v>123</v>
      </c>
      <c r="K85" s="7">
        <v>1149.3298609999999</v>
      </c>
      <c r="L85" s="7">
        <v>1450</v>
      </c>
      <c r="M85" s="7">
        <v>79.264127999999999</v>
      </c>
      <c r="N85" s="4" t="s">
        <v>124</v>
      </c>
      <c r="O85" s="7">
        <v>0</v>
      </c>
      <c r="P85" s="7">
        <v>72.342214999999996</v>
      </c>
      <c r="Q85" s="7">
        <v>48.228143000000003</v>
      </c>
      <c r="R85" s="7">
        <v>50</v>
      </c>
      <c r="S85" s="7">
        <v>61.687666999999998</v>
      </c>
      <c r="T85" s="7">
        <v>75</v>
      </c>
      <c r="U85" s="7">
        <v>41.125110999999997</v>
      </c>
      <c r="V85" s="7">
        <v>50</v>
      </c>
      <c r="W85" s="7">
        <v>68.344842</v>
      </c>
      <c r="X85" s="7">
        <v>45.563228000000002</v>
      </c>
      <c r="Y85" s="7">
        <v>50</v>
      </c>
      <c r="Z85" s="7">
        <v>75</v>
      </c>
      <c r="AA85" s="7">
        <v>57.484498000000002</v>
      </c>
      <c r="AB85" s="7">
        <v>38.322999000000003</v>
      </c>
      <c r="AC85" s="7">
        <v>50</v>
      </c>
      <c r="AD85" s="7">
        <v>66.729414000000006</v>
      </c>
      <c r="AE85" s="7">
        <v>44.486275999999997</v>
      </c>
      <c r="AF85" s="7">
        <v>50</v>
      </c>
      <c r="AG85" s="7">
        <v>58.245373999999998</v>
      </c>
      <c r="AH85" s="7">
        <v>71.799757</v>
      </c>
      <c r="AI85" s="7">
        <v>38.830249000000002</v>
      </c>
      <c r="AJ85" s="7">
        <v>50</v>
      </c>
      <c r="AK85" s="7">
        <v>13.31</v>
      </c>
      <c r="AL85" s="7">
        <v>17.510000000000002</v>
      </c>
      <c r="AM85" s="7">
        <v>13.55</v>
      </c>
      <c r="AN85" s="7">
        <v>0.61753499999999995</v>
      </c>
      <c r="AO85" s="7">
        <v>61.753473999999997</v>
      </c>
      <c r="AP85" s="7">
        <v>100</v>
      </c>
      <c r="AQ85" s="7">
        <v>0.67238600000000004</v>
      </c>
      <c r="AR85" s="7">
        <v>67.238575999999995</v>
      </c>
      <c r="AS85" s="7">
        <v>100</v>
      </c>
      <c r="AT85" s="7">
        <v>0.52546199999999998</v>
      </c>
      <c r="AU85" s="7">
        <v>0.66889600000000005</v>
      </c>
      <c r="AV85" s="7">
        <v>52.546213000000002</v>
      </c>
      <c r="AW85" s="7">
        <v>100</v>
      </c>
      <c r="AX85" s="7">
        <v>0.59819900000000004</v>
      </c>
      <c r="AY85" s="7">
        <v>0.71382999999999996</v>
      </c>
      <c r="AZ85" s="7">
        <v>59.819898000000002</v>
      </c>
      <c r="BA85" s="7">
        <v>100</v>
      </c>
      <c r="BB85" s="7">
        <v>0.65175099999999997</v>
      </c>
      <c r="BC85" s="7">
        <v>32.587541000000002</v>
      </c>
      <c r="BD85" s="7">
        <v>50</v>
      </c>
      <c r="BE85" s="7">
        <v>0.51491299999999995</v>
      </c>
      <c r="BF85" s="7">
        <v>25.745640000000002</v>
      </c>
      <c r="BG85" s="7">
        <v>50</v>
      </c>
      <c r="BH85" s="7">
        <v>0</v>
      </c>
      <c r="BI85" s="7">
        <v>0.99165800000000004</v>
      </c>
      <c r="BJ85" s="7">
        <v>0.98817299999999997</v>
      </c>
      <c r="BK85" s="7">
        <v>0.99395</v>
      </c>
      <c r="BL85" s="7">
        <v>0.99009899999999995</v>
      </c>
      <c r="BM85" s="7">
        <v>0.986877</v>
      </c>
      <c r="BN85" s="7">
        <v>0.99222100000000002</v>
      </c>
      <c r="BO85" s="7">
        <v>0.99401200000000001</v>
      </c>
      <c r="BP85" s="7">
        <v>0.99376900000000001</v>
      </c>
      <c r="BQ85" s="7">
        <v>0.99416300000000002</v>
      </c>
      <c r="BR85" s="7">
        <v>4.7254999999999998E-2</v>
      </c>
      <c r="BS85" s="7">
        <v>50</v>
      </c>
      <c r="BT85" s="7">
        <v>50</v>
      </c>
      <c r="BU85" s="7">
        <v>9.5344999999999999E-2</v>
      </c>
      <c r="BV85" s="7">
        <v>40.930931000000001</v>
      </c>
      <c r="BW85" s="7">
        <v>50</v>
      </c>
      <c r="BX85" s="7">
        <v>0.818662</v>
      </c>
      <c r="BY85" s="7">
        <v>50</v>
      </c>
      <c r="BZ85" s="7">
        <v>50</v>
      </c>
      <c r="CA85" s="7">
        <v>0.46831</v>
      </c>
      <c r="CB85" s="7">
        <v>31.220656999999999</v>
      </c>
      <c r="CC85" s="7">
        <v>50</v>
      </c>
      <c r="CD85" s="7">
        <v>0.93717300000000003</v>
      </c>
      <c r="CE85" s="7">
        <v>49.849615999999997</v>
      </c>
      <c r="CF85" s="7">
        <v>50</v>
      </c>
      <c r="CG85" s="7">
        <v>0.93949000000000005</v>
      </c>
      <c r="CH85" s="7">
        <v>99.945791999999997</v>
      </c>
      <c r="CI85" s="7">
        <v>100</v>
      </c>
      <c r="CJ85" s="7">
        <v>0</v>
      </c>
      <c r="CK85" s="7">
        <v>0.88297899999999996</v>
      </c>
      <c r="CL85" s="7">
        <v>93.933907000000005</v>
      </c>
      <c r="CM85" s="7">
        <v>100</v>
      </c>
      <c r="CN85" s="7">
        <v>0.78900000000000003</v>
      </c>
      <c r="CO85" s="7">
        <v>100</v>
      </c>
      <c r="CP85" s="7">
        <v>100</v>
      </c>
      <c r="CQ85" s="7">
        <v>0.46382200000000001</v>
      </c>
      <c r="CR85" s="7">
        <v>0.96335999999999999</v>
      </c>
      <c r="CS85" s="7">
        <v>30.921458999999999</v>
      </c>
      <c r="CT85" s="7">
        <v>50</v>
      </c>
      <c r="CU85" s="7">
        <v>0.55536200000000002</v>
      </c>
      <c r="CV85" s="7">
        <v>46.280150999999996</v>
      </c>
      <c r="CW85" s="7">
        <v>50</v>
      </c>
      <c r="CX85" s="7">
        <v>0.88297899999999996</v>
      </c>
      <c r="CY85" s="7">
        <v>0.94</v>
      </c>
      <c r="CZ85" s="7">
        <v>5.7021000000000002E-2</v>
      </c>
      <c r="DA85" s="7">
        <v>15.389535</v>
      </c>
      <c r="DB85" s="7">
        <v>17.608319000000002</v>
      </c>
      <c r="DC85" s="7">
        <v>16.064022999999999</v>
      </c>
      <c r="DD85" s="7">
        <v>11.115401</v>
      </c>
      <c r="DE85" s="4" t="s">
        <v>124</v>
      </c>
      <c r="DF85" s="6"/>
      <c r="DG85" s="6"/>
      <c r="DH85" s="6"/>
      <c r="DI85" s="6"/>
      <c r="DJ85" s="4" t="s">
        <v>124</v>
      </c>
      <c r="DK85" s="4" t="s">
        <v>124</v>
      </c>
      <c r="DL85" s="4" t="s">
        <v>124</v>
      </c>
      <c r="DM85" s="4" t="s">
        <v>124</v>
      </c>
      <c r="DN85" s="4" t="s">
        <v>124</v>
      </c>
      <c r="DO85" s="4" t="s">
        <v>124</v>
      </c>
      <c r="DP85" s="6"/>
      <c r="DQ85" s="4" t="s">
        <v>125</v>
      </c>
    </row>
    <row r="86" spans="1:121" ht="20" customHeight="1" x14ac:dyDescent="0.15">
      <c r="A86" s="5">
        <v>2018</v>
      </c>
      <c r="B86" s="3" t="s">
        <v>209</v>
      </c>
      <c r="C86" s="4" t="str">
        <f t="shared" ref="C86:C415" si="84">"0510011"</f>
        <v>0510011</v>
      </c>
      <c r="D86" s="4" t="s">
        <v>122</v>
      </c>
      <c r="E86" s="4" t="str">
        <f t="shared" si="1"/>
        <v>0000000</v>
      </c>
      <c r="F86" s="4" t="s">
        <v>122</v>
      </c>
      <c r="G86" s="4" t="s">
        <v>122</v>
      </c>
      <c r="H86" s="4" t="s">
        <v>122</v>
      </c>
      <c r="I86" s="6"/>
      <c r="J86" s="4" t="s">
        <v>123</v>
      </c>
      <c r="K86" s="7">
        <v>1210.9865219999999</v>
      </c>
      <c r="L86" s="7">
        <v>1450</v>
      </c>
      <c r="M86" s="7">
        <v>83.516311999999999</v>
      </c>
      <c r="N86" s="4" t="s">
        <v>124</v>
      </c>
      <c r="O86" s="7">
        <v>0</v>
      </c>
      <c r="P86" s="7">
        <v>78.178647999999995</v>
      </c>
      <c r="Q86" s="7">
        <v>50</v>
      </c>
      <c r="R86" s="7">
        <v>50</v>
      </c>
      <c r="S86" s="7">
        <v>65.689314999999993</v>
      </c>
      <c r="T86" s="7">
        <v>75</v>
      </c>
      <c r="U86" s="7">
        <v>43.792876999999997</v>
      </c>
      <c r="V86" s="7">
        <v>50</v>
      </c>
      <c r="W86" s="7">
        <v>75.128005999999999</v>
      </c>
      <c r="X86" s="7">
        <v>50</v>
      </c>
      <c r="Y86" s="7">
        <v>50</v>
      </c>
      <c r="Z86" s="7">
        <v>75</v>
      </c>
      <c r="AA86" s="7">
        <v>61.862900000000003</v>
      </c>
      <c r="AB86" s="7">
        <v>41.241933000000003</v>
      </c>
      <c r="AC86" s="7">
        <v>50</v>
      </c>
      <c r="AD86" s="7">
        <v>75.191936999999996</v>
      </c>
      <c r="AE86" s="7">
        <v>50</v>
      </c>
      <c r="AF86" s="7">
        <v>50</v>
      </c>
      <c r="AG86" s="7">
        <v>62.825549000000002</v>
      </c>
      <c r="AH86" s="7">
        <v>75</v>
      </c>
      <c r="AI86" s="7">
        <v>41.883699</v>
      </c>
      <c r="AJ86" s="7">
        <v>50</v>
      </c>
      <c r="AK86" s="7">
        <v>9.31</v>
      </c>
      <c r="AL86" s="7">
        <v>13.13</v>
      </c>
      <c r="AM86" s="7">
        <v>12.17</v>
      </c>
      <c r="AN86" s="7">
        <v>0.65382300000000004</v>
      </c>
      <c r="AO86" s="7">
        <v>65.382335999999995</v>
      </c>
      <c r="AP86" s="7">
        <v>100</v>
      </c>
      <c r="AQ86" s="7">
        <v>0.72068100000000002</v>
      </c>
      <c r="AR86" s="7">
        <v>72.068140999999997</v>
      </c>
      <c r="AS86" s="7">
        <v>100</v>
      </c>
      <c r="AT86" s="7">
        <v>0.60369300000000004</v>
      </c>
      <c r="AU86" s="7">
        <v>0.67058700000000004</v>
      </c>
      <c r="AV86" s="7">
        <v>60.369264999999999</v>
      </c>
      <c r="AW86" s="7">
        <v>100</v>
      </c>
      <c r="AX86" s="7">
        <v>0.63744400000000001</v>
      </c>
      <c r="AY86" s="7">
        <v>0.74839800000000001</v>
      </c>
      <c r="AZ86" s="7">
        <v>63.744373000000003</v>
      </c>
      <c r="BA86" s="7">
        <v>100</v>
      </c>
      <c r="BB86" s="7">
        <v>0.65651199999999998</v>
      </c>
      <c r="BC86" s="7">
        <v>32.825592999999998</v>
      </c>
      <c r="BD86" s="7">
        <v>50</v>
      </c>
      <c r="BE86" s="7">
        <v>0.58829200000000004</v>
      </c>
      <c r="BF86" s="7">
        <v>29.414621</v>
      </c>
      <c r="BG86" s="7">
        <v>50</v>
      </c>
      <c r="BH86" s="7">
        <v>0</v>
      </c>
      <c r="BI86" s="7">
        <v>0.99199400000000004</v>
      </c>
      <c r="BJ86" s="7">
        <v>0.980352</v>
      </c>
      <c r="BK86" s="7">
        <v>0.99640600000000001</v>
      </c>
      <c r="BL86" s="7">
        <v>0.99031800000000003</v>
      </c>
      <c r="BM86" s="7">
        <v>0.97628700000000002</v>
      </c>
      <c r="BN86" s="7">
        <v>0.99563500000000005</v>
      </c>
      <c r="BO86" s="7">
        <v>0.98448899999999995</v>
      </c>
      <c r="BP86" s="7">
        <v>0.961538</v>
      </c>
      <c r="BQ86" s="7">
        <v>0.99341699999999999</v>
      </c>
      <c r="BR86" s="7">
        <v>5.6293000000000003E-2</v>
      </c>
      <c r="BS86" s="7">
        <v>48.741447000000001</v>
      </c>
      <c r="BT86" s="7">
        <v>50</v>
      </c>
      <c r="BU86" s="7">
        <v>0.103475</v>
      </c>
      <c r="BV86" s="7">
        <v>39.305078000000002</v>
      </c>
      <c r="BW86" s="7">
        <v>50</v>
      </c>
      <c r="BX86" s="7">
        <v>0.967804</v>
      </c>
      <c r="BY86" s="7">
        <v>50</v>
      </c>
      <c r="BZ86" s="7">
        <v>50</v>
      </c>
      <c r="CA86" s="7">
        <v>0.68126200000000003</v>
      </c>
      <c r="CB86" s="7">
        <v>45.417471999999997</v>
      </c>
      <c r="CC86" s="7">
        <v>50</v>
      </c>
      <c r="CD86" s="7">
        <v>0.94647700000000001</v>
      </c>
      <c r="CE86" s="7">
        <v>50</v>
      </c>
      <c r="CF86" s="7">
        <v>50</v>
      </c>
      <c r="CG86" s="7">
        <v>0.964422</v>
      </c>
      <c r="CH86" s="7">
        <v>100</v>
      </c>
      <c r="CI86" s="7">
        <v>100</v>
      </c>
      <c r="CJ86" s="7">
        <v>0</v>
      </c>
      <c r="CK86" s="7">
        <v>0.89603999999999995</v>
      </c>
      <c r="CL86" s="7">
        <v>95.323362000000003</v>
      </c>
      <c r="CM86" s="7">
        <v>100</v>
      </c>
      <c r="CN86" s="7">
        <v>0.84599999999999997</v>
      </c>
      <c r="CO86" s="7">
        <v>100</v>
      </c>
      <c r="CP86" s="7">
        <v>100</v>
      </c>
      <c r="CQ86" s="7">
        <v>0.62339900000000004</v>
      </c>
      <c r="CR86" s="7">
        <v>0.98669300000000004</v>
      </c>
      <c r="CS86" s="7">
        <v>41.559901000000004</v>
      </c>
      <c r="CT86" s="7">
        <v>50</v>
      </c>
      <c r="CU86" s="7">
        <v>0.47899700000000001</v>
      </c>
      <c r="CV86" s="7">
        <v>39.916421999999997</v>
      </c>
      <c r="CW86" s="7">
        <v>50</v>
      </c>
      <c r="CX86" s="7">
        <v>0.89603999999999995</v>
      </c>
      <c r="CY86" s="7">
        <v>0.94</v>
      </c>
      <c r="CZ86" s="7">
        <v>4.3959999999999999E-2</v>
      </c>
      <c r="DA86" s="7">
        <v>15.389535</v>
      </c>
      <c r="DB86" s="7">
        <v>17.608319000000002</v>
      </c>
      <c r="DC86" s="7">
        <v>16.064022999999999</v>
      </c>
      <c r="DD86" s="7">
        <v>11.115401</v>
      </c>
      <c r="DE86" s="4" t="s">
        <v>124</v>
      </c>
      <c r="DF86" s="6"/>
      <c r="DG86" s="6"/>
      <c r="DH86" s="6"/>
      <c r="DI86" s="6"/>
      <c r="DJ86" s="4" t="s">
        <v>124</v>
      </c>
      <c r="DK86" s="4" t="s">
        <v>124</v>
      </c>
      <c r="DL86" s="4" t="s">
        <v>124</v>
      </c>
      <c r="DM86" s="4" t="s">
        <v>124</v>
      </c>
      <c r="DN86" s="4" t="s">
        <v>124</v>
      </c>
      <c r="DO86" s="4" t="s">
        <v>124</v>
      </c>
      <c r="DP86" s="6"/>
      <c r="DQ86" s="4" t="s">
        <v>125</v>
      </c>
    </row>
    <row r="87" spans="1:121" ht="20" customHeight="1" x14ac:dyDescent="0.15">
      <c r="A87" s="5">
        <v>2018</v>
      </c>
      <c r="B87" s="3" t="s">
        <v>210</v>
      </c>
      <c r="C87" s="4" t="str">
        <f t="shared" ref="C87:C1006" si="85">"1540011"</f>
        <v>1540011</v>
      </c>
      <c r="D87" s="4" t="s">
        <v>122</v>
      </c>
      <c r="E87" s="4" t="str">
        <f t="shared" si="1"/>
        <v>0000000</v>
      </c>
      <c r="F87" s="4" t="s">
        <v>122</v>
      </c>
      <c r="G87" s="4" t="s">
        <v>122</v>
      </c>
      <c r="H87" s="4" t="s">
        <v>122</v>
      </c>
      <c r="I87" s="6"/>
      <c r="J87" s="4" t="s">
        <v>123</v>
      </c>
      <c r="K87" s="7">
        <v>1215.8035030000001</v>
      </c>
      <c r="L87" s="7">
        <v>1450</v>
      </c>
      <c r="M87" s="7">
        <v>83.848517000000001</v>
      </c>
      <c r="N87" s="4" t="s">
        <v>124</v>
      </c>
      <c r="O87" s="7">
        <v>1</v>
      </c>
      <c r="P87" s="7">
        <v>77.540486999999999</v>
      </c>
      <c r="Q87" s="7">
        <v>50</v>
      </c>
      <c r="R87" s="7">
        <v>50</v>
      </c>
      <c r="S87" s="7">
        <v>68.312894</v>
      </c>
      <c r="T87" s="7">
        <v>75</v>
      </c>
      <c r="U87" s="7">
        <v>45.541929000000003</v>
      </c>
      <c r="V87" s="7">
        <v>50</v>
      </c>
      <c r="W87" s="7">
        <v>74.082449999999994</v>
      </c>
      <c r="X87" s="7">
        <v>49.388300000000001</v>
      </c>
      <c r="Y87" s="7">
        <v>50</v>
      </c>
      <c r="Z87" s="7">
        <v>75</v>
      </c>
      <c r="AA87" s="7">
        <v>65.198871999999994</v>
      </c>
      <c r="AB87" s="7">
        <v>43.465915000000003</v>
      </c>
      <c r="AC87" s="7">
        <v>50</v>
      </c>
      <c r="AD87" s="7">
        <v>69.189199000000002</v>
      </c>
      <c r="AE87" s="7">
        <v>46.126133000000003</v>
      </c>
      <c r="AF87" s="7">
        <v>50</v>
      </c>
      <c r="AG87" s="7">
        <v>58.831752000000002</v>
      </c>
      <c r="AH87" s="7">
        <v>75</v>
      </c>
      <c r="AI87" s="7">
        <v>39.221167999999999</v>
      </c>
      <c r="AJ87" s="7">
        <v>50</v>
      </c>
      <c r="AK87" s="7">
        <v>6.68</v>
      </c>
      <c r="AL87" s="7">
        <v>9.8000000000000007</v>
      </c>
      <c r="AM87" s="7">
        <v>16.16</v>
      </c>
      <c r="AN87" s="7">
        <v>0.71239300000000005</v>
      </c>
      <c r="AO87" s="7">
        <v>71.239349000000004</v>
      </c>
      <c r="AP87" s="7">
        <v>100</v>
      </c>
      <c r="AQ87" s="7">
        <v>0.78312400000000004</v>
      </c>
      <c r="AR87" s="7">
        <v>78.312402000000006</v>
      </c>
      <c r="AS87" s="7">
        <v>100</v>
      </c>
      <c r="AT87" s="7">
        <v>0.66903000000000001</v>
      </c>
      <c r="AU87" s="7">
        <v>0.74181900000000001</v>
      </c>
      <c r="AV87" s="7">
        <v>66.902978000000004</v>
      </c>
      <c r="AW87" s="7">
        <v>100</v>
      </c>
      <c r="AX87" s="7">
        <v>0.70448999999999995</v>
      </c>
      <c r="AY87" s="7">
        <v>0.83648199999999995</v>
      </c>
      <c r="AZ87" s="7">
        <v>70.449048000000005</v>
      </c>
      <c r="BA87" s="7">
        <v>100</v>
      </c>
      <c r="BB87" s="7">
        <v>0.64254100000000003</v>
      </c>
      <c r="BC87" s="7">
        <v>32.127060999999998</v>
      </c>
      <c r="BD87" s="7">
        <v>50</v>
      </c>
      <c r="BE87" s="7">
        <v>0.65323299999999995</v>
      </c>
      <c r="BF87" s="7">
        <v>32.661647000000002</v>
      </c>
      <c r="BG87" s="7">
        <v>50</v>
      </c>
      <c r="BH87" s="7">
        <v>0</v>
      </c>
      <c r="BI87" s="7">
        <v>0.98830399999999996</v>
      </c>
      <c r="BJ87" s="7">
        <v>0.97402599999999995</v>
      </c>
      <c r="BK87" s="7">
        <v>1</v>
      </c>
      <c r="BL87" s="7">
        <v>0.98830399999999996</v>
      </c>
      <c r="BM87" s="7">
        <v>0.97402599999999995</v>
      </c>
      <c r="BN87" s="7">
        <v>1</v>
      </c>
      <c r="BO87" s="7">
        <v>0.981595</v>
      </c>
      <c r="BP87" s="7">
        <v>0.95890399999999998</v>
      </c>
      <c r="BQ87" s="7">
        <v>1</v>
      </c>
      <c r="BR87" s="7">
        <v>4.1221000000000001E-2</v>
      </c>
      <c r="BS87" s="7">
        <v>50</v>
      </c>
      <c r="BT87" s="7">
        <v>50</v>
      </c>
      <c r="BU87" s="7">
        <v>7.2847999999999996E-2</v>
      </c>
      <c r="BV87" s="7">
        <v>45.430464000000001</v>
      </c>
      <c r="BW87" s="7">
        <v>50</v>
      </c>
      <c r="BX87" s="7">
        <v>0.61344500000000002</v>
      </c>
      <c r="BY87" s="7">
        <v>40.896358999999997</v>
      </c>
      <c r="BZ87" s="7">
        <v>50</v>
      </c>
      <c r="CA87" s="7">
        <v>0.51260499999999998</v>
      </c>
      <c r="CB87" s="7">
        <v>34.173668999999997</v>
      </c>
      <c r="CC87" s="7">
        <v>50</v>
      </c>
      <c r="CD87" s="7">
        <v>0.73333300000000001</v>
      </c>
      <c r="CE87" s="7">
        <v>39.007092</v>
      </c>
      <c r="CF87" s="7">
        <v>50</v>
      </c>
      <c r="CG87" s="7">
        <v>0.92222199999999999</v>
      </c>
      <c r="CH87" s="7">
        <v>98.108746999999994</v>
      </c>
      <c r="CI87" s="7">
        <v>100</v>
      </c>
      <c r="CJ87" s="7">
        <v>0</v>
      </c>
      <c r="CK87" s="7">
        <v>0.95238100000000003</v>
      </c>
      <c r="CL87" s="7">
        <v>100</v>
      </c>
      <c r="CM87" s="7">
        <v>100</v>
      </c>
      <c r="CN87" s="7">
        <v>0.79100000000000004</v>
      </c>
      <c r="CO87" s="7">
        <v>100</v>
      </c>
      <c r="CP87" s="7">
        <v>100</v>
      </c>
      <c r="CQ87" s="7">
        <v>0.63243199999999999</v>
      </c>
      <c r="CR87" s="7">
        <v>0.90243899999999999</v>
      </c>
      <c r="CS87" s="7">
        <v>42.162162000000002</v>
      </c>
      <c r="CT87" s="7">
        <v>50</v>
      </c>
      <c r="CU87" s="7">
        <v>0.48706899999999997</v>
      </c>
      <c r="CV87" s="7">
        <v>40.589080000000003</v>
      </c>
      <c r="CW87" s="7">
        <v>50</v>
      </c>
      <c r="CX87" s="7">
        <v>0.95238100000000003</v>
      </c>
      <c r="CY87" s="7">
        <v>0.94</v>
      </c>
      <c r="CZ87" s="7">
        <v>-1.2381E-2</v>
      </c>
      <c r="DA87" s="7">
        <v>15.389535</v>
      </c>
      <c r="DB87" s="7">
        <v>17.608319000000002</v>
      </c>
      <c r="DC87" s="7">
        <v>16.064022999999999</v>
      </c>
      <c r="DD87" s="7">
        <v>11.115401</v>
      </c>
      <c r="DE87" s="4" t="s">
        <v>124</v>
      </c>
      <c r="DF87" s="6"/>
      <c r="DG87" s="6"/>
      <c r="DH87" s="6"/>
      <c r="DI87" s="6"/>
      <c r="DJ87" s="4" t="s">
        <v>124</v>
      </c>
      <c r="DK87" s="4" t="s">
        <v>124</v>
      </c>
      <c r="DL87" s="4" t="s">
        <v>124</v>
      </c>
      <c r="DM87" s="4" t="s">
        <v>124</v>
      </c>
      <c r="DN87" s="4" t="s">
        <v>124</v>
      </c>
      <c r="DO87" s="4" t="s">
        <v>124</v>
      </c>
      <c r="DP87" s="6"/>
      <c r="DQ87" s="4" t="s">
        <v>125</v>
      </c>
    </row>
    <row r="88" spans="1:121" ht="20" customHeight="1" x14ac:dyDescent="0.15">
      <c r="A88" s="5">
        <v>2018</v>
      </c>
      <c r="B88" s="3" t="s">
        <v>211</v>
      </c>
      <c r="C88" s="4" t="str">
        <f t="shared" ref="C88:C1007" si="86">"1550011"</f>
        <v>1550011</v>
      </c>
      <c r="D88" s="4" t="s">
        <v>122</v>
      </c>
      <c r="E88" s="4" t="str">
        <f t="shared" si="1"/>
        <v>0000000</v>
      </c>
      <c r="F88" s="4" t="s">
        <v>122</v>
      </c>
      <c r="G88" s="4" t="s">
        <v>122</v>
      </c>
      <c r="H88" s="4" t="s">
        <v>122</v>
      </c>
      <c r="I88" s="6"/>
      <c r="J88" s="4" t="s">
        <v>123</v>
      </c>
      <c r="K88" s="7">
        <v>1182.4692640000001</v>
      </c>
      <c r="L88" s="7">
        <v>1450</v>
      </c>
      <c r="M88" s="7">
        <v>81.549604000000002</v>
      </c>
      <c r="N88" s="4" t="s">
        <v>124</v>
      </c>
      <c r="O88" s="7">
        <v>0</v>
      </c>
      <c r="P88" s="7">
        <v>75.440306000000007</v>
      </c>
      <c r="Q88" s="7">
        <v>50</v>
      </c>
      <c r="R88" s="7">
        <v>50</v>
      </c>
      <c r="S88" s="7">
        <v>62.652417999999997</v>
      </c>
      <c r="T88" s="7">
        <v>75</v>
      </c>
      <c r="U88" s="7">
        <v>41.768278000000002</v>
      </c>
      <c r="V88" s="7">
        <v>50</v>
      </c>
      <c r="W88" s="7">
        <v>70.581087999999994</v>
      </c>
      <c r="X88" s="7">
        <v>47.054057999999998</v>
      </c>
      <c r="Y88" s="7">
        <v>50</v>
      </c>
      <c r="Z88" s="7">
        <v>75</v>
      </c>
      <c r="AA88" s="7">
        <v>57.510247</v>
      </c>
      <c r="AB88" s="7">
        <v>38.340164999999999</v>
      </c>
      <c r="AC88" s="7">
        <v>50</v>
      </c>
      <c r="AD88" s="7">
        <v>73.440802000000005</v>
      </c>
      <c r="AE88" s="7">
        <v>48.960535</v>
      </c>
      <c r="AF88" s="7">
        <v>50</v>
      </c>
      <c r="AG88" s="7">
        <v>61.325662000000001</v>
      </c>
      <c r="AH88" s="7">
        <v>75</v>
      </c>
      <c r="AI88" s="7">
        <v>40.883774000000003</v>
      </c>
      <c r="AJ88" s="7">
        <v>50</v>
      </c>
      <c r="AK88" s="7">
        <v>12.34</v>
      </c>
      <c r="AL88" s="7">
        <v>17.48</v>
      </c>
      <c r="AM88" s="7">
        <v>13.67</v>
      </c>
      <c r="AN88" s="7">
        <v>0.65798599999999996</v>
      </c>
      <c r="AO88" s="7">
        <v>65.798635000000004</v>
      </c>
      <c r="AP88" s="7">
        <v>100</v>
      </c>
      <c r="AQ88" s="7">
        <v>0.67424700000000004</v>
      </c>
      <c r="AR88" s="7">
        <v>67.424723999999998</v>
      </c>
      <c r="AS88" s="7">
        <v>100</v>
      </c>
      <c r="AT88" s="7">
        <v>0.59941999999999995</v>
      </c>
      <c r="AU88" s="7">
        <v>0.68702600000000003</v>
      </c>
      <c r="AV88" s="7">
        <v>59.941989</v>
      </c>
      <c r="AW88" s="7">
        <v>100</v>
      </c>
      <c r="AX88" s="7">
        <v>0.60103099999999998</v>
      </c>
      <c r="AY88" s="7">
        <v>0.71040499999999995</v>
      </c>
      <c r="AZ88" s="7">
        <v>60.103132000000002</v>
      </c>
      <c r="BA88" s="7">
        <v>100</v>
      </c>
      <c r="BB88" s="7">
        <v>0.70682199999999995</v>
      </c>
      <c r="BC88" s="7">
        <v>35.341115000000002</v>
      </c>
      <c r="BD88" s="7">
        <v>50</v>
      </c>
      <c r="BE88" s="7">
        <v>0.63094300000000003</v>
      </c>
      <c r="BF88" s="7">
        <v>31.547129999999999</v>
      </c>
      <c r="BG88" s="7">
        <v>50</v>
      </c>
      <c r="BH88" s="7">
        <v>0</v>
      </c>
      <c r="BI88" s="7">
        <v>0.98994300000000002</v>
      </c>
      <c r="BJ88" s="7">
        <v>0.98329900000000003</v>
      </c>
      <c r="BK88" s="7">
        <v>0.99397800000000003</v>
      </c>
      <c r="BL88" s="7">
        <v>0.98796399999999995</v>
      </c>
      <c r="BM88" s="7">
        <v>0.97962400000000005</v>
      </c>
      <c r="BN88" s="7">
        <v>0.99302500000000005</v>
      </c>
      <c r="BO88" s="7">
        <v>0.98293699999999995</v>
      </c>
      <c r="BP88" s="7">
        <v>0.96666700000000005</v>
      </c>
      <c r="BQ88" s="7">
        <v>0.99223700000000004</v>
      </c>
      <c r="BR88" s="7">
        <v>6.7412E-2</v>
      </c>
      <c r="BS88" s="7">
        <v>46.517572000000001</v>
      </c>
      <c r="BT88" s="7">
        <v>50</v>
      </c>
      <c r="BU88" s="7">
        <v>0.13550699999999999</v>
      </c>
      <c r="BV88" s="7">
        <v>32.898594000000003</v>
      </c>
      <c r="BW88" s="7">
        <v>50</v>
      </c>
      <c r="BX88" s="7">
        <v>0.87597899999999995</v>
      </c>
      <c r="BY88" s="7">
        <v>50</v>
      </c>
      <c r="BZ88" s="7">
        <v>50</v>
      </c>
      <c r="CA88" s="7">
        <v>0.65535200000000005</v>
      </c>
      <c r="CB88" s="7">
        <v>43.690165</v>
      </c>
      <c r="CC88" s="7">
        <v>50</v>
      </c>
      <c r="CD88" s="7">
        <v>0.94408300000000001</v>
      </c>
      <c r="CE88" s="7">
        <v>50</v>
      </c>
      <c r="CF88" s="7">
        <v>50</v>
      </c>
      <c r="CG88" s="7">
        <v>0.932091</v>
      </c>
      <c r="CH88" s="7">
        <v>99.158569</v>
      </c>
      <c r="CI88" s="7">
        <v>100</v>
      </c>
      <c r="CJ88" s="7">
        <v>0</v>
      </c>
      <c r="CK88" s="7">
        <v>0.956044</v>
      </c>
      <c r="CL88" s="7">
        <v>100</v>
      </c>
      <c r="CM88" s="7">
        <v>100</v>
      </c>
      <c r="CN88" s="7">
        <v>0.83399999999999996</v>
      </c>
      <c r="CO88" s="7">
        <v>100</v>
      </c>
      <c r="CP88" s="7">
        <v>100</v>
      </c>
      <c r="CQ88" s="7">
        <v>0.54421299999999995</v>
      </c>
      <c r="CR88" s="7">
        <v>0.94851700000000005</v>
      </c>
      <c r="CS88" s="7">
        <v>36.280853</v>
      </c>
      <c r="CT88" s="7">
        <v>50</v>
      </c>
      <c r="CU88" s="7">
        <v>0.44112000000000001</v>
      </c>
      <c r="CV88" s="7">
        <v>36.759974</v>
      </c>
      <c r="CW88" s="7">
        <v>50</v>
      </c>
      <c r="CX88" s="7">
        <v>0.956044</v>
      </c>
      <c r="CY88" s="7">
        <v>0.94</v>
      </c>
      <c r="CZ88" s="7">
        <v>-1.6043999999999999E-2</v>
      </c>
      <c r="DA88" s="7">
        <v>15.389535</v>
      </c>
      <c r="DB88" s="7">
        <v>17.608319000000002</v>
      </c>
      <c r="DC88" s="7">
        <v>16.064022999999999</v>
      </c>
      <c r="DD88" s="7">
        <v>11.115401</v>
      </c>
      <c r="DE88" s="4" t="s">
        <v>124</v>
      </c>
      <c r="DF88" s="6"/>
      <c r="DG88" s="6"/>
      <c r="DH88" s="6"/>
      <c r="DI88" s="6"/>
      <c r="DJ88" s="4" t="s">
        <v>124</v>
      </c>
      <c r="DK88" s="4" t="s">
        <v>124</v>
      </c>
      <c r="DL88" s="4" t="s">
        <v>124</v>
      </c>
      <c r="DM88" s="4" t="s">
        <v>124</v>
      </c>
      <c r="DN88" s="4" t="s">
        <v>124</v>
      </c>
      <c r="DO88" s="4" t="s">
        <v>124</v>
      </c>
      <c r="DP88" s="6"/>
      <c r="DQ88" s="4" t="s">
        <v>125</v>
      </c>
    </row>
    <row r="89" spans="1:121" ht="20" customHeight="1" x14ac:dyDescent="0.15">
      <c r="A89" s="5">
        <v>2018</v>
      </c>
      <c r="B89" s="3" t="s">
        <v>212</v>
      </c>
      <c r="C89" s="4" t="str">
        <f t="shared" ref="C89:C1082" si="87">"1670011"</f>
        <v>1670011</v>
      </c>
      <c r="D89" s="4" t="s">
        <v>122</v>
      </c>
      <c r="E89" s="4" t="str">
        <f t="shared" si="1"/>
        <v>0000000</v>
      </c>
      <c r="F89" s="4" t="s">
        <v>122</v>
      </c>
      <c r="G89" s="4" t="s">
        <v>122</v>
      </c>
      <c r="H89" s="4" t="s">
        <v>122</v>
      </c>
      <c r="I89" s="6"/>
      <c r="J89" s="4" t="s">
        <v>123</v>
      </c>
      <c r="K89" s="7">
        <v>719.68137999999999</v>
      </c>
      <c r="L89" s="7">
        <v>850</v>
      </c>
      <c r="M89" s="7">
        <v>84.668397999999996</v>
      </c>
      <c r="N89" s="4" t="s">
        <v>124</v>
      </c>
      <c r="O89" s="7">
        <v>0</v>
      </c>
      <c r="P89" s="7">
        <v>83.373338000000004</v>
      </c>
      <c r="Q89" s="7">
        <v>50</v>
      </c>
      <c r="R89" s="7">
        <v>50</v>
      </c>
      <c r="S89" s="7">
        <v>66.468361000000002</v>
      </c>
      <c r="T89" s="7">
        <v>75</v>
      </c>
      <c r="U89" s="7">
        <v>44.312240000000003</v>
      </c>
      <c r="V89" s="7">
        <v>50</v>
      </c>
      <c r="W89" s="7">
        <v>78.705364000000003</v>
      </c>
      <c r="X89" s="7">
        <v>50</v>
      </c>
      <c r="Y89" s="7">
        <v>50</v>
      </c>
      <c r="Z89" s="7">
        <v>75</v>
      </c>
      <c r="AA89" s="7">
        <v>60.970992000000003</v>
      </c>
      <c r="AB89" s="7">
        <v>40.647328000000002</v>
      </c>
      <c r="AC89" s="7">
        <v>50</v>
      </c>
      <c r="AD89" s="7">
        <v>84.648139</v>
      </c>
      <c r="AE89" s="7">
        <v>50</v>
      </c>
      <c r="AF89" s="7">
        <v>50</v>
      </c>
      <c r="AG89" s="7">
        <v>63.650722999999999</v>
      </c>
      <c r="AH89" s="7">
        <v>75</v>
      </c>
      <c r="AI89" s="7">
        <v>42.433815000000003</v>
      </c>
      <c r="AJ89" s="7">
        <v>50</v>
      </c>
      <c r="AK89" s="7">
        <v>8.5299999999999994</v>
      </c>
      <c r="AL89" s="7">
        <v>14.02</v>
      </c>
      <c r="AM89" s="7">
        <v>11.34</v>
      </c>
      <c r="AN89" s="7">
        <v>0.78565600000000002</v>
      </c>
      <c r="AO89" s="7">
        <v>78.565645000000004</v>
      </c>
      <c r="AP89" s="7">
        <v>100</v>
      </c>
      <c r="AQ89" s="7">
        <v>0.85742700000000005</v>
      </c>
      <c r="AR89" s="7">
        <v>85.742689999999996</v>
      </c>
      <c r="AS89" s="7">
        <v>100</v>
      </c>
      <c r="AT89" s="7">
        <v>0.64675899999999997</v>
      </c>
      <c r="AU89" s="7">
        <v>0.82315400000000005</v>
      </c>
      <c r="AV89" s="7">
        <v>64.675873999999993</v>
      </c>
      <c r="AW89" s="7">
        <v>100</v>
      </c>
      <c r="AX89" s="7">
        <v>0.72712299999999996</v>
      </c>
      <c r="AY89" s="7">
        <v>0.89314700000000002</v>
      </c>
      <c r="AZ89" s="7">
        <v>72.712266999999997</v>
      </c>
      <c r="BA89" s="7">
        <v>100</v>
      </c>
      <c r="BB89" s="4" t="s">
        <v>124</v>
      </c>
      <c r="BC89" s="4" t="s">
        <v>124</v>
      </c>
      <c r="BD89" s="4" t="s">
        <v>124</v>
      </c>
      <c r="BE89" s="4" t="s">
        <v>124</v>
      </c>
      <c r="BF89" s="4" t="s">
        <v>124</v>
      </c>
      <c r="BG89" s="4" t="s">
        <v>124</v>
      </c>
      <c r="BH89" s="7">
        <v>1</v>
      </c>
      <c r="BI89" s="7">
        <v>0.95344099999999998</v>
      </c>
      <c r="BJ89" s="7">
        <v>0.90517199999999998</v>
      </c>
      <c r="BK89" s="7">
        <v>0.96825399999999995</v>
      </c>
      <c r="BL89" s="7">
        <v>0.94534399999999996</v>
      </c>
      <c r="BM89" s="7">
        <v>0.90517199999999998</v>
      </c>
      <c r="BN89" s="7">
        <v>0.95767199999999997</v>
      </c>
      <c r="BO89" s="7">
        <v>0.97080299999999997</v>
      </c>
      <c r="BP89" s="7">
        <v>0.90909099999999998</v>
      </c>
      <c r="BQ89" s="7">
        <v>0.99038499999999996</v>
      </c>
      <c r="BR89" s="7">
        <v>5.9610999999999997E-2</v>
      </c>
      <c r="BS89" s="7">
        <v>48.077858999999997</v>
      </c>
      <c r="BT89" s="7">
        <v>50</v>
      </c>
      <c r="BU89" s="7">
        <v>8.7431999999999996E-2</v>
      </c>
      <c r="BV89" s="7">
        <v>42.513660999999999</v>
      </c>
      <c r="BW89" s="7">
        <v>50</v>
      </c>
      <c r="BX89" s="4" t="s">
        <v>124</v>
      </c>
      <c r="BY89" s="4" t="s">
        <v>124</v>
      </c>
      <c r="BZ89" s="4" t="s">
        <v>124</v>
      </c>
      <c r="CA89" s="4" t="s">
        <v>124</v>
      </c>
      <c r="CB89" s="4" t="s">
        <v>124</v>
      </c>
      <c r="CC89" s="4" t="s">
        <v>124</v>
      </c>
      <c r="CD89" s="4" t="s">
        <v>124</v>
      </c>
      <c r="CE89" s="4" t="s">
        <v>124</v>
      </c>
      <c r="CF89" s="4" t="s">
        <v>124</v>
      </c>
      <c r="CG89" s="4" t="s">
        <v>124</v>
      </c>
      <c r="CH89" s="4" t="s">
        <v>124</v>
      </c>
      <c r="CI89" s="4" t="s">
        <v>124</v>
      </c>
      <c r="CJ89" s="4" t="s">
        <v>124</v>
      </c>
      <c r="CK89" s="4" t="s">
        <v>124</v>
      </c>
      <c r="CL89" s="4" t="s">
        <v>124</v>
      </c>
      <c r="CM89" s="4" t="s">
        <v>124</v>
      </c>
      <c r="CN89" s="4" t="s">
        <v>124</v>
      </c>
      <c r="CO89" s="4" t="s">
        <v>124</v>
      </c>
      <c r="CP89" s="4" t="s">
        <v>124</v>
      </c>
      <c r="CQ89" s="7">
        <v>0.84482800000000002</v>
      </c>
      <c r="CR89" s="7">
        <v>1</v>
      </c>
      <c r="CS89" s="7">
        <v>50</v>
      </c>
      <c r="CT89" s="7">
        <v>50</v>
      </c>
      <c r="CU89" s="4" t="s">
        <v>124</v>
      </c>
      <c r="CV89" s="4" t="s">
        <v>124</v>
      </c>
      <c r="CW89" s="4" t="s">
        <v>124</v>
      </c>
      <c r="CX89" s="4" t="s">
        <v>124</v>
      </c>
      <c r="CY89" s="4" t="s">
        <v>124</v>
      </c>
      <c r="CZ89" s="4" t="s">
        <v>124</v>
      </c>
      <c r="DA89" s="7">
        <v>15.389535</v>
      </c>
      <c r="DB89" s="7">
        <v>17.608319000000002</v>
      </c>
      <c r="DC89" s="7">
        <v>16.064022999999999</v>
      </c>
      <c r="DD89" s="4" t="s">
        <v>124</v>
      </c>
      <c r="DE89" s="4" t="s">
        <v>124</v>
      </c>
      <c r="DF89" s="6"/>
      <c r="DG89" s="6"/>
      <c r="DH89" s="6"/>
      <c r="DI89" s="6"/>
      <c r="DJ89" s="4" t="s">
        <v>124</v>
      </c>
      <c r="DK89" s="4" t="s">
        <v>124</v>
      </c>
      <c r="DL89" s="4" t="s">
        <v>124</v>
      </c>
      <c r="DM89" s="4" t="s">
        <v>124</v>
      </c>
      <c r="DN89" s="4" t="s">
        <v>124</v>
      </c>
      <c r="DO89" s="4" t="s">
        <v>124</v>
      </c>
      <c r="DP89" s="6"/>
      <c r="DQ89" s="4" t="s">
        <v>125</v>
      </c>
    </row>
    <row r="90" spans="1:121" ht="20" customHeight="1" x14ac:dyDescent="0.15">
      <c r="A90" s="5">
        <v>2018</v>
      </c>
      <c r="B90" s="3" t="s">
        <v>213</v>
      </c>
      <c r="C90" s="4" t="str">
        <f t="shared" ref="C90:C1083" si="88">"1690011"</f>
        <v>1690011</v>
      </c>
      <c r="D90" s="4" t="s">
        <v>122</v>
      </c>
      <c r="E90" s="4" t="str">
        <f t="shared" si="1"/>
        <v>0000000</v>
      </c>
      <c r="F90" s="4" t="s">
        <v>122</v>
      </c>
      <c r="G90" s="4" t="s">
        <v>122</v>
      </c>
      <c r="H90" s="4" t="s">
        <v>122</v>
      </c>
      <c r="I90" s="6"/>
      <c r="J90" s="4" t="s">
        <v>123</v>
      </c>
      <c r="K90" s="7">
        <v>637.96707200000003</v>
      </c>
      <c r="L90" s="7">
        <v>900</v>
      </c>
      <c r="M90" s="7">
        <v>70.885230000000007</v>
      </c>
      <c r="N90" s="4" t="s">
        <v>124</v>
      </c>
      <c r="O90" s="7">
        <v>0</v>
      </c>
      <c r="P90" s="7">
        <v>72.137052999999995</v>
      </c>
      <c r="Q90" s="7">
        <v>48.091369</v>
      </c>
      <c r="R90" s="7">
        <v>50</v>
      </c>
      <c r="S90" s="7">
        <v>61.411197000000001</v>
      </c>
      <c r="T90" s="7">
        <v>75</v>
      </c>
      <c r="U90" s="7">
        <v>40.940798000000001</v>
      </c>
      <c r="V90" s="7">
        <v>50</v>
      </c>
      <c r="W90" s="7">
        <v>64.621222000000003</v>
      </c>
      <c r="X90" s="7">
        <v>43.080815000000001</v>
      </c>
      <c r="Y90" s="7">
        <v>50</v>
      </c>
      <c r="Z90" s="7">
        <v>68.838080000000005</v>
      </c>
      <c r="AA90" s="7">
        <v>53.299249000000003</v>
      </c>
      <c r="AB90" s="7">
        <v>35.532832999999997</v>
      </c>
      <c r="AC90" s="7">
        <v>50</v>
      </c>
      <c r="AD90" s="7">
        <v>69.192367000000004</v>
      </c>
      <c r="AE90" s="7">
        <v>46.128245</v>
      </c>
      <c r="AF90" s="7">
        <v>50</v>
      </c>
      <c r="AG90" s="7">
        <v>60.139716999999997</v>
      </c>
      <c r="AH90" s="7">
        <v>72.287789000000004</v>
      </c>
      <c r="AI90" s="7">
        <v>40.093145</v>
      </c>
      <c r="AJ90" s="7">
        <v>50</v>
      </c>
      <c r="AK90" s="7">
        <v>13.58</v>
      </c>
      <c r="AL90" s="7">
        <v>15.53</v>
      </c>
      <c r="AM90" s="7">
        <v>12.14</v>
      </c>
      <c r="AN90" s="7">
        <v>0.55166700000000002</v>
      </c>
      <c r="AO90" s="7">
        <v>55.166704000000003</v>
      </c>
      <c r="AP90" s="7">
        <v>100</v>
      </c>
      <c r="AQ90" s="7">
        <v>0.58230400000000004</v>
      </c>
      <c r="AR90" s="7">
        <v>58.230431000000003</v>
      </c>
      <c r="AS90" s="7">
        <v>100</v>
      </c>
      <c r="AT90" s="7">
        <v>0.47968100000000002</v>
      </c>
      <c r="AU90" s="7">
        <v>0.57796499999999995</v>
      </c>
      <c r="AV90" s="7">
        <v>47.968091999999999</v>
      </c>
      <c r="AW90" s="7">
        <v>100</v>
      </c>
      <c r="AX90" s="7">
        <v>0.46798499999999998</v>
      </c>
      <c r="AY90" s="7">
        <v>0.62419800000000003</v>
      </c>
      <c r="AZ90" s="7">
        <v>46.798521999999998</v>
      </c>
      <c r="BA90" s="7">
        <v>100</v>
      </c>
      <c r="BB90" s="4" t="s">
        <v>124</v>
      </c>
      <c r="BC90" s="4" t="s">
        <v>124</v>
      </c>
      <c r="BD90" s="4" t="s">
        <v>124</v>
      </c>
      <c r="BE90" s="4" t="s">
        <v>124</v>
      </c>
      <c r="BF90" s="4" t="s">
        <v>124</v>
      </c>
      <c r="BG90" s="4" t="s">
        <v>124</v>
      </c>
      <c r="BH90" s="7">
        <v>1</v>
      </c>
      <c r="BI90" s="7">
        <v>0.95818800000000004</v>
      </c>
      <c r="BJ90" s="7">
        <v>0.95512799999999998</v>
      </c>
      <c r="BK90" s="7">
        <v>0.95933000000000002</v>
      </c>
      <c r="BL90" s="7">
        <v>0.95818800000000004</v>
      </c>
      <c r="BM90" s="7">
        <v>0.95512799999999998</v>
      </c>
      <c r="BN90" s="7">
        <v>0.95933000000000002</v>
      </c>
      <c r="BO90" s="7">
        <v>0.937778</v>
      </c>
      <c r="BP90" s="7">
        <v>0.9</v>
      </c>
      <c r="BQ90" s="7">
        <v>0.951515</v>
      </c>
      <c r="BR90" s="7">
        <v>4.7853E-2</v>
      </c>
      <c r="BS90" s="7">
        <v>50</v>
      </c>
      <c r="BT90" s="7">
        <v>50</v>
      </c>
      <c r="BU90" s="7">
        <v>0.105505</v>
      </c>
      <c r="BV90" s="7">
        <v>38.899082999999997</v>
      </c>
      <c r="BW90" s="7">
        <v>50</v>
      </c>
      <c r="BX90" s="4" t="s">
        <v>124</v>
      </c>
      <c r="BY90" s="4" t="s">
        <v>124</v>
      </c>
      <c r="BZ90" s="4" t="s">
        <v>124</v>
      </c>
      <c r="CA90" s="4" t="s">
        <v>124</v>
      </c>
      <c r="CB90" s="4" t="s">
        <v>124</v>
      </c>
      <c r="CC90" s="4" t="s">
        <v>124</v>
      </c>
      <c r="CD90" s="7">
        <v>1</v>
      </c>
      <c r="CE90" s="7">
        <v>50</v>
      </c>
      <c r="CF90" s="7">
        <v>50</v>
      </c>
      <c r="CG90" s="4" t="s">
        <v>124</v>
      </c>
      <c r="CH90" s="4" t="s">
        <v>124</v>
      </c>
      <c r="CI90" s="4" t="s">
        <v>124</v>
      </c>
      <c r="CJ90" s="4" t="s">
        <v>124</v>
      </c>
      <c r="CK90" s="4" t="s">
        <v>124</v>
      </c>
      <c r="CL90" s="4" t="s">
        <v>124</v>
      </c>
      <c r="CM90" s="4" t="s">
        <v>124</v>
      </c>
      <c r="CN90" s="4" t="s">
        <v>124</v>
      </c>
      <c r="CO90" s="4" t="s">
        <v>124</v>
      </c>
      <c r="CP90" s="4" t="s">
        <v>124</v>
      </c>
      <c r="CQ90" s="7">
        <v>0.55555600000000005</v>
      </c>
      <c r="CR90" s="7">
        <v>0.96116500000000005</v>
      </c>
      <c r="CS90" s="7">
        <v>37.037036999999998</v>
      </c>
      <c r="CT90" s="7">
        <v>50</v>
      </c>
      <c r="CU90" s="4" t="s">
        <v>124</v>
      </c>
      <c r="CV90" s="4" t="s">
        <v>124</v>
      </c>
      <c r="CW90" s="4" t="s">
        <v>124</v>
      </c>
      <c r="CX90" s="4" t="s">
        <v>124</v>
      </c>
      <c r="CY90" s="4" t="s">
        <v>124</v>
      </c>
      <c r="CZ90" s="4" t="s">
        <v>124</v>
      </c>
      <c r="DA90" s="7">
        <v>15.389535</v>
      </c>
      <c r="DB90" s="7">
        <v>17.608319000000002</v>
      </c>
      <c r="DC90" s="7">
        <v>16.064022999999999</v>
      </c>
      <c r="DD90" s="4" t="s">
        <v>124</v>
      </c>
      <c r="DE90" s="4" t="s">
        <v>124</v>
      </c>
      <c r="DF90" s="6"/>
      <c r="DG90" s="6"/>
      <c r="DH90" s="6"/>
      <c r="DI90" s="6"/>
      <c r="DJ90" s="4" t="s">
        <v>124</v>
      </c>
      <c r="DK90" s="4" t="s">
        <v>124</v>
      </c>
      <c r="DL90" s="4" t="s">
        <v>124</v>
      </c>
      <c r="DM90" s="4" t="s">
        <v>124</v>
      </c>
      <c r="DN90" s="4" t="s">
        <v>124</v>
      </c>
      <c r="DO90" s="4" t="s">
        <v>124</v>
      </c>
      <c r="DP90" s="6"/>
      <c r="DQ90" s="4" t="s">
        <v>125</v>
      </c>
    </row>
    <row r="91" spans="1:121" ht="20" customHeight="1" x14ac:dyDescent="0.15">
      <c r="A91" s="5">
        <v>2018</v>
      </c>
      <c r="B91" s="3" t="s">
        <v>214</v>
      </c>
      <c r="C91" s="4" t="str">
        <f t="shared" ref="C91:C919" si="89">"1400011"</f>
        <v>1400011</v>
      </c>
      <c r="D91" s="4" t="s">
        <v>122</v>
      </c>
      <c r="E91" s="4" t="str">
        <f t="shared" si="1"/>
        <v>0000000</v>
      </c>
      <c r="F91" s="4" t="s">
        <v>122</v>
      </c>
      <c r="G91" s="4" t="s">
        <v>122</v>
      </c>
      <c r="H91" s="4" t="s">
        <v>122</v>
      </c>
      <c r="I91" s="6"/>
      <c r="J91" s="4" t="s">
        <v>123</v>
      </c>
      <c r="K91" s="7">
        <v>1054.1472269999999</v>
      </c>
      <c r="L91" s="7">
        <v>1350</v>
      </c>
      <c r="M91" s="7">
        <v>78.084980000000002</v>
      </c>
      <c r="N91" s="4" t="s">
        <v>124</v>
      </c>
      <c r="O91" s="7">
        <v>1</v>
      </c>
      <c r="P91" s="7">
        <v>68.104806999999994</v>
      </c>
      <c r="Q91" s="7">
        <v>45.403204000000002</v>
      </c>
      <c r="R91" s="7">
        <v>50</v>
      </c>
      <c r="S91" s="7">
        <v>56.599764</v>
      </c>
      <c r="T91" s="7">
        <v>75</v>
      </c>
      <c r="U91" s="7">
        <v>37.733176</v>
      </c>
      <c r="V91" s="7">
        <v>50</v>
      </c>
      <c r="W91" s="7">
        <v>60.902461000000002</v>
      </c>
      <c r="X91" s="7">
        <v>40.601641000000001</v>
      </c>
      <c r="Y91" s="7">
        <v>50</v>
      </c>
      <c r="Z91" s="7">
        <v>66.430223999999995</v>
      </c>
      <c r="AA91" s="7">
        <v>51.983432999999998</v>
      </c>
      <c r="AB91" s="7">
        <v>34.655622000000001</v>
      </c>
      <c r="AC91" s="7">
        <v>50</v>
      </c>
      <c r="AD91" s="7">
        <v>65.484567999999996</v>
      </c>
      <c r="AE91" s="7">
        <v>43.656379000000001</v>
      </c>
      <c r="AF91" s="7">
        <v>50</v>
      </c>
      <c r="AG91" s="7">
        <v>53.311036000000001</v>
      </c>
      <c r="AH91" s="7">
        <v>73.036666999999994</v>
      </c>
      <c r="AI91" s="7">
        <v>35.540689999999998</v>
      </c>
      <c r="AJ91" s="7">
        <v>50</v>
      </c>
      <c r="AK91" s="7">
        <v>18.399999999999999</v>
      </c>
      <c r="AL91" s="7">
        <v>14.44</v>
      </c>
      <c r="AM91" s="7">
        <v>19.72</v>
      </c>
      <c r="AN91" s="7">
        <v>0.60605600000000004</v>
      </c>
      <c r="AO91" s="7">
        <v>60.605569000000003</v>
      </c>
      <c r="AP91" s="7">
        <v>100</v>
      </c>
      <c r="AQ91" s="7">
        <v>0.656555</v>
      </c>
      <c r="AR91" s="7">
        <v>65.655482000000006</v>
      </c>
      <c r="AS91" s="7">
        <v>100</v>
      </c>
      <c r="AT91" s="7">
        <v>0.55020800000000003</v>
      </c>
      <c r="AU91" s="7">
        <v>0.64103399999999999</v>
      </c>
      <c r="AV91" s="7">
        <v>55.020784999999997</v>
      </c>
      <c r="AW91" s="7">
        <v>100</v>
      </c>
      <c r="AX91" s="7">
        <v>0.68900700000000004</v>
      </c>
      <c r="AY91" s="7">
        <v>0.63629400000000003</v>
      </c>
      <c r="AZ91" s="7">
        <v>68.900655999999998</v>
      </c>
      <c r="BA91" s="7">
        <v>100</v>
      </c>
      <c r="BB91" s="4" t="s">
        <v>124</v>
      </c>
      <c r="BC91" s="4" t="s">
        <v>124</v>
      </c>
      <c r="BD91" s="4" t="s">
        <v>124</v>
      </c>
      <c r="BE91" s="4" t="s">
        <v>124</v>
      </c>
      <c r="BF91" s="4" t="s">
        <v>124</v>
      </c>
      <c r="BG91" s="4" t="s">
        <v>124</v>
      </c>
      <c r="BH91" s="7">
        <v>0</v>
      </c>
      <c r="BI91" s="7">
        <v>0.982379</v>
      </c>
      <c r="BJ91" s="7">
        <v>0.97790100000000002</v>
      </c>
      <c r="BK91" s="7">
        <v>0.985348</v>
      </c>
      <c r="BL91" s="7">
        <v>0.982379</v>
      </c>
      <c r="BM91" s="7">
        <v>0.98342499999999999</v>
      </c>
      <c r="BN91" s="7">
        <v>0.98168500000000003</v>
      </c>
      <c r="BO91" s="7">
        <v>0.96825399999999995</v>
      </c>
      <c r="BP91" s="7">
        <v>0.973333</v>
      </c>
      <c r="BQ91" s="7">
        <v>0.96491199999999999</v>
      </c>
      <c r="BR91" s="7">
        <v>5.1995E-2</v>
      </c>
      <c r="BS91" s="7">
        <v>49.600966999999997</v>
      </c>
      <c r="BT91" s="7">
        <v>50</v>
      </c>
      <c r="BU91" s="7">
        <v>0.100575</v>
      </c>
      <c r="BV91" s="7">
        <v>39.885057000000003</v>
      </c>
      <c r="BW91" s="7">
        <v>50</v>
      </c>
      <c r="BX91" s="7">
        <v>0.78151300000000001</v>
      </c>
      <c r="BY91" s="7">
        <v>50</v>
      </c>
      <c r="BZ91" s="7">
        <v>50</v>
      </c>
      <c r="CA91" s="7">
        <v>0.445378</v>
      </c>
      <c r="CB91" s="7">
        <v>29.691877000000002</v>
      </c>
      <c r="CC91" s="7">
        <v>50</v>
      </c>
      <c r="CD91" s="7">
        <v>0.99236599999999997</v>
      </c>
      <c r="CE91" s="7">
        <v>50</v>
      </c>
      <c r="CF91" s="7">
        <v>50</v>
      </c>
      <c r="CG91" s="7">
        <v>0.96551699999999996</v>
      </c>
      <c r="CH91" s="7">
        <v>100</v>
      </c>
      <c r="CI91" s="7">
        <v>100</v>
      </c>
      <c r="CJ91" s="7">
        <v>0</v>
      </c>
      <c r="CK91" s="7">
        <v>0.95833299999999999</v>
      </c>
      <c r="CL91" s="7">
        <v>100</v>
      </c>
      <c r="CM91" s="7">
        <v>100</v>
      </c>
      <c r="CN91" s="7">
        <v>0.69</v>
      </c>
      <c r="CO91" s="7">
        <v>91.954023000000007</v>
      </c>
      <c r="CP91" s="7">
        <v>100</v>
      </c>
      <c r="CQ91" s="7">
        <v>0.50420200000000004</v>
      </c>
      <c r="CR91" s="7">
        <v>0.838028</v>
      </c>
      <c r="CS91" s="7">
        <v>16.806723000000002</v>
      </c>
      <c r="CT91" s="7">
        <v>50</v>
      </c>
      <c r="CU91" s="7">
        <v>0.46122400000000002</v>
      </c>
      <c r="CV91" s="7">
        <v>38.435374000000003</v>
      </c>
      <c r="CW91" s="7">
        <v>50</v>
      </c>
      <c r="CX91" s="7">
        <v>0.95833299999999999</v>
      </c>
      <c r="CY91" s="7">
        <v>0.94</v>
      </c>
      <c r="CZ91" s="7">
        <v>-1.8332999999999999E-2</v>
      </c>
      <c r="DA91" s="7">
        <v>15.389535</v>
      </c>
      <c r="DB91" s="7">
        <v>17.608319000000002</v>
      </c>
      <c r="DC91" s="7">
        <v>16.064022999999999</v>
      </c>
      <c r="DD91" s="7">
        <v>11.115401</v>
      </c>
      <c r="DE91" s="4" t="s">
        <v>124</v>
      </c>
      <c r="DF91" s="6"/>
      <c r="DG91" s="6"/>
      <c r="DH91" s="6"/>
      <c r="DI91" s="6"/>
      <c r="DJ91" s="4" t="s">
        <v>124</v>
      </c>
      <c r="DK91" s="4" t="s">
        <v>124</v>
      </c>
      <c r="DL91" s="4" t="s">
        <v>124</v>
      </c>
      <c r="DM91" s="4" t="s">
        <v>124</v>
      </c>
      <c r="DN91" s="4" t="s">
        <v>124</v>
      </c>
      <c r="DO91" s="4" t="s">
        <v>124</v>
      </c>
      <c r="DP91" s="6"/>
      <c r="DQ91" s="4" t="s">
        <v>125</v>
      </c>
    </row>
    <row r="92" spans="1:121" ht="20" customHeight="1" x14ac:dyDescent="0.15">
      <c r="A92" s="5">
        <v>2018</v>
      </c>
      <c r="B92" s="3" t="s">
        <v>215</v>
      </c>
      <c r="C92" s="4" t="str">
        <f t="shared" ref="C92:C922" si="90">"1410011"</f>
        <v>1410011</v>
      </c>
      <c r="D92" s="4" t="s">
        <v>122</v>
      </c>
      <c r="E92" s="4" t="str">
        <f t="shared" si="1"/>
        <v>0000000</v>
      </c>
      <c r="F92" s="4" t="s">
        <v>122</v>
      </c>
      <c r="G92" s="4" t="s">
        <v>122</v>
      </c>
      <c r="H92" s="4" t="s">
        <v>122</v>
      </c>
      <c r="I92" s="6"/>
      <c r="J92" s="4" t="s">
        <v>123</v>
      </c>
      <c r="K92" s="7">
        <v>899.35762399999999</v>
      </c>
      <c r="L92" s="7">
        <v>1350</v>
      </c>
      <c r="M92" s="7">
        <v>66.619083000000003</v>
      </c>
      <c r="N92" s="4" t="s">
        <v>124</v>
      </c>
      <c r="O92" s="7">
        <v>0</v>
      </c>
      <c r="P92" s="7">
        <v>60.829870999999997</v>
      </c>
      <c r="Q92" s="7">
        <v>40.553248000000004</v>
      </c>
      <c r="R92" s="7">
        <v>50</v>
      </c>
      <c r="S92" s="7">
        <v>54.379432999999999</v>
      </c>
      <c r="T92" s="7">
        <v>66.578044000000006</v>
      </c>
      <c r="U92" s="7">
        <v>36.252955999999998</v>
      </c>
      <c r="V92" s="7">
        <v>50</v>
      </c>
      <c r="W92" s="7">
        <v>56.905135999999999</v>
      </c>
      <c r="X92" s="7">
        <v>37.936757</v>
      </c>
      <c r="Y92" s="7">
        <v>50</v>
      </c>
      <c r="Z92" s="7">
        <v>61.727936999999997</v>
      </c>
      <c r="AA92" s="7">
        <v>51.443697999999998</v>
      </c>
      <c r="AB92" s="7">
        <v>34.295799000000002</v>
      </c>
      <c r="AC92" s="7">
        <v>50</v>
      </c>
      <c r="AD92" s="7">
        <v>58.258811000000001</v>
      </c>
      <c r="AE92" s="7">
        <v>38.839207000000002</v>
      </c>
      <c r="AF92" s="7">
        <v>50</v>
      </c>
      <c r="AG92" s="7">
        <v>51.916806000000001</v>
      </c>
      <c r="AH92" s="7">
        <v>63.015315000000001</v>
      </c>
      <c r="AI92" s="7">
        <v>34.611204000000001</v>
      </c>
      <c r="AJ92" s="7">
        <v>50</v>
      </c>
      <c r="AK92" s="7">
        <v>12.19</v>
      </c>
      <c r="AL92" s="7">
        <v>10.28</v>
      </c>
      <c r="AM92" s="7">
        <v>11.09</v>
      </c>
      <c r="AN92" s="7">
        <v>0.45466299999999998</v>
      </c>
      <c r="AO92" s="7">
        <v>45.466334000000003</v>
      </c>
      <c r="AP92" s="7">
        <v>100</v>
      </c>
      <c r="AQ92" s="7">
        <v>0.43943700000000002</v>
      </c>
      <c r="AR92" s="7">
        <v>43.943747999999999</v>
      </c>
      <c r="AS92" s="7">
        <v>100</v>
      </c>
      <c r="AT92" s="7">
        <v>0.43535699999999999</v>
      </c>
      <c r="AU92" s="7">
        <v>0.47137499999999999</v>
      </c>
      <c r="AV92" s="7">
        <v>43.535704000000003</v>
      </c>
      <c r="AW92" s="7">
        <v>100</v>
      </c>
      <c r="AX92" s="7">
        <v>0.42040100000000002</v>
      </c>
      <c r="AY92" s="7">
        <v>0.45560800000000001</v>
      </c>
      <c r="AZ92" s="7">
        <v>42.040123000000001</v>
      </c>
      <c r="BA92" s="7">
        <v>100</v>
      </c>
      <c r="BB92" s="4" t="s">
        <v>124</v>
      </c>
      <c r="BC92" s="4" t="s">
        <v>124</v>
      </c>
      <c r="BD92" s="4" t="s">
        <v>124</v>
      </c>
      <c r="BE92" s="4" t="s">
        <v>124</v>
      </c>
      <c r="BF92" s="4" t="s">
        <v>124</v>
      </c>
      <c r="BG92" s="4" t="s">
        <v>124</v>
      </c>
      <c r="BH92" s="7">
        <v>1</v>
      </c>
      <c r="BI92" s="7">
        <v>0.95173700000000006</v>
      </c>
      <c r="BJ92" s="7">
        <v>0.94071099999999996</v>
      </c>
      <c r="BK92" s="7">
        <v>0.96226400000000001</v>
      </c>
      <c r="BL92" s="7">
        <v>0.94787600000000005</v>
      </c>
      <c r="BM92" s="7">
        <v>0.93280600000000002</v>
      </c>
      <c r="BN92" s="7">
        <v>0.96226400000000001</v>
      </c>
      <c r="BO92" s="7">
        <v>0.90186900000000003</v>
      </c>
      <c r="BP92" s="7">
        <v>0.85858599999999996</v>
      </c>
      <c r="BQ92" s="7">
        <v>0.93913000000000002</v>
      </c>
      <c r="BR92" s="7">
        <v>9.2651999999999998E-2</v>
      </c>
      <c r="BS92" s="7">
        <v>41.469648999999997</v>
      </c>
      <c r="BT92" s="7">
        <v>50</v>
      </c>
      <c r="BU92" s="7">
        <v>0.15221999999999999</v>
      </c>
      <c r="BV92" s="7">
        <v>29.556025000000002</v>
      </c>
      <c r="BW92" s="7">
        <v>50</v>
      </c>
      <c r="BX92" s="7">
        <v>0.64220200000000005</v>
      </c>
      <c r="BY92" s="7">
        <v>42.813456000000002</v>
      </c>
      <c r="BZ92" s="7">
        <v>50</v>
      </c>
      <c r="CA92" s="7">
        <v>0.32110100000000003</v>
      </c>
      <c r="CB92" s="7">
        <v>21.406728000000001</v>
      </c>
      <c r="CC92" s="7">
        <v>50</v>
      </c>
      <c r="CD92" s="7">
        <v>0.69753100000000001</v>
      </c>
      <c r="CE92" s="7">
        <v>37.102705999999998</v>
      </c>
      <c r="CF92" s="7">
        <v>50</v>
      </c>
      <c r="CG92" s="7">
        <v>0.82352899999999996</v>
      </c>
      <c r="CH92" s="7">
        <v>87.609511999999995</v>
      </c>
      <c r="CI92" s="7">
        <v>100</v>
      </c>
      <c r="CJ92" s="7">
        <v>0</v>
      </c>
      <c r="CK92" s="7">
        <v>0.94117600000000001</v>
      </c>
      <c r="CL92" s="7">
        <v>100</v>
      </c>
      <c r="CM92" s="7">
        <v>100</v>
      </c>
      <c r="CN92" s="7">
        <v>0.6</v>
      </c>
      <c r="CO92" s="7">
        <v>80</v>
      </c>
      <c r="CP92" s="7">
        <v>100</v>
      </c>
      <c r="CQ92" s="7">
        <v>0.25459300000000001</v>
      </c>
      <c r="CR92" s="7">
        <v>1.2615890000000001</v>
      </c>
      <c r="CS92" s="7">
        <v>16.972878000000001</v>
      </c>
      <c r="CT92" s="7">
        <v>50</v>
      </c>
      <c r="CU92" s="7">
        <v>0.53941899999999998</v>
      </c>
      <c r="CV92" s="7">
        <v>44.951591000000001</v>
      </c>
      <c r="CW92" s="7">
        <v>50</v>
      </c>
      <c r="CX92" s="7">
        <v>0.94117600000000001</v>
      </c>
      <c r="CY92" s="7">
        <v>0.94</v>
      </c>
      <c r="CZ92" s="7">
        <v>-1.176E-3</v>
      </c>
      <c r="DA92" s="7">
        <v>15.389535</v>
      </c>
      <c r="DB92" s="7">
        <v>17.608319000000002</v>
      </c>
      <c r="DC92" s="7">
        <v>16.064022999999999</v>
      </c>
      <c r="DD92" s="7">
        <v>11.115401</v>
      </c>
      <c r="DE92" s="4" t="s">
        <v>124</v>
      </c>
      <c r="DF92" s="6"/>
      <c r="DG92" s="6"/>
      <c r="DH92" s="6"/>
      <c r="DI92" s="6"/>
      <c r="DJ92" s="4" t="s">
        <v>124</v>
      </c>
      <c r="DK92" s="4" t="s">
        <v>124</v>
      </c>
      <c r="DL92" s="4" t="s">
        <v>124</v>
      </c>
      <c r="DM92" s="4" t="s">
        <v>124</v>
      </c>
      <c r="DN92" s="4" t="s">
        <v>124</v>
      </c>
      <c r="DO92" s="4" t="s">
        <v>124</v>
      </c>
      <c r="DP92" s="6"/>
      <c r="DQ92" s="4" t="s">
        <v>125</v>
      </c>
    </row>
    <row r="93" spans="1:121" ht="20" customHeight="1" x14ac:dyDescent="0.15">
      <c r="A93" s="5">
        <v>2018</v>
      </c>
      <c r="B93" s="3" t="s">
        <v>216</v>
      </c>
      <c r="C93" s="4" t="str">
        <f t="shared" ref="C93:C925" si="91">"1420011"</f>
        <v>1420011</v>
      </c>
      <c r="D93" s="4" t="s">
        <v>122</v>
      </c>
      <c r="E93" s="4" t="str">
        <f t="shared" si="1"/>
        <v>0000000</v>
      </c>
      <c r="F93" s="4" t="s">
        <v>122</v>
      </c>
      <c r="G93" s="4" t="s">
        <v>122</v>
      </c>
      <c r="H93" s="4" t="s">
        <v>122</v>
      </c>
      <c r="I93" s="6"/>
      <c r="J93" s="4" t="s">
        <v>123</v>
      </c>
      <c r="K93" s="7">
        <v>1079.9997069999999</v>
      </c>
      <c r="L93" s="7">
        <v>1350</v>
      </c>
      <c r="M93" s="7">
        <v>79.999977999999999</v>
      </c>
      <c r="N93" s="4" t="s">
        <v>124</v>
      </c>
      <c r="O93" s="7">
        <v>1</v>
      </c>
      <c r="P93" s="7">
        <v>71.927001000000004</v>
      </c>
      <c r="Q93" s="7">
        <v>47.951334000000003</v>
      </c>
      <c r="R93" s="7">
        <v>50</v>
      </c>
      <c r="S93" s="7">
        <v>59.966672000000003</v>
      </c>
      <c r="T93" s="7">
        <v>75</v>
      </c>
      <c r="U93" s="7">
        <v>39.977781999999998</v>
      </c>
      <c r="V93" s="7">
        <v>50</v>
      </c>
      <c r="W93" s="7">
        <v>69.837894000000006</v>
      </c>
      <c r="X93" s="7">
        <v>46.558596000000001</v>
      </c>
      <c r="Y93" s="7">
        <v>50</v>
      </c>
      <c r="Z93" s="7">
        <v>74.257324999999994</v>
      </c>
      <c r="AA93" s="7">
        <v>56.373361000000003</v>
      </c>
      <c r="AB93" s="7">
        <v>37.582241000000003</v>
      </c>
      <c r="AC93" s="7">
        <v>50</v>
      </c>
      <c r="AD93" s="7">
        <v>72.351592999999994</v>
      </c>
      <c r="AE93" s="7">
        <v>48.234394999999999</v>
      </c>
      <c r="AF93" s="7">
        <v>50</v>
      </c>
      <c r="AG93" s="7">
        <v>59.836176999999999</v>
      </c>
      <c r="AH93" s="7">
        <v>75</v>
      </c>
      <c r="AI93" s="7">
        <v>39.890785000000001</v>
      </c>
      <c r="AJ93" s="7">
        <v>50</v>
      </c>
      <c r="AK93" s="7">
        <v>15.03</v>
      </c>
      <c r="AL93" s="7">
        <v>17.88</v>
      </c>
      <c r="AM93" s="7">
        <v>15.16</v>
      </c>
      <c r="AN93" s="7">
        <v>0.53515000000000001</v>
      </c>
      <c r="AO93" s="7">
        <v>53.515002000000003</v>
      </c>
      <c r="AP93" s="7">
        <v>100</v>
      </c>
      <c r="AQ93" s="7">
        <v>0.67094799999999999</v>
      </c>
      <c r="AR93" s="7">
        <v>67.094825</v>
      </c>
      <c r="AS93" s="7">
        <v>100</v>
      </c>
      <c r="AT93" s="7">
        <v>0.474414</v>
      </c>
      <c r="AU93" s="7">
        <v>0.55561700000000003</v>
      </c>
      <c r="AV93" s="7">
        <v>47.441448999999999</v>
      </c>
      <c r="AW93" s="7">
        <v>100</v>
      </c>
      <c r="AX93" s="7">
        <v>0.55225999999999997</v>
      </c>
      <c r="AY93" s="7">
        <v>0.710947</v>
      </c>
      <c r="AZ93" s="7">
        <v>55.225996000000002</v>
      </c>
      <c r="BA93" s="7">
        <v>100</v>
      </c>
      <c r="BB93" s="4" t="s">
        <v>124</v>
      </c>
      <c r="BC93" s="4" t="s">
        <v>124</v>
      </c>
      <c r="BD93" s="4" t="s">
        <v>124</v>
      </c>
      <c r="BE93" s="4" t="s">
        <v>124</v>
      </c>
      <c r="BF93" s="4" t="s">
        <v>124</v>
      </c>
      <c r="BG93" s="4" t="s">
        <v>124</v>
      </c>
      <c r="BH93" s="7">
        <v>1</v>
      </c>
      <c r="BI93" s="7">
        <v>0.95179800000000003</v>
      </c>
      <c r="BJ93" s="7">
        <v>0.940828</v>
      </c>
      <c r="BK93" s="7">
        <v>0.95562400000000003</v>
      </c>
      <c r="BL93" s="7">
        <v>0.94797200000000004</v>
      </c>
      <c r="BM93" s="7">
        <v>0.93491100000000005</v>
      </c>
      <c r="BN93" s="7">
        <v>0.95252800000000004</v>
      </c>
      <c r="BO93" s="7">
        <v>0.91095899999999996</v>
      </c>
      <c r="BP93" s="7">
        <v>0.90243899999999999</v>
      </c>
      <c r="BQ93" s="7">
        <v>0.91323200000000004</v>
      </c>
      <c r="BR93" s="7">
        <v>4.1206E-2</v>
      </c>
      <c r="BS93" s="7">
        <v>50</v>
      </c>
      <c r="BT93" s="7">
        <v>50</v>
      </c>
      <c r="BU93" s="7">
        <v>9.6014000000000002E-2</v>
      </c>
      <c r="BV93" s="7">
        <v>40.797100999999998</v>
      </c>
      <c r="BW93" s="7">
        <v>50</v>
      </c>
      <c r="BX93" s="7">
        <v>0.76076600000000005</v>
      </c>
      <c r="BY93" s="7">
        <v>50</v>
      </c>
      <c r="BZ93" s="7">
        <v>50</v>
      </c>
      <c r="CA93" s="7">
        <v>0.677033</v>
      </c>
      <c r="CB93" s="7">
        <v>45.135565999999997</v>
      </c>
      <c r="CC93" s="7">
        <v>50</v>
      </c>
      <c r="CD93" s="7">
        <v>0.99220799999999998</v>
      </c>
      <c r="CE93" s="7">
        <v>50</v>
      </c>
      <c r="CF93" s="7">
        <v>50</v>
      </c>
      <c r="CG93" s="7">
        <v>0.94117600000000001</v>
      </c>
      <c r="CH93" s="7">
        <v>100</v>
      </c>
      <c r="CI93" s="7">
        <v>100</v>
      </c>
      <c r="CJ93" s="7">
        <v>0</v>
      </c>
      <c r="CK93" s="7">
        <v>0.88235300000000005</v>
      </c>
      <c r="CL93" s="7">
        <v>93.867334</v>
      </c>
      <c r="CM93" s="7">
        <v>100</v>
      </c>
      <c r="CN93" s="7">
        <v>0.83699999999999997</v>
      </c>
      <c r="CO93" s="7">
        <v>100</v>
      </c>
      <c r="CP93" s="7">
        <v>100</v>
      </c>
      <c r="CQ93" s="7">
        <v>0.41888300000000001</v>
      </c>
      <c r="CR93" s="7">
        <v>0.94117600000000001</v>
      </c>
      <c r="CS93" s="7">
        <v>27.925532</v>
      </c>
      <c r="CT93" s="7">
        <v>50</v>
      </c>
      <c r="CU93" s="7">
        <v>0.46562100000000001</v>
      </c>
      <c r="CV93" s="7">
        <v>38.801769</v>
      </c>
      <c r="CW93" s="7">
        <v>50</v>
      </c>
      <c r="CX93" s="7">
        <v>0.88235300000000005</v>
      </c>
      <c r="CY93" s="7">
        <v>0.94</v>
      </c>
      <c r="CZ93" s="7">
        <v>5.7646999999999997E-2</v>
      </c>
      <c r="DA93" s="7">
        <v>15.389535</v>
      </c>
      <c r="DB93" s="7">
        <v>17.608319000000002</v>
      </c>
      <c r="DC93" s="7">
        <v>16.064022999999999</v>
      </c>
      <c r="DD93" s="7">
        <v>11.115401</v>
      </c>
      <c r="DE93" s="4" t="s">
        <v>124</v>
      </c>
      <c r="DF93" s="6"/>
      <c r="DG93" s="6"/>
      <c r="DH93" s="6"/>
      <c r="DI93" s="6"/>
      <c r="DJ93" s="4" t="s">
        <v>124</v>
      </c>
      <c r="DK93" s="4" t="s">
        <v>124</v>
      </c>
      <c r="DL93" s="4" t="s">
        <v>124</v>
      </c>
      <c r="DM93" s="4" t="s">
        <v>124</v>
      </c>
      <c r="DN93" s="4" t="s">
        <v>124</v>
      </c>
      <c r="DO93" s="4" t="s">
        <v>124</v>
      </c>
      <c r="DP93" s="6"/>
      <c r="DQ93" s="4" t="s">
        <v>125</v>
      </c>
    </row>
    <row r="94" spans="1:121" ht="20" customHeight="1" x14ac:dyDescent="0.15">
      <c r="A94" s="5">
        <v>2018</v>
      </c>
      <c r="B94" s="3" t="s">
        <v>217</v>
      </c>
      <c r="C94" s="4" t="str">
        <f t="shared" ref="C94:C384" si="92">"0440011"</f>
        <v>0440011</v>
      </c>
      <c r="D94" s="4" t="s">
        <v>122</v>
      </c>
      <c r="E94" s="4" t="str">
        <f t="shared" si="1"/>
        <v>0000000</v>
      </c>
      <c r="F94" s="4" t="s">
        <v>122</v>
      </c>
      <c r="G94" s="4" t="s">
        <v>122</v>
      </c>
      <c r="H94" s="4" t="s">
        <v>122</v>
      </c>
      <c r="I94" s="6"/>
      <c r="J94" s="4" t="s">
        <v>123</v>
      </c>
      <c r="K94" s="7">
        <v>1010.605338</v>
      </c>
      <c r="L94" s="7">
        <v>1450</v>
      </c>
      <c r="M94" s="7">
        <v>69.696920000000006</v>
      </c>
      <c r="N94" s="4" t="s">
        <v>124</v>
      </c>
      <c r="O94" s="7">
        <v>0</v>
      </c>
      <c r="P94" s="7">
        <v>62.228977</v>
      </c>
      <c r="Q94" s="7">
        <v>41.485984000000002</v>
      </c>
      <c r="R94" s="7">
        <v>50</v>
      </c>
      <c r="S94" s="7">
        <v>58.613612000000003</v>
      </c>
      <c r="T94" s="7">
        <v>69.491074999999995</v>
      </c>
      <c r="U94" s="7">
        <v>39.075741999999998</v>
      </c>
      <c r="V94" s="7">
        <v>50</v>
      </c>
      <c r="W94" s="7">
        <v>55.848588999999997</v>
      </c>
      <c r="X94" s="7">
        <v>37.232393000000002</v>
      </c>
      <c r="Y94" s="7">
        <v>50</v>
      </c>
      <c r="Z94" s="7">
        <v>63.749040999999998</v>
      </c>
      <c r="AA94" s="7">
        <v>51.898364000000001</v>
      </c>
      <c r="AB94" s="7">
        <v>34.598908999999999</v>
      </c>
      <c r="AC94" s="7">
        <v>50</v>
      </c>
      <c r="AD94" s="7">
        <v>56.517136999999998</v>
      </c>
      <c r="AE94" s="7">
        <v>37.678091000000002</v>
      </c>
      <c r="AF94" s="7">
        <v>50</v>
      </c>
      <c r="AG94" s="7">
        <v>52.832717000000002</v>
      </c>
      <c r="AH94" s="7">
        <v>63.517536</v>
      </c>
      <c r="AI94" s="7">
        <v>35.221811000000002</v>
      </c>
      <c r="AJ94" s="7">
        <v>50</v>
      </c>
      <c r="AK94" s="7">
        <v>10.87</v>
      </c>
      <c r="AL94" s="7">
        <v>11.85</v>
      </c>
      <c r="AM94" s="7">
        <v>10.68</v>
      </c>
      <c r="AN94" s="7">
        <v>0.58204400000000001</v>
      </c>
      <c r="AO94" s="7">
        <v>58.204436000000001</v>
      </c>
      <c r="AP94" s="7">
        <v>100</v>
      </c>
      <c r="AQ94" s="7">
        <v>0.54572799999999999</v>
      </c>
      <c r="AR94" s="7">
        <v>54.572802000000003</v>
      </c>
      <c r="AS94" s="7">
        <v>100</v>
      </c>
      <c r="AT94" s="7">
        <v>0.56553299999999995</v>
      </c>
      <c r="AU94" s="7">
        <v>0.61252700000000004</v>
      </c>
      <c r="AV94" s="7">
        <v>56.553316000000002</v>
      </c>
      <c r="AW94" s="7">
        <v>100</v>
      </c>
      <c r="AX94" s="7">
        <v>0.51085499999999995</v>
      </c>
      <c r="AY94" s="7">
        <v>0.60959200000000002</v>
      </c>
      <c r="AZ94" s="7">
        <v>51.085545000000003</v>
      </c>
      <c r="BA94" s="7">
        <v>100</v>
      </c>
      <c r="BB94" s="7">
        <v>0.54525000000000001</v>
      </c>
      <c r="BC94" s="7">
        <v>27.262523000000002</v>
      </c>
      <c r="BD94" s="7">
        <v>50</v>
      </c>
      <c r="BE94" s="7">
        <v>0.46709099999999998</v>
      </c>
      <c r="BF94" s="7">
        <v>23.354548999999999</v>
      </c>
      <c r="BG94" s="7">
        <v>50</v>
      </c>
      <c r="BH94" s="7">
        <v>0</v>
      </c>
      <c r="BI94" s="7">
        <v>0.986514</v>
      </c>
      <c r="BJ94" s="7">
        <v>0.98411099999999996</v>
      </c>
      <c r="BK94" s="7">
        <v>0.99159699999999995</v>
      </c>
      <c r="BL94" s="7">
        <v>0.984491</v>
      </c>
      <c r="BM94" s="7">
        <v>0.98013899999999998</v>
      </c>
      <c r="BN94" s="7">
        <v>0.99369700000000005</v>
      </c>
      <c r="BO94" s="7">
        <v>0.96504599999999996</v>
      </c>
      <c r="BP94" s="7">
        <v>0.95890399999999998</v>
      </c>
      <c r="BQ94" s="7">
        <v>0.97727299999999995</v>
      </c>
      <c r="BR94" s="7">
        <v>0.14158000000000001</v>
      </c>
      <c r="BS94" s="7">
        <v>31.684054</v>
      </c>
      <c r="BT94" s="7">
        <v>50</v>
      </c>
      <c r="BU94" s="7">
        <v>0.183362</v>
      </c>
      <c r="BV94" s="7">
        <v>23.327673999999998</v>
      </c>
      <c r="BW94" s="7">
        <v>50</v>
      </c>
      <c r="BX94" s="7">
        <v>0.79372200000000004</v>
      </c>
      <c r="BY94" s="7">
        <v>50</v>
      </c>
      <c r="BZ94" s="7">
        <v>50</v>
      </c>
      <c r="CA94" s="7">
        <v>0.19730900000000001</v>
      </c>
      <c r="CB94" s="7">
        <v>13.153961000000001</v>
      </c>
      <c r="CC94" s="7">
        <v>50</v>
      </c>
      <c r="CD94" s="7">
        <v>0.86261299999999996</v>
      </c>
      <c r="CE94" s="7">
        <v>45.883650000000003</v>
      </c>
      <c r="CF94" s="7">
        <v>50</v>
      </c>
      <c r="CG94" s="7">
        <v>0.84274199999999999</v>
      </c>
      <c r="CH94" s="7">
        <v>89.653396999999998</v>
      </c>
      <c r="CI94" s="7">
        <v>100</v>
      </c>
      <c r="CJ94" s="7">
        <v>1</v>
      </c>
      <c r="CK94" s="7">
        <v>0.74482800000000005</v>
      </c>
      <c r="CL94" s="7">
        <v>79.236976999999996</v>
      </c>
      <c r="CM94" s="7">
        <v>100</v>
      </c>
      <c r="CN94" s="7">
        <v>0.64800000000000002</v>
      </c>
      <c r="CO94" s="7">
        <v>86.453576999999996</v>
      </c>
      <c r="CP94" s="7">
        <v>100</v>
      </c>
      <c r="CQ94" s="7">
        <v>0.81688499999999997</v>
      </c>
      <c r="CR94" s="7">
        <v>0.98133000000000004</v>
      </c>
      <c r="CS94" s="7">
        <v>50</v>
      </c>
      <c r="CT94" s="7">
        <v>50</v>
      </c>
      <c r="CU94" s="7">
        <v>0.53863099999999997</v>
      </c>
      <c r="CV94" s="7">
        <v>44.885945999999997</v>
      </c>
      <c r="CW94" s="7">
        <v>50</v>
      </c>
      <c r="CX94" s="7">
        <v>0.74482800000000005</v>
      </c>
      <c r="CY94" s="7">
        <v>0.9</v>
      </c>
      <c r="CZ94" s="7">
        <v>0.155172</v>
      </c>
      <c r="DA94" s="7">
        <v>15.389535</v>
      </c>
      <c r="DB94" s="7">
        <v>17.608319000000002</v>
      </c>
      <c r="DC94" s="7">
        <v>16.064022999999999</v>
      </c>
      <c r="DD94" s="7">
        <v>11.115401</v>
      </c>
      <c r="DE94" s="4" t="s">
        <v>124</v>
      </c>
      <c r="DF94" s="6"/>
      <c r="DG94" s="6"/>
      <c r="DH94" s="6"/>
      <c r="DI94" s="6"/>
      <c r="DJ94" s="4" t="s">
        <v>124</v>
      </c>
      <c r="DK94" s="4" t="s">
        <v>124</v>
      </c>
      <c r="DL94" s="4" t="s">
        <v>124</v>
      </c>
      <c r="DM94" s="4" t="s">
        <v>124</v>
      </c>
      <c r="DN94" s="4" t="s">
        <v>124</v>
      </c>
      <c r="DO94" s="4" t="s">
        <v>124</v>
      </c>
      <c r="DP94" s="6"/>
      <c r="DQ94" s="4" t="s">
        <v>125</v>
      </c>
    </row>
    <row r="95" spans="1:121" ht="20" customHeight="1" x14ac:dyDescent="0.15">
      <c r="A95" s="5">
        <v>2018</v>
      </c>
      <c r="B95" s="3" t="s">
        <v>218</v>
      </c>
      <c r="C95" s="4" t="str">
        <f t="shared" ref="C95:C309" si="93">"0260011"</f>
        <v>0260011</v>
      </c>
      <c r="D95" s="4" t="s">
        <v>122</v>
      </c>
      <c r="E95" s="4" t="str">
        <f t="shared" si="1"/>
        <v>0000000</v>
      </c>
      <c r="F95" s="4" t="s">
        <v>122</v>
      </c>
      <c r="G95" s="4" t="s">
        <v>122</v>
      </c>
      <c r="H95" s="4" t="s">
        <v>122</v>
      </c>
      <c r="I95" s="6"/>
      <c r="J95" s="4" t="s">
        <v>123</v>
      </c>
      <c r="K95" s="7">
        <v>696.01475600000003</v>
      </c>
      <c r="L95" s="7">
        <v>800</v>
      </c>
      <c r="M95" s="7">
        <v>87.001844000000006</v>
      </c>
      <c r="N95" s="4" t="s">
        <v>124</v>
      </c>
      <c r="O95" s="7">
        <v>0</v>
      </c>
      <c r="P95" s="7">
        <v>82.664631</v>
      </c>
      <c r="Q95" s="7">
        <v>50</v>
      </c>
      <c r="R95" s="7">
        <v>50</v>
      </c>
      <c r="S95" s="7">
        <v>74.818884999999995</v>
      </c>
      <c r="T95" s="7">
        <v>75</v>
      </c>
      <c r="U95" s="7">
        <v>49.879257000000003</v>
      </c>
      <c r="V95" s="7">
        <v>50</v>
      </c>
      <c r="W95" s="7">
        <v>78.795942999999994</v>
      </c>
      <c r="X95" s="7">
        <v>50</v>
      </c>
      <c r="Y95" s="7">
        <v>50</v>
      </c>
      <c r="Z95" s="7">
        <v>75</v>
      </c>
      <c r="AA95" s="7">
        <v>67.313090000000003</v>
      </c>
      <c r="AB95" s="7">
        <v>44.875393000000003</v>
      </c>
      <c r="AC95" s="7">
        <v>50</v>
      </c>
      <c r="AD95" s="7">
        <v>75.225806000000006</v>
      </c>
      <c r="AE95" s="7">
        <v>50</v>
      </c>
      <c r="AF95" s="7">
        <v>50</v>
      </c>
      <c r="AG95" s="4" t="s">
        <v>124</v>
      </c>
      <c r="AH95" s="4" t="s">
        <v>124</v>
      </c>
      <c r="AI95" s="4" t="s">
        <v>124</v>
      </c>
      <c r="AJ95" s="4" t="s">
        <v>124</v>
      </c>
      <c r="AK95" s="7">
        <v>0.18</v>
      </c>
      <c r="AL95" s="7">
        <v>7.68</v>
      </c>
      <c r="AM95" s="4" t="s">
        <v>124</v>
      </c>
      <c r="AN95" s="7">
        <v>0.78450200000000003</v>
      </c>
      <c r="AO95" s="7">
        <v>78.450205999999994</v>
      </c>
      <c r="AP95" s="7">
        <v>100</v>
      </c>
      <c r="AQ95" s="7">
        <v>0.83210200000000001</v>
      </c>
      <c r="AR95" s="7">
        <v>83.210223999999997</v>
      </c>
      <c r="AS95" s="7">
        <v>100</v>
      </c>
      <c r="AT95" s="7">
        <v>0.73007</v>
      </c>
      <c r="AU95" s="7">
        <v>0.81758799999999998</v>
      </c>
      <c r="AV95" s="7">
        <v>73.006983000000005</v>
      </c>
      <c r="AW95" s="7">
        <v>100</v>
      </c>
      <c r="AX95" s="7">
        <v>0.77307000000000003</v>
      </c>
      <c r="AY95" s="7">
        <v>0.86798500000000001</v>
      </c>
      <c r="AZ95" s="7">
        <v>77.306977000000003</v>
      </c>
      <c r="BA95" s="7">
        <v>100</v>
      </c>
      <c r="BB95" s="4" t="s">
        <v>124</v>
      </c>
      <c r="BC95" s="4" t="s">
        <v>124</v>
      </c>
      <c r="BD95" s="4" t="s">
        <v>124</v>
      </c>
      <c r="BE95" s="4" t="s">
        <v>124</v>
      </c>
      <c r="BF95" s="4" t="s">
        <v>124</v>
      </c>
      <c r="BG95" s="4" t="s">
        <v>124</v>
      </c>
      <c r="BH95" s="7">
        <v>0</v>
      </c>
      <c r="BI95" s="7">
        <v>1</v>
      </c>
      <c r="BJ95" s="7">
        <v>1</v>
      </c>
      <c r="BK95" s="7">
        <v>1</v>
      </c>
      <c r="BL95" s="7">
        <v>1</v>
      </c>
      <c r="BM95" s="7">
        <v>1</v>
      </c>
      <c r="BN95" s="7">
        <v>1</v>
      </c>
      <c r="BO95" s="7">
        <v>0.96</v>
      </c>
      <c r="BP95" s="4" t="s">
        <v>124</v>
      </c>
      <c r="BQ95" s="4" t="s">
        <v>124</v>
      </c>
      <c r="BR95" s="7">
        <v>1.5706999999999999E-2</v>
      </c>
      <c r="BS95" s="7">
        <v>50</v>
      </c>
      <c r="BT95" s="7">
        <v>50</v>
      </c>
      <c r="BU95" s="7">
        <v>1.4925000000000001E-2</v>
      </c>
      <c r="BV95" s="7">
        <v>50</v>
      </c>
      <c r="BW95" s="7">
        <v>50</v>
      </c>
      <c r="BX95" s="4" t="s">
        <v>124</v>
      </c>
      <c r="BY95" s="4" t="s">
        <v>124</v>
      </c>
      <c r="BZ95" s="4" t="s">
        <v>124</v>
      </c>
      <c r="CA95" s="4" t="s">
        <v>124</v>
      </c>
      <c r="CB95" s="4" t="s">
        <v>124</v>
      </c>
      <c r="CC95" s="4" t="s">
        <v>124</v>
      </c>
      <c r="CD95" s="4" t="s">
        <v>124</v>
      </c>
      <c r="CE95" s="4" t="s">
        <v>124</v>
      </c>
      <c r="CF95" s="4" t="s">
        <v>124</v>
      </c>
      <c r="CG95" s="4" t="s">
        <v>124</v>
      </c>
      <c r="CH95" s="4" t="s">
        <v>124</v>
      </c>
      <c r="CI95" s="4" t="s">
        <v>124</v>
      </c>
      <c r="CJ95" s="4" t="s">
        <v>124</v>
      </c>
      <c r="CK95" s="4" t="s">
        <v>124</v>
      </c>
      <c r="CL95" s="4" t="s">
        <v>124</v>
      </c>
      <c r="CM95" s="4" t="s">
        <v>124</v>
      </c>
      <c r="CN95" s="4" t="s">
        <v>124</v>
      </c>
      <c r="CO95" s="4" t="s">
        <v>124</v>
      </c>
      <c r="CP95" s="4" t="s">
        <v>124</v>
      </c>
      <c r="CQ95" s="7">
        <v>0.58928599999999998</v>
      </c>
      <c r="CR95" s="7">
        <v>0.982456</v>
      </c>
      <c r="CS95" s="7">
        <v>39.285713999999999</v>
      </c>
      <c r="CT95" s="7">
        <v>50</v>
      </c>
      <c r="CU95" s="4" t="s">
        <v>124</v>
      </c>
      <c r="CV95" s="4" t="s">
        <v>124</v>
      </c>
      <c r="CW95" s="4" t="s">
        <v>124</v>
      </c>
      <c r="CX95" s="4" t="s">
        <v>124</v>
      </c>
      <c r="CY95" s="4" t="s">
        <v>124</v>
      </c>
      <c r="CZ95" s="4" t="s">
        <v>124</v>
      </c>
      <c r="DA95" s="7">
        <v>15.389535</v>
      </c>
      <c r="DB95" s="7">
        <v>17.608319000000002</v>
      </c>
      <c r="DC95" s="7">
        <v>16.064022999999999</v>
      </c>
      <c r="DD95" s="4" t="s">
        <v>124</v>
      </c>
      <c r="DE95" s="4" t="s">
        <v>124</v>
      </c>
      <c r="DF95" s="6"/>
      <c r="DG95" s="6"/>
      <c r="DH95" s="6"/>
      <c r="DI95" s="6"/>
      <c r="DJ95" s="4" t="s">
        <v>124</v>
      </c>
      <c r="DK95" s="4" t="s">
        <v>124</v>
      </c>
      <c r="DL95" s="4" t="s">
        <v>124</v>
      </c>
      <c r="DM95" s="4" t="s">
        <v>124</v>
      </c>
      <c r="DN95" s="4" t="s">
        <v>124</v>
      </c>
      <c r="DO95" s="4" t="s">
        <v>124</v>
      </c>
      <c r="DP95" s="6"/>
      <c r="DQ95" s="4" t="s">
        <v>125</v>
      </c>
    </row>
    <row r="96" spans="1:121" ht="20" customHeight="1" x14ac:dyDescent="0.15">
      <c r="A96" s="5">
        <v>2018</v>
      </c>
      <c r="B96" s="3" t="s">
        <v>219</v>
      </c>
      <c r="C96" s="4" t="str">
        <f t="shared" ref="C96:C313" si="94">"0270011"</f>
        <v>0270011</v>
      </c>
      <c r="D96" s="4" t="s">
        <v>122</v>
      </c>
      <c r="E96" s="4" t="str">
        <f t="shared" si="1"/>
        <v>0000000</v>
      </c>
      <c r="F96" s="4" t="s">
        <v>122</v>
      </c>
      <c r="G96" s="4" t="s">
        <v>122</v>
      </c>
      <c r="H96" s="4" t="s">
        <v>122</v>
      </c>
      <c r="I96" s="6"/>
      <c r="J96" s="4" t="s">
        <v>123</v>
      </c>
      <c r="K96" s="7">
        <v>1138.6214910000001</v>
      </c>
      <c r="L96" s="7">
        <v>1450</v>
      </c>
      <c r="M96" s="7">
        <v>78.525620000000004</v>
      </c>
      <c r="N96" s="4" t="s">
        <v>124</v>
      </c>
      <c r="O96" s="7">
        <v>0</v>
      </c>
      <c r="P96" s="7">
        <v>69.860615999999993</v>
      </c>
      <c r="Q96" s="7">
        <v>46.573743999999998</v>
      </c>
      <c r="R96" s="7">
        <v>50</v>
      </c>
      <c r="S96" s="7">
        <v>62.004309999999997</v>
      </c>
      <c r="T96" s="7">
        <v>75</v>
      </c>
      <c r="U96" s="7">
        <v>41.336207000000002</v>
      </c>
      <c r="V96" s="7">
        <v>50</v>
      </c>
      <c r="W96" s="7">
        <v>65.524234000000007</v>
      </c>
      <c r="X96" s="7">
        <v>43.682822000000002</v>
      </c>
      <c r="Y96" s="7">
        <v>50</v>
      </c>
      <c r="Z96" s="7">
        <v>71.313067000000004</v>
      </c>
      <c r="AA96" s="7">
        <v>57.464975000000003</v>
      </c>
      <c r="AB96" s="7">
        <v>38.309983000000003</v>
      </c>
      <c r="AC96" s="7">
        <v>50</v>
      </c>
      <c r="AD96" s="7">
        <v>65.518022999999999</v>
      </c>
      <c r="AE96" s="7">
        <v>43.678682000000002</v>
      </c>
      <c r="AF96" s="7">
        <v>50</v>
      </c>
      <c r="AG96" s="7">
        <v>59.530656999999998</v>
      </c>
      <c r="AH96" s="7">
        <v>69.356078999999994</v>
      </c>
      <c r="AI96" s="7">
        <v>39.687105000000003</v>
      </c>
      <c r="AJ96" s="7">
        <v>50</v>
      </c>
      <c r="AK96" s="7">
        <v>12.99</v>
      </c>
      <c r="AL96" s="7">
        <v>13.84</v>
      </c>
      <c r="AM96" s="7">
        <v>9.82</v>
      </c>
      <c r="AN96" s="7">
        <v>0.61716199999999999</v>
      </c>
      <c r="AO96" s="7">
        <v>61.716239999999999</v>
      </c>
      <c r="AP96" s="7">
        <v>100</v>
      </c>
      <c r="AQ96" s="7">
        <v>0.74074399999999996</v>
      </c>
      <c r="AR96" s="7">
        <v>74.074428999999995</v>
      </c>
      <c r="AS96" s="7">
        <v>100</v>
      </c>
      <c r="AT96" s="7">
        <v>0.60087699999999999</v>
      </c>
      <c r="AU96" s="7">
        <v>0.62889799999999996</v>
      </c>
      <c r="AV96" s="7">
        <v>60.087702</v>
      </c>
      <c r="AW96" s="7">
        <v>100</v>
      </c>
      <c r="AX96" s="7">
        <v>0.72882100000000005</v>
      </c>
      <c r="AY96" s="7">
        <v>0.74933700000000003</v>
      </c>
      <c r="AZ96" s="7">
        <v>72.882057000000003</v>
      </c>
      <c r="BA96" s="7">
        <v>100</v>
      </c>
      <c r="BB96" s="7">
        <v>0.62860300000000002</v>
      </c>
      <c r="BC96" s="7">
        <v>31.430133999999999</v>
      </c>
      <c r="BD96" s="7">
        <v>50</v>
      </c>
      <c r="BE96" s="7">
        <v>0.68929099999999999</v>
      </c>
      <c r="BF96" s="7">
        <v>34.464561000000003</v>
      </c>
      <c r="BG96" s="7">
        <v>50</v>
      </c>
      <c r="BH96" s="7">
        <v>0</v>
      </c>
      <c r="BI96" s="7">
        <v>0.98033099999999995</v>
      </c>
      <c r="BJ96" s="7">
        <v>0.97607699999999997</v>
      </c>
      <c r="BK96" s="7">
        <v>0.98357700000000003</v>
      </c>
      <c r="BL96" s="7">
        <v>0.98033099999999995</v>
      </c>
      <c r="BM96" s="7">
        <v>0.97607699999999997</v>
      </c>
      <c r="BN96" s="7">
        <v>0.98357700000000003</v>
      </c>
      <c r="BO96" s="7">
        <v>0.97674399999999995</v>
      </c>
      <c r="BP96" s="7">
        <v>0.97916700000000001</v>
      </c>
      <c r="BQ96" s="7">
        <v>0.97508899999999998</v>
      </c>
      <c r="BR96" s="7">
        <v>7.6693999999999998E-2</v>
      </c>
      <c r="BS96" s="7">
        <v>44.661118000000002</v>
      </c>
      <c r="BT96" s="7">
        <v>50</v>
      </c>
      <c r="BU96" s="7">
        <v>0.10814600000000001</v>
      </c>
      <c r="BV96" s="7">
        <v>38.370787</v>
      </c>
      <c r="BW96" s="7">
        <v>50</v>
      </c>
      <c r="BX96" s="7">
        <v>0.87171100000000001</v>
      </c>
      <c r="BY96" s="7">
        <v>50</v>
      </c>
      <c r="BZ96" s="7">
        <v>50</v>
      </c>
      <c r="CA96" s="7">
        <v>0.49013200000000001</v>
      </c>
      <c r="CB96" s="7">
        <v>32.675438999999997</v>
      </c>
      <c r="CC96" s="7">
        <v>50</v>
      </c>
      <c r="CD96" s="7">
        <v>0.94160600000000005</v>
      </c>
      <c r="CE96" s="7">
        <v>50</v>
      </c>
      <c r="CF96" s="7">
        <v>50</v>
      </c>
      <c r="CG96" s="7">
        <v>0.90909099999999998</v>
      </c>
      <c r="CH96" s="7">
        <v>96.711798999999999</v>
      </c>
      <c r="CI96" s="7">
        <v>100</v>
      </c>
      <c r="CJ96" s="7">
        <v>1</v>
      </c>
      <c r="CK96" s="7">
        <v>0.72916700000000001</v>
      </c>
      <c r="CL96" s="7">
        <v>77.570921999999996</v>
      </c>
      <c r="CM96" s="7">
        <v>100</v>
      </c>
      <c r="CN96" s="7">
        <v>0.73799999999999999</v>
      </c>
      <c r="CO96" s="7">
        <v>98.412698000000006</v>
      </c>
      <c r="CP96" s="7">
        <v>100</v>
      </c>
      <c r="CQ96" s="7">
        <v>0.43399599999999999</v>
      </c>
      <c r="CR96" s="7">
        <v>1.00363</v>
      </c>
      <c r="CS96" s="7">
        <v>28.933091999999998</v>
      </c>
      <c r="CT96" s="7">
        <v>50</v>
      </c>
      <c r="CU96" s="7">
        <v>0.40034399999999998</v>
      </c>
      <c r="CV96" s="7">
        <v>33.361969999999999</v>
      </c>
      <c r="CW96" s="7">
        <v>50</v>
      </c>
      <c r="CX96" s="7">
        <v>0.72916700000000001</v>
      </c>
      <c r="CY96" s="7">
        <v>0.94</v>
      </c>
      <c r="CZ96" s="7">
        <v>0.21083299999999999</v>
      </c>
      <c r="DA96" s="7">
        <v>15.389535</v>
      </c>
      <c r="DB96" s="7">
        <v>17.608319000000002</v>
      </c>
      <c r="DC96" s="7">
        <v>16.064022999999999</v>
      </c>
      <c r="DD96" s="7">
        <v>11.115401</v>
      </c>
      <c r="DE96" s="4" t="s">
        <v>124</v>
      </c>
      <c r="DF96" s="6"/>
      <c r="DG96" s="6"/>
      <c r="DH96" s="6"/>
      <c r="DI96" s="6"/>
      <c r="DJ96" s="4" t="s">
        <v>124</v>
      </c>
      <c r="DK96" s="4" t="s">
        <v>124</v>
      </c>
      <c r="DL96" s="4" t="s">
        <v>124</v>
      </c>
      <c r="DM96" s="4" t="s">
        <v>124</v>
      </c>
      <c r="DN96" s="4" t="s">
        <v>124</v>
      </c>
      <c r="DO96" s="4" t="s">
        <v>124</v>
      </c>
      <c r="DP96" s="6"/>
      <c r="DQ96" s="4" t="s">
        <v>125</v>
      </c>
    </row>
    <row r="97" spans="1:121" ht="20" customHeight="1" x14ac:dyDescent="0.15">
      <c r="A97" s="5">
        <v>2018</v>
      </c>
      <c r="B97" s="3" t="s">
        <v>220</v>
      </c>
      <c r="C97" s="4" t="str">
        <f t="shared" ref="C97:C317" si="95">"0280011"</f>
        <v>0280011</v>
      </c>
      <c r="D97" s="4" t="s">
        <v>122</v>
      </c>
      <c r="E97" s="4" t="str">
        <f t="shared" si="1"/>
        <v>0000000</v>
      </c>
      <c r="F97" s="4" t="s">
        <v>122</v>
      </c>
      <c r="G97" s="4" t="s">
        <v>122</v>
      </c>
      <c r="H97" s="4" t="s">
        <v>122</v>
      </c>
      <c r="I97" s="6"/>
      <c r="J97" s="4" t="s">
        <v>123</v>
      </c>
      <c r="K97" s="7">
        <v>1117.4167930000001</v>
      </c>
      <c r="L97" s="7">
        <v>1350</v>
      </c>
      <c r="M97" s="7">
        <v>82.771614</v>
      </c>
      <c r="N97" s="4" t="s">
        <v>124</v>
      </c>
      <c r="O97" s="7">
        <v>0</v>
      </c>
      <c r="P97" s="7">
        <v>73.375600000000006</v>
      </c>
      <c r="Q97" s="7">
        <v>48.917067000000003</v>
      </c>
      <c r="R97" s="7">
        <v>50</v>
      </c>
      <c r="S97" s="7">
        <v>63.266941000000003</v>
      </c>
      <c r="T97" s="7">
        <v>75</v>
      </c>
      <c r="U97" s="7">
        <v>42.177959999999999</v>
      </c>
      <c r="V97" s="7">
        <v>50</v>
      </c>
      <c r="W97" s="7">
        <v>71.859520000000003</v>
      </c>
      <c r="X97" s="7">
        <v>47.906345999999999</v>
      </c>
      <c r="Y97" s="7">
        <v>50</v>
      </c>
      <c r="Z97" s="7">
        <v>75</v>
      </c>
      <c r="AA97" s="7">
        <v>60.645617999999999</v>
      </c>
      <c r="AB97" s="7">
        <v>40.430411999999997</v>
      </c>
      <c r="AC97" s="7">
        <v>50</v>
      </c>
      <c r="AD97" s="7">
        <v>70.648956999999996</v>
      </c>
      <c r="AE97" s="7">
        <v>47.099305000000001</v>
      </c>
      <c r="AF97" s="7">
        <v>50</v>
      </c>
      <c r="AG97" s="7">
        <v>60.293515999999997</v>
      </c>
      <c r="AH97" s="7">
        <v>74.912963000000005</v>
      </c>
      <c r="AI97" s="7">
        <v>40.195677000000003</v>
      </c>
      <c r="AJ97" s="7">
        <v>50</v>
      </c>
      <c r="AK97" s="7">
        <v>11.73</v>
      </c>
      <c r="AL97" s="7">
        <v>14.35</v>
      </c>
      <c r="AM97" s="7">
        <v>14.61</v>
      </c>
      <c r="AN97" s="7">
        <v>0.60344900000000001</v>
      </c>
      <c r="AO97" s="7">
        <v>60.344909999999999</v>
      </c>
      <c r="AP97" s="7">
        <v>100</v>
      </c>
      <c r="AQ97" s="7">
        <v>0.76095299999999999</v>
      </c>
      <c r="AR97" s="7">
        <v>76.095263000000003</v>
      </c>
      <c r="AS97" s="7">
        <v>100</v>
      </c>
      <c r="AT97" s="7">
        <v>0.56180200000000002</v>
      </c>
      <c r="AU97" s="7">
        <v>0.62389700000000003</v>
      </c>
      <c r="AV97" s="7">
        <v>56.180197</v>
      </c>
      <c r="AW97" s="7">
        <v>100</v>
      </c>
      <c r="AX97" s="7">
        <v>0.66494799999999998</v>
      </c>
      <c r="AY97" s="7">
        <v>0.80791500000000005</v>
      </c>
      <c r="AZ97" s="7">
        <v>66.494753000000003</v>
      </c>
      <c r="BA97" s="7">
        <v>100</v>
      </c>
      <c r="BB97" s="4" t="s">
        <v>124</v>
      </c>
      <c r="BC97" s="4" t="s">
        <v>124</v>
      </c>
      <c r="BD97" s="4" t="s">
        <v>124</v>
      </c>
      <c r="BE97" s="4" t="s">
        <v>124</v>
      </c>
      <c r="BF97" s="4" t="s">
        <v>124</v>
      </c>
      <c r="BG97" s="4" t="s">
        <v>124</v>
      </c>
      <c r="BH97" s="7">
        <v>0</v>
      </c>
      <c r="BI97" s="7">
        <v>0.99331700000000001</v>
      </c>
      <c r="BJ97" s="7">
        <v>0.98707999999999996</v>
      </c>
      <c r="BK97" s="7">
        <v>0.99629599999999996</v>
      </c>
      <c r="BL97" s="7">
        <v>0.99164600000000003</v>
      </c>
      <c r="BM97" s="7">
        <v>0.98191200000000001</v>
      </c>
      <c r="BN97" s="7">
        <v>0.99629599999999996</v>
      </c>
      <c r="BO97" s="7">
        <v>0.98351599999999995</v>
      </c>
      <c r="BP97" s="7">
        <v>0.97484300000000002</v>
      </c>
      <c r="BQ97" s="7">
        <v>0.98707999999999996</v>
      </c>
      <c r="BR97" s="7">
        <v>6.0035999999999999E-2</v>
      </c>
      <c r="BS97" s="7">
        <v>47.992832</v>
      </c>
      <c r="BT97" s="7">
        <v>50</v>
      </c>
      <c r="BU97" s="7">
        <v>0.112125</v>
      </c>
      <c r="BV97" s="7">
        <v>37.574967000000001</v>
      </c>
      <c r="BW97" s="7">
        <v>50</v>
      </c>
      <c r="BX97" s="7">
        <v>0.93866700000000003</v>
      </c>
      <c r="BY97" s="7">
        <v>50</v>
      </c>
      <c r="BZ97" s="7">
        <v>50</v>
      </c>
      <c r="CA97" s="7">
        <v>0.466667</v>
      </c>
      <c r="CB97" s="7">
        <v>31.111111000000001</v>
      </c>
      <c r="CC97" s="7">
        <v>50</v>
      </c>
      <c r="CD97" s="7">
        <v>0.92424200000000001</v>
      </c>
      <c r="CE97" s="7">
        <v>49.161830999999999</v>
      </c>
      <c r="CF97" s="7">
        <v>50</v>
      </c>
      <c r="CG97" s="7">
        <v>0.94144099999999997</v>
      </c>
      <c r="CH97" s="7">
        <v>100</v>
      </c>
      <c r="CI97" s="7">
        <v>100</v>
      </c>
      <c r="CJ97" s="7">
        <v>0</v>
      </c>
      <c r="CK97" s="7">
        <v>0.90322599999999997</v>
      </c>
      <c r="CL97" s="7">
        <v>96.087851999999998</v>
      </c>
      <c r="CM97" s="7">
        <v>100</v>
      </c>
      <c r="CN97" s="7">
        <v>0.77</v>
      </c>
      <c r="CO97" s="7">
        <v>100</v>
      </c>
      <c r="CP97" s="7">
        <v>100</v>
      </c>
      <c r="CQ97" s="7">
        <v>0.66104099999999999</v>
      </c>
      <c r="CR97" s="7">
        <v>0.97799199999999997</v>
      </c>
      <c r="CS97" s="7">
        <v>44.069386000000002</v>
      </c>
      <c r="CT97" s="7">
        <v>50</v>
      </c>
      <c r="CU97" s="7">
        <v>0.426923</v>
      </c>
      <c r="CV97" s="7">
        <v>35.576923000000001</v>
      </c>
      <c r="CW97" s="7">
        <v>50</v>
      </c>
      <c r="CX97" s="7">
        <v>0.90322599999999997</v>
      </c>
      <c r="CY97" s="7">
        <v>0.94</v>
      </c>
      <c r="CZ97" s="7">
        <v>3.6774000000000001E-2</v>
      </c>
      <c r="DA97" s="7">
        <v>15.389535</v>
      </c>
      <c r="DB97" s="7">
        <v>17.608319000000002</v>
      </c>
      <c r="DC97" s="7">
        <v>16.064022999999999</v>
      </c>
      <c r="DD97" s="7">
        <v>11.115401</v>
      </c>
      <c r="DE97" s="4" t="s">
        <v>124</v>
      </c>
      <c r="DF97" s="6"/>
      <c r="DG97" s="6"/>
      <c r="DH97" s="6"/>
      <c r="DI97" s="6"/>
      <c r="DJ97" s="4" t="s">
        <v>124</v>
      </c>
      <c r="DK97" s="4" t="s">
        <v>124</v>
      </c>
      <c r="DL97" s="4" t="s">
        <v>124</v>
      </c>
      <c r="DM97" s="4" t="s">
        <v>124</v>
      </c>
      <c r="DN97" s="4" t="s">
        <v>124</v>
      </c>
      <c r="DO97" s="4" t="s">
        <v>124</v>
      </c>
      <c r="DP97" s="6"/>
      <c r="DQ97" s="4" t="s">
        <v>125</v>
      </c>
    </row>
    <row r="98" spans="1:121" ht="20" customHeight="1" x14ac:dyDescent="0.15">
      <c r="A98" s="5">
        <v>2018</v>
      </c>
      <c r="B98" s="3" t="s">
        <v>221</v>
      </c>
      <c r="C98" s="4" t="str">
        <f t="shared" ref="C98:C944" si="96">"1450011"</f>
        <v>1450011</v>
      </c>
      <c r="D98" s="4" t="s">
        <v>122</v>
      </c>
      <c r="E98" s="4" t="str">
        <f t="shared" si="1"/>
        <v>0000000</v>
      </c>
      <c r="F98" s="4" t="s">
        <v>122</v>
      </c>
      <c r="G98" s="4" t="s">
        <v>122</v>
      </c>
      <c r="H98" s="4" t="s">
        <v>122</v>
      </c>
      <c r="I98" s="6"/>
      <c r="J98" s="4" t="s">
        <v>123</v>
      </c>
      <c r="K98" s="7">
        <v>277.11498</v>
      </c>
      <c r="L98" s="7">
        <v>350</v>
      </c>
      <c r="M98" s="7">
        <v>79.175708999999998</v>
      </c>
      <c r="N98" s="4" t="s">
        <v>124</v>
      </c>
      <c r="O98" s="7">
        <v>0</v>
      </c>
      <c r="P98" s="7">
        <v>74.215677999999997</v>
      </c>
      <c r="Q98" s="7">
        <v>49.477119000000002</v>
      </c>
      <c r="R98" s="7">
        <v>50</v>
      </c>
      <c r="S98" s="4" t="s">
        <v>124</v>
      </c>
      <c r="T98" s="4" t="s">
        <v>124</v>
      </c>
      <c r="U98" s="4" t="s">
        <v>124</v>
      </c>
      <c r="V98" s="4" t="s">
        <v>124</v>
      </c>
      <c r="W98" s="7">
        <v>64.996791999999999</v>
      </c>
      <c r="X98" s="7">
        <v>43.331194000000004</v>
      </c>
      <c r="Y98" s="7">
        <v>50</v>
      </c>
      <c r="Z98" s="4" t="s">
        <v>124</v>
      </c>
      <c r="AA98" s="4" t="s">
        <v>124</v>
      </c>
      <c r="AB98" s="4" t="s">
        <v>124</v>
      </c>
      <c r="AC98" s="4" t="s">
        <v>124</v>
      </c>
      <c r="AD98" s="4" t="s">
        <v>124</v>
      </c>
      <c r="AE98" s="4" t="s">
        <v>124</v>
      </c>
      <c r="AF98" s="4" t="s">
        <v>124</v>
      </c>
      <c r="AG98" s="4" t="s">
        <v>124</v>
      </c>
      <c r="AH98" s="4" t="s">
        <v>124</v>
      </c>
      <c r="AI98" s="4" t="s">
        <v>124</v>
      </c>
      <c r="AJ98" s="4" t="s">
        <v>124</v>
      </c>
      <c r="AK98" s="4" t="s">
        <v>124</v>
      </c>
      <c r="AL98" s="4" t="s">
        <v>124</v>
      </c>
      <c r="AM98" s="4" t="s">
        <v>124</v>
      </c>
      <c r="AN98" s="7">
        <v>0.68572699999999998</v>
      </c>
      <c r="AO98" s="7">
        <v>68.572731000000005</v>
      </c>
      <c r="AP98" s="7">
        <v>100</v>
      </c>
      <c r="AQ98" s="7">
        <v>0.65733900000000001</v>
      </c>
      <c r="AR98" s="7">
        <v>65.733936999999997</v>
      </c>
      <c r="AS98" s="7">
        <v>100</v>
      </c>
      <c r="AT98" s="4" t="s">
        <v>124</v>
      </c>
      <c r="AU98" s="4" t="s">
        <v>124</v>
      </c>
      <c r="AV98" s="4" t="s">
        <v>124</v>
      </c>
      <c r="AW98" s="4" t="s">
        <v>124</v>
      </c>
      <c r="AX98" s="4" t="s">
        <v>124</v>
      </c>
      <c r="AY98" s="4" t="s">
        <v>124</v>
      </c>
      <c r="AZ98" s="4" t="s">
        <v>124</v>
      </c>
      <c r="BA98" s="4" t="s">
        <v>124</v>
      </c>
      <c r="BB98" s="4" t="s">
        <v>124</v>
      </c>
      <c r="BC98" s="4" t="s">
        <v>124</v>
      </c>
      <c r="BD98" s="4" t="s">
        <v>124</v>
      </c>
      <c r="BE98" s="4" t="s">
        <v>124</v>
      </c>
      <c r="BF98" s="4" t="s">
        <v>124</v>
      </c>
      <c r="BG98" s="4" t="s">
        <v>124</v>
      </c>
      <c r="BH98" s="7">
        <v>0</v>
      </c>
      <c r="BI98" s="7">
        <v>1</v>
      </c>
      <c r="BJ98" s="4" t="s">
        <v>124</v>
      </c>
      <c r="BK98" s="4" t="s">
        <v>124</v>
      </c>
      <c r="BL98" s="7">
        <v>1</v>
      </c>
      <c r="BM98" s="4" t="s">
        <v>124</v>
      </c>
      <c r="BN98" s="4" t="s">
        <v>124</v>
      </c>
      <c r="BO98" s="4" t="s">
        <v>124</v>
      </c>
      <c r="BP98" s="4" t="s">
        <v>124</v>
      </c>
      <c r="BQ98" s="4" t="s">
        <v>124</v>
      </c>
      <c r="BR98" s="7">
        <v>4.3478000000000003E-2</v>
      </c>
      <c r="BS98" s="7">
        <v>50</v>
      </c>
      <c r="BT98" s="7">
        <v>50</v>
      </c>
      <c r="BU98" s="4" t="s">
        <v>124</v>
      </c>
      <c r="BV98" s="4" t="s">
        <v>124</v>
      </c>
      <c r="BW98" s="4" t="s">
        <v>124</v>
      </c>
      <c r="BX98" s="4" t="s">
        <v>124</v>
      </c>
      <c r="BY98" s="4" t="s">
        <v>124</v>
      </c>
      <c r="BZ98" s="4" t="s">
        <v>124</v>
      </c>
      <c r="CA98" s="4" t="s">
        <v>124</v>
      </c>
      <c r="CB98" s="4" t="s">
        <v>124</v>
      </c>
      <c r="CC98" s="4" t="s">
        <v>124</v>
      </c>
      <c r="CD98" s="4" t="s">
        <v>124</v>
      </c>
      <c r="CE98" s="4" t="s">
        <v>124</v>
      </c>
      <c r="CF98" s="4" t="s">
        <v>124</v>
      </c>
      <c r="CG98" s="4" t="s">
        <v>124</v>
      </c>
      <c r="CH98" s="4" t="s">
        <v>124</v>
      </c>
      <c r="CI98" s="4" t="s">
        <v>124</v>
      </c>
      <c r="CJ98" s="4" t="s">
        <v>124</v>
      </c>
      <c r="CK98" s="4" t="s">
        <v>124</v>
      </c>
      <c r="CL98" s="4" t="s">
        <v>124</v>
      </c>
      <c r="CM98" s="4" t="s">
        <v>124</v>
      </c>
      <c r="CN98" s="4" t="s">
        <v>124</v>
      </c>
      <c r="CO98" s="4" t="s">
        <v>124</v>
      </c>
      <c r="CP98" s="4" t="s">
        <v>124</v>
      </c>
      <c r="CQ98" s="4" t="s">
        <v>124</v>
      </c>
      <c r="CR98" s="4" t="s">
        <v>124</v>
      </c>
      <c r="CS98" s="4" t="s">
        <v>124</v>
      </c>
      <c r="CT98" s="4" t="s">
        <v>124</v>
      </c>
      <c r="CU98" s="4" t="s">
        <v>124</v>
      </c>
      <c r="CV98" s="4" t="s">
        <v>124</v>
      </c>
      <c r="CW98" s="4" t="s">
        <v>124</v>
      </c>
      <c r="CX98" s="4" t="s">
        <v>124</v>
      </c>
      <c r="CY98" s="4" t="s">
        <v>124</v>
      </c>
      <c r="CZ98" s="4" t="s">
        <v>124</v>
      </c>
      <c r="DA98" s="7">
        <v>15.389535</v>
      </c>
      <c r="DB98" s="7">
        <v>17.608319000000002</v>
      </c>
      <c r="DC98" s="7">
        <v>16.064022999999999</v>
      </c>
      <c r="DD98" s="4" t="s">
        <v>124</v>
      </c>
      <c r="DE98" s="4" t="s">
        <v>124</v>
      </c>
      <c r="DF98" s="6"/>
      <c r="DG98" s="6"/>
      <c r="DH98" s="6"/>
      <c r="DI98" s="6"/>
      <c r="DJ98" s="4" t="s">
        <v>124</v>
      </c>
      <c r="DK98" s="4" t="s">
        <v>124</v>
      </c>
      <c r="DL98" s="4" t="s">
        <v>124</v>
      </c>
      <c r="DM98" s="4" t="s">
        <v>124</v>
      </c>
      <c r="DN98" s="4" t="s">
        <v>124</v>
      </c>
      <c r="DO98" s="4" t="s">
        <v>124</v>
      </c>
      <c r="DP98" s="6"/>
      <c r="DQ98" s="4" t="s">
        <v>125</v>
      </c>
    </row>
    <row r="99" spans="1:121" ht="20" customHeight="1" x14ac:dyDescent="0.15">
      <c r="A99" s="5">
        <v>2018</v>
      </c>
      <c r="B99" s="3" t="s">
        <v>222</v>
      </c>
      <c r="C99" s="4" t="str">
        <f t="shared" ref="C99:C346" si="97">"0340011"</f>
        <v>0340011</v>
      </c>
      <c r="D99" s="4" t="s">
        <v>122</v>
      </c>
      <c r="E99" s="4" t="str">
        <f t="shared" si="1"/>
        <v>0000000</v>
      </c>
      <c r="F99" s="4" t="s">
        <v>122</v>
      </c>
      <c r="G99" s="4" t="s">
        <v>122</v>
      </c>
      <c r="H99" s="4" t="s">
        <v>122</v>
      </c>
      <c r="I99" s="6"/>
      <c r="J99" s="4" t="s">
        <v>123</v>
      </c>
      <c r="K99" s="7">
        <v>1052.916684</v>
      </c>
      <c r="L99" s="7">
        <v>1450</v>
      </c>
      <c r="M99" s="7">
        <v>72.614943999999994</v>
      </c>
      <c r="N99" s="4" t="s">
        <v>124</v>
      </c>
      <c r="O99" s="7">
        <v>0</v>
      </c>
      <c r="P99" s="7">
        <v>64.324583000000004</v>
      </c>
      <c r="Q99" s="7">
        <v>42.883054999999999</v>
      </c>
      <c r="R99" s="7">
        <v>50</v>
      </c>
      <c r="S99" s="7">
        <v>60.546171000000001</v>
      </c>
      <c r="T99" s="7">
        <v>74.196433999999996</v>
      </c>
      <c r="U99" s="7">
        <v>40.364114000000001</v>
      </c>
      <c r="V99" s="7">
        <v>50</v>
      </c>
      <c r="W99" s="7">
        <v>58.811138</v>
      </c>
      <c r="X99" s="7">
        <v>39.207425000000001</v>
      </c>
      <c r="Y99" s="7">
        <v>50</v>
      </c>
      <c r="Z99" s="7">
        <v>68.045766999999998</v>
      </c>
      <c r="AA99" s="7">
        <v>55.280977999999998</v>
      </c>
      <c r="AB99" s="7">
        <v>36.853985000000002</v>
      </c>
      <c r="AC99" s="7">
        <v>50</v>
      </c>
      <c r="AD99" s="7">
        <v>59.508603000000001</v>
      </c>
      <c r="AE99" s="7">
        <v>39.672401999999998</v>
      </c>
      <c r="AF99" s="7">
        <v>50</v>
      </c>
      <c r="AG99" s="7">
        <v>55.342844999999997</v>
      </c>
      <c r="AH99" s="7">
        <v>68.615539999999996</v>
      </c>
      <c r="AI99" s="7">
        <v>36.895229999999998</v>
      </c>
      <c r="AJ99" s="7">
        <v>50</v>
      </c>
      <c r="AK99" s="7">
        <v>13.65</v>
      </c>
      <c r="AL99" s="7">
        <v>12.76</v>
      </c>
      <c r="AM99" s="7">
        <v>13.27</v>
      </c>
      <c r="AN99" s="7">
        <v>0.57200300000000004</v>
      </c>
      <c r="AO99" s="7">
        <v>57.200274999999998</v>
      </c>
      <c r="AP99" s="7">
        <v>100</v>
      </c>
      <c r="AQ99" s="7">
        <v>0.56756899999999999</v>
      </c>
      <c r="AR99" s="7">
        <v>56.756867999999997</v>
      </c>
      <c r="AS99" s="7">
        <v>100</v>
      </c>
      <c r="AT99" s="7">
        <v>0.56339700000000004</v>
      </c>
      <c r="AU99" s="7">
        <v>0.59478299999999995</v>
      </c>
      <c r="AV99" s="7">
        <v>56.339682000000003</v>
      </c>
      <c r="AW99" s="7">
        <v>100</v>
      </c>
      <c r="AX99" s="7">
        <v>0.54871800000000004</v>
      </c>
      <c r="AY99" s="7">
        <v>0.61761200000000005</v>
      </c>
      <c r="AZ99" s="7">
        <v>54.871782000000003</v>
      </c>
      <c r="BA99" s="7">
        <v>100</v>
      </c>
      <c r="BB99" s="7">
        <v>0.63505100000000003</v>
      </c>
      <c r="BC99" s="7">
        <v>31.752559000000002</v>
      </c>
      <c r="BD99" s="7">
        <v>50</v>
      </c>
      <c r="BE99" s="7">
        <v>0.54850900000000002</v>
      </c>
      <c r="BF99" s="7">
        <v>27.425429000000001</v>
      </c>
      <c r="BG99" s="7">
        <v>50</v>
      </c>
      <c r="BH99" s="7">
        <v>0</v>
      </c>
      <c r="BI99" s="7">
        <v>0.99144900000000002</v>
      </c>
      <c r="BJ99" s="7">
        <v>0.99276799999999998</v>
      </c>
      <c r="BK99" s="7">
        <v>0.98776799999999998</v>
      </c>
      <c r="BL99" s="7">
        <v>0.98983399999999999</v>
      </c>
      <c r="BM99" s="7">
        <v>0.99101899999999998</v>
      </c>
      <c r="BN99" s="7">
        <v>0.98651999999999995</v>
      </c>
      <c r="BO99" s="7">
        <v>0.98211499999999996</v>
      </c>
      <c r="BP99" s="7">
        <v>0.98007699999999998</v>
      </c>
      <c r="BQ99" s="7">
        <v>0.98692800000000003</v>
      </c>
      <c r="BR99" s="7">
        <v>7.1353E-2</v>
      </c>
      <c r="BS99" s="7">
        <v>45.729349999999997</v>
      </c>
      <c r="BT99" s="7">
        <v>50</v>
      </c>
      <c r="BU99" s="7">
        <v>8.3414000000000002E-2</v>
      </c>
      <c r="BV99" s="7">
        <v>43.317261000000002</v>
      </c>
      <c r="BW99" s="7">
        <v>50</v>
      </c>
      <c r="BX99" s="7">
        <v>0.72037899999999999</v>
      </c>
      <c r="BY99" s="7">
        <v>48.025275999999998</v>
      </c>
      <c r="BZ99" s="7">
        <v>50</v>
      </c>
      <c r="CA99" s="7">
        <v>0.27759</v>
      </c>
      <c r="CB99" s="7">
        <v>18.505980999999998</v>
      </c>
      <c r="CC99" s="7">
        <v>50</v>
      </c>
      <c r="CD99" s="7">
        <v>0.84764700000000004</v>
      </c>
      <c r="CE99" s="7">
        <v>45.087609999999998</v>
      </c>
      <c r="CF99" s="7">
        <v>50</v>
      </c>
      <c r="CG99" s="7">
        <v>0.80921900000000002</v>
      </c>
      <c r="CH99" s="7">
        <v>86.087121999999994</v>
      </c>
      <c r="CI99" s="7">
        <v>100</v>
      </c>
      <c r="CJ99" s="7">
        <v>1</v>
      </c>
      <c r="CK99" s="7">
        <v>0.79431099999999999</v>
      </c>
      <c r="CL99" s="7">
        <v>84.501141000000004</v>
      </c>
      <c r="CM99" s="7">
        <v>100</v>
      </c>
      <c r="CN99" s="7">
        <v>0.67400000000000004</v>
      </c>
      <c r="CO99" s="7">
        <v>89.842631999999995</v>
      </c>
      <c r="CP99" s="7">
        <v>100</v>
      </c>
      <c r="CQ99" s="7">
        <v>0.47167599999999998</v>
      </c>
      <c r="CR99" s="7">
        <v>0.94425700000000001</v>
      </c>
      <c r="CS99" s="7">
        <v>31.445041</v>
      </c>
      <c r="CT99" s="7">
        <v>50</v>
      </c>
      <c r="CU99" s="7">
        <v>0.48182999999999998</v>
      </c>
      <c r="CV99" s="7">
        <v>40.152464000000002</v>
      </c>
      <c r="CW99" s="7">
        <v>50</v>
      </c>
      <c r="CX99" s="7">
        <v>0.79431099999999999</v>
      </c>
      <c r="CY99" s="7">
        <v>0.94</v>
      </c>
      <c r="CZ99" s="7">
        <v>0.14568900000000001</v>
      </c>
      <c r="DA99" s="7">
        <v>15.389535</v>
      </c>
      <c r="DB99" s="7">
        <v>17.608319000000002</v>
      </c>
      <c r="DC99" s="7">
        <v>16.064022999999999</v>
      </c>
      <c r="DD99" s="7">
        <v>11.115401</v>
      </c>
      <c r="DE99" s="4" t="s">
        <v>124</v>
      </c>
      <c r="DF99" s="6"/>
      <c r="DG99" s="6"/>
      <c r="DH99" s="6"/>
      <c r="DI99" s="6"/>
      <c r="DJ99" s="4" t="s">
        <v>124</v>
      </c>
      <c r="DK99" s="4" t="s">
        <v>124</v>
      </c>
      <c r="DL99" s="4" t="s">
        <v>124</v>
      </c>
      <c r="DM99" s="4" t="s">
        <v>124</v>
      </c>
      <c r="DN99" s="4" t="s">
        <v>124</v>
      </c>
      <c r="DO99" s="4" t="s">
        <v>124</v>
      </c>
      <c r="DP99" s="6"/>
      <c r="DQ99" s="4" t="s">
        <v>125</v>
      </c>
    </row>
    <row r="100" spans="1:121" ht="20" customHeight="1" x14ac:dyDescent="0.15">
      <c r="A100" s="5">
        <v>2018</v>
      </c>
      <c r="B100" s="3" t="s">
        <v>223</v>
      </c>
      <c r="C100" s="4" t="str">
        <f t="shared" ref="C100:C945" si="98">"1460011"</f>
        <v>1460011</v>
      </c>
      <c r="D100" s="4" t="s">
        <v>122</v>
      </c>
      <c r="E100" s="4" t="str">
        <f t="shared" si="1"/>
        <v>0000000</v>
      </c>
      <c r="F100" s="4" t="s">
        <v>122</v>
      </c>
      <c r="G100" s="4" t="s">
        <v>122</v>
      </c>
      <c r="H100" s="4" t="s">
        <v>122</v>
      </c>
      <c r="I100" s="6"/>
      <c r="J100" s="4" t="s">
        <v>123</v>
      </c>
      <c r="K100" s="7">
        <v>1080.6040370000001</v>
      </c>
      <c r="L100" s="7">
        <v>1450</v>
      </c>
      <c r="M100" s="7">
        <v>74.524416000000002</v>
      </c>
      <c r="N100" s="4" t="s">
        <v>124</v>
      </c>
      <c r="O100" s="7">
        <v>1</v>
      </c>
      <c r="P100" s="7">
        <v>66.626023000000004</v>
      </c>
      <c r="Q100" s="7">
        <v>44.417349000000002</v>
      </c>
      <c r="R100" s="7">
        <v>50</v>
      </c>
      <c r="S100" s="7">
        <v>60.446795000000002</v>
      </c>
      <c r="T100" s="7">
        <v>75</v>
      </c>
      <c r="U100" s="7">
        <v>40.297863</v>
      </c>
      <c r="V100" s="7">
        <v>50</v>
      </c>
      <c r="W100" s="7">
        <v>62.126418999999999</v>
      </c>
      <c r="X100" s="7">
        <v>41.417613000000003</v>
      </c>
      <c r="Y100" s="7">
        <v>50</v>
      </c>
      <c r="Z100" s="7">
        <v>72.699275</v>
      </c>
      <c r="AA100" s="7">
        <v>55.284495999999997</v>
      </c>
      <c r="AB100" s="7">
        <v>36.856330999999997</v>
      </c>
      <c r="AC100" s="7">
        <v>50</v>
      </c>
      <c r="AD100" s="7">
        <v>63.955184000000003</v>
      </c>
      <c r="AE100" s="7">
        <v>42.636789</v>
      </c>
      <c r="AF100" s="7">
        <v>50</v>
      </c>
      <c r="AG100" s="7">
        <v>56.577826999999999</v>
      </c>
      <c r="AH100" s="7">
        <v>72.872867999999997</v>
      </c>
      <c r="AI100" s="7">
        <v>37.718552000000003</v>
      </c>
      <c r="AJ100" s="7">
        <v>50</v>
      </c>
      <c r="AK100" s="7">
        <v>14.55</v>
      </c>
      <c r="AL100" s="7">
        <v>17.41</v>
      </c>
      <c r="AM100" s="7">
        <v>16.29</v>
      </c>
      <c r="AN100" s="7">
        <v>0.65812599999999999</v>
      </c>
      <c r="AO100" s="7">
        <v>65.812646000000001</v>
      </c>
      <c r="AP100" s="7">
        <v>100</v>
      </c>
      <c r="AQ100" s="7">
        <v>0.648536</v>
      </c>
      <c r="AR100" s="7">
        <v>64.853645</v>
      </c>
      <c r="AS100" s="7">
        <v>100</v>
      </c>
      <c r="AT100" s="7">
        <v>0.62103299999999995</v>
      </c>
      <c r="AU100" s="7">
        <v>0.71514599999999995</v>
      </c>
      <c r="AV100" s="7">
        <v>62.103341999999998</v>
      </c>
      <c r="AW100" s="7">
        <v>100</v>
      </c>
      <c r="AX100" s="7">
        <v>0.59894099999999995</v>
      </c>
      <c r="AY100" s="7">
        <v>0.72391300000000003</v>
      </c>
      <c r="AZ100" s="7">
        <v>59.894053999999997</v>
      </c>
      <c r="BA100" s="7">
        <v>100</v>
      </c>
      <c r="BB100" s="7">
        <v>0.741981</v>
      </c>
      <c r="BC100" s="7">
        <v>37.099063999999998</v>
      </c>
      <c r="BD100" s="7">
        <v>50</v>
      </c>
      <c r="BE100" s="7">
        <v>0.58566099999999999</v>
      </c>
      <c r="BF100" s="7">
        <v>29.283048000000001</v>
      </c>
      <c r="BG100" s="7">
        <v>50</v>
      </c>
      <c r="BH100" s="7">
        <v>0</v>
      </c>
      <c r="BI100" s="7">
        <v>0.99080299999999999</v>
      </c>
      <c r="BJ100" s="7">
        <v>0.98621999999999999</v>
      </c>
      <c r="BK100" s="7">
        <v>0.99837399999999998</v>
      </c>
      <c r="BL100" s="7">
        <v>0.98589800000000005</v>
      </c>
      <c r="BM100" s="7">
        <v>0.97933099999999995</v>
      </c>
      <c r="BN100" s="7">
        <v>0.99674799999999997</v>
      </c>
      <c r="BO100" s="7">
        <v>0.98417699999999997</v>
      </c>
      <c r="BP100" s="7">
        <v>0.97759099999999999</v>
      </c>
      <c r="BQ100" s="7">
        <v>0.99272700000000003</v>
      </c>
      <c r="BR100" s="7">
        <v>8.7203000000000003E-2</v>
      </c>
      <c r="BS100" s="7">
        <v>42.559305000000002</v>
      </c>
      <c r="BT100" s="7">
        <v>50</v>
      </c>
      <c r="BU100" s="7">
        <v>0.12576499999999999</v>
      </c>
      <c r="BV100" s="7">
        <v>34.846966999999999</v>
      </c>
      <c r="BW100" s="7">
        <v>50</v>
      </c>
      <c r="BX100" s="7">
        <v>0.90322599999999997</v>
      </c>
      <c r="BY100" s="7">
        <v>50</v>
      </c>
      <c r="BZ100" s="7">
        <v>50</v>
      </c>
      <c r="CA100" s="7">
        <v>0.36972699999999997</v>
      </c>
      <c r="CB100" s="7">
        <v>24.64847</v>
      </c>
      <c r="CC100" s="7">
        <v>50</v>
      </c>
      <c r="CD100" s="7">
        <v>0.82582</v>
      </c>
      <c r="CE100" s="7">
        <v>43.926577999999999</v>
      </c>
      <c r="CF100" s="7">
        <v>50</v>
      </c>
      <c r="CG100" s="7">
        <v>0.78181800000000001</v>
      </c>
      <c r="CH100" s="7">
        <v>83.172146999999995</v>
      </c>
      <c r="CI100" s="7">
        <v>100</v>
      </c>
      <c r="CJ100" s="7">
        <v>1</v>
      </c>
      <c r="CK100" s="7">
        <v>0.67961199999999999</v>
      </c>
      <c r="CL100" s="7">
        <v>72.299111999999994</v>
      </c>
      <c r="CM100" s="7">
        <v>100</v>
      </c>
      <c r="CN100" s="7">
        <v>0.67</v>
      </c>
      <c r="CO100" s="7">
        <v>89.385475</v>
      </c>
      <c r="CP100" s="7">
        <v>100</v>
      </c>
      <c r="CQ100" s="7">
        <v>0.49209900000000001</v>
      </c>
      <c r="CR100" s="7">
        <v>0.97684700000000002</v>
      </c>
      <c r="CS100" s="7">
        <v>32.806621999999997</v>
      </c>
      <c r="CT100" s="7">
        <v>50</v>
      </c>
      <c r="CU100" s="7">
        <v>0.534829</v>
      </c>
      <c r="CV100" s="7">
        <v>44.569066999999997</v>
      </c>
      <c r="CW100" s="7">
        <v>50</v>
      </c>
      <c r="CX100" s="7">
        <v>0.67961199999999999</v>
      </c>
      <c r="CY100" s="7">
        <v>0.94</v>
      </c>
      <c r="CZ100" s="7">
        <v>0.26038800000000001</v>
      </c>
      <c r="DA100" s="7">
        <v>15.389535</v>
      </c>
      <c r="DB100" s="7">
        <v>17.608319000000002</v>
      </c>
      <c r="DC100" s="7">
        <v>16.064022999999999</v>
      </c>
      <c r="DD100" s="7">
        <v>11.115401</v>
      </c>
      <c r="DE100" s="4" t="s">
        <v>124</v>
      </c>
      <c r="DF100" s="6"/>
      <c r="DG100" s="6"/>
      <c r="DH100" s="6"/>
      <c r="DI100" s="6"/>
      <c r="DJ100" s="4" t="s">
        <v>124</v>
      </c>
      <c r="DK100" s="4" t="s">
        <v>124</v>
      </c>
      <c r="DL100" s="4" t="s">
        <v>124</v>
      </c>
      <c r="DM100" s="4" t="s">
        <v>124</v>
      </c>
      <c r="DN100" s="4" t="s">
        <v>124</v>
      </c>
      <c r="DO100" s="4" t="s">
        <v>124</v>
      </c>
      <c r="DP100" s="6"/>
      <c r="DQ100" s="4" t="s">
        <v>125</v>
      </c>
    </row>
    <row r="101" spans="1:121" ht="20" customHeight="1" x14ac:dyDescent="0.15">
      <c r="A101" s="5">
        <v>2018</v>
      </c>
      <c r="B101" s="3" t="s">
        <v>224</v>
      </c>
      <c r="C101" s="4" t="str">
        <f t="shared" ref="C101:C725" si="99">"0970011"</f>
        <v>0970011</v>
      </c>
      <c r="D101" s="4" t="s">
        <v>122</v>
      </c>
      <c r="E101" s="4" t="str">
        <f t="shared" si="1"/>
        <v>0000000</v>
      </c>
      <c r="F101" s="4" t="s">
        <v>122</v>
      </c>
      <c r="G101" s="4" t="s">
        <v>122</v>
      </c>
      <c r="H101" s="4" t="s">
        <v>122</v>
      </c>
      <c r="I101" s="6"/>
      <c r="J101" s="4" t="s">
        <v>123</v>
      </c>
      <c r="K101" s="7">
        <v>1117.919028</v>
      </c>
      <c r="L101" s="7">
        <v>1350</v>
      </c>
      <c r="M101" s="7">
        <v>82.808817000000005</v>
      </c>
      <c r="N101" s="4" t="s">
        <v>124</v>
      </c>
      <c r="O101" s="7">
        <v>0</v>
      </c>
      <c r="P101" s="7">
        <v>76.279437999999999</v>
      </c>
      <c r="Q101" s="7">
        <v>50</v>
      </c>
      <c r="R101" s="7">
        <v>50</v>
      </c>
      <c r="S101" s="7">
        <v>62.566541000000001</v>
      </c>
      <c r="T101" s="7">
        <v>75</v>
      </c>
      <c r="U101" s="7">
        <v>41.711027999999999</v>
      </c>
      <c r="V101" s="7">
        <v>50</v>
      </c>
      <c r="W101" s="7">
        <v>73.911169000000001</v>
      </c>
      <c r="X101" s="7">
        <v>49.274113</v>
      </c>
      <c r="Y101" s="7">
        <v>50</v>
      </c>
      <c r="Z101" s="7">
        <v>75</v>
      </c>
      <c r="AA101" s="7">
        <v>58.282372000000002</v>
      </c>
      <c r="AB101" s="7">
        <v>38.854914999999998</v>
      </c>
      <c r="AC101" s="7">
        <v>50</v>
      </c>
      <c r="AD101" s="7">
        <v>69.967211000000006</v>
      </c>
      <c r="AE101" s="7">
        <v>46.644807</v>
      </c>
      <c r="AF101" s="7">
        <v>50</v>
      </c>
      <c r="AG101" s="7">
        <v>57.692875000000001</v>
      </c>
      <c r="AH101" s="7">
        <v>73.392964000000006</v>
      </c>
      <c r="AI101" s="7">
        <v>38.461917</v>
      </c>
      <c r="AJ101" s="7">
        <v>50</v>
      </c>
      <c r="AK101" s="7">
        <v>12.43</v>
      </c>
      <c r="AL101" s="7">
        <v>16.71</v>
      </c>
      <c r="AM101" s="7">
        <v>15.7</v>
      </c>
      <c r="AN101" s="7">
        <v>0.65480300000000002</v>
      </c>
      <c r="AO101" s="7">
        <v>65.480304000000004</v>
      </c>
      <c r="AP101" s="7">
        <v>100</v>
      </c>
      <c r="AQ101" s="7">
        <v>0.69644899999999998</v>
      </c>
      <c r="AR101" s="7">
        <v>69.644931999999997</v>
      </c>
      <c r="AS101" s="7">
        <v>100</v>
      </c>
      <c r="AT101" s="7">
        <v>0.58533299999999999</v>
      </c>
      <c r="AU101" s="7">
        <v>0.67500000000000004</v>
      </c>
      <c r="AV101" s="7">
        <v>58.533332000000001</v>
      </c>
      <c r="AW101" s="7">
        <v>100</v>
      </c>
      <c r="AX101" s="7">
        <v>0.55732700000000002</v>
      </c>
      <c r="AY101" s="7">
        <v>0.73662399999999995</v>
      </c>
      <c r="AZ101" s="7">
        <v>55.732703000000001</v>
      </c>
      <c r="BA101" s="7">
        <v>100</v>
      </c>
      <c r="BB101" s="4" t="s">
        <v>124</v>
      </c>
      <c r="BC101" s="4" t="s">
        <v>124</v>
      </c>
      <c r="BD101" s="4" t="s">
        <v>124</v>
      </c>
      <c r="BE101" s="4" t="s">
        <v>124</v>
      </c>
      <c r="BF101" s="4" t="s">
        <v>124</v>
      </c>
      <c r="BG101" s="4" t="s">
        <v>124</v>
      </c>
      <c r="BH101" s="7">
        <v>0</v>
      </c>
      <c r="BI101" s="7">
        <v>0.98827100000000001</v>
      </c>
      <c r="BJ101" s="7">
        <v>0.975518</v>
      </c>
      <c r="BK101" s="7">
        <v>0.99209499999999995</v>
      </c>
      <c r="BL101" s="7">
        <v>0.98827100000000001</v>
      </c>
      <c r="BM101" s="7">
        <v>0.975518</v>
      </c>
      <c r="BN101" s="7">
        <v>0.99209499999999995</v>
      </c>
      <c r="BO101" s="7">
        <v>0.97533199999999998</v>
      </c>
      <c r="BP101" s="7">
        <v>0.96186400000000005</v>
      </c>
      <c r="BQ101" s="7">
        <v>0.97921800000000003</v>
      </c>
      <c r="BR101" s="7">
        <v>4.3765999999999999E-2</v>
      </c>
      <c r="BS101" s="7">
        <v>50</v>
      </c>
      <c r="BT101" s="7">
        <v>50</v>
      </c>
      <c r="BU101" s="7">
        <v>9.3910999999999994E-2</v>
      </c>
      <c r="BV101" s="7">
        <v>41.217750000000002</v>
      </c>
      <c r="BW101" s="7">
        <v>50</v>
      </c>
      <c r="BX101" s="7">
        <v>0.94384699999999999</v>
      </c>
      <c r="BY101" s="7">
        <v>50</v>
      </c>
      <c r="BZ101" s="7">
        <v>50</v>
      </c>
      <c r="CA101" s="7">
        <v>0.679809</v>
      </c>
      <c r="CB101" s="7">
        <v>45.320588999999998</v>
      </c>
      <c r="CC101" s="7">
        <v>50</v>
      </c>
      <c r="CD101" s="7">
        <v>0.96769700000000003</v>
      </c>
      <c r="CE101" s="7">
        <v>50</v>
      </c>
      <c r="CF101" s="7">
        <v>50</v>
      </c>
      <c r="CG101" s="7">
        <v>0.96462300000000001</v>
      </c>
      <c r="CH101" s="7">
        <v>100</v>
      </c>
      <c r="CI101" s="7">
        <v>100</v>
      </c>
      <c r="CJ101" s="7">
        <v>0</v>
      </c>
      <c r="CK101" s="7">
        <v>0.9</v>
      </c>
      <c r="CL101" s="7">
        <v>95.744681</v>
      </c>
      <c r="CM101" s="7">
        <v>100</v>
      </c>
      <c r="CN101" s="7">
        <v>0.86099999999999999</v>
      </c>
      <c r="CO101" s="7">
        <v>100</v>
      </c>
      <c r="CP101" s="7">
        <v>100</v>
      </c>
      <c r="CQ101" s="7">
        <v>0.66512700000000002</v>
      </c>
      <c r="CR101" s="7">
        <v>0.95867199999999997</v>
      </c>
      <c r="CS101" s="7">
        <v>44.341800999999997</v>
      </c>
      <c r="CT101" s="7">
        <v>50</v>
      </c>
      <c r="CU101" s="7">
        <v>0.32347399999999998</v>
      </c>
      <c r="CV101" s="7">
        <v>26.956157000000001</v>
      </c>
      <c r="CW101" s="7">
        <v>50</v>
      </c>
      <c r="CX101" s="7">
        <v>0.9</v>
      </c>
      <c r="CY101" s="7">
        <v>0.94</v>
      </c>
      <c r="CZ101" s="7">
        <v>0.04</v>
      </c>
      <c r="DA101" s="7">
        <v>15.389535</v>
      </c>
      <c r="DB101" s="7">
        <v>17.608319000000002</v>
      </c>
      <c r="DC101" s="7">
        <v>16.064022999999999</v>
      </c>
      <c r="DD101" s="7">
        <v>11.115401</v>
      </c>
      <c r="DE101" s="4" t="s">
        <v>124</v>
      </c>
      <c r="DF101" s="6"/>
      <c r="DG101" s="6"/>
      <c r="DH101" s="6"/>
      <c r="DI101" s="6"/>
      <c r="DJ101" s="4" t="s">
        <v>124</v>
      </c>
      <c r="DK101" s="4" t="s">
        <v>124</v>
      </c>
      <c r="DL101" s="4" t="s">
        <v>124</v>
      </c>
      <c r="DM101" s="4" t="s">
        <v>124</v>
      </c>
      <c r="DN101" s="4" t="s">
        <v>124</v>
      </c>
      <c r="DO101" s="4" t="s">
        <v>124</v>
      </c>
      <c r="DP101" s="6"/>
      <c r="DQ101" s="4" t="s">
        <v>125</v>
      </c>
    </row>
    <row r="102" spans="1:121" ht="20" customHeight="1" x14ac:dyDescent="0.15">
      <c r="A102" s="5">
        <v>2018</v>
      </c>
      <c r="B102" s="3" t="s">
        <v>225</v>
      </c>
      <c r="C102" s="4" t="str">
        <f t="shared" ref="C102:C287" si="100">"0170011"</f>
        <v>0170011</v>
      </c>
      <c r="D102" s="4" t="s">
        <v>122</v>
      </c>
      <c r="E102" s="4" t="str">
        <f t="shared" si="1"/>
        <v>0000000</v>
      </c>
      <c r="F102" s="4" t="s">
        <v>122</v>
      </c>
      <c r="G102" s="4" t="s">
        <v>122</v>
      </c>
      <c r="H102" s="4" t="s">
        <v>122</v>
      </c>
      <c r="I102" s="6"/>
      <c r="J102" s="4" t="s">
        <v>123</v>
      </c>
      <c r="K102" s="7">
        <v>1054.598017</v>
      </c>
      <c r="L102" s="7">
        <v>1450</v>
      </c>
      <c r="M102" s="7">
        <v>72.730897999999996</v>
      </c>
      <c r="N102" s="4" t="s">
        <v>124</v>
      </c>
      <c r="O102" s="7">
        <v>0</v>
      </c>
      <c r="P102" s="7">
        <v>64.347149999999999</v>
      </c>
      <c r="Q102" s="7">
        <v>42.898099999999999</v>
      </c>
      <c r="R102" s="7">
        <v>50</v>
      </c>
      <c r="S102" s="7">
        <v>58.687080999999999</v>
      </c>
      <c r="T102" s="7">
        <v>72.781626000000003</v>
      </c>
      <c r="U102" s="7">
        <v>39.124720000000003</v>
      </c>
      <c r="V102" s="7">
        <v>50</v>
      </c>
      <c r="W102" s="7">
        <v>58.740493999999998</v>
      </c>
      <c r="X102" s="7">
        <v>39.160328999999997</v>
      </c>
      <c r="Y102" s="7">
        <v>50</v>
      </c>
      <c r="Z102" s="7">
        <v>67.191468999999998</v>
      </c>
      <c r="AA102" s="7">
        <v>53.036349000000001</v>
      </c>
      <c r="AB102" s="7">
        <v>35.357565999999998</v>
      </c>
      <c r="AC102" s="7">
        <v>50</v>
      </c>
      <c r="AD102" s="7">
        <v>62.190939999999998</v>
      </c>
      <c r="AE102" s="7">
        <v>41.460627000000002</v>
      </c>
      <c r="AF102" s="7">
        <v>50</v>
      </c>
      <c r="AG102" s="7">
        <v>56.192774999999997</v>
      </c>
      <c r="AH102" s="7">
        <v>69.914068</v>
      </c>
      <c r="AI102" s="7">
        <v>37.461849999999998</v>
      </c>
      <c r="AJ102" s="7">
        <v>50</v>
      </c>
      <c r="AK102" s="7">
        <v>14.09</v>
      </c>
      <c r="AL102" s="7">
        <v>14.15</v>
      </c>
      <c r="AM102" s="7">
        <v>13.72</v>
      </c>
      <c r="AN102" s="7">
        <v>0.53866599999999998</v>
      </c>
      <c r="AO102" s="7">
        <v>53.866568999999998</v>
      </c>
      <c r="AP102" s="7">
        <v>100</v>
      </c>
      <c r="AQ102" s="7">
        <v>0.54838699999999996</v>
      </c>
      <c r="AR102" s="7">
        <v>54.83869</v>
      </c>
      <c r="AS102" s="7">
        <v>100</v>
      </c>
      <c r="AT102" s="7">
        <v>0.51446700000000001</v>
      </c>
      <c r="AU102" s="7">
        <v>0.57304500000000003</v>
      </c>
      <c r="AV102" s="7">
        <v>51.446694000000001</v>
      </c>
      <c r="AW102" s="7">
        <v>100</v>
      </c>
      <c r="AX102" s="7">
        <v>0.53437100000000004</v>
      </c>
      <c r="AY102" s="7">
        <v>0.56815499999999997</v>
      </c>
      <c r="AZ102" s="7">
        <v>53.437072000000001</v>
      </c>
      <c r="BA102" s="7">
        <v>100</v>
      </c>
      <c r="BB102" s="7">
        <v>0.65169299999999997</v>
      </c>
      <c r="BC102" s="7">
        <v>32.584651000000001</v>
      </c>
      <c r="BD102" s="7">
        <v>50</v>
      </c>
      <c r="BE102" s="7">
        <v>0.53977200000000003</v>
      </c>
      <c r="BF102" s="7">
        <v>26.988589000000001</v>
      </c>
      <c r="BG102" s="7">
        <v>50</v>
      </c>
      <c r="BH102" s="7">
        <v>0</v>
      </c>
      <c r="BI102" s="7">
        <v>0.99178200000000005</v>
      </c>
      <c r="BJ102" s="7">
        <v>0.98882499999999995</v>
      </c>
      <c r="BK102" s="7">
        <v>0.996394</v>
      </c>
      <c r="BL102" s="7">
        <v>0.989649</v>
      </c>
      <c r="BM102" s="7">
        <v>0.98569799999999996</v>
      </c>
      <c r="BN102" s="7">
        <v>0.99579300000000004</v>
      </c>
      <c r="BO102" s="7">
        <v>0.98635399999999995</v>
      </c>
      <c r="BP102" s="7">
        <v>0.97819900000000004</v>
      </c>
      <c r="BQ102" s="7">
        <v>0.99742600000000003</v>
      </c>
      <c r="BR102" s="7">
        <v>9.6355999999999997E-2</v>
      </c>
      <c r="BS102" s="7">
        <v>40.728828999999998</v>
      </c>
      <c r="BT102" s="7">
        <v>50</v>
      </c>
      <c r="BU102" s="7">
        <v>0.13761100000000001</v>
      </c>
      <c r="BV102" s="7">
        <v>32.477857</v>
      </c>
      <c r="BW102" s="7">
        <v>50</v>
      </c>
      <c r="BX102" s="7">
        <v>0.72813899999999998</v>
      </c>
      <c r="BY102" s="7">
        <v>48.542569</v>
      </c>
      <c r="BZ102" s="7">
        <v>50</v>
      </c>
      <c r="CA102" s="7">
        <v>0.34199099999999999</v>
      </c>
      <c r="CB102" s="7">
        <v>22.799423000000001</v>
      </c>
      <c r="CC102" s="7">
        <v>50</v>
      </c>
      <c r="CD102" s="7">
        <v>0.89950200000000002</v>
      </c>
      <c r="CE102" s="7">
        <v>47.845832999999999</v>
      </c>
      <c r="CF102" s="7">
        <v>50</v>
      </c>
      <c r="CG102" s="7">
        <v>0.86333300000000002</v>
      </c>
      <c r="CH102" s="7">
        <v>91.843971999999994</v>
      </c>
      <c r="CI102" s="7">
        <v>100</v>
      </c>
      <c r="CJ102" s="7">
        <v>0</v>
      </c>
      <c r="CK102" s="7">
        <v>0.831978</v>
      </c>
      <c r="CL102" s="7">
        <v>88.508331999999996</v>
      </c>
      <c r="CM102" s="7">
        <v>100</v>
      </c>
      <c r="CN102" s="7">
        <v>0.63700000000000001</v>
      </c>
      <c r="CO102" s="7">
        <v>84.960098000000002</v>
      </c>
      <c r="CP102" s="7">
        <v>100</v>
      </c>
      <c r="CQ102" s="7">
        <v>0.62168999999999996</v>
      </c>
      <c r="CR102" s="7">
        <v>0.953125</v>
      </c>
      <c r="CS102" s="7">
        <v>41.445985999999998</v>
      </c>
      <c r="CT102" s="7">
        <v>50</v>
      </c>
      <c r="CU102" s="7">
        <v>0.561836</v>
      </c>
      <c r="CV102" s="7">
        <v>46.819662999999998</v>
      </c>
      <c r="CW102" s="7">
        <v>50</v>
      </c>
      <c r="CX102" s="7">
        <v>0.831978</v>
      </c>
      <c r="CY102" s="7">
        <v>0.94</v>
      </c>
      <c r="CZ102" s="7">
        <v>0.10802200000000001</v>
      </c>
      <c r="DA102" s="7">
        <v>15.389535</v>
      </c>
      <c r="DB102" s="7">
        <v>17.608319000000002</v>
      </c>
      <c r="DC102" s="7">
        <v>16.064022999999999</v>
      </c>
      <c r="DD102" s="7">
        <v>11.115401</v>
      </c>
      <c r="DE102" s="4" t="s">
        <v>124</v>
      </c>
      <c r="DF102" s="6"/>
      <c r="DG102" s="6"/>
      <c r="DH102" s="6"/>
      <c r="DI102" s="6"/>
      <c r="DJ102" s="4" t="s">
        <v>124</v>
      </c>
      <c r="DK102" s="4" t="s">
        <v>124</v>
      </c>
      <c r="DL102" s="4" t="s">
        <v>124</v>
      </c>
      <c r="DM102" s="4" t="s">
        <v>124</v>
      </c>
      <c r="DN102" s="4" t="s">
        <v>124</v>
      </c>
      <c r="DO102" s="4" t="s">
        <v>124</v>
      </c>
      <c r="DP102" s="6"/>
      <c r="DQ102" s="4" t="s">
        <v>125</v>
      </c>
    </row>
    <row r="103" spans="1:121" ht="20" customHeight="1" x14ac:dyDescent="0.15">
      <c r="A103" s="5">
        <v>2018</v>
      </c>
      <c r="B103" s="3" t="s">
        <v>226</v>
      </c>
      <c r="C103" s="4" t="str">
        <f t="shared" ref="C103:C902" si="101">"1380011"</f>
        <v>1380011</v>
      </c>
      <c r="D103" s="4" t="s">
        <v>122</v>
      </c>
      <c r="E103" s="4" t="str">
        <f t="shared" si="1"/>
        <v>0000000</v>
      </c>
      <c r="F103" s="4" t="s">
        <v>122</v>
      </c>
      <c r="G103" s="4" t="s">
        <v>122</v>
      </c>
      <c r="H103" s="4" t="s">
        <v>122</v>
      </c>
      <c r="I103" s="6"/>
      <c r="J103" s="4" t="s">
        <v>123</v>
      </c>
      <c r="K103" s="7">
        <v>1063.2265950000001</v>
      </c>
      <c r="L103" s="7">
        <v>1450</v>
      </c>
      <c r="M103" s="7">
        <v>73.325971999999993</v>
      </c>
      <c r="N103" s="4" t="s">
        <v>124</v>
      </c>
      <c r="O103" s="7">
        <v>0</v>
      </c>
      <c r="P103" s="7">
        <v>63.995432000000001</v>
      </c>
      <c r="Q103" s="7">
        <v>42.663621999999997</v>
      </c>
      <c r="R103" s="7">
        <v>50</v>
      </c>
      <c r="S103" s="7">
        <v>58.907608000000003</v>
      </c>
      <c r="T103" s="7">
        <v>71.427925000000002</v>
      </c>
      <c r="U103" s="7">
        <v>39.271738999999997</v>
      </c>
      <c r="V103" s="7">
        <v>50</v>
      </c>
      <c r="W103" s="7">
        <v>57.380263999999997</v>
      </c>
      <c r="X103" s="7">
        <v>38.253509000000001</v>
      </c>
      <c r="Y103" s="7">
        <v>50</v>
      </c>
      <c r="Z103" s="7">
        <v>64.871700000000004</v>
      </c>
      <c r="AA103" s="7">
        <v>52.249634999999998</v>
      </c>
      <c r="AB103" s="7">
        <v>34.833089999999999</v>
      </c>
      <c r="AC103" s="7">
        <v>50</v>
      </c>
      <c r="AD103" s="7">
        <v>58.125225</v>
      </c>
      <c r="AE103" s="7">
        <v>38.750149999999998</v>
      </c>
      <c r="AF103" s="7">
        <v>50</v>
      </c>
      <c r="AG103" s="7">
        <v>53.749746000000002</v>
      </c>
      <c r="AH103" s="7">
        <v>63.943680000000001</v>
      </c>
      <c r="AI103" s="7">
        <v>35.833163999999996</v>
      </c>
      <c r="AJ103" s="7">
        <v>50</v>
      </c>
      <c r="AK103" s="7">
        <v>12.52</v>
      </c>
      <c r="AL103" s="7">
        <v>12.62</v>
      </c>
      <c r="AM103" s="7">
        <v>10.19</v>
      </c>
      <c r="AN103" s="7">
        <v>0.56851799999999997</v>
      </c>
      <c r="AO103" s="7">
        <v>56.851751999999998</v>
      </c>
      <c r="AP103" s="7">
        <v>100</v>
      </c>
      <c r="AQ103" s="7">
        <v>0.58593399999999995</v>
      </c>
      <c r="AR103" s="7">
        <v>58.593384</v>
      </c>
      <c r="AS103" s="7">
        <v>100</v>
      </c>
      <c r="AT103" s="7">
        <v>0.54959599999999997</v>
      </c>
      <c r="AU103" s="7">
        <v>0.59526100000000004</v>
      </c>
      <c r="AV103" s="7">
        <v>54.959632999999997</v>
      </c>
      <c r="AW103" s="7">
        <v>100</v>
      </c>
      <c r="AX103" s="7">
        <v>0.56317600000000001</v>
      </c>
      <c r="AY103" s="7">
        <v>0.61810900000000002</v>
      </c>
      <c r="AZ103" s="7">
        <v>56.317633999999998</v>
      </c>
      <c r="BA103" s="7">
        <v>100</v>
      </c>
      <c r="BB103" s="7">
        <v>0.73005399999999998</v>
      </c>
      <c r="BC103" s="7">
        <v>36.502701999999999</v>
      </c>
      <c r="BD103" s="7">
        <v>50</v>
      </c>
      <c r="BE103" s="7">
        <v>0.59723700000000002</v>
      </c>
      <c r="BF103" s="7">
        <v>29.861846</v>
      </c>
      <c r="BG103" s="7">
        <v>50</v>
      </c>
      <c r="BH103" s="7">
        <v>0</v>
      </c>
      <c r="BI103" s="7">
        <v>0.99513300000000005</v>
      </c>
      <c r="BJ103" s="7">
        <v>0.99419599999999997</v>
      </c>
      <c r="BK103" s="7">
        <v>0.99657099999999998</v>
      </c>
      <c r="BL103" s="7">
        <v>0.99486200000000002</v>
      </c>
      <c r="BM103" s="7">
        <v>0.99375000000000002</v>
      </c>
      <c r="BN103" s="7">
        <v>0.99657099999999998</v>
      </c>
      <c r="BO103" s="7">
        <v>0.99500599999999995</v>
      </c>
      <c r="BP103" s="7">
        <v>0.99356900000000004</v>
      </c>
      <c r="BQ103" s="7">
        <v>0.99700999999999995</v>
      </c>
      <c r="BR103" s="7">
        <v>0.118738</v>
      </c>
      <c r="BS103" s="7">
        <v>36.252429999999997</v>
      </c>
      <c r="BT103" s="7">
        <v>50</v>
      </c>
      <c r="BU103" s="7">
        <v>0.15660199999999999</v>
      </c>
      <c r="BV103" s="7">
        <v>28.679528999999999</v>
      </c>
      <c r="BW103" s="7">
        <v>50</v>
      </c>
      <c r="BX103" s="7">
        <v>0.87826099999999996</v>
      </c>
      <c r="BY103" s="7">
        <v>50</v>
      </c>
      <c r="BZ103" s="7">
        <v>50</v>
      </c>
      <c r="CA103" s="7">
        <v>0.27632899999999999</v>
      </c>
      <c r="CB103" s="7">
        <v>18.421900000000001</v>
      </c>
      <c r="CC103" s="7">
        <v>50</v>
      </c>
      <c r="CD103" s="7">
        <v>0.88393699999999997</v>
      </c>
      <c r="CE103" s="7">
        <v>47.017918000000002</v>
      </c>
      <c r="CF103" s="7">
        <v>50</v>
      </c>
      <c r="CG103" s="7">
        <v>0.92222199999999999</v>
      </c>
      <c r="CH103" s="7">
        <v>98.108746999999994</v>
      </c>
      <c r="CI103" s="7">
        <v>100</v>
      </c>
      <c r="CJ103" s="7">
        <v>0</v>
      </c>
      <c r="CK103" s="7">
        <v>0.91891900000000004</v>
      </c>
      <c r="CL103" s="7">
        <v>97.757332000000005</v>
      </c>
      <c r="CM103" s="7">
        <v>100</v>
      </c>
      <c r="CN103" s="7">
        <v>0.71099999999999997</v>
      </c>
      <c r="CO103" s="7">
        <v>94.757282000000004</v>
      </c>
      <c r="CP103" s="7">
        <v>100</v>
      </c>
      <c r="CQ103" s="7">
        <v>0.51506099999999999</v>
      </c>
      <c r="CR103" s="7">
        <v>1.734934</v>
      </c>
      <c r="CS103" s="7">
        <v>34.337403999999999</v>
      </c>
      <c r="CT103" s="7">
        <v>50</v>
      </c>
      <c r="CU103" s="7">
        <v>0.42242200000000002</v>
      </c>
      <c r="CV103" s="7">
        <v>35.201828999999996</v>
      </c>
      <c r="CW103" s="7">
        <v>50</v>
      </c>
      <c r="CX103" s="7">
        <v>0.91891900000000004</v>
      </c>
      <c r="CY103" s="7">
        <v>0.94</v>
      </c>
      <c r="CZ103" s="7">
        <v>2.1080999999999999E-2</v>
      </c>
      <c r="DA103" s="7">
        <v>15.389535</v>
      </c>
      <c r="DB103" s="7">
        <v>17.608319000000002</v>
      </c>
      <c r="DC103" s="7">
        <v>16.064022999999999</v>
      </c>
      <c r="DD103" s="7">
        <v>11.115401</v>
      </c>
      <c r="DE103" s="4" t="s">
        <v>124</v>
      </c>
      <c r="DF103" s="6"/>
      <c r="DG103" s="6"/>
      <c r="DH103" s="6"/>
      <c r="DI103" s="6"/>
      <c r="DJ103" s="4" t="s">
        <v>124</v>
      </c>
      <c r="DK103" s="4" t="s">
        <v>124</v>
      </c>
      <c r="DL103" s="4" t="s">
        <v>124</v>
      </c>
      <c r="DM103" s="4" t="s">
        <v>124</v>
      </c>
      <c r="DN103" s="4" t="s">
        <v>124</v>
      </c>
      <c r="DO103" s="4" t="s">
        <v>124</v>
      </c>
      <c r="DP103" s="6"/>
      <c r="DQ103" s="4" t="s">
        <v>125</v>
      </c>
    </row>
    <row r="104" spans="1:121" ht="20" customHeight="1" x14ac:dyDescent="0.15">
      <c r="A104" s="5">
        <v>2018</v>
      </c>
      <c r="B104" s="3" t="s">
        <v>227</v>
      </c>
      <c r="C104" s="4" t="str">
        <f t="shared" ref="C104:C301" si="102">"0240011"</f>
        <v>0240011</v>
      </c>
      <c r="D104" s="4" t="s">
        <v>122</v>
      </c>
      <c r="E104" s="4" t="str">
        <f t="shared" si="1"/>
        <v>0000000</v>
      </c>
      <c r="F104" s="4" t="s">
        <v>122</v>
      </c>
      <c r="G104" s="4" t="s">
        <v>122</v>
      </c>
      <c r="H104" s="4" t="s">
        <v>122</v>
      </c>
      <c r="I104" s="6"/>
      <c r="J104" s="4" t="s">
        <v>123</v>
      </c>
      <c r="K104" s="7">
        <v>537.60153200000002</v>
      </c>
      <c r="L104" s="7">
        <v>750</v>
      </c>
      <c r="M104" s="7">
        <v>71.680204000000003</v>
      </c>
      <c r="N104" s="4" t="s">
        <v>124</v>
      </c>
      <c r="O104" s="7">
        <v>0</v>
      </c>
      <c r="P104" s="7">
        <v>71.298016000000004</v>
      </c>
      <c r="Q104" s="7">
        <v>47.532010999999997</v>
      </c>
      <c r="R104" s="7">
        <v>50</v>
      </c>
      <c r="S104" s="7">
        <v>67.489313999999993</v>
      </c>
      <c r="T104" s="7">
        <v>75</v>
      </c>
      <c r="U104" s="7">
        <v>44.992876000000003</v>
      </c>
      <c r="V104" s="7">
        <v>50</v>
      </c>
      <c r="W104" s="7">
        <v>71.386767000000006</v>
      </c>
      <c r="X104" s="7">
        <v>47.591177999999999</v>
      </c>
      <c r="Y104" s="7">
        <v>50</v>
      </c>
      <c r="Z104" s="7">
        <v>73.674267999999998</v>
      </c>
      <c r="AA104" s="7">
        <v>69.418453</v>
      </c>
      <c r="AB104" s="7">
        <v>46.278968999999996</v>
      </c>
      <c r="AC104" s="7">
        <v>50</v>
      </c>
      <c r="AD104" s="4" t="s">
        <v>124</v>
      </c>
      <c r="AE104" s="4" t="s">
        <v>124</v>
      </c>
      <c r="AF104" s="4" t="s">
        <v>124</v>
      </c>
      <c r="AG104" s="4" t="s">
        <v>124</v>
      </c>
      <c r="AH104" s="4" t="s">
        <v>124</v>
      </c>
      <c r="AI104" s="4" t="s">
        <v>124</v>
      </c>
      <c r="AJ104" s="4" t="s">
        <v>124</v>
      </c>
      <c r="AK104" s="7">
        <v>7.51</v>
      </c>
      <c r="AL104" s="7">
        <v>4.25</v>
      </c>
      <c r="AM104" s="4" t="s">
        <v>124</v>
      </c>
      <c r="AN104" s="7">
        <v>0.48719699999999999</v>
      </c>
      <c r="AO104" s="7">
        <v>48.719709999999999</v>
      </c>
      <c r="AP104" s="7">
        <v>100</v>
      </c>
      <c r="AQ104" s="7">
        <v>0.70739200000000002</v>
      </c>
      <c r="AR104" s="7">
        <v>70.739211999999995</v>
      </c>
      <c r="AS104" s="7">
        <v>100</v>
      </c>
      <c r="AT104" s="7">
        <v>0.484344</v>
      </c>
      <c r="AU104" s="7">
        <v>0.49052600000000002</v>
      </c>
      <c r="AV104" s="7">
        <v>48.434396</v>
      </c>
      <c r="AW104" s="7">
        <v>100</v>
      </c>
      <c r="AX104" s="7">
        <v>0.73013399999999995</v>
      </c>
      <c r="AY104" s="7">
        <v>0.68180799999999997</v>
      </c>
      <c r="AZ104" s="7">
        <v>73.013356999999999</v>
      </c>
      <c r="BA104" s="7">
        <v>100</v>
      </c>
      <c r="BB104" s="4" t="s">
        <v>124</v>
      </c>
      <c r="BC104" s="4" t="s">
        <v>124</v>
      </c>
      <c r="BD104" s="4" t="s">
        <v>124</v>
      </c>
      <c r="BE104" s="4" t="s">
        <v>124</v>
      </c>
      <c r="BF104" s="4" t="s">
        <v>124</v>
      </c>
      <c r="BG104" s="4" t="s">
        <v>124</v>
      </c>
      <c r="BH104" s="7">
        <v>0</v>
      </c>
      <c r="BI104" s="7">
        <v>1</v>
      </c>
      <c r="BJ104" s="7">
        <v>1</v>
      </c>
      <c r="BK104" s="7">
        <v>1</v>
      </c>
      <c r="BL104" s="7">
        <v>1</v>
      </c>
      <c r="BM104" s="7">
        <v>1</v>
      </c>
      <c r="BN104" s="7">
        <v>1</v>
      </c>
      <c r="BO104" s="4" t="s">
        <v>124</v>
      </c>
      <c r="BP104" s="4" t="s">
        <v>124</v>
      </c>
      <c r="BQ104" s="4" t="s">
        <v>124</v>
      </c>
      <c r="BR104" s="7">
        <v>3.1496000000000003E-2</v>
      </c>
      <c r="BS104" s="7">
        <v>50</v>
      </c>
      <c r="BT104" s="7">
        <v>50</v>
      </c>
      <c r="BU104" s="7">
        <v>5.7142999999999999E-2</v>
      </c>
      <c r="BV104" s="7">
        <v>48.571429000000002</v>
      </c>
      <c r="BW104" s="7">
        <v>50</v>
      </c>
      <c r="BX104" s="4" t="s">
        <v>124</v>
      </c>
      <c r="BY104" s="4" t="s">
        <v>124</v>
      </c>
      <c r="BZ104" s="4" t="s">
        <v>124</v>
      </c>
      <c r="CA104" s="4" t="s">
        <v>124</v>
      </c>
      <c r="CB104" s="4" t="s">
        <v>124</v>
      </c>
      <c r="CC104" s="4" t="s">
        <v>124</v>
      </c>
      <c r="CD104" s="4" t="s">
        <v>124</v>
      </c>
      <c r="CE104" s="4" t="s">
        <v>124</v>
      </c>
      <c r="CF104" s="4" t="s">
        <v>124</v>
      </c>
      <c r="CG104" s="4" t="s">
        <v>124</v>
      </c>
      <c r="CH104" s="4" t="s">
        <v>124</v>
      </c>
      <c r="CI104" s="4" t="s">
        <v>124</v>
      </c>
      <c r="CJ104" s="4" t="s">
        <v>124</v>
      </c>
      <c r="CK104" s="4" t="s">
        <v>124</v>
      </c>
      <c r="CL104" s="4" t="s">
        <v>124</v>
      </c>
      <c r="CM104" s="4" t="s">
        <v>124</v>
      </c>
      <c r="CN104" s="4" t="s">
        <v>124</v>
      </c>
      <c r="CO104" s="4" t="s">
        <v>124</v>
      </c>
      <c r="CP104" s="4" t="s">
        <v>124</v>
      </c>
      <c r="CQ104" s="7">
        <v>0.703704</v>
      </c>
      <c r="CR104" s="7">
        <v>0.61363599999999996</v>
      </c>
      <c r="CS104" s="7">
        <v>11.728395000000001</v>
      </c>
      <c r="CT104" s="7">
        <v>50</v>
      </c>
      <c r="CU104" s="4" t="s">
        <v>124</v>
      </c>
      <c r="CV104" s="4" t="s">
        <v>124</v>
      </c>
      <c r="CW104" s="4" t="s">
        <v>124</v>
      </c>
      <c r="CX104" s="4" t="s">
        <v>124</v>
      </c>
      <c r="CY104" s="4" t="s">
        <v>124</v>
      </c>
      <c r="CZ104" s="4" t="s">
        <v>124</v>
      </c>
      <c r="DA104" s="7">
        <v>15.389535</v>
      </c>
      <c r="DB104" s="7">
        <v>17.608319000000002</v>
      </c>
      <c r="DC104" s="7">
        <v>16.064022999999999</v>
      </c>
      <c r="DD104" s="4" t="s">
        <v>124</v>
      </c>
      <c r="DE104" s="4" t="s">
        <v>124</v>
      </c>
      <c r="DF104" s="6"/>
      <c r="DG104" s="6"/>
      <c r="DH104" s="6"/>
      <c r="DI104" s="6"/>
      <c r="DJ104" s="4" t="s">
        <v>124</v>
      </c>
      <c r="DK104" s="4" t="s">
        <v>124</v>
      </c>
      <c r="DL104" s="4" t="s">
        <v>124</v>
      </c>
      <c r="DM104" s="4" t="s">
        <v>124</v>
      </c>
      <c r="DN104" s="4" t="s">
        <v>124</v>
      </c>
      <c r="DO104" s="4" t="s">
        <v>124</v>
      </c>
      <c r="DP104" s="6"/>
      <c r="DQ104" s="4" t="s">
        <v>125</v>
      </c>
    </row>
    <row r="105" spans="1:121" ht="20" customHeight="1" x14ac:dyDescent="0.15">
      <c r="A105" s="5">
        <v>2018</v>
      </c>
      <c r="B105" s="3" t="s">
        <v>228</v>
      </c>
      <c r="C105" s="4" t="str">
        <f t="shared" ref="C105:C325" si="103">"0320011"</f>
        <v>0320011</v>
      </c>
      <c r="D105" s="4" t="s">
        <v>122</v>
      </c>
      <c r="E105" s="4" t="str">
        <f t="shared" si="1"/>
        <v>0000000</v>
      </c>
      <c r="F105" s="4" t="s">
        <v>122</v>
      </c>
      <c r="G105" s="4" t="s">
        <v>122</v>
      </c>
      <c r="H105" s="4" t="s">
        <v>122</v>
      </c>
      <c r="I105" s="6"/>
      <c r="J105" s="4" t="s">
        <v>123</v>
      </c>
      <c r="K105" s="7">
        <v>1126.358851</v>
      </c>
      <c r="L105" s="7">
        <v>1350</v>
      </c>
      <c r="M105" s="7">
        <v>83.433988999999997</v>
      </c>
      <c r="N105" s="4" t="s">
        <v>124</v>
      </c>
      <c r="O105" s="7">
        <v>0</v>
      </c>
      <c r="P105" s="7">
        <v>77.523993000000004</v>
      </c>
      <c r="Q105" s="7">
        <v>50</v>
      </c>
      <c r="R105" s="7">
        <v>50</v>
      </c>
      <c r="S105" s="7">
        <v>67.785807000000005</v>
      </c>
      <c r="T105" s="7">
        <v>75</v>
      </c>
      <c r="U105" s="7">
        <v>45.190537999999997</v>
      </c>
      <c r="V105" s="7">
        <v>50</v>
      </c>
      <c r="W105" s="7">
        <v>71.630712000000003</v>
      </c>
      <c r="X105" s="7">
        <v>47.753807999999999</v>
      </c>
      <c r="Y105" s="7">
        <v>50</v>
      </c>
      <c r="Z105" s="7">
        <v>75</v>
      </c>
      <c r="AA105" s="7">
        <v>60.709905999999997</v>
      </c>
      <c r="AB105" s="7">
        <v>40.473269999999999</v>
      </c>
      <c r="AC105" s="7">
        <v>50</v>
      </c>
      <c r="AD105" s="7">
        <v>71.316204999999997</v>
      </c>
      <c r="AE105" s="7">
        <v>47.544136999999999</v>
      </c>
      <c r="AF105" s="7">
        <v>50</v>
      </c>
      <c r="AG105" s="7">
        <v>63.843235</v>
      </c>
      <c r="AH105" s="7">
        <v>74.118568999999994</v>
      </c>
      <c r="AI105" s="7">
        <v>42.562156000000002</v>
      </c>
      <c r="AJ105" s="7">
        <v>50</v>
      </c>
      <c r="AK105" s="7">
        <v>7.21</v>
      </c>
      <c r="AL105" s="7">
        <v>14.29</v>
      </c>
      <c r="AM105" s="7">
        <v>10.27</v>
      </c>
      <c r="AN105" s="7">
        <v>0.72113899999999997</v>
      </c>
      <c r="AO105" s="7">
        <v>72.113872999999998</v>
      </c>
      <c r="AP105" s="7">
        <v>100</v>
      </c>
      <c r="AQ105" s="7">
        <v>0.71229500000000001</v>
      </c>
      <c r="AR105" s="7">
        <v>71.229526000000007</v>
      </c>
      <c r="AS105" s="7">
        <v>100</v>
      </c>
      <c r="AT105" s="7">
        <v>0.65322000000000002</v>
      </c>
      <c r="AU105" s="7">
        <v>0.75006099999999998</v>
      </c>
      <c r="AV105" s="7">
        <v>65.321984999999998</v>
      </c>
      <c r="AW105" s="7">
        <v>100</v>
      </c>
      <c r="AX105" s="7">
        <v>0.63026099999999996</v>
      </c>
      <c r="AY105" s="7">
        <v>0.74739599999999995</v>
      </c>
      <c r="AZ105" s="7">
        <v>63.026147999999999</v>
      </c>
      <c r="BA105" s="7">
        <v>100</v>
      </c>
      <c r="BB105" s="4" t="s">
        <v>124</v>
      </c>
      <c r="BC105" s="4" t="s">
        <v>124</v>
      </c>
      <c r="BD105" s="4" t="s">
        <v>124</v>
      </c>
      <c r="BE105" s="4" t="s">
        <v>124</v>
      </c>
      <c r="BF105" s="4" t="s">
        <v>124</v>
      </c>
      <c r="BG105" s="4" t="s">
        <v>124</v>
      </c>
      <c r="BH105" s="7">
        <v>0</v>
      </c>
      <c r="BI105" s="7">
        <v>0.99071900000000002</v>
      </c>
      <c r="BJ105" s="7">
        <v>0.97769499999999998</v>
      </c>
      <c r="BK105" s="7">
        <v>0.99662700000000004</v>
      </c>
      <c r="BL105" s="7">
        <v>0.98955899999999997</v>
      </c>
      <c r="BM105" s="7">
        <v>0.97397800000000001</v>
      </c>
      <c r="BN105" s="7">
        <v>0.99662700000000004</v>
      </c>
      <c r="BO105" s="7">
        <v>0.98947399999999996</v>
      </c>
      <c r="BP105" s="7">
        <v>1</v>
      </c>
      <c r="BQ105" s="7">
        <v>0.98555999999999999</v>
      </c>
      <c r="BR105" s="7">
        <v>7.8355999999999995E-2</v>
      </c>
      <c r="BS105" s="7">
        <v>44.328837999999998</v>
      </c>
      <c r="BT105" s="7">
        <v>50</v>
      </c>
      <c r="BU105" s="7">
        <v>0.16179299999999999</v>
      </c>
      <c r="BV105" s="7">
        <v>27.641325999999999</v>
      </c>
      <c r="BW105" s="7">
        <v>50</v>
      </c>
      <c r="BX105" s="7">
        <v>0.91063799999999995</v>
      </c>
      <c r="BY105" s="7">
        <v>50</v>
      </c>
      <c r="BZ105" s="7">
        <v>50</v>
      </c>
      <c r="CA105" s="7">
        <v>0.57021299999999997</v>
      </c>
      <c r="CB105" s="7">
        <v>38.014184</v>
      </c>
      <c r="CC105" s="7">
        <v>50</v>
      </c>
      <c r="CD105" s="7">
        <v>0.87179499999999999</v>
      </c>
      <c r="CE105" s="7">
        <v>46.372067999999999</v>
      </c>
      <c r="CF105" s="7">
        <v>50</v>
      </c>
      <c r="CG105" s="7">
        <v>0.94308899999999996</v>
      </c>
      <c r="CH105" s="7">
        <v>100</v>
      </c>
      <c r="CI105" s="7">
        <v>100</v>
      </c>
      <c r="CJ105" s="7">
        <v>0</v>
      </c>
      <c r="CK105" s="7">
        <v>0.92857100000000004</v>
      </c>
      <c r="CL105" s="7">
        <v>98.784194999999997</v>
      </c>
      <c r="CM105" s="7">
        <v>100</v>
      </c>
      <c r="CN105" s="7">
        <v>0.69699999999999995</v>
      </c>
      <c r="CO105" s="7">
        <v>92.997198999999995</v>
      </c>
      <c r="CP105" s="7">
        <v>100</v>
      </c>
      <c r="CQ105" s="7">
        <v>0.60130700000000004</v>
      </c>
      <c r="CR105" s="7">
        <v>0.95625000000000004</v>
      </c>
      <c r="CS105" s="7">
        <v>40.087145999999997</v>
      </c>
      <c r="CT105" s="7">
        <v>50</v>
      </c>
      <c r="CU105" s="7">
        <v>0.51502099999999995</v>
      </c>
      <c r="CV105" s="7">
        <v>42.918455000000002</v>
      </c>
      <c r="CW105" s="7">
        <v>50</v>
      </c>
      <c r="CX105" s="7">
        <v>0.92857100000000004</v>
      </c>
      <c r="CY105" s="7">
        <v>0.94</v>
      </c>
      <c r="CZ105" s="7">
        <v>1.1429E-2</v>
      </c>
      <c r="DA105" s="7">
        <v>15.389535</v>
      </c>
      <c r="DB105" s="7">
        <v>17.608319000000002</v>
      </c>
      <c r="DC105" s="7">
        <v>16.064022999999999</v>
      </c>
      <c r="DD105" s="7">
        <v>11.115401</v>
      </c>
      <c r="DE105" s="4" t="s">
        <v>124</v>
      </c>
      <c r="DF105" s="6"/>
      <c r="DG105" s="6"/>
      <c r="DH105" s="6"/>
      <c r="DI105" s="6"/>
      <c r="DJ105" s="4" t="s">
        <v>124</v>
      </c>
      <c r="DK105" s="4" t="s">
        <v>124</v>
      </c>
      <c r="DL105" s="4" t="s">
        <v>124</v>
      </c>
      <c r="DM105" s="4" t="s">
        <v>124</v>
      </c>
      <c r="DN105" s="4" t="s">
        <v>124</v>
      </c>
      <c r="DO105" s="4" t="s">
        <v>124</v>
      </c>
      <c r="DP105" s="6"/>
      <c r="DQ105" s="4" t="s">
        <v>125</v>
      </c>
    </row>
    <row r="106" spans="1:121" ht="20" customHeight="1" x14ac:dyDescent="0.15">
      <c r="A106" s="5">
        <v>2018</v>
      </c>
      <c r="B106" s="3" t="s">
        <v>229</v>
      </c>
      <c r="C106" s="4" t="str">
        <f t="shared" ref="C106:C662" si="104">"0920011"</f>
        <v>0920011</v>
      </c>
      <c r="D106" s="4" t="s">
        <v>122</v>
      </c>
      <c r="E106" s="4" t="str">
        <f t="shared" si="1"/>
        <v>0000000</v>
      </c>
      <c r="F106" s="4" t="s">
        <v>122</v>
      </c>
      <c r="G106" s="4" t="s">
        <v>122</v>
      </c>
      <c r="H106" s="4" t="s">
        <v>122</v>
      </c>
      <c r="I106" s="6"/>
      <c r="J106" s="4" t="s">
        <v>123</v>
      </c>
      <c r="K106" s="7">
        <v>573.071147</v>
      </c>
      <c r="L106" s="7">
        <v>800</v>
      </c>
      <c r="M106" s="7">
        <v>71.633893</v>
      </c>
      <c r="N106" s="4" t="s">
        <v>124</v>
      </c>
      <c r="O106" s="7">
        <v>0</v>
      </c>
      <c r="P106" s="7">
        <v>74.827190000000002</v>
      </c>
      <c r="Q106" s="7">
        <v>49.884793000000002</v>
      </c>
      <c r="R106" s="7">
        <v>50</v>
      </c>
      <c r="S106" s="7">
        <v>63.730414000000003</v>
      </c>
      <c r="T106" s="7">
        <v>75</v>
      </c>
      <c r="U106" s="7">
        <v>42.486941999999999</v>
      </c>
      <c r="V106" s="7">
        <v>50</v>
      </c>
      <c r="W106" s="7">
        <v>68.617992000000001</v>
      </c>
      <c r="X106" s="7">
        <v>45.745328000000001</v>
      </c>
      <c r="Y106" s="7">
        <v>50</v>
      </c>
      <c r="Z106" s="7">
        <v>72.427251999999996</v>
      </c>
      <c r="AA106" s="7">
        <v>57.536509000000002</v>
      </c>
      <c r="AB106" s="7">
        <v>38.357672999999998</v>
      </c>
      <c r="AC106" s="7">
        <v>50</v>
      </c>
      <c r="AD106" s="7">
        <v>64.531126</v>
      </c>
      <c r="AE106" s="7">
        <v>43.020750999999997</v>
      </c>
      <c r="AF106" s="7">
        <v>50</v>
      </c>
      <c r="AG106" s="4" t="s">
        <v>124</v>
      </c>
      <c r="AH106" s="7">
        <v>67.237808999999999</v>
      </c>
      <c r="AI106" s="4" t="s">
        <v>124</v>
      </c>
      <c r="AJ106" s="4" t="s">
        <v>124</v>
      </c>
      <c r="AK106" s="7">
        <v>11.26</v>
      </c>
      <c r="AL106" s="7">
        <v>14.89</v>
      </c>
      <c r="AM106" s="4" t="s">
        <v>124</v>
      </c>
      <c r="AN106" s="7">
        <v>0.63203600000000004</v>
      </c>
      <c r="AO106" s="7">
        <v>63.203620999999998</v>
      </c>
      <c r="AP106" s="7">
        <v>100</v>
      </c>
      <c r="AQ106" s="7">
        <v>0.62339900000000004</v>
      </c>
      <c r="AR106" s="7">
        <v>62.339942999999998</v>
      </c>
      <c r="AS106" s="7">
        <v>100</v>
      </c>
      <c r="AT106" s="7">
        <v>0.502718</v>
      </c>
      <c r="AU106" s="7">
        <v>0.67360299999999995</v>
      </c>
      <c r="AV106" s="7">
        <v>50.271818000000003</v>
      </c>
      <c r="AW106" s="7">
        <v>100</v>
      </c>
      <c r="AX106" s="7">
        <v>0.59947899999999998</v>
      </c>
      <c r="AY106" s="7">
        <v>0.63114300000000001</v>
      </c>
      <c r="AZ106" s="7">
        <v>59.947902999999997</v>
      </c>
      <c r="BA106" s="7">
        <v>100</v>
      </c>
      <c r="BB106" s="4" t="s">
        <v>124</v>
      </c>
      <c r="BC106" s="4" t="s">
        <v>124</v>
      </c>
      <c r="BD106" s="4" t="s">
        <v>124</v>
      </c>
      <c r="BE106" s="4" t="s">
        <v>124</v>
      </c>
      <c r="BF106" s="4" t="s">
        <v>124</v>
      </c>
      <c r="BG106" s="4" t="s">
        <v>124</v>
      </c>
      <c r="BH106" s="7">
        <v>0</v>
      </c>
      <c r="BI106" s="7">
        <v>0.99239500000000003</v>
      </c>
      <c r="BJ106" s="7">
        <v>0.985294</v>
      </c>
      <c r="BK106" s="7">
        <v>0.99487199999999998</v>
      </c>
      <c r="BL106" s="7">
        <v>0.99239500000000003</v>
      </c>
      <c r="BM106" s="7">
        <v>0.985294</v>
      </c>
      <c r="BN106" s="7">
        <v>0.99487199999999998</v>
      </c>
      <c r="BO106" s="7">
        <v>1</v>
      </c>
      <c r="BP106" s="4" t="s">
        <v>124</v>
      </c>
      <c r="BQ106" s="7">
        <v>1</v>
      </c>
      <c r="BR106" s="7">
        <v>6.5115999999999993E-2</v>
      </c>
      <c r="BS106" s="7">
        <v>46.976743999999997</v>
      </c>
      <c r="BT106" s="7">
        <v>50</v>
      </c>
      <c r="BU106" s="7">
        <v>0.10743800000000001</v>
      </c>
      <c r="BV106" s="7">
        <v>38.512397</v>
      </c>
      <c r="BW106" s="7">
        <v>50</v>
      </c>
      <c r="BX106" s="4" t="s">
        <v>124</v>
      </c>
      <c r="BY106" s="4" t="s">
        <v>124</v>
      </c>
      <c r="BZ106" s="4" t="s">
        <v>124</v>
      </c>
      <c r="CA106" s="4" t="s">
        <v>124</v>
      </c>
      <c r="CB106" s="4" t="s">
        <v>124</v>
      </c>
      <c r="CC106" s="4" t="s">
        <v>124</v>
      </c>
      <c r="CD106" s="4" t="s">
        <v>124</v>
      </c>
      <c r="CE106" s="4" t="s">
        <v>124</v>
      </c>
      <c r="CF106" s="4" t="s">
        <v>124</v>
      </c>
      <c r="CG106" s="4" t="s">
        <v>124</v>
      </c>
      <c r="CH106" s="4" t="s">
        <v>124</v>
      </c>
      <c r="CI106" s="4" t="s">
        <v>124</v>
      </c>
      <c r="CJ106" s="4" t="s">
        <v>124</v>
      </c>
      <c r="CK106" s="4" t="s">
        <v>124</v>
      </c>
      <c r="CL106" s="4" t="s">
        <v>124</v>
      </c>
      <c r="CM106" s="4" t="s">
        <v>124</v>
      </c>
      <c r="CN106" s="4" t="s">
        <v>124</v>
      </c>
      <c r="CO106" s="4" t="s">
        <v>124</v>
      </c>
      <c r="CP106" s="4" t="s">
        <v>124</v>
      </c>
      <c r="CQ106" s="7">
        <v>0.484848</v>
      </c>
      <c r="CR106" s="7">
        <v>0.99248099999999995</v>
      </c>
      <c r="CS106" s="7">
        <v>32.323231999999997</v>
      </c>
      <c r="CT106" s="7">
        <v>50</v>
      </c>
      <c r="CU106" s="4" t="s">
        <v>124</v>
      </c>
      <c r="CV106" s="4" t="s">
        <v>124</v>
      </c>
      <c r="CW106" s="4" t="s">
        <v>124</v>
      </c>
      <c r="CX106" s="4" t="s">
        <v>124</v>
      </c>
      <c r="CY106" s="4" t="s">
        <v>124</v>
      </c>
      <c r="CZ106" s="4" t="s">
        <v>124</v>
      </c>
      <c r="DA106" s="7">
        <v>15.389535</v>
      </c>
      <c r="DB106" s="7">
        <v>17.608319000000002</v>
      </c>
      <c r="DC106" s="7">
        <v>16.064022999999999</v>
      </c>
      <c r="DD106" s="4" t="s">
        <v>124</v>
      </c>
      <c r="DE106" s="4" t="s">
        <v>124</v>
      </c>
      <c r="DF106" s="6"/>
      <c r="DG106" s="6"/>
      <c r="DH106" s="6"/>
      <c r="DI106" s="6"/>
      <c r="DJ106" s="4" t="s">
        <v>124</v>
      </c>
      <c r="DK106" s="4" t="s">
        <v>124</v>
      </c>
      <c r="DL106" s="4" t="s">
        <v>124</v>
      </c>
      <c r="DM106" s="4" t="s">
        <v>124</v>
      </c>
      <c r="DN106" s="4" t="s">
        <v>124</v>
      </c>
      <c r="DO106" s="4" t="s">
        <v>124</v>
      </c>
      <c r="DP106" s="6"/>
      <c r="DQ106" s="4" t="s">
        <v>125</v>
      </c>
    </row>
    <row r="107" spans="1:121" ht="20" customHeight="1" x14ac:dyDescent="0.15">
      <c r="A107" s="5">
        <v>2018</v>
      </c>
      <c r="B107" s="3" t="s">
        <v>230</v>
      </c>
      <c r="C107" s="4" t="str">
        <f t="shared" ref="C107:C994" si="105">"1520011"</f>
        <v>1520011</v>
      </c>
      <c r="D107" s="4" t="s">
        <v>122</v>
      </c>
      <c r="E107" s="4" t="str">
        <f t="shared" si="1"/>
        <v>0000000</v>
      </c>
      <c r="F107" s="4" t="s">
        <v>122</v>
      </c>
      <c r="G107" s="4" t="s">
        <v>122</v>
      </c>
      <c r="H107" s="4" t="s">
        <v>122</v>
      </c>
      <c r="I107" s="6"/>
      <c r="J107" s="4" t="s">
        <v>123</v>
      </c>
      <c r="K107" s="7">
        <v>1183.1414239999999</v>
      </c>
      <c r="L107" s="7">
        <v>1450</v>
      </c>
      <c r="M107" s="7">
        <v>81.595960000000005</v>
      </c>
      <c r="N107" s="4" t="s">
        <v>124</v>
      </c>
      <c r="O107" s="7">
        <v>0</v>
      </c>
      <c r="P107" s="7">
        <v>73.143944000000005</v>
      </c>
      <c r="Q107" s="7">
        <v>48.762630000000001</v>
      </c>
      <c r="R107" s="7">
        <v>50</v>
      </c>
      <c r="S107" s="7">
        <v>63.177590000000002</v>
      </c>
      <c r="T107" s="7">
        <v>75</v>
      </c>
      <c r="U107" s="7">
        <v>42.118394000000002</v>
      </c>
      <c r="V107" s="7">
        <v>50</v>
      </c>
      <c r="W107" s="7">
        <v>70.167531999999994</v>
      </c>
      <c r="X107" s="7">
        <v>46.778354999999998</v>
      </c>
      <c r="Y107" s="7">
        <v>50</v>
      </c>
      <c r="Z107" s="7">
        <v>75</v>
      </c>
      <c r="AA107" s="7">
        <v>59.234780999999998</v>
      </c>
      <c r="AB107" s="7">
        <v>39.489854000000001</v>
      </c>
      <c r="AC107" s="7">
        <v>50</v>
      </c>
      <c r="AD107" s="7">
        <v>67.622710999999995</v>
      </c>
      <c r="AE107" s="7">
        <v>45.081806999999998</v>
      </c>
      <c r="AF107" s="7">
        <v>50</v>
      </c>
      <c r="AG107" s="7">
        <v>58.187477999999999</v>
      </c>
      <c r="AH107" s="7">
        <v>73.464799999999997</v>
      </c>
      <c r="AI107" s="7">
        <v>38.791651999999999</v>
      </c>
      <c r="AJ107" s="7">
        <v>50</v>
      </c>
      <c r="AK107" s="7">
        <v>11.82</v>
      </c>
      <c r="AL107" s="7">
        <v>15.76</v>
      </c>
      <c r="AM107" s="7">
        <v>15.27</v>
      </c>
      <c r="AN107" s="7">
        <v>0.64295800000000003</v>
      </c>
      <c r="AO107" s="7">
        <v>64.295794000000001</v>
      </c>
      <c r="AP107" s="7">
        <v>100</v>
      </c>
      <c r="AQ107" s="7">
        <v>0.74843599999999999</v>
      </c>
      <c r="AR107" s="7">
        <v>74.843609000000001</v>
      </c>
      <c r="AS107" s="7">
        <v>100</v>
      </c>
      <c r="AT107" s="7">
        <v>0.57889900000000005</v>
      </c>
      <c r="AU107" s="7">
        <v>0.68435299999999999</v>
      </c>
      <c r="AV107" s="7">
        <v>57.889915000000002</v>
      </c>
      <c r="AW107" s="7">
        <v>100</v>
      </c>
      <c r="AX107" s="7">
        <v>0.73085800000000001</v>
      </c>
      <c r="AY107" s="7">
        <v>0.759795</v>
      </c>
      <c r="AZ107" s="7">
        <v>73.085830000000001</v>
      </c>
      <c r="BA107" s="7">
        <v>100</v>
      </c>
      <c r="BB107" s="7">
        <v>0.64177600000000001</v>
      </c>
      <c r="BC107" s="7">
        <v>32.088777</v>
      </c>
      <c r="BD107" s="7">
        <v>50</v>
      </c>
      <c r="BE107" s="7">
        <v>0.54503000000000001</v>
      </c>
      <c r="BF107" s="7">
        <v>27.251487000000001</v>
      </c>
      <c r="BG107" s="7">
        <v>50</v>
      </c>
      <c r="BH107" s="7">
        <v>0</v>
      </c>
      <c r="BI107" s="7">
        <v>0.99478</v>
      </c>
      <c r="BJ107" s="7">
        <v>0.99063699999999999</v>
      </c>
      <c r="BK107" s="7">
        <v>0.99752200000000002</v>
      </c>
      <c r="BL107" s="7">
        <v>0.99403399999999997</v>
      </c>
      <c r="BM107" s="7">
        <v>0.98876399999999998</v>
      </c>
      <c r="BN107" s="7">
        <v>0.99752200000000002</v>
      </c>
      <c r="BO107" s="7">
        <v>0.98677700000000002</v>
      </c>
      <c r="BP107" s="7">
        <v>0.97071099999999999</v>
      </c>
      <c r="BQ107" s="7">
        <v>0.99726800000000004</v>
      </c>
      <c r="BR107" s="7">
        <v>6.1124999999999999E-2</v>
      </c>
      <c r="BS107" s="7">
        <v>47.775061000000001</v>
      </c>
      <c r="BT107" s="7">
        <v>50</v>
      </c>
      <c r="BU107" s="7">
        <v>0.11351899999999999</v>
      </c>
      <c r="BV107" s="7">
        <v>37.296182000000002</v>
      </c>
      <c r="BW107" s="7">
        <v>50</v>
      </c>
      <c r="BX107" s="7">
        <v>0.89361699999999999</v>
      </c>
      <c r="BY107" s="7">
        <v>50</v>
      </c>
      <c r="BZ107" s="7">
        <v>50</v>
      </c>
      <c r="CA107" s="7">
        <v>0.48226999999999998</v>
      </c>
      <c r="CB107" s="7">
        <v>32.151299999999999</v>
      </c>
      <c r="CC107" s="7">
        <v>50</v>
      </c>
      <c r="CD107" s="7">
        <v>0.93674000000000002</v>
      </c>
      <c r="CE107" s="7">
        <v>49.826577999999998</v>
      </c>
      <c r="CF107" s="7">
        <v>50</v>
      </c>
      <c r="CG107" s="7">
        <v>0.913462</v>
      </c>
      <c r="CH107" s="7">
        <v>97.176759000000004</v>
      </c>
      <c r="CI107" s="7">
        <v>100</v>
      </c>
      <c r="CJ107" s="7">
        <v>0</v>
      </c>
      <c r="CK107" s="7">
        <v>0.921875</v>
      </c>
      <c r="CL107" s="7">
        <v>98.071809000000002</v>
      </c>
      <c r="CM107" s="7">
        <v>100</v>
      </c>
      <c r="CN107" s="7">
        <v>0.77700000000000002</v>
      </c>
      <c r="CO107" s="7">
        <v>100</v>
      </c>
      <c r="CP107" s="7">
        <v>100</v>
      </c>
      <c r="CQ107" s="7">
        <v>0.61251699999999998</v>
      </c>
      <c r="CR107" s="7">
        <v>0.93992500000000001</v>
      </c>
      <c r="CS107" s="7">
        <v>40.834443</v>
      </c>
      <c r="CT107" s="7">
        <v>50</v>
      </c>
      <c r="CU107" s="7">
        <v>0.47437400000000002</v>
      </c>
      <c r="CV107" s="7">
        <v>39.531188</v>
      </c>
      <c r="CW107" s="7">
        <v>50</v>
      </c>
      <c r="CX107" s="7">
        <v>0.921875</v>
      </c>
      <c r="CY107" s="7">
        <v>0.94</v>
      </c>
      <c r="CZ107" s="7">
        <v>1.8124999999999999E-2</v>
      </c>
      <c r="DA107" s="7">
        <v>15.389535</v>
      </c>
      <c r="DB107" s="7">
        <v>17.608319000000002</v>
      </c>
      <c r="DC107" s="7">
        <v>16.064022999999999</v>
      </c>
      <c r="DD107" s="7">
        <v>11.115401</v>
      </c>
      <c r="DE107" s="4" t="s">
        <v>124</v>
      </c>
      <c r="DF107" s="6"/>
      <c r="DG107" s="6"/>
      <c r="DH107" s="6"/>
      <c r="DI107" s="6"/>
      <c r="DJ107" s="4" t="s">
        <v>124</v>
      </c>
      <c r="DK107" s="4" t="s">
        <v>124</v>
      </c>
      <c r="DL107" s="4" t="s">
        <v>124</v>
      </c>
      <c r="DM107" s="4" t="s">
        <v>124</v>
      </c>
      <c r="DN107" s="4" t="s">
        <v>124</v>
      </c>
      <c r="DO107" s="4" t="s">
        <v>124</v>
      </c>
      <c r="DP107" s="6"/>
      <c r="DQ107" s="4" t="s">
        <v>125</v>
      </c>
    </row>
    <row r="108" spans="1:121" ht="20" customHeight="1" x14ac:dyDescent="0.15">
      <c r="A108" s="5">
        <v>2018</v>
      </c>
      <c r="B108" s="3" t="s">
        <v>231</v>
      </c>
      <c r="C108" s="4" t="str">
        <f t="shared" ref="C108:C203" si="106">"0010011"</f>
        <v>0010011</v>
      </c>
      <c r="D108" s="4" t="s">
        <v>122</v>
      </c>
      <c r="E108" s="4" t="str">
        <f t="shared" si="1"/>
        <v>0000000</v>
      </c>
      <c r="F108" s="4" t="s">
        <v>122</v>
      </c>
      <c r="G108" s="4" t="s">
        <v>122</v>
      </c>
      <c r="H108" s="4" t="s">
        <v>122</v>
      </c>
      <c r="I108" s="6"/>
      <c r="J108" s="4" t="s">
        <v>123</v>
      </c>
      <c r="K108" s="7">
        <v>547.29150100000004</v>
      </c>
      <c r="L108" s="7">
        <v>600</v>
      </c>
      <c r="M108" s="7">
        <v>91.215249999999997</v>
      </c>
      <c r="N108" s="4" t="s">
        <v>124</v>
      </c>
      <c r="O108" s="7">
        <v>0</v>
      </c>
      <c r="P108" s="7">
        <v>80.988783999999995</v>
      </c>
      <c r="Q108" s="7">
        <v>50</v>
      </c>
      <c r="R108" s="7">
        <v>50</v>
      </c>
      <c r="S108" s="7">
        <v>75.642657</v>
      </c>
      <c r="T108" s="7">
        <v>75</v>
      </c>
      <c r="U108" s="7">
        <v>50</v>
      </c>
      <c r="V108" s="7">
        <v>50</v>
      </c>
      <c r="W108" s="7">
        <v>76.521275000000003</v>
      </c>
      <c r="X108" s="7">
        <v>50</v>
      </c>
      <c r="Y108" s="7">
        <v>50</v>
      </c>
      <c r="Z108" s="7">
        <v>75</v>
      </c>
      <c r="AA108" s="7">
        <v>76.488281000000001</v>
      </c>
      <c r="AB108" s="7">
        <v>50</v>
      </c>
      <c r="AC108" s="7">
        <v>50</v>
      </c>
      <c r="AD108" s="7">
        <v>79.152361999999997</v>
      </c>
      <c r="AE108" s="7">
        <v>50</v>
      </c>
      <c r="AF108" s="7">
        <v>50</v>
      </c>
      <c r="AG108" s="4" t="s">
        <v>124</v>
      </c>
      <c r="AH108" s="4" t="s">
        <v>124</v>
      </c>
      <c r="AI108" s="4" t="s">
        <v>124</v>
      </c>
      <c r="AJ108" s="4" t="s">
        <v>124</v>
      </c>
      <c r="AK108" s="7">
        <v>-0.64</v>
      </c>
      <c r="AL108" s="7">
        <v>-1.48</v>
      </c>
      <c r="AM108" s="4" t="s">
        <v>124</v>
      </c>
      <c r="AN108" s="7">
        <v>0.74586699999999995</v>
      </c>
      <c r="AO108" s="7">
        <v>74.586729000000005</v>
      </c>
      <c r="AP108" s="7">
        <v>100</v>
      </c>
      <c r="AQ108" s="7">
        <v>0.73725200000000002</v>
      </c>
      <c r="AR108" s="7">
        <v>73.725178999999997</v>
      </c>
      <c r="AS108" s="7">
        <v>100</v>
      </c>
      <c r="AT108" s="4" t="s">
        <v>124</v>
      </c>
      <c r="AU108" s="7">
        <v>0.79736200000000002</v>
      </c>
      <c r="AV108" s="4" t="s">
        <v>124</v>
      </c>
      <c r="AW108" s="4" t="s">
        <v>124</v>
      </c>
      <c r="AX108" s="4" t="s">
        <v>124</v>
      </c>
      <c r="AY108" s="7">
        <v>0.74237399999999998</v>
      </c>
      <c r="AZ108" s="4" t="s">
        <v>124</v>
      </c>
      <c r="BA108" s="4" t="s">
        <v>124</v>
      </c>
      <c r="BB108" s="4" t="s">
        <v>124</v>
      </c>
      <c r="BC108" s="4" t="s">
        <v>124</v>
      </c>
      <c r="BD108" s="4" t="s">
        <v>124</v>
      </c>
      <c r="BE108" s="4" t="s">
        <v>124</v>
      </c>
      <c r="BF108" s="4" t="s">
        <v>124</v>
      </c>
      <c r="BG108" s="4" t="s">
        <v>124</v>
      </c>
      <c r="BH108" s="7">
        <v>0</v>
      </c>
      <c r="BI108" s="7">
        <v>1</v>
      </c>
      <c r="BJ108" s="7">
        <v>1</v>
      </c>
      <c r="BK108" s="7">
        <v>1</v>
      </c>
      <c r="BL108" s="7">
        <v>1</v>
      </c>
      <c r="BM108" s="7">
        <v>1</v>
      </c>
      <c r="BN108" s="7">
        <v>1</v>
      </c>
      <c r="BO108" s="7">
        <v>1</v>
      </c>
      <c r="BP108" s="4" t="s">
        <v>124</v>
      </c>
      <c r="BQ108" s="4" t="s">
        <v>124</v>
      </c>
      <c r="BR108" s="7">
        <v>1.2739E-2</v>
      </c>
      <c r="BS108" s="7">
        <v>50</v>
      </c>
      <c r="BT108" s="7">
        <v>50</v>
      </c>
      <c r="BU108" s="7">
        <v>2.3810000000000001E-2</v>
      </c>
      <c r="BV108" s="7">
        <v>50</v>
      </c>
      <c r="BW108" s="7">
        <v>50</v>
      </c>
      <c r="BX108" s="4" t="s">
        <v>124</v>
      </c>
      <c r="BY108" s="4" t="s">
        <v>124</v>
      </c>
      <c r="BZ108" s="4" t="s">
        <v>124</v>
      </c>
      <c r="CA108" s="4" t="s">
        <v>124</v>
      </c>
      <c r="CB108" s="4" t="s">
        <v>124</v>
      </c>
      <c r="CC108" s="4" t="s">
        <v>124</v>
      </c>
      <c r="CD108" s="4" t="s">
        <v>124</v>
      </c>
      <c r="CE108" s="4" t="s">
        <v>124</v>
      </c>
      <c r="CF108" s="4" t="s">
        <v>124</v>
      </c>
      <c r="CG108" s="4" t="s">
        <v>124</v>
      </c>
      <c r="CH108" s="4" t="s">
        <v>124</v>
      </c>
      <c r="CI108" s="4" t="s">
        <v>124</v>
      </c>
      <c r="CJ108" s="4" t="s">
        <v>124</v>
      </c>
      <c r="CK108" s="4" t="s">
        <v>124</v>
      </c>
      <c r="CL108" s="4" t="s">
        <v>124</v>
      </c>
      <c r="CM108" s="4" t="s">
        <v>124</v>
      </c>
      <c r="CN108" s="4" t="s">
        <v>124</v>
      </c>
      <c r="CO108" s="4" t="s">
        <v>124</v>
      </c>
      <c r="CP108" s="4" t="s">
        <v>124</v>
      </c>
      <c r="CQ108" s="7">
        <v>0.73469399999999996</v>
      </c>
      <c r="CR108" s="7">
        <v>1</v>
      </c>
      <c r="CS108" s="7">
        <v>48.979591999999997</v>
      </c>
      <c r="CT108" s="7">
        <v>50</v>
      </c>
      <c r="CU108" s="4" t="s">
        <v>124</v>
      </c>
      <c r="CV108" s="4" t="s">
        <v>124</v>
      </c>
      <c r="CW108" s="4" t="s">
        <v>124</v>
      </c>
      <c r="CX108" s="4" t="s">
        <v>124</v>
      </c>
      <c r="CY108" s="4" t="s">
        <v>124</v>
      </c>
      <c r="CZ108" s="4" t="s">
        <v>124</v>
      </c>
      <c r="DA108" s="7">
        <v>15.389535</v>
      </c>
      <c r="DB108" s="7">
        <v>17.608319000000002</v>
      </c>
      <c r="DC108" s="7">
        <v>16.064022999999999</v>
      </c>
      <c r="DD108" s="4" t="s">
        <v>124</v>
      </c>
      <c r="DE108" s="4" t="s">
        <v>124</v>
      </c>
      <c r="DF108" s="6"/>
      <c r="DG108" s="6"/>
      <c r="DH108" s="6"/>
      <c r="DI108" s="6"/>
      <c r="DJ108" s="4" t="s">
        <v>124</v>
      </c>
      <c r="DK108" s="4" t="s">
        <v>124</v>
      </c>
      <c r="DL108" s="4" t="s">
        <v>124</v>
      </c>
      <c r="DM108" s="4" t="s">
        <v>124</v>
      </c>
      <c r="DN108" s="4" t="s">
        <v>124</v>
      </c>
      <c r="DO108" s="4" t="s">
        <v>124</v>
      </c>
      <c r="DP108" s="6"/>
      <c r="DQ108" s="4" t="s">
        <v>125</v>
      </c>
    </row>
    <row r="109" spans="1:121" ht="20" customHeight="1" x14ac:dyDescent="0.15">
      <c r="A109" s="5">
        <v>2018</v>
      </c>
      <c r="B109" s="3" t="s">
        <v>232</v>
      </c>
      <c r="C109" s="4" t="str">
        <f t="shared" ref="C109:C207" si="107">"0020011"</f>
        <v>0020011</v>
      </c>
      <c r="D109" s="4" t="s">
        <v>122</v>
      </c>
      <c r="E109" s="4" t="str">
        <f t="shared" si="1"/>
        <v>0000000</v>
      </c>
      <c r="F109" s="4" t="s">
        <v>122</v>
      </c>
      <c r="G109" s="4" t="s">
        <v>122</v>
      </c>
      <c r="H109" s="4" t="s">
        <v>122</v>
      </c>
      <c r="I109" s="6"/>
      <c r="J109" s="4" t="s">
        <v>123</v>
      </c>
      <c r="K109" s="7">
        <v>968.756349</v>
      </c>
      <c r="L109" s="7">
        <v>1450</v>
      </c>
      <c r="M109" s="7">
        <v>66.810783000000001</v>
      </c>
      <c r="N109" s="4" t="s">
        <v>124</v>
      </c>
      <c r="O109" s="7">
        <v>0</v>
      </c>
      <c r="P109" s="7">
        <v>58.962114</v>
      </c>
      <c r="Q109" s="7">
        <v>39.308076</v>
      </c>
      <c r="R109" s="7">
        <v>50</v>
      </c>
      <c r="S109" s="7">
        <v>55.959670000000003</v>
      </c>
      <c r="T109" s="7">
        <v>66.898509000000004</v>
      </c>
      <c r="U109" s="7">
        <v>37.306446999999999</v>
      </c>
      <c r="V109" s="7">
        <v>50</v>
      </c>
      <c r="W109" s="7">
        <v>53.589319000000003</v>
      </c>
      <c r="X109" s="7">
        <v>35.726213000000001</v>
      </c>
      <c r="Y109" s="7">
        <v>50</v>
      </c>
      <c r="Z109" s="7">
        <v>61.481031999999999</v>
      </c>
      <c r="AA109" s="7">
        <v>50.592950000000002</v>
      </c>
      <c r="AB109" s="7">
        <v>33.728633000000002</v>
      </c>
      <c r="AC109" s="7">
        <v>50</v>
      </c>
      <c r="AD109" s="7">
        <v>52.935853000000002</v>
      </c>
      <c r="AE109" s="7">
        <v>35.290568999999998</v>
      </c>
      <c r="AF109" s="7">
        <v>50</v>
      </c>
      <c r="AG109" s="7">
        <v>50.183931000000001</v>
      </c>
      <c r="AH109" s="7">
        <v>60.317993999999999</v>
      </c>
      <c r="AI109" s="7">
        <v>33.455953999999998</v>
      </c>
      <c r="AJ109" s="7">
        <v>50</v>
      </c>
      <c r="AK109" s="7">
        <v>10.93</v>
      </c>
      <c r="AL109" s="7">
        <v>10.88</v>
      </c>
      <c r="AM109" s="7">
        <v>10.130000000000001</v>
      </c>
      <c r="AN109" s="7">
        <v>0.47556599999999999</v>
      </c>
      <c r="AO109" s="7">
        <v>47.556559</v>
      </c>
      <c r="AP109" s="7">
        <v>100</v>
      </c>
      <c r="AQ109" s="7">
        <v>0.45583899999999999</v>
      </c>
      <c r="AR109" s="7">
        <v>45.583899000000002</v>
      </c>
      <c r="AS109" s="7">
        <v>100</v>
      </c>
      <c r="AT109" s="7">
        <v>0.46063700000000002</v>
      </c>
      <c r="AU109" s="7">
        <v>0.51145799999999997</v>
      </c>
      <c r="AV109" s="7">
        <v>46.063701999999999</v>
      </c>
      <c r="AW109" s="7">
        <v>100</v>
      </c>
      <c r="AX109" s="7">
        <v>0.42983500000000002</v>
      </c>
      <c r="AY109" s="7">
        <v>0.51824899999999996</v>
      </c>
      <c r="AZ109" s="7">
        <v>42.983460999999998</v>
      </c>
      <c r="BA109" s="7">
        <v>100</v>
      </c>
      <c r="BB109" s="7">
        <v>0.69925899999999996</v>
      </c>
      <c r="BC109" s="7">
        <v>34.962932000000002</v>
      </c>
      <c r="BD109" s="7">
        <v>50</v>
      </c>
      <c r="BE109" s="7">
        <v>0.68170500000000001</v>
      </c>
      <c r="BF109" s="7">
        <v>34.085273000000001</v>
      </c>
      <c r="BG109" s="7">
        <v>50</v>
      </c>
      <c r="BH109" s="7">
        <v>0</v>
      </c>
      <c r="BI109" s="7">
        <v>0.99017200000000005</v>
      </c>
      <c r="BJ109" s="7">
        <v>0.98883900000000002</v>
      </c>
      <c r="BK109" s="7">
        <v>0.99384600000000001</v>
      </c>
      <c r="BL109" s="7">
        <v>0.98771500000000001</v>
      </c>
      <c r="BM109" s="7">
        <v>0.98549100000000001</v>
      </c>
      <c r="BN109" s="7">
        <v>0.99384600000000001</v>
      </c>
      <c r="BO109" s="7">
        <v>0.97633099999999995</v>
      </c>
      <c r="BP109" s="7">
        <v>0.97587100000000004</v>
      </c>
      <c r="BQ109" s="7">
        <v>0.97761200000000004</v>
      </c>
      <c r="BR109" s="7">
        <v>0.14467099999999999</v>
      </c>
      <c r="BS109" s="7">
        <v>31.065760000000001</v>
      </c>
      <c r="BT109" s="7">
        <v>50</v>
      </c>
      <c r="BU109" s="7">
        <v>0.17278499999999999</v>
      </c>
      <c r="BV109" s="7">
        <v>25.443038000000001</v>
      </c>
      <c r="BW109" s="7">
        <v>50</v>
      </c>
      <c r="BX109" s="7">
        <v>0.740506</v>
      </c>
      <c r="BY109" s="7">
        <v>49.367089</v>
      </c>
      <c r="BZ109" s="7">
        <v>50</v>
      </c>
      <c r="CA109" s="7">
        <v>0.22468399999999999</v>
      </c>
      <c r="CB109" s="7">
        <v>14.978903000000001</v>
      </c>
      <c r="CC109" s="7">
        <v>50</v>
      </c>
      <c r="CD109" s="7">
        <v>0.90807800000000005</v>
      </c>
      <c r="CE109" s="7">
        <v>48.302021000000003</v>
      </c>
      <c r="CF109" s="7">
        <v>50</v>
      </c>
      <c r="CG109" s="7">
        <v>0.85798799999999997</v>
      </c>
      <c r="CH109" s="7">
        <v>91.275336999999993</v>
      </c>
      <c r="CI109" s="7">
        <v>100</v>
      </c>
      <c r="CJ109" s="7">
        <v>0</v>
      </c>
      <c r="CK109" s="7">
        <v>0.85416700000000001</v>
      </c>
      <c r="CL109" s="7">
        <v>90.868793999999994</v>
      </c>
      <c r="CM109" s="7">
        <v>100</v>
      </c>
      <c r="CN109" s="7">
        <v>0.48199999999999998</v>
      </c>
      <c r="CO109" s="7">
        <v>64.302599999999998</v>
      </c>
      <c r="CP109" s="7">
        <v>100</v>
      </c>
      <c r="CQ109" s="7">
        <v>0.74173199999999995</v>
      </c>
      <c r="CR109" s="7">
        <v>0.94776099999999996</v>
      </c>
      <c r="CS109" s="7">
        <v>49.448819</v>
      </c>
      <c r="CT109" s="7">
        <v>50</v>
      </c>
      <c r="CU109" s="7">
        <v>0.45182699999999998</v>
      </c>
      <c r="CV109" s="7">
        <v>37.652270000000001</v>
      </c>
      <c r="CW109" s="7">
        <v>50</v>
      </c>
      <c r="CX109" s="7">
        <v>0.85416700000000001</v>
      </c>
      <c r="CY109" s="7">
        <v>0.94</v>
      </c>
      <c r="CZ109" s="7">
        <v>8.5833000000000007E-2</v>
      </c>
      <c r="DA109" s="7">
        <v>15.389535</v>
      </c>
      <c r="DB109" s="7">
        <v>17.608319000000002</v>
      </c>
      <c r="DC109" s="7">
        <v>16.064022999999999</v>
      </c>
      <c r="DD109" s="7">
        <v>11.115401</v>
      </c>
      <c r="DE109" s="4" t="s">
        <v>124</v>
      </c>
      <c r="DF109" s="6"/>
      <c r="DG109" s="6"/>
      <c r="DH109" s="6"/>
      <c r="DI109" s="6"/>
      <c r="DJ109" s="4" t="s">
        <v>124</v>
      </c>
      <c r="DK109" s="4" t="s">
        <v>124</v>
      </c>
      <c r="DL109" s="4" t="s">
        <v>124</v>
      </c>
      <c r="DM109" s="4" t="s">
        <v>124</v>
      </c>
      <c r="DN109" s="4" t="s">
        <v>124</v>
      </c>
      <c r="DO109" s="4" t="s">
        <v>124</v>
      </c>
      <c r="DP109" s="6"/>
      <c r="DQ109" s="4" t="s">
        <v>125</v>
      </c>
    </row>
    <row r="110" spans="1:121" ht="20" customHeight="1" x14ac:dyDescent="0.15">
      <c r="A110" s="5">
        <v>2018</v>
      </c>
      <c r="B110" s="3" t="s">
        <v>233</v>
      </c>
      <c r="C110" s="4" t="str">
        <f t="shared" ref="C110:C208" si="108">"0030011"</f>
        <v>0030011</v>
      </c>
      <c r="D110" s="4" t="s">
        <v>122</v>
      </c>
      <c r="E110" s="4" t="str">
        <f t="shared" si="1"/>
        <v>0000000</v>
      </c>
      <c r="F110" s="4" t="s">
        <v>122</v>
      </c>
      <c r="G110" s="4" t="s">
        <v>122</v>
      </c>
      <c r="H110" s="4" t="s">
        <v>122</v>
      </c>
      <c r="I110" s="6"/>
      <c r="J110" s="4" t="s">
        <v>123</v>
      </c>
      <c r="K110" s="7">
        <v>643.15415299999995</v>
      </c>
      <c r="L110" s="7">
        <v>900</v>
      </c>
      <c r="M110" s="7">
        <v>71.461573000000001</v>
      </c>
      <c r="N110" s="4" t="s">
        <v>124</v>
      </c>
      <c r="O110" s="7">
        <v>0</v>
      </c>
      <c r="P110" s="7">
        <v>70.365140999999994</v>
      </c>
      <c r="Q110" s="7">
        <v>46.910094000000001</v>
      </c>
      <c r="R110" s="7">
        <v>50</v>
      </c>
      <c r="S110" s="7">
        <v>62.578063999999998</v>
      </c>
      <c r="T110" s="7">
        <v>75</v>
      </c>
      <c r="U110" s="7">
        <v>41.718708999999997</v>
      </c>
      <c r="V110" s="7">
        <v>50</v>
      </c>
      <c r="W110" s="7">
        <v>63.008242000000003</v>
      </c>
      <c r="X110" s="7">
        <v>42.005495000000003</v>
      </c>
      <c r="Y110" s="7">
        <v>50</v>
      </c>
      <c r="Z110" s="7">
        <v>69.046662999999995</v>
      </c>
      <c r="AA110" s="7">
        <v>56.553378000000002</v>
      </c>
      <c r="AB110" s="7">
        <v>37.702252000000001</v>
      </c>
      <c r="AC110" s="7">
        <v>50</v>
      </c>
      <c r="AD110" s="7">
        <v>73.848771999999997</v>
      </c>
      <c r="AE110" s="7">
        <v>49.232514999999999</v>
      </c>
      <c r="AF110" s="7">
        <v>50</v>
      </c>
      <c r="AG110" s="7">
        <v>69.779966999999999</v>
      </c>
      <c r="AH110" s="7">
        <v>75</v>
      </c>
      <c r="AI110" s="7">
        <v>46.519978000000002</v>
      </c>
      <c r="AJ110" s="7">
        <v>50</v>
      </c>
      <c r="AK110" s="7">
        <v>12.42</v>
      </c>
      <c r="AL110" s="7">
        <v>12.49</v>
      </c>
      <c r="AM110" s="7">
        <v>5.22</v>
      </c>
      <c r="AN110" s="7">
        <v>0.55646899999999999</v>
      </c>
      <c r="AO110" s="7">
        <v>55.646889999999999</v>
      </c>
      <c r="AP110" s="7">
        <v>100</v>
      </c>
      <c r="AQ110" s="7">
        <v>0.53276599999999996</v>
      </c>
      <c r="AR110" s="7">
        <v>53.276600999999999</v>
      </c>
      <c r="AS110" s="7">
        <v>100</v>
      </c>
      <c r="AT110" s="7">
        <v>0.52040299999999995</v>
      </c>
      <c r="AU110" s="7">
        <v>0.58995799999999998</v>
      </c>
      <c r="AV110" s="7">
        <v>52.040345000000002</v>
      </c>
      <c r="AW110" s="7">
        <v>100</v>
      </c>
      <c r="AX110" s="7">
        <v>0.48583599999999999</v>
      </c>
      <c r="AY110" s="7">
        <v>0.57586499999999996</v>
      </c>
      <c r="AZ110" s="7">
        <v>48.583557999999996</v>
      </c>
      <c r="BA110" s="7">
        <v>100</v>
      </c>
      <c r="BB110" s="4" t="s">
        <v>124</v>
      </c>
      <c r="BC110" s="4" t="s">
        <v>124</v>
      </c>
      <c r="BD110" s="4" t="s">
        <v>124</v>
      </c>
      <c r="BE110" s="4" t="s">
        <v>124</v>
      </c>
      <c r="BF110" s="4" t="s">
        <v>124</v>
      </c>
      <c r="BG110" s="4" t="s">
        <v>124</v>
      </c>
      <c r="BH110" s="7">
        <v>0</v>
      </c>
      <c r="BI110" s="7">
        <v>0.98795200000000005</v>
      </c>
      <c r="BJ110" s="7">
        <v>0.98347099999999998</v>
      </c>
      <c r="BK110" s="7">
        <v>0.99218799999999996</v>
      </c>
      <c r="BL110" s="7">
        <v>0.97590399999999999</v>
      </c>
      <c r="BM110" s="7">
        <v>0.97520700000000005</v>
      </c>
      <c r="BN110" s="7">
        <v>0.97656299999999996</v>
      </c>
      <c r="BO110" s="7">
        <v>0.97777800000000004</v>
      </c>
      <c r="BP110" s="7">
        <v>0.95555599999999996</v>
      </c>
      <c r="BQ110" s="7">
        <v>1</v>
      </c>
      <c r="BR110" s="7">
        <v>5.4945000000000001E-2</v>
      </c>
      <c r="BS110" s="7">
        <v>49.010989000000002</v>
      </c>
      <c r="BT110" s="7">
        <v>50</v>
      </c>
      <c r="BU110" s="7">
        <v>7.6470999999999997E-2</v>
      </c>
      <c r="BV110" s="7">
        <v>44.705882000000003</v>
      </c>
      <c r="BW110" s="7">
        <v>50</v>
      </c>
      <c r="BX110" s="4" t="s">
        <v>124</v>
      </c>
      <c r="BY110" s="4" t="s">
        <v>124</v>
      </c>
      <c r="BZ110" s="4" t="s">
        <v>124</v>
      </c>
      <c r="CA110" s="4" t="s">
        <v>124</v>
      </c>
      <c r="CB110" s="4" t="s">
        <v>124</v>
      </c>
      <c r="CC110" s="4" t="s">
        <v>124</v>
      </c>
      <c r="CD110" s="7">
        <v>0.83720899999999998</v>
      </c>
      <c r="CE110" s="7">
        <v>44.532409999999999</v>
      </c>
      <c r="CF110" s="7">
        <v>50</v>
      </c>
      <c r="CG110" s="4" t="s">
        <v>124</v>
      </c>
      <c r="CH110" s="4" t="s">
        <v>124</v>
      </c>
      <c r="CI110" s="4" t="s">
        <v>124</v>
      </c>
      <c r="CJ110" s="4" t="s">
        <v>124</v>
      </c>
      <c r="CK110" s="4" t="s">
        <v>124</v>
      </c>
      <c r="CL110" s="4" t="s">
        <v>124</v>
      </c>
      <c r="CM110" s="4" t="s">
        <v>124</v>
      </c>
      <c r="CN110" s="4" t="s">
        <v>124</v>
      </c>
      <c r="CO110" s="4" t="s">
        <v>124</v>
      </c>
      <c r="CP110" s="4" t="s">
        <v>124</v>
      </c>
      <c r="CQ110" s="7">
        <v>0.46902700000000003</v>
      </c>
      <c r="CR110" s="7">
        <v>0.97413799999999995</v>
      </c>
      <c r="CS110" s="7">
        <v>31.268436999999999</v>
      </c>
      <c r="CT110" s="7">
        <v>50</v>
      </c>
      <c r="CU110" s="4" t="s">
        <v>124</v>
      </c>
      <c r="CV110" s="4" t="s">
        <v>124</v>
      </c>
      <c r="CW110" s="4" t="s">
        <v>124</v>
      </c>
      <c r="CX110" s="4" t="s">
        <v>124</v>
      </c>
      <c r="CY110" s="4" t="s">
        <v>124</v>
      </c>
      <c r="CZ110" s="4" t="s">
        <v>124</v>
      </c>
      <c r="DA110" s="7">
        <v>15.389535</v>
      </c>
      <c r="DB110" s="7">
        <v>17.608319000000002</v>
      </c>
      <c r="DC110" s="7">
        <v>16.064022999999999</v>
      </c>
      <c r="DD110" s="4" t="s">
        <v>124</v>
      </c>
      <c r="DE110" s="4" t="s">
        <v>124</v>
      </c>
      <c r="DF110" s="6"/>
      <c r="DG110" s="6"/>
      <c r="DH110" s="6"/>
      <c r="DI110" s="6"/>
      <c r="DJ110" s="4" t="s">
        <v>124</v>
      </c>
      <c r="DK110" s="4" t="s">
        <v>124</v>
      </c>
      <c r="DL110" s="4" t="s">
        <v>124</v>
      </c>
      <c r="DM110" s="4" t="s">
        <v>124</v>
      </c>
      <c r="DN110" s="4" t="s">
        <v>124</v>
      </c>
      <c r="DO110" s="4" t="s">
        <v>124</v>
      </c>
      <c r="DP110" s="6"/>
      <c r="DQ110" s="4" t="s">
        <v>125</v>
      </c>
    </row>
    <row r="111" spans="1:121" ht="20" customHeight="1" x14ac:dyDescent="0.15">
      <c r="A111" s="5">
        <v>2018</v>
      </c>
      <c r="B111" s="3" t="s">
        <v>234</v>
      </c>
      <c r="C111" s="4" t="str">
        <f t="shared" ref="C111:C213" si="109">"0040011"</f>
        <v>0040011</v>
      </c>
      <c r="D111" s="4" t="s">
        <v>122</v>
      </c>
      <c r="E111" s="4" t="str">
        <f t="shared" si="1"/>
        <v>0000000</v>
      </c>
      <c r="F111" s="4" t="s">
        <v>122</v>
      </c>
      <c r="G111" s="4" t="s">
        <v>122</v>
      </c>
      <c r="H111" s="4" t="s">
        <v>122</v>
      </c>
      <c r="I111" s="6"/>
      <c r="J111" s="4" t="s">
        <v>123</v>
      </c>
      <c r="K111" s="7">
        <v>1240.2507370000001</v>
      </c>
      <c r="L111" s="7">
        <v>1450</v>
      </c>
      <c r="M111" s="7">
        <v>85.534533999999994</v>
      </c>
      <c r="N111" s="4" t="s">
        <v>124</v>
      </c>
      <c r="O111" s="7">
        <v>0</v>
      </c>
      <c r="P111" s="7">
        <v>80.497609999999995</v>
      </c>
      <c r="Q111" s="7">
        <v>50</v>
      </c>
      <c r="R111" s="7">
        <v>50</v>
      </c>
      <c r="S111" s="7">
        <v>64.484374000000003</v>
      </c>
      <c r="T111" s="7">
        <v>75</v>
      </c>
      <c r="U111" s="7">
        <v>42.989581999999999</v>
      </c>
      <c r="V111" s="7">
        <v>50</v>
      </c>
      <c r="W111" s="7">
        <v>76.923524</v>
      </c>
      <c r="X111" s="7">
        <v>50</v>
      </c>
      <c r="Y111" s="7">
        <v>50</v>
      </c>
      <c r="Z111" s="7">
        <v>75</v>
      </c>
      <c r="AA111" s="7">
        <v>60.036718</v>
      </c>
      <c r="AB111" s="7">
        <v>40.024478999999999</v>
      </c>
      <c r="AC111" s="7">
        <v>50</v>
      </c>
      <c r="AD111" s="7">
        <v>78.556652</v>
      </c>
      <c r="AE111" s="7">
        <v>50</v>
      </c>
      <c r="AF111" s="7">
        <v>50</v>
      </c>
      <c r="AG111" s="7">
        <v>61.128421000000003</v>
      </c>
      <c r="AH111" s="7">
        <v>75</v>
      </c>
      <c r="AI111" s="7">
        <v>40.752281000000004</v>
      </c>
      <c r="AJ111" s="7">
        <v>50</v>
      </c>
      <c r="AK111" s="7">
        <v>10.51</v>
      </c>
      <c r="AL111" s="7">
        <v>14.96</v>
      </c>
      <c r="AM111" s="7">
        <v>13.87</v>
      </c>
      <c r="AN111" s="7">
        <v>0.70012399999999997</v>
      </c>
      <c r="AO111" s="7">
        <v>70.012395999999995</v>
      </c>
      <c r="AP111" s="7">
        <v>100</v>
      </c>
      <c r="AQ111" s="7">
        <v>0.74697199999999997</v>
      </c>
      <c r="AR111" s="7">
        <v>74.697203999999999</v>
      </c>
      <c r="AS111" s="7">
        <v>100</v>
      </c>
      <c r="AT111" s="7">
        <v>0.57698700000000003</v>
      </c>
      <c r="AU111" s="7">
        <v>0.72529999999999994</v>
      </c>
      <c r="AV111" s="7">
        <v>57.698743999999998</v>
      </c>
      <c r="AW111" s="7">
        <v>100</v>
      </c>
      <c r="AX111" s="7">
        <v>0.61789300000000003</v>
      </c>
      <c r="AY111" s="7">
        <v>0.77341599999999999</v>
      </c>
      <c r="AZ111" s="7">
        <v>61.789319999999996</v>
      </c>
      <c r="BA111" s="7">
        <v>100</v>
      </c>
      <c r="BB111" s="7">
        <v>0.90030699999999997</v>
      </c>
      <c r="BC111" s="7">
        <v>45.015332000000001</v>
      </c>
      <c r="BD111" s="7">
        <v>50</v>
      </c>
      <c r="BE111" s="7">
        <v>0.75576600000000005</v>
      </c>
      <c r="BF111" s="7">
        <v>37.788277000000001</v>
      </c>
      <c r="BG111" s="7">
        <v>50</v>
      </c>
      <c r="BH111" s="7">
        <v>0</v>
      </c>
      <c r="BI111" s="7">
        <v>0.99543899999999996</v>
      </c>
      <c r="BJ111" s="7">
        <v>0.99512199999999995</v>
      </c>
      <c r="BK111" s="7">
        <v>0.99553599999999998</v>
      </c>
      <c r="BL111" s="7">
        <v>0.99429900000000004</v>
      </c>
      <c r="BM111" s="7">
        <v>0.99512199999999995</v>
      </c>
      <c r="BN111" s="7">
        <v>0.99404800000000004</v>
      </c>
      <c r="BO111" s="7">
        <v>0.99205299999999996</v>
      </c>
      <c r="BP111" s="7">
        <v>0.98235300000000003</v>
      </c>
      <c r="BQ111" s="7">
        <v>0.99487199999999998</v>
      </c>
      <c r="BR111" s="7">
        <v>4.4401999999999997E-2</v>
      </c>
      <c r="BS111" s="7">
        <v>50</v>
      </c>
      <c r="BT111" s="7">
        <v>50</v>
      </c>
      <c r="BU111" s="7">
        <v>9.9838999999999997E-2</v>
      </c>
      <c r="BV111" s="7">
        <v>40.032206000000002</v>
      </c>
      <c r="BW111" s="7">
        <v>50</v>
      </c>
      <c r="BX111" s="7">
        <v>0.77753799999999995</v>
      </c>
      <c r="BY111" s="7">
        <v>50</v>
      </c>
      <c r="BZ111" s="7">
        <v>50</v>
      </c>
      <c r="CA111" s="7">
        <v>0.75378000000000001</v>
      </c>
      <c r="CB111" s="7">
        <v>50</v>
      </c>
      <c r="CC111" s="7">
        <v>50</v>
      </c>
      <c r="CD111" s="7">
        <v>0.98507500000000003</v>
      </c>
      <c r="CE111" s="7">
        <v>50</v>
      </c>
      <c r="CF111" s="7">
        <v>50</v>
      </c>
      <c r="CG111" s="7">
        <v>0.96453900000000004</v>
      </c>
      <c r="CH111" s="7">
        <v>100</v>
      </c>
      <c r="CI111" s="7">
        <v>100</v>
      </c>
      <c r="CJ111" s="7">
        <v>0</v>
      </c>
      <c r="CK111" s="7">
        <v>0.95121999999999995</v>
      </c>
      <c r="CL111" s="7">
        <v>100</v>
      </c>
      <c r="CM111" s="7">
        <v>100</v>
      </c>
      <c r="CN111" s="7">
        <v>0.86399999999999999</v>
      </c>
      <c r="CO111" s="7">
        <v>100</v>
      </c>
      <c r="CP111" s="7">
        <v>100</v>
      </c>
      <c r="CQ111" s="7">
        <v>0.44176399999999999</v>
      </c>
      <c r="CR111" s="7">
        <v>1.1425860000000001</v>
      </c>
      <c r="CS111" s="7">
        <v>29.450914999999998</v>
      </c>
      <c r="CT111" s="7">
        <v>50</v>
      </c>
      <c r="CU111" s="7">
        <v>0.60837699999999995</v>
      </c>
      <c r="CV111" s="7">
        <v>50</v>
      </c>
      <c r="CW111" s="7">
        <v>50</v>
      </c>
      <c r="CX111" s="7">
        <v>0.95121999999999995</v>
      </c>
      <c r="CY111" s="7">
        <v>0.94</v>
      </c>
      <c r="CZ111" s="7">
        <v>-1.1220000000000001E-2</v>
      </c>
      <c r="DA111" s="7">
        <v>15.389535</v>
      </c>
      <c r="DB111" s="7">
        <v>17.608319000000002</v>
      </c>
      <c r="DC111" s="7">
        <v>16.064022999999999</v>
      </c>
      <c r="DD111" s="7">
        <v>11.115401</v>
      </c>
      <c r="DE111" s="4" t="s">
        <v>124</v>
      </c>
      <c r="DF111" s="6"/>
      <c r="DG111" s="6"/>
      <c r="DH111" s="6"/>
      <c r="DI111" s="6"/>
      <c r="DJ111" s="4" t="s">
        <v>124</v>
      </c>
      <c r="DK111" s="4" t="s">
        <v>124</v>
      </c>
      <c r="DL111" s="4" t="s">
        <v>124</v>
      </c>
      <c r="DM111" s="4" t="s">
        <v>124</v>
      </c>
      <c r="DN111" s="4" t="s">
        <v>124</v>
      </c>
      <c r="DO111" s="4" t="s">
        <v>124</v>
      </c>
      <c r="DP111" s="6"/>
      <c r="DQ111" s="4" t="s">
        <v>125</v>
      </c>
    </row>
    <row r="112" spans="1:121" ht="20" customHeight="1" x14ac:dyDescent="0.15">
      <c r="A112" s="5">
        <v>2018</v>
      </c>
      <c r="B112" s="3" t="s">
        <v>235</v>
      </c>
      <c r="C112" s="4" t="str">
        <f t="shared" ref="C112:C371" si="110">"0430011"</f>
        <v>0430011</v>
      </c>
      <c r="D112" s="4" t="s">
        <v>122</v>
      </c>
      <c r="E112" s="4" t="str">
        <f t="shared" si="1"/>
        <v>0000000</v>
      </c>
      <c r="F112" s="4" t="s">
        <v>122</v>
      </c>
      <c r="G112" s="4" t="s">
        <v>122</v>
      </c>
      <c r="H112" s="4" t="s">
        <v>122</v>
      </c>
      <c r="I112" s="6"/>
      <c r="J112" s="4" t="s">
        <v>123</v>
      </c>
      <c r="K112" s="7">
        <v>992.69386999999995</v>
      </c>
      <c r="L112" s="7">
        <v>1450</v>
      </c>
      <c r="M112" s="7">
        <v>68.461646000000002</v>
      </c>
      <c r="N112" s="4" t="s">
        <v>124</v>
      </c>
      <c r="O112" s="7">
        <v>0</v>
      </c>
      <c r="P112" s="7">
        <v>58.146149000000001</v>
      </c>
      <c r="Q112" s="7">
        <v>38.764099999999999</v>
      </c>
      <c r="R112" s="7">
        <v>50</v>
      </c>
      <c r="S112" s="7">
        <v>54.192326999999999</v>
      </c>
      <c r="T112" s="7">
        <v>68.197799000000003</v>
      </c>
      <c r="U112" s="7">
        <v>36.128217999999997</v>
      </c>
      <c r="V112" s="7">
        <v>50</v>
      </c>
      <c r="W112" s="7">
        <v>49.992846999999998</v>
      </c>
      <c r="X112" s="7">
        <v>33.328564999999998</v>
      </c>
      <c r="Y112" s="7">
        <v>50</v>
      </c>
      <c r="Z112" s="7">
        <v>59.950612</v>
      </c>
      <c r="AA112" s="7">
        <v>46.054747999999996</v>
      </c>
      <c r="AB112" s="7">
        <v>30.703166</v>
      </c>
      <c r="AC112" s="7">
        <v>50</v>
      </c>
      <c r="AD112" s="7">
        <v>53.774163999999999</v>
      </c>
      <c r="AE112" s="7">
        <v>35.849442000000003</v>
      </c>
      <c r="AF112" s="7">
        <v>50</v>
      </c>
      <c r="AG112" s="7">
        <v>49.492116000000003</v>
      </c>
      <c r="AH112" s="7">
        <v>62.692762999999999</v>
      </c>
      <c r="AI112" s="7">
        <v>32.994743999999997</v>
      </c>
      <c r="AJ112" s="7">
        <v>50</v>
      </c>
      <c r="AK112" s="7">
        <v>14</v>
      </c>
      <c r="AL112" s="7">
        <v>13.89</v>
      </c>
      <c r="AM112" s="7">
        <v>13.2</v>
      </c>
      <c r="AN112" s="7">
        <v>0.58461399999999997</v>
      </c>
      <c r="AO112" s="7">
        <v>58.461374999999997</v>
      </c>
      <c r="AP112" s="7">
        <v>100</v>
      </c>
      <c r="AQ112" s="7">
        <v>0.545408</v>
      </c>
      <c r="AR112" s="7">
        <v>54.540801000000002</v>
      </c>
      <c r="AS112" s="7">
        <v>100</v>
      </c>
      <c r="AT112" s="7">
        <v>0.56386400000000003</v>
      </c>
      <c r="AU112" s="7">
        <v>0.63663400000000003</v>
      </c>
      <c r="AV112" s="7">
        <v>56.386384999999997</v>
      </c>
      <c r="AW112" s="7">
        <v>100</v>
      </c>
      <c r="AX112" s="7">
        <v>0.52425600000000006</v>
      </c>
      <c r="AY112" s="7">
        <v>0.59785699999999997</v>
      </c>
      <c r="AZ112" s="7">
        <v>52.425640999999999</v>
      </c>
      <c r="BA112" s="7">
        <v>100</v>
      </c>
      <c r="BB112" s="7">
        <v>0.59934699999999996</v>
      </c>
      <c r="BC112" s="7">
        <v>29.96734</v>
      </c>
      <c r="BD112" s="7">
        <v>50</v>
      </c>
      <c r="BE112" s="7">
        <v>0.50694799999999995</v>
      </c>
      <c r="BF112" s="7">
        <v>25.347403</v>
      </c>
      <c r="BG112" s="7">
        <v>50</v>
      </c>
      <c r="BH112" s="7">
        <v>0</v>
      </c>
      <c r="BI112" s="7">
        <v>0.99151800000000001</v>
      </c>
      <c r="BJ112" s="7">
        <v>0.98876399999999998</v>
      </c>
      <c r="BK112" s="7">
        <v>0.99895400000000001</v>
      </c>
      <c r="BL112" s="7">
        <v>0.98811899999999997</v>
      </c>
      <c r="BM112" s="7">
        <v>0.98525399999999996</v>
      </c>
      <c r="BN112" s="7">
        <v>0.99582499999999996</v>
      </c>
      <c r="BO112" s="7">
        <v>0.98838700000000002</v>
      </c>
      <c r="BP112" s="7">
        <v>0.98319299999999998</v>
      </c>
      <c r="BQ112" s="7">
        <v>1</v>
      </c>
      <c r="BR112" s="7">
        <v>0.141762</v>
      </c>
      <c r="BS112" s="7">
        <v>31.647625000000001</v>
      </c>
      <c r="BT112" s="7">
        <v>50</v>
      </c>
      <c r="BU112" s="7">
        <v>0.18052699999999999</v>
      </c>
      <c r="BV112" s="7">
        <v>23.894693</v>
      </c>
      <c r="BW112" s="7">
        <v>50</v>
      </c>
      <c r="BX112" s="7">
        <v>0.60511899999999996</v>
      </c>
      <c r="BY112" s="7">
        <v>40.341254999999997</v>
      </c>
      <c r="BZ112" s="7">
        <v>50</v>
      </c>
      <c r="CA112" s="7">
        <v>0.23857400000000001</v>
      </c>
      <c r="CB112" s="7">
        <v>15.904935999999999</v>
      </c>
      <c r="CC112" s="7">
        <v>50</v>
      </c>
      <c r="CD112" s="7">
        <v>0.85844299999999996</v>
      </c>
      <c r="CE112" s="7">
        <v>45.661855000000003</v>
      </c>
      <c r="CF112" s="7">
        <v>50</v>
      </c>
      <c r="CG112" s="7">
        <v>0.88212199999999996</v>
      </c>
      <c r="CH112" s="7">
        <v>93.842744999999994</v>
      </c>
      <c r="CI112" s="7">
        <v>100</v>
      </c>
      <c r="CJ112" s="7">
        <v>0</v>
      </c>
      <c r="CK112" s="7">
        <v>0.92037500000000005</v>
      </c>
      <c r="CL112" s="7">
        <v>97.912203000000005</v>
      </c>
      <c r="CM112" s="7">
        <v>100</v>
      </c>
      <c r="CN112" s="7">
        <v>0.57499999999999996</v>
      </c>
      <c r="CO112" s="7">
        <v>76.631579000000002</v>
      </c>
      <c r="CP112" s="7">
        <v>100</v>
      </c>
      <c r="CQ112" s="7">
        <v>0.47939700000000002</v>
      </c>
      <c r="CR112" s="7">
        <v>0.96228199999999997</v>
      </c>
      <c r="CS112" s="7">
        <v>31.959799</v>
      </c>
      <c r="CT112" s="7">
        <v>50</v>
      </c>
      <c r="CU112" s="7">
        <v>0.65796699999999997</v>
      </c>
      <c r="CV112" s="7">
        <v>50</v>
      </c>
      <c r="CW112" s="7">
        <v>50</v>
      </c>
      <c r="CX112" s="7">
        <v>0.92037500000000005</v>
      </c>
      <c r="CY112" s="7">
        <v>0.94</v>
      </c>
      <c r="CZ112" s="7">
        <v>1.9625E-2</v>
      </c>
      <c r="DA112" s="7">
        <v>15.389535</v>
      </c>
      <c r="DB112" s="7">
        <v>17.608319000000002</v>
      </c>
      <c r="DC112" s="7">
        <v>16.064022999999999</v>
      </c>
      <c r="DD112" s="7">
        <v>11.115401</v>
      </c>
      <c r="DE112" s="4" t="s">
        <v>124</v>
      </c>
      <c r="DF112" s="6"/>
      <c r="DG112" s="6"/>
      <c r="DH112" s="6"/>
      <c r="DI112" s="6"/>
      <c r="DJ112" s="4" t="s">
        <v>124</v>
      </c>
      <c r="DK112" s="4" t="s">
        <v>124</v>
      </c>
      <c r="DL112" s="4" t="s">
        <v>124</v>
      </c>
      <c r="DM112" s="4" t="s">
        <v>124</v>
      </c>
      <c r="DN112" s="4" t="s">
        <v>124</v>
      </c>
      <c r="DO112" s="4" t="s">
        <v>124</v>
      </c>
      <c r="DP112" s="6"/>
      <c r="DQ112" s="4" t="s">
        <v>125</v>
      </c>
    </row>
    <row r="113" spans="1:121" ht="20" customHeight="1" x14ac:dyDescent="0.15">
      <c r="A113" s="5">
        <v>2018</v>
      </c>
      <c r="B113" s="3" t="s">
        <v>236</v>
      </c>
      <c r="C113" s="4" t="str">
        <f t="shared" ref="C113:C711" si="111">"0950011"</f>
        <v>0950011</v>
      </c>
      <c r="D113" s="4" t="s">
        <v>122</v>
      </c>
      <c r="E113" s="4" t="str">
        <f t="shared" si="1"/>
        <v>0000000</v>
      </c>
      <c r="F113" s="4" t="s">
        <v>122</v>
      </c>
      <c r="G113" s="4" t="s">
        <v>122</v>
      </c>
      <c r="H113" s="4" t="s">
        <v>122</v>
      </c>
      <c r="I113" s="6"/>
      <c r="J113" s="4" t="s">
        <v>123</v>
      </c>
      <c r="K113" s="7">
        <v>915.92296699999997</v>
      </c>
      <c r="L113" s="7">
        <v>1450</v>
      </c>
      <c r="M113" s="7">
        <v>63.167101000000002</v>
      </c>
      <c r="N113" s="4" t="s">
        <v>124</v>
      </c>
      <c r="O113" s="7">
        <v>1</v>
      </c>
      <c r="P113" s="7">
        <v>55.653843999999999</v>
      </c>
      <c r="Q113" s="7">
        <v>37.102563000000004</v>
      </c>
      <c r="R113" s="7">
        <v>50</v>
      </c>
      <c r="S113" s="7">
        <v>53.435791999999999</v>
      </c>
      <c r="T113" s="7">
        <v>71.212667999999994</v>
      </c>
      <c r="U113" s="7">
        <v>35.623862000000003</v>
      </c>
      <c r="V113" s="7">
        <v>50</v>
      </c>
      <c r="W113" s="7">
        <v>49.710372999999997</v>
      </c>
      <c r="X113" s="7">
        <v>33.140248999999997</v>
      </c>
      <c r="Y113" s="7">
        <v>50</v>
      </c>
      <c r="Z113" s="7">
        <v>65.410546999999994</v>
      </c>
      <c r="AA113" s="7">
        <v>47.469053000000002</v>
      </c>
      <c r="AB113" s="7">
        <v>31.646035000000001</v>
      </c>
      <c r="AC113" s="7">
        <v>50</v>
      </c>
      <c r="AD113" s="7">
        <v>50.839517000000001</v>
      </c>
      <c r="AE113" s="7">
        <v>33.893011000000001</v>
      </c>
      <c r="AF113" s="7">
        <v>50</v>
      </c>
      <c r="AG113" s="7">
        <v>48.600991999999998</v>
      </c>
      <c r="AH113" s="7">
        <v>64.247590000000002</v>
      </c>
      <c r="AI113" s="7">
        <v>32.400660999999999</v>
      </c>
      <c r="AJ113" s="7">
        <v>50</v>
      </c>
      <c r="AK113" s="7">
        <v>17.77</v>
      </c>
      <c r="AL113" s="7">
        <v>17.940000000000001</v>
      </c>
      <c r="AM113" s="7">
        <v>15.64</v>
      </c>
      <c r="AN113" s="7">
        <v>0.52061100000000005</v>
      </c>
      <c r="AO113" s="7">
        <v>52.061137000000002</v>
      </c>
      <c r="AP113" s="7">
        <v>100</v>
      </c>
      <c r="AQ113" s="7">
        <v>0.49340800000000001</v>
      </c>
      <c r="AR113" s="7">
        <v>49.340781</v>
      </c>
      <c r="AS113" s="7">
        <v>100</v>
      </c>
      <c r="AT113" s="7">
        <v>0.51438899999999999</v>
      </c>
      <c r="AU113" s="7">
        <v>0.572434</v>
      </c>
      <c r="AV113" s="7">
        <v>51.438861000000003</v>
      </c>
      <c r="AW113" s="7">
        <v>100</v>
      </c>
      <c r="AX113" s="7">
        <v>0.47722999999999999</v>
      </c>
      <c r="AY113" s="7">
        <v>0.62871500000000002</v>
      </c>
      <c r="AZ113" s="7">
        <v>47.722977</v>
      </c>
      <c r="BA113" s="7">
        <v>100</v>
      </c>
      <c r="BB113" s="7">
        <v>0.52193699999999998</v>
      </c>
      <c r="BC113" s="7">
        <v>26.096857</v>
      </c>
      <c r="BD113" s="7">
        <v>50</v>
      </c>
      <c r="BE113" s="7">
        <v>0.43596800000000002</v>
      </c>
      <c r="BF113" s="7">
        <v>21.798411000000002</v>
      </c>
      <c r="BG113" s="7">
        <v>50</v>
      </c>
      <c r="BH113" s="7">
        <v>0</v>
      </c>
      <c r="BI113" s="7">
        <v>0.98286300000000004</v>
      </c>
      <c r="BJ113" s="7">
        <v>0.98058900000000004</v>
      </c>
      <c r="BK113" s="7">
        <v>1</v>
      </c>
      <c r="BL113" s="7">
        <v>0.97956900000000002</v>
      </c>
      <c r="BM113" s="7">
        <v>0.97686099999999998</v>
      </c>
      <c r="BN113" s="7">
        <v>1</v>
      </c>
      <c r="BO113" s="7">
        <v>0.97218499999999997</v>
      </c>
      <c r="BP113" s="7">
        <v>0.96789000000000003</v>
      </c>
      <c r="BQ113" s="7">
        <v>1</v>
      </c>
      <c r="BR113" s="7">
        <v>0.15121999999999999</v>
      </c>
      <c r="BS113" s="7">
        <v>29.756098000000001</v>
      </c>
      <c r="BT113" s="7">
        <v>50</v>
      </c>
      <c r="BU113" s="7">
        <v>0.16426399999999999</v>
      </c>
      <c r="BV113" s="7">
        <v>27.147167</v>
      </c>
      <c r="BW113" s="7">
        <v>50</v>
      </c>
      <c r="BX113" s="7">
        <v>0.74844100000000002</v>
      </c>
      <c r="BY113" s="7">
        <v>49.896050000000002</v>
      </c>
      <c r="BZ113" s="7">
        <v>50</v>
      </c>
      <c r="CA113" s="7">
        <v>0.24324299999999999</v>
      </c>
      <c r="CB113" s="7">
        <v>16.216215999999999</v>
      </c>
      <c r="CC113" s="7">
        <v>50</v>
      </c>
      <c r="CD113" s="7">
        <v>0.80739300000000003</v>
      </c>
      <c r="CE113" s="7">
        <v>42.946435999999999</v>
      </c>
      <c r="CF113" s="7">
        <v>50</v>
      </c>
      <c r="CG113" s="7">
        <v>0.81609200000000004</v>
      </c>
      <c r="CH113" s="7">
        <v>86.818292999999997</v>
      </c>
      <c r="CI113" s="7">
        <v>100</v>
      </c>
      <c r="CJ113" s="7">
        <v>1</v>
      </c>
      <c r="CK113" s="7">
        <v>0.78835999999999995</v>
      </c>
      <c r="CL113" s="7">
        <v>83.868063000000006</v>
      </c>
      <c r="CM113" s="7">
        <v>100</v>
      </c>
      <c r="CN113" s="7">
        <v>0.59</v>
      </c>
      <c r="CO113" s="7">
        <v>78.678679000000002</v>
      </c>
      <c r="CP113" s="7">
        <v>100</v>
      </c>
      <c r="CQ113" s="7">
        <v>0.34801300000000002</v>
      </c>
      <c r="CR113" s="7">
        <v>0.91185099999999997</v>
      </c>
      <c r="CS113" s="7">
        <v>23.200859000000001</v>
      </c>
      <c r="CT113" s="7">
        <v>50</v>
      </c>
      <c r="CU113" s="7">
        <v>0.30155599999999999</v>
      </c>
      <c r="CV113" s="7">
        <v>25.129702000000002</v>
      </c>
      <c r="CW113" s="7">
        <v>50</v>
      </c>
      <c r="CX113" s="7">
        <v>0.78835999999999995</v>
      </c>
      <c r="CY113" s="7">
        <v>0.90196100000000001</v>
      </c>
      <c r="CZ113" s="7">
        <v>0.11360099999999999</v>
      </c>
      <c r="DA113" s="7">
        <v>15.389535</v>
      </c>
      <c r="DB113" s="7">
        <v>17.608319000000002</v>
      </c>
      <c r="DC113" s="7">
        <v>16.064022999999999</v>
      </c>
      <c r="DD113" s="7">
        <v>11.115401</v>
      </c>
      <c r="DE113" s="4" t="s">
        <v>124</v>
      </c>
      <c r="DF113" s="6"/>
      <c r="DG113" s="6"/>
      <c r="DH113" s="6"/>
      <c r="DI113" s="6"/>
      <c r="DJ113" s="4" t="s">
        <v>124</v>
      </c>
      <c r="DK113" s="4" t="s">
        <v>124</v>
      </c>
      <c r="DL113" s="4" t="s">
        <v>124</v>
      </c>
      <c r="DM113" s="4" t="s">
        <v>124</v>
      </c>
      <c r="DN113" s="4" t="s">
        <v>124</v>
      </c>
      <c r="DO113" s="4" t="s">
        <v>124</v>
      </c>
      <c r="DP113" s="6"/>
      <c r="DQ113" s="4" t="s">
        <v>125</v>
      </c>
    </row>
    <row r="114" spans="1:121" ht="20" customHeight="1" x14ac:dyDescent="0.15">
      <c r="A114" s="5">
        <v>2018</v>
      </c>
      <c r="B114" s="3" t="s">
        <v>237</v>
      </c>
      <c r="C114" s="4" t="str">
        <f t="shared" ref="C114:C1036" si="112">"1580011"</f>
        <v>1580011</v>
      </c>
      <c r="D114" s="4" t="s">
        <v>122</v>
      </c>
      <c r="E114" s="4" t="str">
        <f t="shared" si="1"/>
        <v>0000000</v>
      </c>
      <c r="F114" s="4" t="s">
        <v>122</v>
      </c>
      <c r="G114" s="4" t="s">
        <v>122</v>
      </c>
      <c r="H114" s="4" t="s">
        <v>122</v>
      </c>
      <c r="I114" s="6"/>
      <c r="J114" s="4" t="s">
        <v>123</v>
      </c>
      <c r="K114" s="7">
        <v>1234.5809360000001</v>
      </c>
      <c r="L114" s="7">
        <v>1450</v>
      </c>
      <c r="M114" s="7">
        <v>85.143512999999999</v>
      </c>
      <c r="N114" s="4" t="s">
        <v>124</v>
      </c>
      <c r="O114" s="7">
        <v>0</v>
      </c>
      <c r="P114" s="7">
        <v>82.57499</v>
      </c>
      <c r="Q114" s="7">
        <v>50</v>
      </c>
      <c r="R114" s="7">
        <v>50</v>
      </c>
      <c r="S114" s="7">
        <v>63.021895000000001</v>
      </c>
      <c r="T114" s="7">
        <v>75</v>
      </c>
      <c r="U114" s="7">
        <v>42.014595999999997</v>
      </c>
      <c r="V114" s="7">
        <v>50</v>
      </c>
      <c r="W114" s="7">
        <v>81.813894000000005</v>
      </c>
      <c r="X114" s="7">
        <v>50</v>
      </c>
      <c r="Y114" s="7">
        <v>50</v>
      </c>
      <c r="Z114" s="7">
        <v>75</v>
      </c>
      <c r="AA114" s="7">
        <v>60.052402999999998</v>
      </c>
      <c r="AB114" s="7">
        <v>40.034934999999997</v>
      </c>
      <c r="AC114" s="7">
        <v>50</v>
      </c>
      <c r="AD114" s="7">
        <v>78.219037</v>
      </c>
      <c r="AE114" s="7">
        <v>50</v>
      </c>
      <c r="AF114" s="7">
        <v>50</v>
      </c>
      <c r="AG114" s="7">
        <v>60.177014</v>
      </c>
      <c r="AH114" s="7">
        <v>75</v>
      </c>
      <c r="AI114" s="7">
        <v>40.118009999999998</v>
      </c>
      <c r="AJ114" s="7">
        <v>50</v>
      </c>
      <c r="AK114" s="7">
        <v>11.97</v>
      </c>
      <c r="AL114" s="7">
        <v>14.94</v>
      </c>
      <c r="AM114" s="7">
        <v>14.82</v>
      </c>
      <c r="AN114" s="7">
        <v>0.667964</v>
      </c>
      <c r="AO114" s="7">
        <v>66.796434000000005</v>
      </c>
      <c r="AP114" s="7">
        <v>100</v>
      </c>
      <c r="AQ114" s="7">
        <v>0.81276300000000001</v>
      </c>
      <c r="AR114" s="7">
        <v>81.276266000000007</v>
      </c>
      <c r="AS114" s="7">
        <v>100</v>
      </c>
      <c r="AT114" s="7">
        <v>0.564218</v>
      </c>
      <c r="AU114" s="7">
        <v>0.68683300000000003</v>
      </c>
      <c r="AV114" s="7">
        <v>56.421816</v>
      </c>
      <c r="AW114" s="7">
        <v>100</v>
      </c>
      <c r="AX114" s="7">
        <v>0.63875800000000005</v>
      </c>
      <c r="AY114" s="7">
        <v>0.84440899999999997</v>
      </c>
      <c r="AZ114" s="7">
        <v>63.875805999999997</v>
      </c>
      <c r="BA114" s="7">
        <v>100</v>
      </c>
      <c r="BB114" s="7">
        <v>0.78539300000000001</v>
      </c>
      <c r="BC114" s="7">
        <v>39.269660000000002</v>
      </c>
      <c r="BD114" s="7">
        <v>50</v>
      </c>
      <c r="BE114" s="7">
        <v>0.76519499999999996</v>
      </c>
      <c r="BF114" s="7">
        <v>38.259748999999999</v>
      </c>
      <c r="BG114" s="7">
        <v>50</v>
      </c>
      <c r="BH114" s="7">
        <v>1</v>
      </c>
      <c r="BI114" s="7">
        <v>0.97040000000000004</v>
      </c>
      <c r="BJ114" s="7">
        <v>0.93787600000000004</v>
      </c>
      <c r="BK114" s="7">
        <v>0.97696000000000005</v>
      </c>
      <c r="BL114" s="7">
        <v>0.97107299999999996</v>
      </c>
      <c r="BM114" s="7">
        <v>0.94188400000000005</v>
      </c>
      <c r="BN114" s="7">
        <v>0.97696000000000005</v>
      </c>
      <c r="BO114" s="7">
        <v>0.97684800000000005</v>
      </c>
      <c r="BP114" s="7">
        <v>0.93953500000000001</v>
      </c>
      <c r="BQ114" s="7">
        <v>0.98398600000000003</v>
      </c>
      <c r="BR114" s="7">
        <v>4.5754000000000003E-2</v>
      </c>
      <c r="BS114" s="7">
        <v>50</v>
      </c>
      <c r="BT114" s="7">
        <v>50</v>
      </c>
      <c r="BU114" s="7">
        <v>0.115116</v>
      </c>
      <c r="BV114" s="7">
        <v>36.976743999999997</v>
      </c>
      <c r="BW114" s="7">
        <v>50</v>
      </c>
      <c r="BX114" s="7">
        <v>0.87351400000000001</v>
      </c>
      <c r="BY114" s="7">
        <v>50</v>
      </c>
      <c r="BZ114" s="7">
        <v>50</v>
      </c>
      <c r="CA114" s="7">
        <v>0.83675699999999997</v>
      </c>
      <c r="CB114" s="7">
        <v>50</v>
      </c>
      <c r="CC114" s="7">
        <v>50</v>
      </c>
      <c r="CD114" s="7">
        <v>0.98895</v>
      </c>
      <c r="CE114" s="7">
        <v>50</v>
      </c>
      <c r="CF114" s="7">
        <v>50</v>
      </c>
      <c r="CG114" s="7">
        <v>0.991228</v>
      </c>
      <c r="CH114" s="7">
        <v>100</v>
      </c>
      <c r="CI114" s="7">
        <v>100</v>
      </c>
      <c r="CJ114" s="7">
        <v>0</v>
      </c>
      <c r="CK114" s="7">
        <v>0.95744700000000005</v>
      </c>
      <c r="CL114" s="7">
        <v>100</v>
      </c>
      <c r="CM114" s="7">
        <v>100</v>
      </c>
      <c r="CN114" s="7">
        <v>0.88</v>
      </c>
      <c r="CO114" s="7">
        <v>100</v>
      </c>
      <c r="CP114" s="7">
        <v>100</v>
      </c>
      <c r="CQ114" s="7">
        <v>0.50832299999999997</v>
      </c>
      <c r="CR114" s="7">
        <v>0.97057099999999996</v>
      </c>
      <c r="CS114" s="7">
        <v>33.888227999999998</v>
      </c>
      <c r="CT114" s="7">
        <v>50</v>
      </c>
      <c r="CU114" s="7">
        <v>0.54778400000000005</v>
      </c>
      <c r="CV114" s="7">
        <v>45.648691999999997</v>
      </c>
      <c r="CW114" s="7">
        <v>50</v>
      </c>
      <c r="CX114" s="7">
        <v>0.95744700000000005</v>
      </c>
      <c r="CY114" s="7">
        <v>0.94</v>
      </c>
      <c r="CZ114" s="7">
        <v>-1.7447000000000001E-2</v>
      </c>
      <c r="DA114" s="7">
        <v>15.389535</v>
      </c>
      <c r="DB114" s="7">
        <v>17.608319000000002</v>
      </c>
      <c r="DC114" s="7">
        <v>16.064022999999999</v>
      </c>
      <c r="DD114" s="7">
        <v>11.115401</v>
      </c>
      <c r="DE114" s="4" t="s">
        <v>124</v>
      </c>
      <c r="DF114" s="6"/>
      <c r="DG114" s="6"/>
      <c r="DH114" s="6"/>
      <c r="DI114" s="6"/>
      <c r="DJ114" s="4" t="s">
        <v>124</v>
      </c>
      <c r="DK114" s="4" t="s">
        <v>124</v>
      </c>
      <c r="DL114" s="4" t="s">
        <v>124</v>
      </c>
      <c r="DM114" s="4" t="s">
        <v>124</v>
      </c>
      <c r="DN114" s="4" t="s">
        <v>124</v>
      </c>
      <c r="DO114" s="4" t="s">
        <v>124</v>
      </c>
      <c r="DP114" s="6"/>
      <c r="DQ114" s="4" t="s">
        <v>125</v>
      </c>
    </row>
    <row r="115" spans="1:121" ht="20" customHeight="1" x14ac:dyDescent="0.15">
      <c r="A115" s="5">
        <v>2018</v>
      </c>
      <c r="B115" s="3" t="s">
        <v>238</v>
      </c>
      <c r="C115" s="4" t="str">
        <f t="shared" ref="C115:C1051" si="113">"1600011"</f>
        <v>1600011</v>
      </c>
      <c r="D115" s="4" t="s">
        <v>122</v>
      </c>
      <c r="E115" s="4" t="str">
        <f t="shared" si="1"/>
        <v>0000000</v>
      </c>
      <c r="F115" s="4" t="s">
        <v>122</v>
      </c>
      <c r="G115" s="4" t="s">
        <v>122</v>
      </c>
      <c r="H115" s="4" t="s">
        <v>122</v>
      </c>
      <c r="I115" s="6"/>
      <c r="J115" s="4" t="s">
        <v>123</v>
      </c>
      <c r="K115" s="7">
        <v>640.39854800000001</v>
      </c>
      <c r="L115" s="7">
        <v>900</v>
      </c>
      <c r="M115" s="7">
        <v>71.155394000000001</v>
      </c>
      <c r="N115" s="4" t="s">
        <v>124</v>
      </c>
      <c r="O115" s="7">
        <v>0</v>
      </c>
      <c r="P115" s="7">
        <v>69.921498999999997</v>
      </c>
      <c r="Q115" s="7">
        <v>46.614331999999997</v>
      </c>
      <c r="R115" s="7">
        <v>50</v>
      </c>
      <c r="S115" s="7">
        <v>63.388674000000002</v>
      </c>
      <c r="T115" s="7">
        <v>74.121172000000001</v>
      </c>
      <c r="U115" s="7">
        <v>42.259115999999999</v>
      </c>
      <c r="V115" s="7">
        <v>50</v>
      </c>
      <c r="W115" s="7">
        <v>67.358065999999994</v>
      </c>
      <c r="X115" s="7">
        <v>44.905377000000001</v>
      </c>
      <c r="Y115" s="7">
        <v>50</v>
      </c>
      <c r="Z115" s="7">
        <v>72.197824999999995</v>
      </c>
      <c r="AA115" s="7">
        <v>59.829549999999998</v>
      </c>
      <c r="AB115" s="7">
        <v>39.886367</v>
      </c>
      <c r="AC115" s="7">
        <v>50</v>
      </c>
      <c r="AD115" s="7">
        <v>66.341937000000001</v>
      </c>
      <c r="AE115" s="7">
        <v>44.227958000000001</v>
      </c>
      <c r="AF115" s="7">
        <v>50</v>
      </c>
      <c r="AG115" s="7">
        <v>57.871130000000001</v>
      </c>
      <c r="AH115" s="7">
        <v>71.989141000000004</v>
      </c>
      <c r="AI115" s="7">
        <v>38.580753999999999</v>
      </c>
      <c r="AJ115" s="7">
        <v>50</v>
      </c>
      <c r="AK115" s="7">
        <v>10.73</v>
      </c>
      <c r="AL115" s="7">
        <v>12.36</v>
      </c>
      <c r="AM115" s="7">
        <v>14.11</v>
      </c>
      <c r="AN115" s="7">
        <v>0.46561999999999998</v>
      </c>
      <c r="AO115" s="7">
        <v>46.562007999999999</v>
      </c>
      <c r="AP115" s="7">
        <v>100</v>
      </c>
      <c r="AQ115" s="7">
        <v>0.62509499999999996</v>
      </c>
      <c r="AR115" s="7">
        <v>62.509500000000003</v>
      </c>
      <c r="AS115" s="7">
        <v>100</v>
      </c>
      <c r="AT115" s="7">
        <v>0.39511800000000002</v>
      </c>
      <c r="AU115" s="7">
        <v>0.51025399999999999</v>
      </c>
      <c r="AV115" s="7">
        <v>39.511826999999997</v>
      </c>
      <c r="AW115" s="7">
        <v>100</v>
      </c>
      <c r="AX115" s="7">
        <v>0.58874499999999996</v>
      </c>
      <c r="AY115" s="7">
        <v>0.64810800000000002</v>
      </c>
      <c r="AZ115" s="7">
        <v>58.874473000000002</v>
      </c>
      <c r="BA115" s="7">
        <v>100</v>
      </c>
      <c r="BB115" s="4" t="s">
        <v>124</v>
      </c>
      <c r="BC115" s="4" t="s">
        <v>124</v>
      </c>
      <c r="BD115" s="4" t="s">
        <v>124</v>
      </c>
      <c r="BE115" s="4" t="s">
        <v>124</v>
      </c>
      <c r="BF115" s="4" t="s">
        <v>124</v>
      </c>
      <c r="BG115" s="4" t="s">
        <v>124</v>
      </c>
      <c r="BH115" s="7">
        <v>1</v>
      </c>
      <c r="BI115" s="7">
        <v>0.97231800000000002</v>
      </c>
      <c r="BJ115" s="7">
        <v>0.94736799999999999</v>
      </c>
      <c r="BK115" s="7">
        <v>0.98857099999999998</v>
      </c>
      <c r="BL115" s="7">
        <v>0.97231800000000002</v>
      </c>
      <c r="BM115" s="7">
        <v>0.94736799999999999</v>
      </c>
      <c r="BN115" s="7">
        <v>0.98857099999999998</v>
      </c>
      <c r="BO115" s="7">
        <v>0.973333</v>
      </c>
      <c r="BP115" s="7">
        <v>0.93333299999999997</v>
      </c>
      <c r="BQ115" s="7">
        <v>1</v>
      </c>
      <c r="BR115" s="7">
        <v>7.6732999999999996E-2</v>
      </c>
      <c r="BS115" s="7">
        <v>44.653464999999997</v>
      </c>
      <c r="BT115" s="7">
        <v>50</v>
      </c>
      <c r="BU115" s="7">
        <v>0.103896</v>
      </c>
      <c r="BV115" s="7">
        <v>39.220779</v>
      </c>
      <c r="BW115" s="7">
        <v>50</v>
      </c>
      <c r="BX115" s="4" t="s">
        <v>124</v>
      </c>
      <c r="BY115" s="4" t="s">
        <v>124</v>
      </c>
      <c r="BZ115" s="4" t="s">
        <v>124</v>
      </c>
      <c r="CA115" s="4" t="s">
        <v>124</v>
      </c>
      <c r="CB115" s="4" t="s">
        <v>124</v>
      </c>
      <c r="CC115" s="4" t="s">
        <v>124</v>
      </c>
      <c r="CD115" s="7">
        <v>0.95744700000000005</v>
      </c>
      <c r="CE115" s="7">
        <v>50</v>
      </c>
      <c r="CF115" s="7">
        <v>50</v>
      </c>
      <c r="CG115" s="4" t="s">
        <v>124</v>
      </c>
      <c r="CH115" s="4" t="s">
        <v>124</v>
      </c>
      <c r="CI115" s="4" t="s">
        <v>124</v>
      </c>
      <c r="CJ115" s="4" t="s">
        <v>124</v>
      </c>
      <c r="CK115" s="4" t="s">
        <v>124</v>
      </c>
      <c r="CL115" s="4" t="s">
        <v>124</v>
      </c>
      <c r="CM115" s="4" t="s">
        <v>124</v>
      </c>
      <c r="CN115" s="4" t="s">
        <v>124</v>
      </c>
      <c r="CO115" s="4" t="s">
        <v>124</v>
      </c>
      <c r="CP115" s="4" t="s">
        <v>124</v>
      </c>
      <c r="CQ115" s="7">
        <v>0.63888900000000004</v>
      </c>
      <c r="CR115" s="7">
        <v>0.97959200000000002</v>
      </c>
      <c r="CS115" s="7">
        <v>42.592593000000001</v>
      </c>
      <c r="CT115" s="7">
        <v>50</v>
      </c>
      <c r="CU115" s="4" t="s">
        <v>124</v>
      </c>
      <c r="CV115" s="4" t="s">
        <v>124</v>
      </c>
      <c r="CW115" s="4" t="s">
        <v>124</v>
      </c>
      <c r="CX115" s="4" t="s">
        <v>124</v>
      </c>
      <c r="CY115" s="4" t="s">
        <v>124</v>
      </c>
      <c r="CZ115" s="4" t="s">
        <v>124</v>
      </c>
      <c r="DA115" s="7">
        <v>15.389535</v>
      </c>
      <c r="DB115" s="7">
        <v>17.608319000000002</v>
      </c>
      <c r="DC115" s="7">
        <v>16.064022999999999</v>
      </c>
      <c r="DD115" s="4" t="s">
        <v>124</v>
      </c>
      <c r="DE115" s="4" t="s">
        <v>124</v>
      </c>
      <c r="DF115" s="6"/>
      <c r="DG115" s="6"/>
      <c r="DH115" s="6"/>
      <c r="DI115" s="6"/>
      <c r="DJ115" s="4" t="s">
        <v>124</v>
      </c>
      <c r="DK115" s="4" t="s">
        <v>124</v>
      </c>
      <c r="DL115" s="4" t="s">
        <v>124</v>
      </c>
      <c r="DM115" s="4" t="s">
        <v>124</v>
      </c>
      <c r="DN115" s="4" t="s">
        <v>124</v>
      </c>
      <c r="DO115" s="4" t="s">
        <v>124</v>
      </c>
      <c r="DP115" s="6"/>
      <c r="DQ115" s="4" t="s">
        <v>125</v>
      </c>
    </row>
    <row r="116" spans="1:121" ht="20" customHeight="1" x14ac:dyDescent="0.15">
      <c r="A116" s="5">
        <v>2018</v>
      </c>
      <c r="B116" s="3" t="s">
        <v>239</v>
      </c>
      <c r="C116" s="4" t="str">
        <f t="shared" ref="C116:C414" si="114">"0500011"</f>
        <v>0500011</v>
      </c>
      <c r="D116" s="4" t="s">
        <v>122</v>
      </c>
      <c r="E116" s="4" t="str">
        <f t="shared" si="1"/>
        <v>0000000</v>
      </c>
      <c r="F116" s="4" t="s">
        <v>122</v>
      </c>
      <c r="G116" s="4" t="s">
        <v>122</v>
      </c>
      <c r="H116" s="4" t="s">
        <v>122</v>
      </c>
      <c r="I116" s="6"/>
      <c r="J116" s="4" t="s">
        <v>123</v>
      </c>
      <c r="K116" s="7">
        <v>774.22454000000005</v>
      </c>
      <c r="L116" s="7">
        <v>850</v>
      </c>
      <c r="M116" s="7">
        <v>91.085239999999999</v>
      </c>
      <c r="N116" s="4" t="s">
        <v>124</v>
      </c>
      <c r="O116" s="7">
        <v>0</v>
      </c>
      <c r="P116" s="7">
        <v>83.090664000000004</v>
      </c>
      <c r="Q116" s="7">
        <v>50</v>
      </c>
      <c r="R116" s="7">
        <v>50</v>
      </c>
      <c r="S116" s="7">
        <v>71.818655000000007</v>
      </c>
      <c r="T116" s="7">
        <v>75</v>
      </c>
      <c r="U116" s="7">
        <v>47.879103999999998</v>
      </c>
      <c r="V116" s="7">
        <v>50</v>
      </c>
      <c r="W116" s="7">
        <v>77.879135000000005</v>
      </c>
      <c r="X116" s="7">
        <v>50</v>
      </c>
      <c r="Y116" s="7">
        <v>50</v>
      </c>
      <c r="Z116" s="7">
        <v>75</v>
      </c>
      <c r="AA116" s="7">
        <v>66.882187000000002</v>
      </c>
      <c r="AB116" s="7">
        <v>44.588124000000001</v>
      </c>
      <c r="AC116" s="7">
        <v>50</v>
      </c>
      <c r="AD116" s="7">
        <v>80.359702999999996</v>
      </c>
      <c r="AE116" s="7">
        <v>50</v>
      </c>
      <c r="AF116" s="7">
        <v>50</v>
      </c>
      <c r="AG116" s="7">
        <v>75.248947999999999</v>
      </c>
      <c r="AH116" s="7">
        <v>75</v>
      </c>
      <c r="AI116" s="7">
        <v>50</v>
      </c>
      <c r="AJ116" s="7">
        <v>50</v>
      </c>
      <c r="AK116" s="7">
        <v>3.18</v>
      </c>
      <c r="AL116" s="7">
        <v>8.11</v>
      </c>
      <c r="AM116" s="7">
        <v>-0.24</v>
      </c>
      <c r="AN116" s="7">
        <v>0.84643199999999996</v>
      </c>
      <c r="AO116" s="7">
        <v>84.643174999999999</v>
      </c>
      <c r="AP116" s="7">
        <v>100</v>
      </c>
      <c r="AQ116" s="7">
        <v>0.89670899999999998</v>
      </c>
      <c r="AR116" s="7">
        <v>89.670923000000002</v>
      </c>
      <c r="AS116" s="7">
        <v>100</v>
      </c>
      <c r="AT116" s="7">
        <v>0.83365100000000003</v>
      </c>
      <c r="AU116" s="7">
        <v>0.85162400000000005</v>
      </c>
      <c r="AV116" s="7">
        <v>83.365083999999996</v>
      </c>
      <c r="AW116" s="7">
        <v>100</v>
      </c>
      <c r="AX116" s="7">
        <v>0.80744800000000005</v>
      </c>
      <c r="AY116" s="7">
        <v>0.93297200000000002</v>
      </c>
      <c r="AZ116" s="7">
        <v>80.744797000000005</v>
      </c>
      <c r="BA116" s="7">
        <v>100</v>
      </c>
      <c r="BB116" s="4" t="s">
        <v>124</v>
      </c>
      <c r="BC116" s="4" t="s">
        <v>124</v>
      </c>
      <c r="BD116" s="4" t="s">
        <v>124</v>
      </c>
      <c r="BE116" s="4" t="s">
        <v>124</v>
      </c>
      <c r="BF116" s="4" t="s">
        <v>124</v>
      </c>
      <c r="BG116" s="4" t="s">
        <v>124</v>
      </c>
      <c r="BH116" s="7">
        <v>0</v>
      </c>
      <c r="BI116" s="7">
        <v>0.96391800000000005</v>
      </c>
      <c r="BJ116" s="7">
        <v>0.95238100000000003</v>
      </c>
      <c r="BK116" s="7">
        <v>0.96946600000000005</v>
      </c>
      <c r="BL116" s="7">
        <v>0.96391800000000005</v>
      </c>
      <c r="BM116" s="7">
        <v>0.95238100000000003</v>
      </c>
      <c r="BN116" s="7">
        <v>0.96946600000000005</v>
      </c>
      <c r="BO116" s="7">
        <v>0.984375</v>
      </c>
      <c r="BP116" s="7">
        <v>1</v>
      </c>
      <c r="BQ116" s="7">
        <v>0.97560999999999998</v>
      </c>
      <c r="BR116" s="7">
        <v>4.2763000000000002E-2</v>
      </c>
      <c r="BS116" s="7">
        <v>50</v>
      </c>
      <c r="BT116" s="7">
        <v>50</v>
      </c>
      <c r="BU116" s="7">
        <v>3.2258000000000002E-2</v>
      </c>
      <c r="BV116" s="7">
        <v>50</v>
      </c>
      <c r="BW116" s="7">
        <v>50</v>
      </c>
      <c r="BX116" s="4" t="s">
        <v>124</v>
      </c>
      <c r="BY116" s="4" t="s">
        <v>124</v>
      </c>
      <c r="BZ116" s="4" t="s">
        <v>124</v>
      </c>
      <c r="CA116" s="4" t="s">
        <v>124</v>
      </c>
      <c r="CB116" s="4" t="s">
        <v>124</v>
      </c>
      <c r="CC116" s="4" t="s">
        <v>124</v>
      </c>
      <c r="CD116" s="4" t="s">
        <v>124</v>
      </c>
      <c r="CE116" s="4" t="s">
        <v>124</v>
      </c>
      <c r="CF116" s="4" t="s">
        <v>124</v>
      </c>
      <c r="CG116" s="4" t="s">
        <v>124</v>
      </c>
      <c r="CH116" s="4" t="s">
        <v>124</v>
      </c>
      <c r="CI116" s="4" t="s">
        <v>124</v>
      </c>
      <c r="CJ116" s="4" t="s">
        <v>124</v>
      </c>
      <c r="CK116" s="4" t="s">
        <v>124</v>
      </c>
      <c r="CL116" s="4" t="s">
        <v>124</v>
      </c>
      <c r="CM116" s="4" t="s">
        <v>124</v>
      </c>
      <c r="CN116" s="4" t="s">
        <v>124</v>
      </c>
      <c r="CO116" s="4" t="s">
        <v>124</v>
      </c>
      <c r="CP116" s="4" t="s">
        <v>124</v>
      </c>
      <c r="CQ116" s="7">
        <v>0.65</v>
      </c>
      <c r="CR116" s="7">
        <v>0.93023299999999998</v>
      </c>
      <c r="CS116" s="7">
        <v>43.333333000000003</v>
      </c>
      <c r="CT116" s="7">
        <v>50</v>
      </c>
      <c r="CU116" s="4" t="s">
        <v>124</v>
      </c>
      <c r="CV116" s="4" t="s">
        <v>124</v>
      </c>
      <c r="CW116" s="4" t="s">
        <v>124</v>
      </c>
      <c r="CX116" s="4" t="s">
        <v>124</v>
      </c>
      <c r="CY116" s="4" t="s">
        <v>124</v>
      </c>
      <c r="CZ116" s="4" t="s">
        <v>124</v>
      </c>
      <c r="DA116" s="7">
        <v>15.389535</v>
      </c>
      <c r="DB116" s="7">
        <v>17.608319000000002</v>
      </c>
      <c r="DC116" s="7">
        <v>16.064022999999999</v>
      </c>
      <c r="DD116" s="4" t="s">
        <v>124</v>
      </c>
      <c r="DE116" s="4" t="s">
        <v>124</v>
      </c>
      <c r="DF116" s="6"/>
      <c r="DG116" s="6"/>
      <c r="DH116" s="6"/>
      <c r="DI116" s="6"/>
      <c r="DJ116" s="4" t="s">
        <v>124</v>
      </c>
      <c r="DK116" s="4" t="s">
        <v>124</v>
      </c>
      <c r="DL116" s="4" t="s">
        <v>124</v>
      </c>
      <c r="DM116" s="4" t="s">
        <v>124</v>
      </c>
      <c r="DN116" s="4" t="s">
        <v>124</v>
      </c>
      <c r="DO116" s="4" t="s">
        <v>124</v>
      </c>
      <c r="DP116" s="6"/>
      <c r="DQ116" s="4" t="s">
        <v>125</v>
      </c>
    </row>
    <row r="117" spans="1:121" ht="20" customHeight="1" x14ac:dyDescent="0.15">
      <c r="A117" s="5">
        <v>2018</v>
      </c>
      <c r="B117" s="3" t="s">
        <v>240</v>
      </c>
      <c r="C117" s="4" t="str">
        <f t="shared" ref="C117:C764" si="115">"1040011"</f>
        <v>1040011</v>
      </c>
      <c r="D117" s="4" t="s">
        <v>122</v>
      </c>
      <c r="E117" s="4" t="str">
        <f>"0000000"</f>
        <v>0000000</v>
      </c>
      <c r="F117" s="4" t="s">
        <v>122</v>
      </c>
      <c r="G117" s="4" t="s">
        <v>122</v>
      </c>
      <c r="H117" s="4" t="s">
        <v>122</v>
      </c>
      <c r="I117" s="6"/>
      <c r="J117" s="4" t="s">
        <v>123</v>
      </c>
      <c r="K117" s="7">
        <v>682.03596500000003</v>
      </c>
      <c r="L117" s="7">
        <v>1150</v>
      </c>
      <c r="M117" s="7">
        <v>59.307474999999997</v>
      </c>
      <c r="N117" s="4" t="s">
        <v>124</v>
      </c>
      <c r="O117" s="7">
        <v>1</v>
      </c>
      <c r="P117" s="7">
        <v>58.257866999999997</v>
      </c>
      <c r="Q117" s="7">
        <v>38.838577999999998</v>
      </c>
      <c r="R117" s="7">
        <v>50</v>
      </c>
      <c r="S117" s="7">
        <v>55.068933000000001</v>
      </c>
      <c r="T117" s="7">
        <v>70.477001999999999</v>
      </c>
      <c r="U117" s="7">
        <v>36.712622000000003</v>
      </c>
      <c r="V117" s="7">
        <v>50</v>
      </c>
      <c r="W117" s="7">
        <v>53.084342999999997</v>
      </c>
      <c r="X117" s="7">
        <v>35.389561999999998</v>
      </c>
      <c r="Y117" s="7">
        <v>50</v>
      </c>
      <c r="Z117" s="7">
        <v>64.626318999999995</v>
      </c>
      <c r="AA117" s="7">
        <v>50.077489</v>
      </c>
      <c r="AB117" s="7">
        <v>33.384991999999997</v>
      </c>
      <c r="AC117" s="7">
        <v>50</v>
      </c>
      <c r="AD117" s="7">
        <v>55.302593000000002</v>
      </c>
      <c r="AE117" s="7">
        <v>36.868395</v>
      </c>
      <c r="AF117" s="7">
        <v>50</v>
      </c>
      <c r="AG117" s="7">
        <v>52.339708999999999</v>
      </c>
      <c r="AH117" s="7">
        <v>66.963657999999995</v>
      </c>
      <c r="AI117" s="7">
        <v>34.893138999999998</v>
      </c>
      <c r="AJ117" s="7">
        <v>50</v>
      </c>
      <c r="AK117" s="7">
        <v>15.4</v>
      </c>
      <c r="AL117" s="7">
        <v>14.54</v>
      </c>
      <c r="AM117" s="7">
        <v>14.62</v>
      </c>
      <c r="AN117" s="7">
        <v>0.48123899999999997</v>
      </c>
      <c r="AO117" s="7">
        <v>48.123919000000001</v>
      </c>
      <c r="AP117" s="7">
        <v>100</v>
      </c>
      <c r="AQ117" s="7">
        <v>0.47567700000000002</v>
      </c>
      <c r="AR117" s="7">
        <v>47.567691000000003</v>
      </c>
      <c r="AS117" s="7">
        <v>100</v>
      </c>
      <c r="AT117" s="7">
        <v>0.47717999999999999</v>
      </c>
      <c r="AU117" s="7">
        <v>0.49481199999999997</v>
      </c>
      <c r="AV117" s="7">
        <v>47.717956000000001</v>
      </c>
      <c r="AW117" s="7">
        <v>100</v>
      </c>
      <c r="AX117" s="7">
        <v>0.47598299999999999</v>
      </c>
      <c r="AY117" s="7">
        <v>0.47465299999999999</v>
      </c>
      <c r="AZ117" s="7">
        <v>47.598286999999999</v>
      </c>
      <c r="BA117" s="7">
        <v>100</v>
      </c>
      <c r="BB117" s="7">
        <v>0.616286</v>
      </c>
      <c r="BC117" s="7">
        <v>30.814314</v>
      </c>
      <c r="BD117" s="7">
        <v>50</v>
      </c>
      <c r="BE117" s="7">
        <v>0.55088300000000001</v>
      </c>
      <c r="BF117" s="7">
        <v>27.544149000000001</v>
      </c>
      <c r="BG117" s="7">
        <v>50</v>
      </c>
      <c r="BH117" s="7">
        <v>0</v>
      </c>
      <c r="BI117" s="7">
        <v>0.98695500000000003</v>
      </c>
      <c r="BJ117" s="7">
        <v>0.98655499999999996</v>
      </c>
      <c r="BK117" s="7">
        <v>0.98858400000000002</v>
      </c>
      <c r="BL117" s="7">
        <v>0.98470500000000005</v>
      </c>
      <c r="BM117" s="7">
        <v>0.98376300000000005</v>
      </c>
      <c r="BN117" s="7">
        <v>0.98855800000000005</v>
      </c>
      <c r="BO117" s="7">
        <v>0.97916700000000001</v>
      </c>
      <c r="BP117" s="7">
        <v>0.97734600000000005</v>
      </c>
      <c r="BQ117" s="7">
        <v>0.98666699999999996</v>
      </c>
      <c r="BR117" s="7">
        <v>0.119988</v>
      </c>
      <c r="BS117" s="7">
        <v>36.002341000000001</v>
      </c>
      <c r="BT117" s="7">
        <v>50</v>
      </c>
      <c r="BU117" s="7">
        <v>0.13430700000000001</v>
      </c>
      <c r="BV117" s="7">
        <v>33.138686</v>
      </c>
      <c r="BW117" s="7">
        <v>50</v>
      </c>
      <c r="BX117" s="7">
        <v>0.61538499999999996</v>
      </c>
      <c r="BY117" s="7">
        <v>41.025641</v>
      </c>
      <c r="BZ117" s="7">
        <v>50</v>
      </c>
      <c r="CA117" s="4" t="s">
        <v>124</v>
      </c>
      <c r="CB117" s="4" t="s">
        <v>124</v>
      </c>
      <c r="CC117" s="7">
        <v>50</v>
      </c>
      <c r="CD117" s="7">
        <v>0.83714299999999997</v>
      </c>
      <c r="CE117" s="7">
        <v>44.528874999999999</v>
      </c>
      <c r="CF117" s="7">
        <v>50</v>
      </c>
      <c r="CG117" s="4" t="s">
        <v>124</v>
      </c>
      <c r="CH117" s="4" t="s">
        <v>124</v>
      </c>
      <c r="CI117" s="4" t="s">
        <v>124</v>
      </c>
      <c r="CJ117" s="4" t="s">
        <v>124</v>
      </c>
      <c r="CK117" s="4" t="s">
        <v>124</v>
      </c>
      <c r="CL117" s="4" t="s">
        <v>124</v>
      </c>
      <c r="CM117" s="4" t="s">
        <v>124</v>
      </c>
      <c r="CN117" s="4" t="s">
        <v>124</v>
      </c>
      <c r="CO117" s="4" t="s">
        <v>124</v>
      </c>
      <c r="CP117" s="4" t="s">
        <v>124</v>
      </c>
      <c r="CQ117" s="7">
        <v>0.42349500000000001</v>
      </c>
      <c r="CR117" s="7">
        <v>0.92007300000000003</v>
      </c>
      <c r="CS117" s="7">
        <v>28.232970999999999</v>
      </c>
      <c r="CT117" s="7">
        <v>50</v>
      </c>
      <c r="CU117" s="7">
        <v>0.40384599999999998</v>
      </c>
      <c r="CV117" s="7">
        <v>33.653846000000001</v>
      </c>
      <c r="CW117" s="7">
        <v>50</v>
      </c>
      <c r="CX117" s="4" t="s">
        <v>124</v>
      </c>
      <c r="CY117" s="4" t="s">
        <v>124</v>
      </c>
      <c r="CZ117" s="4" t="s">
        <v>124</v>
      </c>
      <c r="DA117" s="7">
        <v>15.389535</v>
      </c>
      <c r="DB117" s="7">
        <v>17.608319000000002</v>
      </c>
      <c r="DC117" s="7">
        <v>16.064022999999999</v>
      </c>
      <c r="DD117" s="4" t="s">
        <v>124</v>
      </c>
      <c r="DE117" s="4" t="s">
        <v>124</v>
      </c>
      <c r="DF117" s="6"/>
      <c r="DG117" s="6"/>
      <c r="DH117" s="6"/>
      <c r="DI117" s="6"/>
      <c r="DJ117" s="4" t="s">
        <v>124</v>
      </c>
      <c r="DK117" s="4" t="s">
        <v>124</v>
      </c>
      <c r="DL117" s="4" t="s">
        <v>124</v>
      </c>
      <c r="DM117" s="4" t="s">
        <v>124</v>
      </c>
      <c r="DN117" s="4" t="s">
        <v>124</v>
      </c>
      <c r="DO117" s="4" t="s">
        <v>124</v>
      </c>
      <c r="DP117" s="6"/>
      <c r="DQ117" s="4" t="s">
        <v>125</v>
      </c>
    </row>
    <row r="118" spans="1:121" ht="20" customHeight="1" x14ac:dyDescent="0.15">
      <c r="A118" s="5">
        <v>2018</v>
      </c>
      <c r="B118" s="3" t="s">
        <v>241</v>
      </c>
      <c r="C118" s="4" t="str">
        <f t="shared" ref="C118:C1077" si="116">"1660011"</f>
        <v>1660011</v>
      </c>
      <c r="D118" s="4" t="s">
        <v>122</v>
      </c>
      <c r="E118" s="4" t="str">
        <f t="shared" si="1"/>
        <v>0000000</v>
      </c>
      <c r="F118" s="4" t="s">
        <v>122</v>
      </c>
      <c r="G118" s="4" t="s">
        <v>122</v>
      </c>
      <c r="H118" s="4" t="s">
        <v>122</v>
      </c>
      <c r="I118" s="6"/>
      <c r="J118" s="4" t="s">
        <v>123</v>
      </c>
      <c r="K118" s="7">
        <v>1164.5271459999999</v>
      </c>
      <c r="L118" s="7">
        <v>1450</v>
      </c>
      <c r="M118" s="7">
        <v>80.312217000000004</v>
      </c>
      <c r="N118" s="4" t="s">
        <v>124</v>
      </c>
      <c r="O118" s="7">
        <v>0</v>
      </c>
      <c r="P118" s="7">
        <v>73.035526000000004</v>
      </c>
      <c r="Q118" s="7">
        <v>48.690351</v>
      </c>
      <c r="R118" s="7">
        <v>50</v>
      </c>
      <c r="S118" s="7">
        <v>67.367192000000003</v>
      </c>
      <c r="T118" s="7">
        <v>75</v>
      </c>
      <c r="U118" s="7">
        <v>44.911461000000003</v>
      </c>
      <c r="V118" s="7">
        <v>50</v>
      </c>
      <c r="W118" s="7">
        <v>70.522902000000002</v>
      </c>
      <c r="X118" s="7">
        <v>47.015267999999999</v>
      </c>
      <c r="Y118" s="7">
        <v>50</v>
      </c>
      <c r="Z118" s="7">
        <v>74.453507999999999</v>
      </c>
      <c r="AA118" s="7">
        <v>64.099716000000001</v>
      </c>
      <c r="AB118" s="7">
        <v>42.733144000000003</v>
      </c>
      <c r="AC118" s="7">
        <v>50</v>
      </c>
      <c r="AD118" s="7">
        <v>64.827642999999995</v>
      </c>
      <c r="AE118" s="7">
        <v>43.218428000000003</v>
      </c>
      <c r="AF118" s="7">
        <v>50</v>
      </c>
      <c r="AG118" s="7">
        <v>58.913469999999997</v>
      </c>
      <c r="AH118" s="7">
        <v>68.084487999999993</v>
      </c>
      <c r="AI118" s="7">
        <v>39.275646999999999</v>
      </c>
      <c r="AJ118" s="7">
        <v>50</v>
      </c>
      <c r="AK118" s="7">
        <v>7.63</v>
      </c>
      <c r="AL118" s="7">
        <v>10.35</v>
      </c>
      <c r="AM118" s="7">
        <v>9.17</v>
      </c>
      <c r="AN118" s="7">
        <v>0.59159099999999998</v>
      </c>
      <c r="AO118" s="7">
        <v>59.159109000000001</v>
      </c>
      <c r="AP118" s="7">
        <v>100</v>
      </c>
      <c r="AQ118" s="7">
        <v>0.66158600000000001</v>
      </c>
      <c r="AR118" s="7">
        <v>66.158595000000005</v>
      </c>
      <c r="AS118" s="7">
        <v>100</v>
      </c>
      <c r="AT118" s="7">
        <v>0.56128</v>
      </c>
      <c r="AU118" s="7">
        <v>0.60938999999999999</v>
      </c>
      <c r="AV118" s="7">
        <v>56.127966999999998</v>
      </c>
      <c r="AW118" s="7">
        <v>100</v>
      </c>
      <c r="AX118" s="7">
        <v>0.60657099999999997</v>
      </c>
      <c r="AY118" s="7">
        <v>0.69389100000000004</v>
      </c>
      <c r="AZ118" s="7">
        <v>60.657108999999998</v>
      </c>
      <c r="BA118" s="7">
        <v>100</v>
      </c>
      <c r="BB118" s="7">
        <v>0.68548200000000004</v>
      </c>
      <c r="BC118" s="7">
        <v>34.274104000000001</v>
      </c>
      <c r="BD118" s="7">
        <v>50</v>
      </c>
      <c r="BE118" s="7">
        <v>0.66764299999999999</v>
      </c>
      <c r="BF118" s="7">
        <v>33.382142000000002</v>
      </c>
      <c r="BG118" s="7">
        <v>50</v>
      </c>
      <c r="BH118" s="7">
        <v>0</v>
      </c>
      <c r="BI118" s="7">
        <v>0.99504999999999999</v>
      </c>
      <c r="BJ118" s="7">
        <v>0.99141599999999996</v>
      </c>
      <c r="BK118" s="7">
        <v>0.99731899999999996</v>
      </c>
      <c r="BL118" s="7">
        <v>0.99504999999999999</v>
      </c>
      <c r="BM118" s="7">
        <v>0.99141599999999996</v>
      </c>
      <c r="BN118" s="7">
        <v>0.99731899999999996</v>
      </c>
      <c r="BO118" s="7">
        <v>0.99651000000000001</v>
      </c>
      <c r="BP118" s="7">
        <v>0.99507400000000001</v>
      </c>
      <c r="BQ118" s="7">
        <v>0.99729699999999999</v>
      </c>
      <c r="BR118" s="7">
        <v>4.3556999999999998E-2</v>
      </c>
      <c r="BS118" s="7">
        <v>50</v>
      </c>
      <c r="BT118" s="7">
        <v>50</v>
      </c>
      <c r="BU118" s="7">
        <v>6.7081000000000002E-2</v>
      </c>
      <c r="BV118" s="7">
        <v>46.583851000000003</v>
      </c>
      <c r="BW118" s="7">
        <v>50</v>
      </c>
      <c r="BX118" s="7">
        <v>0.71666700000000005</v>
      </c>
      <c r="BY118" s="7">
        <v>47.777777999999998</v>
      </c>
      <c r="BZ118" s="7">
        <v>50</v>
      </c>
      <c r="CA118" s="7">
        <v>0.5</v>
      </c>
      <c r="CB118" s="7">
        <v>33.333333000000003</v>
      </c>
      <c r="CC118" s="7">
        <v>50</v>
      </c>
      <c r="CD118" s="7">
        <v>0.99137900000000001</v>
      </c>
      <c r="CE118" s="7">
        <v>50</v>
      </c>
      <c r="CF118" s="7">
        <v>50</v>
      </c>
      <c r="CG118" s="7">
        <v>0.96703300000000003</v>
      </c>
      <c r="CH118" s="7">
        <v>100</v>
      </c>
      <c r="CI118" s="7">
        <v>100</v>
      </c>
      <c r="CJ118" s="7">
        <v>0</v>
      </c>
      <c r="CK118" s="7">
        <v>0.92592600000000003</v>
      </c>
      <c r="CL118" s="7">
        <v>98.502758</v>
      </c>
      <c r="CM118" s="7">
        <v>100</v>
      </c>
      <c r="CN118" s="7">
        <v>0.74199999999999999</v>
      </c>
      <c r="CO118" s="7">
        <v>98.876403999999994</v>
      </c>
      <c r="CP118" s="7">
        <v>100</v>
      </c>
      <c r="CQ118" s="7">
        <v>0.63905299999999998</v>
      </c>
      <c r="CR118" s="7">
        <v>0.96709599999999996</v>
      </c>
      <c r="CS118" s="7">
        <v>42.603549999999998</v>
      </c>
      <c r="CT118" s="7">
        <v>50</v>
      </c>
      <c r="CU118" s="7">
        <v>0.25495400000000001</v>
      </c>
      <c r="CV118" s="7">
        <v>21.246147000000001</v>
      </c>
      <c r="CW118" s="7">
        <v>50</v>
      </c>
      <c r="CX118" s="7">
        <v>0.92592600000000003</v>
      </c>
      <c r="CY118" s="7">
        <v>0.94</v>
      </c>
      <c r="CZ118" s="7">
        <v>1.4074E-2</v>
      </c>
      <c r="DA118" s="7">
        <v>15.389535</v>
      </c>
      <c r="DB118" s="7">
        <v>17.608319000000002</v>
      </c>
      <c r="DC118" s="7">
        <v>16.064022999999999</v>
      </c>
      <c r="DD118" s="7">
        <v>11.115401</v>
      </c>
      <c r="DE118" s="4" t="s">
        <v>124</v>
      </c>
      <c r="DF118" s="6"/>
      <c r="DG118" s="6"/>
      <c r="DH118" s="6"/>
      <c r="DI118" s="6"/>
      <c r="DJ118" s="4" t="s">
        <v>124</v>
      </c>
      <c r="DK118" s="4" t="s">
        <v>124</v>
      </c>
      <c r="DL118" s="4" t="s">
        <v>124</v>
      </c>
      <c r="DM118" s="4" t="s">
        <v>124</v>
      </c>
      <c r="DN118" s="4" t="s">
        <v>124</v>
      </c>
      <c r="DO118" s="4" t="s">
        <v>124</v>
      </c>
      <c r="DP118" s="6"/>
      <c r="DQ118" s="4" t="s">
        <v>125</v>
      </c>
    </row>
    <row r="119" spans="1:121" ht="20" customHeight="1" x14ac:dyDescent="0.15">
      <c r="A119" s="5">
        <v>2018</v>
      </c>
      <c r="B119" s="3" t="s">
        <v>242</v>
      </c>
      <c r="C119" s="4" t="str">
        <f t="shared" ref="C119:C1085" si="117">"2010012"</f>
        <v>2010012</v>
      </c>
      <c r="D119" s="4" t="s">
        <v>122</v>
      </c>
      <c r="E119" s="4" t="str">
        <f t="shared" si="1"/>
        <v>0000000</v>
      </c>
      <c r="F119" s="4" t="s">
        <v>122</v>
      </c>
      <c r="G119" s="4" t="s">
        <v>122</v>
      </c>
      <c r="H119" s="4" t="s">
        <v>122</v>
      </c>
      <c r="I119" s="6"/>
      <c r="J119" s="4" t="s">
        <v>123</v>
      </c>
      <c r="K119" s="7">
        <v>1141.931591</v>
      </c>
      <c r="L119" s="7">
        <v>1450</v>
      </c>
      <c r="M119" s="7">
        <v>78.753902999999994</v>
      </c>
      <c r="N119" s="4" t="s">
        <v>124</v>
      </c>
      <c r="O119" s="7">
        <v>0</v>
      </c>
      <c r="P119" s="7">
        <v>60.779724000000002</v>
      </c>
      <c r="Q119" s="7">
        <v>121.559448</v>
      </c>
      <c r="R119" s="7">
        <v>150</v>
      </c>
      <c r="S119" s="7">
        <v>56.259501999999998</v>
      </c>
      <c r="T119" s="7">
        <v>66.402439000000001</v>
      </c>
      <c r="U119" s="7">
        <v>112.51900500000001</v>
      </c>
      <c r="V119" s="7">
        <v>150</v>
      </c>
      <c r="W119" s="7">
        <v>51.474834999999999</v>
      </c>
      <c r="X119" s="7">
        <v>102.94967</v>
      </c>
      <c r="Y119" s="7">
        <v>150</v>
      </c>
      <c r="Z119" s="7">
        <v>57.817073000000001</v>
      </c>
      <c r="AA119" s="7">
        <v>46.376173000000001</v>
      </c>
      <c r="AB119" s="7">
        <v>92.752346000000003</v>
      </c>
      <c r="AC119" s="7">
        <v>150</v>
      </c>
      <c r="AD119" s="7">
        <v>67.783638999999994</v>
      </c>
      <c r="AE119" s="7">
        <v>90.378185000000002</v>
      </c>
      <c r="AF119" s="7">
        <v>100</v>
      </c>
      <c r="AG119" s="7">
        <v>63.024892999999999</v>
      </c>
      <c r="AH119" s="7">
        <v>73.470918999999995</v>
      </c>
      <c r="AI119" s="7">
        <v>84.033191000000002</v>
      </c>
      <c r="AJ119" s="7">
        <v>100</v>
      </c>
      <c r="AK119" s="7">
        <v>10.14</v>
      </c>
      <c r="AL119" s="7">
        <v>11.44</v>
      </c>
      <c r="AM119" s="7">
        <v>10.44</v>
      </c>
      <c r="AN119" s="4" t="s">
        <v>124</v>
      </c>
      <c r="AO119" s="4" t="s">
        <v>124</v>
      </c>
      <c r="AP119" s="4" t="s">
        <v>124</v>
      </c>
      <c r="AQ119" s="4" t="s">
        <v>124</v>
      </c>
      <c r="AR119" s="4" t="s">
        <v>124</v>
      </c>
      <c r="AS119" s="4" t="s">
        <v>124</v>
      </c>
      <c r="AT119" s="4" t="s">
        <v>124</v>
      </c>
      <c r="AU119" s="4" t="s">
        <v>124</v>
      </c>
      <c r="AV119" s="4" t="s">
        <v>124</v>
      </c>
      <c r="AW119" s="4" t="s">
        <v>124</v>
      </c>
      <c r="AX119" s="4" t="s">
        <v>124</v>
      </c>
      <c r="AY119" s="4" t="s">
        <v>124</v>
      </c>
      <c r="AZ119" s="4" t="s">
        <v>124</v>
      </c>
      <c r="BA119" s="4" t="s">
        <v>124</v>
      </c>
      <c r="BB119" s="4" t="s">
        <v>124</v>
      </c>
      <c r="BC119" s="4" t="s">
        <v>124</v>
      </c>
      <c r="BD119" s="4" t="s">
        <v>124</v>
      </c>
      <c r="BE119" s="4" t="s">
        <v>124</v>
      </c>
      <c r="BF119" s="4" t="s">
        <v>124</v>
      </c>
      <c r="BG119" s="4" t="s">
        <v>124</v>
      </c>
      <c r="BH119" s="7">
        <v>1</v>
      </c>
      <c r="BI119" s="7">
        <v>0.961538</v>
      </c>
      <c r="BJ119" s="7">
        <v>0.95082</v>
      </c>
      <c r="BK119" s="7">
        <v>0.97674399999999995</v>
      </c>
      <c r="BL119" s="7">
        <v>0.95192299999999996</v>
      </c>
      <c r="BM119" s="7">
        <v>0.93442599999999998</v>
      </c>
      <c r="BN119" s="7">
        <v>0.97674399999999995</v>
      </c>
      <c r="BO119" s="7">
        <v>0.97</v>
      </c>
      <c r="BP119" s="7">
        <v>0.94736799999999999</v>
      </c>
      <c r="BQ119" s="7">
        <v>1</v>
      </c>
      <c r="BR119" s="7">
        <v>0.16161600000000001</v>
      </c>
      <c r="BS119" s="7">
        <v>27.676767999999999</v>
      </c>
      <c r="BT119" s="7">
        <v>50</v>
      </c>
      <c r="BU119" s="7">
        <v>0.243094</v>
      </c>
      <c r="BV119" s="7">
        <v>11.381214999999999</v>
      </c>
      <c r="BW119" s="7">
        <v>50</v>
      </c>
      <c r="BX119" s="7">
        <v>0.93396199999999996</v>
      </c>
      <c r="BY119" s="7">
        <v>50</v>
      </c>
      <c r="BZ119" s="7">
        <v>50</v>
      </c>
      <c r="CA119" s="7">
        <v>0.38679200000000002</v>
      </c>
      <c r="CB119" s="7">
        <v>25.786163999999999</v>
      </c>
      <c r="CC119" s="7">
        <v>50</v>
      </c>
      <c r="CD119" s="7">
        <v>0.92222199999999999</v>
      </c>
      <c r="CE119" s="7">
        <v>49.054374000000003</v>
      </c>
      <c r="CF119" s="7">
        <v>50</v>
      </c>
      <c r="CG119" s="7">
        <v>0.94565200000000005</v>
      </c>
      <c r="CH119" s="7">
        <v>100</v>
      </c>
      <c r="CI119" s="7">
        <v>100</v>
      </c>
      <c r="CJ119" s="7">
        <v>0</v>
      </c>
      <c r="CK119" s="7">
        <v>0.91891900000000004</v>
      </c>
      <c r="CL119" s="7">
        <v>97.757332000000005</v>
      </c>
      <c r="CM119" s="7">
        <v>100</v>
      </c>
      <c r="CN119" s="7">
        <v>0.67900000000000005</v>
      </c>
      <c r="CO119" s="7">
        <v>90.476190000000003</v>
      </c>
      <c r="CP119" s="7">
        <v>100</v>
      </c>
      <c r="CQ119" s="7">
        <v>0.581395</v>
      </c>
      <c r="CR119" s="7">
        <v>0.93478300000000003</v>
      </c>
      <c r="CS119" s="7">
        <v>38.759689999999999</v>
      </c>
      <c r="CT119" s="7">
        <v>50</v>
      </c>
      <c r="CU119" s="7">
        <v>0.56217600000000001</v>
      </c>
      <c r="CV119" s="7">
        <v>46.848013999999999</v>
      </c>
      <c r="CW119" s="7">
        <v>50</v>
      </c>
      <c r="CX119" s="7">
        <v>0.91891900000000004</v>
      </c>
      <c r="CY119" s="7">
        <v>0.94</v>
      </c>
      <c r="CZ119" s="7">
        <v>2.1080999999999999E-2</v>
      </c>
      <c r="DA119" s="7">
        <v>15.389535</v>
      </c>
      <c r="DB119" s="7">
        <v>17.608319000000002</v>
      </c>
      <c r="DC119" s="7">
        <v>16.064022999999999</v>
      </c>
      <c r="DD119" s="7">
        <v>11.115401</v>
      </c>
      <c r="DE119" s="4" t="s">
        <v>124</v>
      </c>
      <c r="DF119" s="6"/>
      <c r="DG119" s="6"/>
      <c r="DH119" s="6"/>
      <c r="DI119" s="6"/>
      <c r="DJ119" s="4" t="s">
        <v>124</v>
      </c>
      <c r="DK119" s="4" t="s">
        <v>124</v>
      </c>
      <c r="DL119" s="4" t="s">
        <v>124</v>
      </c>
      <c r="DM119" s="4" t="s">
        <v>124</v>
      </c>
      <c r="DN119" s="4" t="s">
        <v>124</v>
      </c>
      <c r="DO119" s="4" t="s">
        <v>124</v>
      </c>
      <c r="DP119" s="6"/>
      <c r="DQ119" s="4" t="s">
        <v>125</v>
      </c>
    </row>
    <row r="120" spans="1:121" ht="20" customHeight="1" x14ac:dyDescent="0.15">
      <c r="A120" s="5">
        <v>2018</v>
      </c>
      <c r="B120" s="3" t="s">
        <v>243</v>
      </c>
      <c r="C120" s="4" t="str">
        <f t="shared" ref="C120:C1086" si="118">"2040012"</f>
        <v>2040012</v>
      </c>
      <c r="D120" s="4" t="s">
        <v>122</v>
      </c>
      <c r="E120" s="4" t="str">
        <f t="shared" si="1"/>
        <v>0000000</v>
      </c>
      <c r="F120" s="4" t="s">
        <v>122</v>
      </c>
      <c r="G120" s="4" t="s">
        <v>122</v>
      </c>
      <c r="H120" s="4" t="s">
        <v>122</v>
      </c>
      <c r="I120" s="6"/>
      <c r="J120" s="4" t="s">
        <v>123</v>
      </c>
      <c r="K120" s="7">
        <v>1040.4432670000001</v>
      </c>
      <c r="L120" s="7">
        <v>1350</v>
      </c>
      <c r="M120" s="7">
        <v>77.069872000000004</v>
      </c>
      <c r="N120" s="4" t="s">
        <v>124</v>
      </c>
      <c r="O120" s="7">
        <v>0</v>
      </c>
      <c r="P120" s="7">
        <v>72.142020000000002</v>
      </c>
      <c r="Q120" s="7">
        <v>48.094679999999997</v>
      </c>
      <c r="R120" s="7">
        <v>50</v>
      </c>
      <c r="S120" s="7">
        <v>62.465294</v>
      </c>
      <c r="T120" s="7">
        <v>75</v>
      </c>
      <c r="U120" s="7">
        <v>41.643529999999998</v>
      </c>
      <c r="V120" s="7">
        <v>50</v>
      </c>
      <c r="W120" s="7">
        <v>66.594804999999994</v>
      </c>
      <c r="X120" s="7">
        <v>44.396537000000002</v>
      </c>
      <c r="Y120" s="7">
        <v>50</v>
      </c>
      <c r="Z120" s="7">
        <v>72.764387999999997</v>
      </c>
      <c r="AA120" s="7">
        <v>55.339486000000001</v>
      </c>
      <c r="AB120" s="7">
        <v>36.892989999999998</v>
      </c>
      <c r="AC120" s="7">
        <v>50</v>
      </c>
      <c r="AD120" s="7">
        <v>68.754965999999996</v>
      </c>
      <c r="AE120" s="7">
        <v>45.836644</v>
      </c>
      <c r="AF120" s="7">
        <v>50</v>
      </c>
      <c r="AG120" s="7">
        <v>60.100901999999998</v>
      </c>
      <c r="AH120" s="7">
        <v>72.616010000000003</v>
      </c>
      <c r="AI120" s="7">
        <v>40.067267999999999</v>
      </c>
      <c r="AJ120" s="7">
        <v>50</v>
      </c>
      <c r="AK120" s="7">
        <v>12.53</v>
      </c>
      <c r="AL120" s="7">
        <v>17.420000000000002</v>
      </c>
      <c r="AM120" s="7">
        <v>12.51</v>
      </c>
      <c r="AN120" s="7">
        <v>0.487292</v>
      </c>
      <c r="AO120" s="7">
        <v>48.729247000000001</v>
      </c>
      <c r="AP120" s="7">
        <v>100</v>
      </c>
      <c r="AQ120" s="7">
        <v>0.55479000000000001</v>
      </c>
      <c r="AR120" s="7">
        <v>55.478988999999999</v>
      </c>
      <c r="AS120" s="7">
        <v>100</v>
      </c>
      <c r="AT120" s="7">
        <v>0.49782300000000002</v>
      </c>
      <c r="AU120" s="7">
        <v>0.48097400000000001</v>
      </c>
      <c r="AV120" s="7">
        <v>49.782335000000003</v>
      </c>
      <c r="AW120" s="7">
        <v>100</v>
      </c>
      <c r="AX120" s="7">
        <v>0.50785999999999998</v>
      </c>
      <c r="AY120" s="7">
        <v>0.58267199999999997</v>
      </c>
      <c r="AZ120" s="7">
        <v>50.786019000000003</v>
      </c>
      <c r="BA120" s="7">
        <v>100</v>
      </c>
      <c r="BB120" s="4" t="s">
        <v>124</v>
      </c>
      <c r="BC120" s="4" t="s">
        <v>124</v>
      </c>
      <c r="BD120" s="4" t="s">
        <v>124</v>
      </c>
      <c r="BE120" s="4" t="s">
        <v>124</v>
      </c>
      <c r="BF120" s="4" t="s">
        <v>124</v>
      </c>
      <c r="BG120" s="4" t="s">
        <v>124</v>
      </c>
      <c r="BH120" s="7">
        <v>1</v>
      </c>
      <c r="BI120" s="7">
        <v>0.97253999999999996</v>
      </c>
      <c r="BJ120" s="7">
        <v>0.93827199999999999</v>
      </c>
      <c r="BK120" s="7">
        <v>0.99272700000000003</v>
      </c>
      <c r="BL120" s="7">
        <v>0.97253999999999996</v>
      </c>
      <c r="BM120" s="7">
        <v>0.93827199999999999</v>
      </c>
      <c r="BN120" s="7">
        <v>0.99272700000000003</v>
      </c>
      <c r="BO120" s="7">
        <v>0.976109</v>
      </c>
      <c r="BP120" s="7">
        <v>0.94623699999999999</v>
      </c>
      <c r="BQ120" s="7">
        <v>0.99</v>
      </c>
      <c r="BR120" s="7">
        <v>7.4074000000000001E-2</v>
      </c>
      <c r="BS120" s="7">
        <v>45.185184999999997</v>
      </c>
      <c r="BT120" s="7">
        <v>50</v>
      </c>
      <c r="BU120" s="7">
        <v>0.12703600000000001</v>
      </c>
      <c r="BV120" s="7">
        <v>34.592834000000003</v>
      </c>
      <c r="BW120" s="7">
        <v>50</v>
      </c>
      <c r="BX120" s="7">
        <v>0.87583900000000003</v>
      </c>
      <c r="BY120" s="7">
        <v>50</v>
      </c>
      <c r="BZ120" s="7">
        <v>50</v>
      </c>
      <c r="CA120" s="7">
        <v>0.55369100000000004</v>
      </c>
      <c r="CB120" s="7">
        <v>36.912751999999998</v>
      </c>
      <c r="CC120" s="7">
        <v>50</v>
      </c>
      <c r="CD120" s="7">
        <v>0.97653999999999996</v>
      </c>
      <c r="CE120" s="7">
        <v>50</v>
      </c>
      <c r="CF120" s="7">
        <v>50</v>
      </c>
      <c r="CG120" s="7">
        <v>0.96794899999999995</v>
      </c>
      <c r="CH120" s="7">
        <v>100</v>
      </c>
      <c r="CI120" s="7">
        <v>100</v>
      </c>
      <c r="CJ120" s="7">
        <v>0</v>
      </c>
      <c r="CK120" s="7">
        <v>0.97619</v>
      </c>
      <c r="CL120" s="7">
        <v>100</v>
      </c>
      <c r="CM120" s="7">
        <v>100</v>
      </c>
      <c r="CN120" s="7">
        <v>0.78100000000000003</v>
      </c>
      <c r="CO120" s="7">
        <v>100</v>
      </c>
      <c r="CP120" s="7">
        <v>100</v>
      </c>
      <c r="CQ120" s="7">
        <v>0.51612899999999995</v>
      </c>
      <c r="CR120" s="7">
        <v>0.88888900000000004</v>
      </c>
      <c r="CS120" s="7">
        <v>17.204301000000001</v>
      </c>
      <c r="CT120" s="7">
        <v>50</v>
      </c>
      <c r="CU120" s="7">
        <v>0.53807899999999997</v>
      </c>
      <c r="CV120" s="7">
        <v>44.839956000000001</v>
      </c>
      <c r="CW120" s="7">
        <v>50</v>
      </c>
      <c r="CX120" s="7">
        <v>0.97619</v>
      </c>
      <c r="CY120" s="7">
        <v>0.94</v>
      </c>
      <c r="CZ120" s="7">
        <v>-3.619E-2</v>
      </c>
      <c r="DA120" s="7">
        <v>15.389535</v>
      </c>
      <c r="DB120" s="7">
        <v>17.608319000000002</v>
      </c>
      <c r="DC120" s="7">
        <v>16.064022999999999</v>
      </c>
      <c r="DD120" s="7">
        <v>11.115401</v>
      </c>
      <c r="DE120" s="4" t="s">
        <v>124</v>
      </c>
      <c r="DF120" s="6"/>
      <c r="DG120" s="6"/>
      <c r="DH120" s="6"/>
      <c r="DI120" s="6"/>
      <c r="DJ120" s="4" t="s">
        <v>124</v>
      </c>
      <c r="DK120" s="4" t="s">
        <v>124</v>
      </c>
      <c r="DL120" s="4" t="s">
        <v>124</v>
      </c>
      <c r="DM120" s="4" t="s">
        <v>124</v>
      </c>
      <c r="DN120" s="4" t="s">
        <v>124</v>
      </c>
      <c r="DO120" s="4" t="s">
        <v>124</v>
      </c>
      <c r="DP120" s="6"/>
      <c r="DQ120" s="4" t="s">
        <v>125</v>
      </c>
    </row>
    <row r="121" spans="1:121" ht="20" customHeight="1" x14ac:dyDescent="0.15">
      <c r="A121" s="5">
        <v>2018</v>
      </c>
      <c r="B121" s="3" t="s">
        <v>244</v>
      </c>
      <c r="C121" s="4" t="str">
        <f t="shared" ref="C121:C1089" si="119">"2050012"</f>
        <v>2050012</v>
      </c>
      <c r="D121" s="4" t="s">
        <v>122</v>
      </c>
      <c r="E121" s="4" t="str">
        <f t="shared" si="1"/>
        <v>0000000</v>
      </c>
      <c r="F121" s="4" t="s">
        <v>122</v>
      </c>
      <c r="G121" s="4" t="s">
        <v>122</v>
      </c>
      <c r="H121" s="4" t="s">
        <v>122</v>
      </c>
      <c r="I121" s="6"/>
      <c r="J121" s="4" t="s">
        <v>123</v>
      </c>
      <c r="K121" s="7">
        <v>1121.1200329999999</v>
      </c>
      <c r="L121" s="7">
        <v>1350</v>
      </c>
      <c r="M121" s="7">
        <v>83.045928000000004</v>
      </c>
      <c r="N121" s="4" t="s">
        <v>124</v>
      </c>
      <c r="O121" s="7">
        <v>0</v>
      </c>
      <c r="P121" s="7">
        <v>76.765895999999998</v>
      </c>
      <c r="Q121" s="7">
        <v>50</v>
      </c>
      <c r="R121" s="7">
        <v>50</v>
      </c>
      <c r="S121" s="7">
        <v>61.746785000000003</v>
      </c>
      <c r="T121" s="7">
        <v>75</v>
      </c>
      <c r="U121" s="7">
        <v>41.164523000000003</v>
      </c>
      <c r="V121" s="7">
        <v>50</v>
      </c>
      <c r="W121" s="7">
        <v>75.265944000000005</v>
      </c>
      <c r="X121" s="7">
        <v>50</v>
      </c>
      <c r="Y121" s="7">
        <v>50</v>
      </c>
      <c r="Z121" s="7">
        <v>75</v>
      </c>
      <c r="AA121" s="7">
        <v>59.873457999999999</v>
      </c>
      <c r="AB121" s="7">
        <v>39.915638000000001</v>
      </c>
      <c r="AC121" s="7">
        <v>50</v>
      </c>
      <c r="AD121" s="7">
        <v>75.524843000000004</v>
      </c>
      <c r="AE121" s="7">
        <v>50</v>
      </c>
      <c r="AF121" s="7">
        <v>50</v>
      </c>
      <c r="AG121" s="7">
        <v>62.114283999999998</v>
      </c>
      <c r="AH121" s="7">
        <v>75</v>
      </c>
      <c r="AI121" s="7">
        <v>41.409522000000003</v>
      </c>
      <c r="AJ121" s="7">
        <v>50</v>
      </c>
      <c r="AK121" s="7">
        <v>13.25</v>
      </c>
      <c r="AL121" s="7">
        <v>15.12</v>
      </c>
      <c r="AM121" s="7">
        <v>12.88</v>
      </c>
      <c r="AN121" s="7">
        <v>0.63564399999999999</v>
      </c>
      <c r="AO121" s="7">
        <v>63.564377</v>
      </c>
      <c r="AP121" s="7">
        <v>100</v>
      </c>
      <c r="AQ121" s="7">
        <v>0.75343300000000002</v>
      </c>
      <c r="AR121" s="7">
        <v>75.343306999999996</v>
      </c>
      <c r="AS121" s="7">
        <v>100</v>
      </c>
      <c r="AT121" s="7">
        <v>0.43741799999999997</v>
      </c>
      <c r="AU121" s="7">
        <v>0.69021600000000005</v>
      </c>
      <c r="AV121" s="7">
        <v>43.741795000000003</v>
      </c>
      <c r="AW121" s="7">
        <v>100</v>
      </c>
      <c r="AX121" s="7">
        <v>0.55983899999999998</v>
      </c>
      <c r="AY121" s="7">
        <v>0.80605300000000002</v>
      </c>
      <c r="AZ121" s="7">
        <v>55.983894999999997</v>
      </c>
      <c r="BA121" s="7">
        <v>100</v>
      </c>
      <c r="BB121" s="4" t="s">
        <v>124</v>
      </c>
      <c r="BC121" s="4" t="s">
        <v>124</v>
      </c>
      <c r="BD121" s="4" t="s">
        <v>124</v>
      </c>
      <c r="BE121" s="4" t="s">
        <v>124</v>
      </c>
      <c r="BF121" s="4" t="s">
        <v>124</v>
      </c>
      <c r="BG121" s="4" t="s">
        <v>124</v>
      </c>
      <c r="BH121" s="7">
        <v>0</v>
      </c>
      <c r="BI121" s="7">
        <v>0.98295500000000002</v>
      </c>
      <c r="BJ121" s="7">
        <v>0.95719799999999999</v>
      </c>
      <c r="BK121" s="7">
        <v>0.99123899999999998</v>
      </c>
      <c r="BL121" s="7">
        <v>0.98295500000000002</v>
      </c>
      <c r="BM121" s="7">
        <v>0.95719799999999999</v>
      </c>
      <c r="BN121" s="7">
        <v>0.99123899999999998</v>
      </c>
      <c r="BO121" s="7">
        <v>0.99011300000000002</v>
      </c>
      <c r="BP121" s="7">
        <v>0.970414</v>
      </c>
      <c r="BQ121" s="7">
        <v>0.99628899999999998</v>
      </c>
      <c r="BR121" s="7">
        <v>5.5045999999999998E-2</v>
      </c>
      <c r="BS121" s="7">
        <v>48.990825999999998</v>
      </c>
      <c r="BT121" s="7">
        <v>50</v>
      </c>
      <c r="BU121" s="7">
        <v>0.119522</v>
      </c>
      <c r="BV121" s="7">
        <v>36.095618000000002</v>
      </c>
      <c r="BW121" s="7">
        <v>50</v>
      </c>
      <c r="BX121" s="7">
        <v>0.64026799999999995</v>
      </c>
      <c r="BY121" s="7">
        <v>42.684564000000002</v>
      </c>
      <c r="BZ121" s="7">
        <v>50</v>
      </c>
      <c r="CA121" s="7">
        <v>0.67382600000000004</v>
      </c>
      <c r="CB121" s="7">
        <v>44.921700000000001</v>
      </c>
      <c r="CC121" s="7">
        <v>50</v>
      </c>
      <c r="CD121" s="7">
        <v>0.97772000000000003</v>
      </c>
      <c r="CE121" s="7">
        <v>50</v>
      </c>
      <c r="CF121" s="7">
        <v>50</v>
      </c>
      <c r="CG121" s="7">
        <v>0.95342499999999997</v>
      </c>
      <c r="CH121" s="7">
        <v>100</v>
      </c>
      <c r="CI121" s="7">
        <v>100</v>
      </c>
      <c r="CJ121" s="7">
        <v>0</v>
      </c>
      <c r="CK121" s="7">
        <v>0.86075900000000005</v>
      </c>
      <c r="CL121" s="7">
        <v>91.570159000000004</v>
      </c>
      <c r="CM121" s="7">
        <v>100</v>
      </c>
      <c r="CN121" s="7">
        <v>0.877</v>
      </c>
      <c r="CO121" s="7">
        <v>100</v>
      </c>
      <c r="CP121" s="7">
        <v>100</v>
      </c>
      <c r="CQ121" s="7">
        <v>0.69684500000000005</v>
      </c>
      <c r="CR121" s="7">
        <v>1.0369839999999999</v>
      </c>
      <c r="CS121" s="7">
        <v>46.456333000000001</v>
      </c>
      <c r="CT121" s="7">
        <v>50</v>
      </c>
      <c r="CU121" s="7">
        <v>0.591333</v>
      </c>
      <c r="CV121" s="7">
        <v>49.277777999999998</v>
      </c>
      <c r="CW121" s="7">
        <v>50</v>
      </c>
      <c r="CX121" s="7">
        <v>0.86075900000000005</v>
      </c>
      <c r="CY121" s="7">
        <v>0.94</v>
      </c>
      <c r="CZ121" s="7">
        <v>7.9241000000000006E-2</v>
      </c>
      <c r="DA121" s="7">
        <v>15.389535</v>
      </c>
      <c r="DB121" s="7">
        <v>17.608319000000002</v>
      </c>
      <c r="DC121" s="7">
        <v>16.064022999999999</v>
      </c>
      <c r="DD121" s="7">
        <v>11.115401</v>
      </c>
      <c r="DE121" s="4" t="s">
        <v>124</v>
      </c>
      <c r="DF121" s="6"/>
      <c r="DG121" s="6"/>
      <c r="DH121" s="6"/>
      <c r="DI121" s="6"/>
      <c r="DJ121" s="4" t="s">
        <v>124</v>
      </c>
      <c r="DK121" s="4" t="s">
        <v>124</v>
      </c>
      <c r="DL121" s="4" t="s">
        <v>124</v>
      </c>
      <c r="DM121" s="4" t="s">
        <v>124</v>
      </c>
      <c r="DN121" s="4" t="s">
        <v>124</v>
      </c>
      <c r="DO121" s="4" t="s">
        <v>124</v>
      </c>
      <c r="DP121" s="6"/>
      <c r="DQ121" s="4" t="s">
        <v>125</v>
      </c>
    </row>
    <row r="122" spans="1:121" ht="20" customHeight="1" x14ac:dyDescent="0.15">
      <c r="A122" s="5">
        <v>2018</v>
      </c>
      <c r="B122" s="3" t="s">
        <v>245</v>
      </c>
      <c r="C122" s="4" t="str">
        <f t="shared" ref="C122:C809" si="120">"1170011"</f>
        <v>1170011</v>
      </c>
      <c r="D122" s="4" t="s">
        <v>122</v>
      </c>
      <c r="E122" s="4" t="str">
        <f>"0000000"</f>
        <v>0000000</v>
      </c>
      <c r="F122" s="4" t="s">
        <v>122</v>
      </c>
      <c r="G122" s="4" t="s">
        <v>122</v>
      </c>
      <c r="H122" s="4" t="s">
        <v>122</v>
      </c>
      <c r="I122" s="6"/>
      <c r="J122" s="4" t="s">
        <v>123</v>
      </c>
      <c r="K122" s="7">
        <v>739.64365899999996</v>
      </c>
      <c r="L122" s="7">
        <v>900</v>
      </c>
      <c r="M122" s="7">
        <v>82.182629000000006</v>
      </c>
      <c r="N122" s="4" t="s">
        <v>124</v>
      </c>
      <c r="O122" s="7">
        <v>0</v>
      </c>
      <c r="P122" s="7">
        <v>81.720511999999999</v>
      </c>
      <c r="Q122" s="7">
        <v>50</v>
      </c>
      <c r="R122" s="7">
        <v>50</v>
      </c>
      <c r="S122" s="7">
        <v>67.701622999999998</v>
      </c>
      <c r="T122" s="7">
        <v>75</v>
      </c>
      <c r="U122" s="7">
        <v>45.134414999999997</v>
      </c>
      <c r="V122" s="7">
        <v>50</v>
      </c>
      <c r="W122" s="7">
        <v>79.827216000000007</v>
      </c>
      <c r="X122" s="7">
        <v>50</v>
      </c>
      <c r="Y122" s="7">
        <v>50</v>
      </c>
      <c r="Z122" s="7">
        <v>75</v>
      </c>
      <c r="AA122" s="7">
        <v>64.147234999999995</v>
      </c>
      <c r="AB122" s="7">
        <v>42.764823</v>
      </c>
      <c r="AC122" s="7">
        <v>50</v>
      </c>
      <c r="AD122" s="7">
        <v>74.978127999999998</v>
      </c>
      <c r="AE122" s="7">
        <v>49.985418000000003</v>
      </c>
      <c r="AF122" s="7">
        <v>50</v>
      </c>
      <c r="AG122" s="7">
        <v>64.171619000000007</v>
      </c>
      <c r="AH122" s="7">
        <v>75</v>
      </c>
      <c r="AI122" s="7">
        <v>42.781080000000003</v>
      </c>
      <c r="AJ122" s="7">
        <v>50</v>
      </c>
      <c r="AK122" s="7">
        <v>7.29</v>
      </c>
      <c r="AL122" s="7">
        <v>10.85</v>
      </c>
      <c r="AM122" s="7">
        <v>10.82</v>
      </c>
      <c r="AN122" s="7">
        <v>0.65562100000000001</v>
      </c>
      <c r="AO122" s="7">
        <v>65.562064000000007</v>
      </c>
      <c r="AP122" s="7">
        <v>100</v>
      </c>
      <c r="AQ122" s="7">
        <v>0.74085100000000004</v>
      </c>
      <c r="AR122" s="7">
        <v>74.085053000000002</v>
      </c>
      <c r="AS122" s="7">
        <v>100</v>
      </c>
      <c r="AT122" s="7">
        <v>0.56956700000000005</v>
      </c>
      <c r="AU122" s="7">
        <v>0.68113699999999999</v>
      </c>
      <c r="AV122" s="7">
        <v>56.956682000000001</v>
      </c>
      <c r="AW122" s="7">
        <v>100</v>
      </c>
      <c r="AX122" s="7">
        <v>0.63158400000000003</v>
      </c>
      <c r="AY122" s="7">
        <v>0.77261400000000002</v>
      </c>
      <c r="AZ122" s="7">
        <v>63.158437999999997</v>
      </c>
      <c r="BA122" s="7">
        <v>100</v>
      </c>
      <c r="BB122" s="4" t="s">
        <v>124</v>
      </c>
      <c r="BC122" s="4" t="s">
        <v>124</v>
      </c>
      <c r="BD122" s="4" t="s">
        <v>124</v>
      </c>
      <c r="BE122" s="4" t="s">
        <v>124</v>
      </c>
      <c r="BF122" s="4" t="s">
        <v>124</v>
      </c>
      <c r="BG122" s="4" t="s">
        <v>124</v>
      </c>
      <c r="BH122" s="7">
        <v>0</v>
      </c>
      <c r="BI122" s="7">
        <v>0.98890900000000004</v>
      </c>
      <c r="BJ122" s="7">
        <v>0.984962</v>
      </c>
      <c r="BK122" s="7">
        <v>0.99019599999999997</v>
      </c>
      <c r="BL122" s="7">
        <v>0.98706099999999997</v>
      </c>
      <c r="BM122" s="7">
        <v>0.97744399999999998</v>
      </c>
      <c r="BN122" s="7">
        <v>0.99019599999999997</v>
      </c>
      <c r="BO122" s="7">
        <v>0.99484499999999998</v>
      </c>
      <c r="BP122" s="7">
        <v>1</v>
      </c>
      <c r="BQ122" s="7">
        <v>0.99337699999999995</v>
      </c>
      <c r="BR122" s="7">
        <v>3.4956000000000001E-2</v>
      </c>
      <c r="BS122" s="7">
        <v>50</v>
      </c>
      <c r="BT122" s="7">
        <v>50</v>
      </c>
      <c r="BU122" s="7">
        <v>5.3921999999999998E-2</v>
      </c>
      <c r="BV122" s="7">
        <v>49.215685999999998</v>
      </c>
      <c r="BW122" s="7">
        <v>50</v>
      </c>
      <c r="BX122" s="4" t="s">
        <v>124</v>
      </c>
      <c r="BY122" s="4" t="s">
        <v>124</v>
      </c>
      <c r="BZ122" s="4" t="s">
        <v>124</v>
      </c>
      <c r="CA122" s="4" t="s">
        <v>124</v>
      </c>
      <c r="CB122" s="4" t="s">
        <v>124</v>
      </c>
      <c r="CC122" s="4" t="s">
        <v>124</v>
      </c>
      <c r="CD122" s="7">
        <v>1</v>
      </c>
      <c r="CE122" s="7">
        <v>50</v>
      </c>
      <c r="CF122" s="7">
        <v>50</v>
      </c>
      <c r="CG122" s="4" t="s">
        <v>124</v>
      </c>
      <c r="CH122" s="4" t="s">
        <v>124</v>
      </c>
      <c r="CI122" s="4" t="s">
        <v>124</v>
      </c>
      <c r="CJ122" s="4" t="s">
        <v>124</v>
      </c>
      <c r="CK122" s="4" t="s">
        <v>124</v>
      </c>
      <c r="CL122" s="4" t="s">
        <v>124</v>
      </c>
      <c r="CM122" s="4" t="s">
        <v>124</v>
      </c>
      <c r="CN122" s="4" t="s">
        <v>124</v>
      </c>
      <c r="CO122" s="4" t="s">
        <v>124</v>
      </c>
      <c r="CP122" s="4" t="s">
        <v>124</v>
      </c>
      <c r="CQ122" s="7">
        <v>0.75645799999999996</v>
      </c>
      <c r="CR122" s="7">
        <v>0.94097200000000003</v>
      </c>
      <c r="CS122" s="7">
        <v>50</v>
      </c>
      <c r="CT122" s="7">
        <v>50</v>
      </c>
      <c r="CU122" s="4" t="s">
        <v>124</v>
      </c>
      <c r="CV122" s="4" t="s">
        <v>124</v>
      </c>
      <c r="CW122" s="4" t="s">
        <v>124</v>
      </c>
      <c r="CX122" s="4" t="s">
        <v>124</v>
      </c>
      <c r="CY122" s="4" t="s">
        <v>124</v>
      </c>
      <c r="CZ122" s="4" t="s">
        <v>124</v>
      </c>
      <c r="DA122" s="7">
        <v>15.389535</v>
      </c>
      <c r="DB122" s="7">
        <v>17.608319000000002</v>
      </c>
      <c r="DC122" s="7">
        <v>16.064022999999999</v>
      </c>
      <c r="DD122" s="4" t="s">
        <v>124</v>
      </c>
      <c r="DE122" s="4" t="s">
        <v>124</v>
      </c>
      <c r="DF122" s="6"/>
      <c r="DG122" s="6"/>
      <c r="DH122" s="6"/>
      <c r="DI122" s="6"/>
      <c r="DJ122" s="4" t="s">
        <v>124</v>
      </c>
      <c r="DK122" s="4" t="s">
        <v>124</v>
      </c>
      <c r="DL122" s="4" t="s">
        <v>124</v>
      </c>
      <c r="DM122" s="4" t="s">
        <v>124</v>
      </c>
      <c r="DN122" s="4" t="s">
        <v>124</v>
      </c>
      <c r="DO122" s="4" t="s">
        <v>124</v>
      </c>
      <c r="DP122" s="6"/>
      <c r="DQ122" s="4" t="s">
        <v>125</v>
      </c>
    </row>
    <row r="123" spans="1:121" ht="20" customHeight="1" x14ac:dyDescent="0.15">
      <c r="A123" s="5">
        <v>2018</v>
      </c>
      <c r="B123" s="3" t="s">
        <v>246</v>
      </c>
      <c r="C123" s="4" t="str">
        <f t="shared" ref="C123:C811" si="121">"1180011"</f>
        <v>1180011</v>
      </c>
      <c r="D123" s="4" t="s">
        <v>122</v>
      </c>
      <c r="E123" s="4" t="str">
        <f t="shared" si="1"/>
        <v>0000000</v>
      </c>
      <c r="F123" s="4" t="s">
        <v>122</v>
      </c>
      <c r="G123" s="4" t="s">
        <v>122</v>
      </c>
      <c r="H123" s="4" t="s">
        <v>122</v>
      </c>
      <c r="I123" s="6"/>
      <c r="J123" s="4" t="s">
        <v>123</v>
      </c>
      <c r="K123" s="7">
        <v>1251.168694</v>
      </c>
      <c r="L123" s="7">
        <v>1450</v>
      </c>
      <c r="M123" s="7">
        <v>86.287496000000004</v>
      </c>
      <c r="N123" s="4" t="s">
        <v>124</v>
      </c>
      <c r="O123" s="7">
        <v>0</v>
      </c>
      <c r="P123" s="7">
        <v>81.893349000000001</v>
      </c>
      <c r="Q123" s="7">
        <v>50</v>
      </c>
      <c r="R123" s="7">
        <v>50</v>
      </c>
      <c r="S123" s="7">
        <v>67.803685999999999</v>
      </c>
      <c r="T123" s="7">
        <v>75</v>
      </c>
      <c r="U123" s="7">
        <v>45.202457000000003</v>
      </c>
      <c r="V123" s="7">
        <v>50</v>
      </c>
      <c r="W123" s="7">
        <v>78.835890000000006</v>
      </c>
      <c r="X123" s="7">
        <v>50</v>
      </c>
      <c r="Y123" s="7">
        <v>50</v>
      </c>
      <c r="Z123" s="7">
        <v>75</v>
      </c>
      <c r="AA123" s="7">
        <v>63.008555999999999</v>
      </c>
      <c r="AB123" s="7">
        <v>42.005704000000001</v>
      </c>
      <c r="AC123" s="7">
        <v>50</v>
      </c>
      <c r="AD123" s="7">
        <v>75.952878999999996</v>
      </c>
      <c r="AE123" s="7">
        <v>50</v>
      </c>
      <c r="AF123" s="7">
        <v>50</v>
      </c>
      <c r="AG123" s="7">
        <v>61.021886000000002</v>
      </c>
      <c r="AH123" s="7">
        <v>75</v>
      </c>
      <c r="AI123" s="7">
        <v>40.681258</v>
      </c>
      <c r="AJ123" s="7">
        <v>50</v>
      </c>
      <c r="AK123" s="7">
        <v>7.19</v>
      </c>
      <c r="AL123" s="7">
        <v>11.99</v>
      </c>
      <c r="AM123" s="7">
        <v>13.97</v>
      </c>
      <c r="AN123" s="7">
        <v>0.69052500000000006</v>
      </c>
      <c r="AO123" s="7">
        <v>69.052498999999997</v>
      </c>
      <c r="AP123" s="7">
        <v>100</v>
      </c>
      <c r="AQ123" s="7">
        <v>0.77992700000000004</v>
      </c>
      <c r="AR123" s="7">
        <v>77.992699999999999</v>
      </c>
      <c r="AS123" s="7">
        <v>100</v>
      </c>
      <c r="AT123" s="7">
        <v>0.61250899999999997</v>
      </c>
      <c r="AU123" s="7">
        <v>0.70771600000000001</v>
      </c>
      <c r="AV123" s="7">
        <v>61.250886000000001</v>
      </c>
      <c r="AW123" s="7">
        <v>100</v>
      </c>
      <c r="AX123" s="7">
        <v>0.63203799999999999</v>
      </c>
      <c r="AY123" s="7">
        <v>0.81265200000000004</v>
      </c>
      <c r="AZ123" s="7">
        <v>63.203809999999997</v>
      </c>
      <c r="BA123" s="7">
        <v>100</v>
      </c>
      <c r="BB123" s="7">
        <v>0.84111499999999995</v>
      </c>
      <c r="BC123" s="7">
        <v>42.055770000000003</v>
      </c>
      <c r="BD123" s="7">
        <v>50</v>
      </c>
      <c r="BE123" s="7">
        <v>0.7258</v>
      </c>
      <c r="BF123" s="7">
        <v>36.289994</v>
      </c>
      <c r="BG123" s="7">
        <v>50</v>
      </c>
      <c r="BH123" s="7">
        <v>1</v>
      </c>
      <c r="BI123" s="7">
        <v>0.97782899999999995</v>
      </c>
      <c r="BJ123" s="7">
        <v>0.94807699999999995</v>
      </c>
      <c r="BK123" s="7">
        <v>0.98521000000000003</v>
      </c>
      <c r="BL123" s="7">
        <v>0.97514299999999998</v>
      </c>
      <c r="BM123" s="7">
        <v>0.94807699999999995</v>
      </c>
      <c r="BN123" s="7">
        <v>0.98186200000000001</v>
      </c>
      <c r="BO123" s="7">
        <v>0.96264899999999998</v>
      </c>
      <c r="BP123" s="7">
        <v>0.90950200000000003</v>
      </c>
      <c r="BQ123" s="7">
        <v>0.97492199999999996</v>
      </c>
      <c r="BR123" s="7">
        <v>5.9056999999999998E-2</v>
      </c>
      <c r="BS123" s="7">
        <v>48.188648000000001</v>
      </c>
      <c r="BT123" s="7">
        <v>50</v>
      </c>
      <c r="BU123" s="7">
        <v>0.132961</v>
      </c>
      <c r="BV123" s="7">
        <v>33.407820999999998</v>
      </c>
      <c r="BW123" s="7">
        <v>50</v>
      </c>
      <c r="BX123" s="7">
        <v>0.82732899999999998</v>
      </c>
      <c r="BY123" s="7">
        <v>50</v>
      </c>
      <c r="BZ123" s="7">
        <v>50</v>
      </c>
      <c r="CA123" s="7">
        <v>0.81614900000000001</v>
      </c>
      <c r="CB123" s="7">
        <v>50</v>
      </c>
      <c r="CC123" s="7">
        <v>50</v>
      </c>
      <c r="CD123" s="7">
        <v>0.98443599999999998</v>
      </c>
      <c r="CE123" s="7">
        <v>50</v>
      </c>
      <c r="CF123" s="7">
        <v>50</v>
      </c>
      <c r="CG123" s="7">
        <v>0.95550400000000002</v>
      </c>
      <c r="CH123" s="7">
        <v>100</v>
      </c>
      <c r="CI123" s="7">
        <v>100</v>
      </c>
      <c r="CJ123" s="7">
        <v>0</v>
      </c>
      <c r="CK123" s="7">
        <v>0.96825399999999995</v>
      </c>
      <c r="CL123" s="7">
        <v>100</v>
      </c>
      <c r="CM123" s="7">
        <v>100</v>
      </c>
      <c r="CN123" s="7">
        <v>0.90800000000000003</v>
      </c>
      <c r="CO123" s="7">
        <v>100</v>
      </c>
      <c r="CP123" s="7">
        <v>100</v>
      </c>
      <c r="CQ123" s="7">
        <v>0.695739</v>
      </c>
      <c r="CR123" s="7">
        <v>0.94287500000000002</v>
      </c>
      <c r="CS123" s="7">
        <v>46.382601000000001</v>
      </c>
      <c r="CT123" s="7">
        <v>50</v>
      </c>
      <c r="CU123" s="7">
        <v>0.54545500000000002</v>
      </c>
      <c r="CV123" s="7">
        <v>45.454545000000003</v>
      </c>
      <c r="CW123" s="7">
        <v>50</v>
      </c>
      <c r="CX123" s="7">
        <v>0.96825399999999995</v>
      </c>
      <c r="CY123" s="7">
        <v>0.94</v>
      </c>
      <c r="CZ123" s="7">
        <v>-2.8254000000000001E-2</v>
      </c>
      <c r="DA123" s="7">
        <v>15.389535</v>
      </c>
      <c r="DB123" s="7">
        <v>17.608319000000002</v>
      </c>
      <c r="DC123" s="7">
        <v>16.064022999999999</v>
      </c>
      <c r="DD123" s="7">
        <v>11.115401</v>
      </c>
      <c r="DE123" s="4" t="s">
        <v>124</v>
      </c>
      <c r="DF123" s="6"/>
      <c r="DG123" s="6"/>
      <c r="DH123" s="6"/>
      <c r="DI123" s="6"/>
      <c r="DJ123" s="4" t="s">
        <v>124</v>
      </c>
      <c r="DK123" s="4" t="s">
        <v>124</v>
      </c>
      <c r="DL123" s="4" t="s">
        <v>124</v>
      </c>
      <c r="DM123" s="4" t="s">
        <v>124</v>
      </c>
      <c r="DN123" s="4" t="s">
        <v>124</v>
      </c>
      <c r="DO123" s="4" t="s">
        <v>124</v>
      </c>
      <c r="DP123" s="6"/>
      <c r="DQ123" s="4" t="s">
        <v>125</v>
      </c>
    </row>
    <row r="124" spans="1:121" ht="20" customHeight="1" x14ac:dyDescent="0.15">
      <c r="A124" s="5">
        <v>2018</v>
      </c>
      <c r="B124" s="3" t="s">
        <v>247</v>
      </c>
      <c r="C124" s="4" t="str">
        <f t="shared" ref="C124:C1138" si="122">"2190012"</f>
        <v>2190012</v>
      </c>
      <c r="D124" s="4" t="s">
        <v>122</v>
      </c>
      <c r="E124" s="4" t="str">
        <f t="shared" si="1"/>
        <v>0000000</v>
      </c>
      <c r="F124" s="4" t="s">
        <v>122</v>
      </c>
      <c r="G124" s="4" t="s">
        <v>122</v>
      </c>
      <c r="H124" s="4" t="s">
        <v>122</v>
      </c>
      <c r="I124" s="6"/>
      <c r="J124" s="4" t="s">
        <v>123</v>
      </c>
      <c r="K124" s="7">
        <v>1235.6654960000001</v>
      </c>
      <c r="L124" s="7">
        <v>1450</v>
      </c>
      <c r="M124" s="7">
        <v>85.218310000000002</v>
      </c>
      <c r="N124" s="4" t="s">
        <v>124</v>
      </c>
      <c r="O124" s="7">
        <v>1</v>
      </c>
      <c r="P124" s="7">
        <v>65.369658000000001</v>
      </c>
      <c r="Q124" s="7">
        <v>130.739316</v>
      </c>
      <c r="R124" s="7">
        <v>150</v>
      </c>
      <c r="S124" s="7">
        <v>55.240324999999999</v>
      </c>
      <c r="T124" s="7">
        <v>69.945853999999997</v>
      </c>
      <c r="U124" s="7">
        <v>110.480649</v>
      </c>
      <c r="V124" s="7">
        <v>150</v>
      </c>
      <c r="W124" s="7">
        <v>68.202990999999997</v>
      </c>
      <c r="X124" s="7">
        <v>136.40598299999999</v>
      </c>
      <c r="Y124" s="7">
        <v>150</v>
      </c>
      <c r="Z124" s="7">
        <v>73.826565000000002</v>
      </c>
      <c r="AA124" s="7">
        <v>55.755305999999997</v>
      </c>
      <c r="AB124" s="7">
        <v>111.51061199999999</v>
      </c>
      <c r="AC124" s="7">
        <v>150</v>
      </c>
      <c r="AD124" s="7">
        <v>65.468582999999995</v>
      </c>
      <c r="AE124" s="7">
        <v>87.291443999999998</v>
      </c>
      <c r="AF124" s="7">
        <v>100</v>
      </c>
      <c r="AG124" s="7">
        <v>56.846316999999999</v>
      </c>
      <c r="AH124" s="7">
        <v>69.427785999999998</v>
      </c>
      <c r="AI124" s="7">
        <v>75.795089000000004</v>
      </c>
      <c r="AJ124" s="7">
        <v>100</v>
      </c>
      <c r="AK124" s="7">
        <v>14.7</v>
      </c>
      <c r="AL124" s="7">
        <v>18.07</v>
      </c>
      <c r="AM124" s="7">
        <v>12.58</v>
      </c>
      <c r="AN124" s="4" t="s">
        <v>124</v>
      </c>
      <c r="AO124" s="4" t="s">
        <v>124</v>
      </c>
      <c r="AP124" s="4" t="s">
        <v>124</v>
      </c>
      <c r="AQ124" s="4" t="s">
        <v>124</v>
      </c>
      <c r="AR124" s="4" t="s">
        <v>124</v>
      </c>
      <c r="AS124" s="4" t="s">
        <v>124</v>
      </c>
      <c r="AT124" s="4" t="s">
        <v>124</v>
      </c>
      <c r="AU124" s="4" t="s">
        <v>124</v>
      </c>
      <c r="AV124" s="4" t="s">
        <v>124</v>
      </c>
      <c r="AW124" s="4" t="s">
        <v>124</v>
      </c>
      <c r="AX124" s="4" t="s">
        <v>124</v>
      </c>
      <c r="AY124" s="4" t="s">
        <v>124</v>
      </c>
      <c r="AZ124" s="4" t="s">
        <v>124</v>
      </c>
      <c r="BA124" s="4" t="s">
        <v>124</v>
      </c>
      <c r="BB124" s="4" t="s">
        <v>124</v>
      </c>
      <c r="BC124" s="4" t="s">
        <v>124</v>
      </c>
      <c r="BD124" s="4" t="s">
        <v>124</v>
      </c>
      <c r="BE124" s="4" t="s">
        <v>124</v>
      </c>
      <c r="BF124" s="4" t="s">
        <v>124</v>
      </c>
      <c r="BG124" s="4" t="s">
        <v>124</v>
      </c>
      <c r="BH124" s="7">
        <v>1</v>
      </c>
      <c r="BI124" s="7">
        <v>0.98316499999999996</v>
      </c>
      <c r="BJ124" s="7">
        <v>0.95918400000000004</v>
      </c>
      <c r="BK124" s="7">
        <v>0.99497500000000005</v>
      </c>
      <c r="BL124" s="7">
        <v>0.98316499999999996</v>
      </c>
      <c r="BM124" s="7">
        <v>0.95918400000000004</v>
      </c>
      <c r="BN124" s="7">
        <v>0.99497500000000005</v>
      </c>
      <c r="BO124" s="7">
        <v>0.97306400000000004</v>
      </c>
      <c r="BP124" s="7">
        <v>0.93877600000000005</v>
      </c>
      <c r="BQ124" s="7">
        <v>0.98995</v>
      </c>
      <c r="BR124" s="7">
        <v>2.8094999999999998E-2</v>
      </c>
      <c r="BS124" s="7">
        <v>50</v>
      </c>
      <c r="BT124" s="7">
        <v>50</v>
      </c>
      <c r="BU124" s="7">
        <v>6.3570000000000002E-2</v>
      </c>
      <c r="BV124" s="7">
        <v>47.286064000000003</v>
      </c>
      <c r="BW124" s="7">
        <v>50</v>
      </c>
      <c r="BX124" s="7">
        <v>0.720661</v>
      </c>
      <c r="BY124" s="7">
        <v>48.044077000000001</v>
      </c>
      <c r="BZ124" s="7">
        <v>50</v>
      </c>
      <c r="CA124" s="7">
        <v>0.59338800000000003</v>
      </c>
      <c r="CB124" s="7">
        <v>39.559229000000002</v>
      </c>
      <c r="CC124" s="7">
        <v>50</v>
      </c>
      <c r="CD124" s="7">
        <v>0.89682499999999998</v>
      </c>
      <c r="CE124" s="7">
        <v>47.703479000000002</v>
      </c>
      <c r="CF124" s="7">
        <v>50</v>
      </c>
      <c r="CG124" s="7">
        <v>0.92207799999999995</v>
      </c>
      <c r="CH124" s="7">
        <v>98.093395999999998</v>
      </c>
      <c r="CI124" s="7">
        <v>100</v>
      </c>
      <c r="CJ124" s="7">
        <v>0</v>
      </c>
      <c r="CK124" s="7">
        <v>0.87755099999999997</v>
      </c>
      <c r="CL124" s="7">
        <v>93.356492000000003</v>
      </c>
      <c r="CM124" s="7">
        <v>100</v>
      </c>
      <c r="CN124" s="7">
        <v>0.73299999999999998</v>
      </c>
      <c r="CO124" s="7">
        <v>97.777777999999998</v>
      </c>
      <c r="CP124" s="7">
        <v>100</v>
      </c>
      <c r="CQ124" s="7">
        <v>0.57999999999999996</v>
      </c>
      <c r="CR124" s="7">
        <v>0.88652500000000001</v>
      </c>
      <c r="CS124" s="7">
        <v>19.333333</v>
      </c>
      <c r="CT124" s="7">
        <v>50</v>
      </c>
      <c r="CU124" s="7">
        <v>0.507463</v>
      </c>
      <c r="CV124" s="7">
        <v>42.288556999999997</v>
      </c>
      <c r="CW124" s="7">
        <v>50</v>
      </c>
      <c r="CX124" s="7">
        <v>0.87755099999999997</v>
      </c>
      <c r="CY124" s="7">
        <v>0.94</v>
      </c>
      <c r="CZ124" s="7">
        <v>6.2448999999999998E-2</v>
      </c>
      <c r="DA124" s="7">
        <v>15.389535</v>
      </c>
      <c r="DB124" s="7">
        <v>17.608319000000002</v>
      </c>
      <c r="DC124" s="7">
        <v>16.064022999999999</v>
      </c>
      <c r="DD124" s="7">
        <v>11.115401</v>
      </c>
      <c r="DE124" s="4" t="s">
        <v>124</v>
      </c>
      <c r="DF124" s="6"/>
      <c r="DG124" s="6"/>
      <c r="DH124" s="6"/>
      <c r="DI124" s="6"/>
      <c r="DJ124" s="4" t="s">
        <v>124</v>
      </c>
      <c r="DK124" s="4" t="s">
        <v>124</v>
      </c>
      <c r="DL124" s="4" t="s">
        <v>124</v>
      </c>
      <c r="DM124" s="4" t="s">
        <v>124</v>
      </c>
      <c r="DN124" s="4" t="s">
        <v>124</v>
      </c>
      <c r="DO124" s="4" t="s">
        <v>124</v>
      </c>
      <c r="DP124" s="6"/>
      <c r="DQ124" s="4" t="s">
        <v>125</v>
      </c>
    </row>
    <row r="125" spans="1:121" ht="20" customHeight="1" x14ac:dyDescent="0.15">
      <c r="A125" s="5">
        <v>2018</v>
      </c>
      <c r="B125" s="3" t="s">
        <v>248</v>
      </c>
      <c r="C125" s="4" t="str">
        <f t="shared" ref="C125:C1139" si="123">"2410014"</f>
        <v>2410014</v>
      </c>
      <c r="D125" s="4" t="s">
        <v>122</v>
      </c>
      <c r="E125" s="4" t="str">
        <f t="shared" si="1"/>
        <v>0000000</v>
      </c>
      <c r="F125" s="4" t="s">
        <v>122</v>
      </c>
      <c r="G125" s="4" t="s">
        <v>122</v>
      </c>
      <c r="H125" s="4" t="s">
        <v>122</v>
      </c>
      <c r="I125" s="6"/>
      <c r="J125" s="4" t="s">
        <v>123</v>
      </c>
      <c r="K125" s="7">
        <v>987.56496400000003</v>
      </c>
      <c r="L125" s="7">
        <v>1450</v>
      </c>
      <c r="M125" s="7">
        <v>68.107928999999999</v>
      </c>
      <c r="N125" s="4" t="s">
        <v>124</v>
      </c>
      <c r="O125" s="7">
        <v>1</v>
      </c>
      <c r="P125" s="7">
        <v>63.038331999999997</v>
      </c>
      <c r="Q125" s="7">
        <v>42.025554</v>
      </c>
      <c r="R125" s="7">
        <v>50</v>
      </c>
      <c r="S125" s="7">
        <v>57.217655999999998</v>
      </c>
      <c r="T125" s="7">
        <v>75</v>
      </c>
      <c r="U125" s="7">
        <v>38.145104000000003</v>
      </c>
      <c r="V125" s="7">
        <v>50</v>
      </c>
      <c r="W125" s="7">
        <v>55.175876000000002</v>
      </c>
      <c r="X125" s="7">
        <v>36.783917000000002</v>
      </c>
      <c r="Y125" s="7">
        <v>50</v>
      </c>
      <c r="Z125" s="7">
        <v>67.724350999999999</v>
      </c>
      <c r="AA125" s="7">
        <v>49.149900000000002</v>
      </c>
      <c r="AB125" s="7">
        <v>32.766599999999997</v>
      </c>
      <c r="AC125" s="7">
        <v>50</v>
      </c>
      <c r="AD125" s="7">
        <v>56.133358000000001</v>
      </c>
      <c r="AE125" s="7">
        <v>37.422238999999998</v>
      </c>
      <c r="AF125" s="7">
        <v>50</v>
      </c>
      <c r="AG125" s="7">
        <v>50.706839000000002</v>
      </c>
      <c r="AH125" s="7">
        <v>67.073920000000001</v>
      </c>
      <c r="AI125" s="7">
        <v>33.804558999999998</v>
      </c>
      <c r="AJ125" s="7">
        <v>50</v>
      </c>
      <c r="AK125" s="7">
        <v>17.78</v>
      </c>
      <c r="AL125" s="7">
        <v>18.57</v>
      </c>
      <c r="AM125" s="7">
        <v>16.36</v>
      </c>
      <c r="AN125" s="7">
        <v>0.56592200000000004</v>
      </c>
      <c r="AO125" s="7">
        <v>56.592153000000003</v>
      </c>
      <c r="AP125" s="7">
        <v>100</v>
      </c>
      <c r="AQ125" s="7">
        <v>0.49390000000000001</v>
      </c>
      <c r="AR125" s="7">
        <v>49.389986999999998</v>
      </c>
      <c r="AS125" s="7">
        <v>100</v>
      </c>
      <c r="AT125" s="7">
        <v>0.53659400000000002</v>
      </c>
      <c r="AU125" s="7">
        <v>0.62415799999999999</v>
      </c>
      <c r="AV125" s="7">
        <v>53.659385999999998</v>
      </c>
      <c r="AW125" s="7">
        <v>100</v>
      </c>
      <c r="AX125" s="7">
        <v>0.453044</v>
      </c>
      <c r="AY125" s="7">
        <v>0.57423599999999997</v>
      </c>
      <c r="AZ125" s="7">
        <v>45.304395</v>
      </c>
      <c r="BA125" s="7">
        <v>100</v>
      </c>
      <c r="BB125" s="7">
        <v>0.63317900000000005</v>
      </c>
      <c r="BC125" s="7">
        <v>31.658939</v>
      </c>
      <c r="BD125" s="7">
        <v>50</v>
      </c>
      <c r="BE125" s="7">
        <v>0.53334599999999999</v>
      </c>
      <c r="BF125" s="7">
        <v>26.667318000000002</v>
      </c>
      <c r="BG125" s="7">
        <v>50</v>
      </c>
      <c r="BH125" s="7">
        <v>0</v>
      </c>
      <c r="BI125" s="7">
        <v>0.98066500000000001</v>
      </c>
      <c r="BJ125" s="7">
        <v>0.97814000000000001</v>
      </c>
      <c r="BK125" s="7">
        <v>0.98601899999999998</v>
      </c>
      <c r="BL125" s="7">
        <v>0.97548299999999999</v>
      </c>
      <c r="BM125" s="7">
        <v>0.97189499999999995</v>
      </c>
      <c r="BN125" s="7">
        <v>0.98308799999999996</v>
      </c>
      <c r="BO125" s="7">
        <v>0.96746600000000005</v>
      </c>
      <c r="BP125" s="7">
        <v>0.96346600000000004</v>
      </c>
      <c r="BQ125" s="7">
        <v>0.97565199999999996</v>
      </c>
      <c r="BR125" s="7">
        <v>0.186416</v>
      </c>
      <c r="BS125" s="7">
        <v>22.716763</v>
      </c>
      <c r="BT125" s="7">
        <v>50</v>
      </c>
      <c r="BU125" s="7">
        <v>0.237093</v>
      </c>
      <c r="BV125" s="7">
        <v>12.581336</v>
      </c>
      <c r="BW125" s="7">
        <v>50</v>
      </c>
      <c r="BX125" s="7">
        <v>0.75139699999999998</v>
      </c>
      <c r="BY125" s="7">
        <v>50</v>
      </c>
      <c r="BZ125" s="7">
        <v>50</v>
      </c>
      <c r="CA125" s="7">
        <v>0.28677799999999998</v>
      </c>
      <c r="CB125" s="7">
        <v>19.118559999999999</v>
      </c>
      <c r="CC125" s="7">
        <v>50</v>
      </c>
      <c r="CD125" s="7">
        <v>0.89324999999999999</v>
      </c>
      <c r="CE125" s="7">
        <v>47.513277000000002</v>
      </c>
      <c r="CF125" s="7">
        <v>50</v>
      </c>
      <c r="CG125" s="7">
        <v>0.949438</v>
      </c>
      <c r="CH125" s="7">
        <v>100</v>
      </c>
      <c r="CI125" s="7">
        <v>100</v>
      </c>
      <c r="CJ125" s="7">
        <v>0</v>
      </c>
      <c r="CK125" s="7">
        <v>0.94217700000000004</v>
      </c>
      <c r="CL125" s="7">
        <v>100</v>
      </c>
      <c r="CM125" s="7">
        <v>100</v>
      </c>
      <c r="CN125" s="7">
        <v>0.65800000000000003</v>
      </c>
      <c r="CO125" s="7">
        <v>87.725857000000005</v>
      </c>
      <c r="CP125" s="7">
        <v>100</v>
      </c>
      <c r="CQ125" s="7">
        <v>0.41067100000000001</v>
      </c>
      <c r="CR125" s="7">
        <v>0.84351799999999999</v>
      </c>
      <c r="CS125" s="7">
        <v>13.689019</v>
      </c>
      <c r="CT125" s="7">
        <v>50</v>
      </c>
      <c r="CU125" s="7">
        <v>0.62133700000000003</v>
      </c>
      <c r="CV125" s="7">
        <v>50</v>
      </c>
      <c r="CW125" s="7">
        <v>50</v>
      </c>
      <c r="CX125" s="7">
        <v>0.94217700000000004</v>
      </c>
      <c r="CY125" s="7">
        <v>0.94</v>
      </c>
      <c r="CZ125" s="7">
        <v>-2.1770000000000001E-3</v>
      </c>
      <c r="DA125" s="7">
        <v>15.389535</v>
      </c>
      <c r="DB125" s="7">
        <v>17.608319000000002</v>
      </c>
      <c r="DC125" s="7">
        <v>16.064022999999999</v>
      </c>
      <c r="DD125" s="7">
        <v>11.115401</v>
      </c>
      <c r="DE125" s="4" t="s">
        <v>124</v>
      </c>
      <c r="DF125" s="6"/>
      <c r="DG125" s="6"/>
      <c r="DH125" s="6"/>
      <c r="DI125" s="6"/>
      <c r="DJ125" s="4" t="s">
        <v>124</v>
      </c>
      <c r="DK125" s="4" t="s">
        <v>124</v>
      </c>
      <c r="DL125" s="4" t="s">
        <v>124</v>
      </c>
      <c r="DM125" s="4" t="s">
        <v>124</v>
      </c>
      <c r="DN125" s="4" t="s">
        <v>124</v>
      </c>
      <c r="DO125" s="4" t="s">
        <v>124</v>
      </c>
      <c r="DP125" s="6"/>
      <c r="DQ125" s="4" t="s">
        <v>125</v>
      </c>
    </row>
    <row r="126" spans="1:121" ht="20" customHeight="1" x14ac:dyDescent="0.15">
      <c r="A126" s="5">
        <v>2018</v>
      </c>
      <c r="B126" s="3" t="s">
        <v>249</v>
      </c>
      <c r="C126" s="4" t="str">
        <f t="shared" ref="C126:C820" si="124">"1190011"</f>
        <v>1190011</v>
      </c>
      <c r="D126" s="4" t="s">
        <v>122</v>
      </c>
      <c r="E126" s="4" t="str">
        <f t="shared" si="1"/>
        <v>0000000</v>
      </c>
      <c r="F126" s="4" t="s">
        <v>122</v>
      </c>
      <c r="G126" s="4" t="s">
        <v>122</v>
      </c>
      <c r="H126" s="4" t="s">
        <v>122</v>
      </c>
      <c r="I126" s="6"/>
      <c r="J126" s="4" t="s">
        <v>123</v>
      </c>
      <c r="K126" s="7">
        <v>1205.2658759999999</v>
      </c>
      <c r="L126" s="7">
        <v>1450</v>
      </c>
      <c r="M126" s="7">
        <v>83.121785000000003</v>
      </c>
      <c r="N126" s="4" t="s">
        <v>124</v>
      </c>
      <c r="O126" s="7">
        <v>0</v>
      </c>
      <c r="P126" s="7">
        <v>77.190727999999993</v>
      </c>
      <c r="Q126" s="7">
        <v>50</v>
      </c>
      <c r="R126" s="7">
        <v>50</v>
      </c>
      <c r="S126" s="7">
        <v>66.284619000000006</v>
      </c>
      <c r="T126" s="7">
        <v>75</v>
      </c>
      <c r="U126" s="7">
        <v>44.189746</v>
      </c>
      <c r="V126" s="7">
        <v>50</v>
      </c>
      <c r="W126" s="7">
        <v>73.491461000000001</v>
      </c>
      <c r="X126" s="7">
        <v>48.994307999999997</v>
      </c>
      <c r="Y126" s="7">
        <v>50</v>
      </c>
      <c r="Z126" s="7">
        <v>75</v>
      </c>
      <c r="AA126" s="7">
        <v>62.301589</v>
      </c>
      <c r="AB126" s="7">
        <v>41.534393000000001</v>
      </c>
      <c r="AC126" s="7">
        <v>50</v>
      </c>
      <c r="AD126" s="7">
        <v>71.012904000000006</v>
      </c>
      <c r="AE126" s="7">
        <v>47.341935999999997</v>
      </c>
      <c r="AF126" s="7">
        <v>50</v>
      </c>
      <c r="AG126" s="7">
        <v>61.892524000000002</v>
      </c>
      <c r="AH126" s="7">
        <v>75</v>
      </c>
      <c r="AI126" s="7">
        <v>41.261682999999998</v>
      </c>
      <c r="AJ126" s="7">
        <v>50</v>
      </c>
      <c r="AK126" s="7">
        <v>8.7100000000000009</v>
      </c>
      <c r="AL126" s="7">
        <v>12.69</v>
      </c>
      <c r="AM126" s="7">
        <v>13.1</v>
      </c>
      <c r="AN126" s="7">
        <v>0.71248500000000003</v>
      </c>
      <c r="AO126" s="7">
        <v>71.248484000000005</v>
      </c>
      <c r="AP126" s="7">
        <v>100</v>
      </c>
      <c r="AQ126" s="7">
        <v>0.73856699999999997</v>
      </c>
      <c r="AR126" s="7">
        <v>73.856650999999999</v>
      </c>
      <c r="AS126" s="7">
        <v>100</v>
      </c>
      <c r="AT126" s="7">
        <v>0.649092</v>
      </c>
      <c r="AU126" s="7">
        <v>0.73590699999999998</v>
      </c>
      <c r="AV126" s="7">
        <v>64.909199000000001</v>
      </c>
      <c r="AW126" s="7">
        <v>100</v>
      </c>
      <c r="AX126" s="7">
        <v>0.63461800000000002</v>
      </c>
      <c r="AY126" s="7">
        <v>0.77667600000000003</v>
      </c>
      <c r="AZ126" s="7">
        <v>63.461765999999997</v>
      </c>
      <c r="BA126" s="7">
        <v>100</v>
      </c>
      <c r="BB126" s="7">
        <v>0.81129099999999998</v>
      </c>
      <c r="BC126" s="7">
        <v>40.564539000000003</v>
      </c>
      <c r="BD126" s="7">
        <v>50</v>
      </c>
      <c r="BE126" s="7">
        <v>0.61476600000000003</v>
      </c>
      <c r="BF126" s="7">
        <v>30.738306999999999</v>
      </c>
      <c r="BG126" s="7">
        <v>50</v>
      </c>
      <c r="BH126" s="7">
        <v>0</v>
      </c>
      <c r="BI126" s="7">
        <v>0.99458000000000002</v>
      </c>
      <c r="BJ126" s="7">
        <v>0.99087599999999998</v>
      </c>
      <c r="BK126" s="7">
        <v>0.99676699999999996</v>
      </c>
      <c r="BL126" s="7">
        <v>0.99457600000000002</v>
      </c>
      <c r="BM126" s="7">
        <v>0.99085900000000005</v>
      </c>
      <c r="BN126" s="7">
        <v>0.99676699999999996</v>
      </c>
      <c r="BO126" s="7">
        <v>0.98673299999999997</v>
      </c>
      <c r="BP126" s="7">
        <v>0.97737600000000002</v>
      </c>
      <c r="BQ126" s="7">
        <v>0.992147</v>
      </c>
      <c r="BR126" s="7">
        <v>6.0767000000000002E-2</v>
      </c>
      <c r="BS126" s="7">
        <v>47.846563000000003</v>
      </c>
      <c r="BT126" s="7">
        <v>50</v>
      </c>
      <c r="BU126" s="7">
        <v>9.5991999999999994E-2</v>
      </c>
      <c r="BV126" s="7">
        <v>40.801687999999999</v>
      </c>
      <c r="BW126" s="7">
        <v>50</v>
      </c>
      <c r="BX126" s="7">
        <v>0.790323</v>
      </c>
      <c r="BY126" s="7">
        <v>50</v>
      </c>
      <c r="BZ126" s="7">
        <v>50</v>
      </c>
      <c r="CA126" s="7">
        <v>0.483871</v>
      </c>
      <c r="CB126" s="7">
        <v>32.258065000000002</v>
      </c>
      <c r="CC126" s="7">
        <v>50</v>
      </c>
      <c r="CD126" s="7">
        <v>0.97647099999999998</v>
      </c>
      <c r="CE126" s="7">
        <v>50</v>
      </c>
      <c r="CF126" s="7">
        <v>50</v>
      </c>
      <c r="CG126" s="7">
        <v>0.96089400000000003</v>
      </c>
      <c r="CH126" s="7">
        <v>100</v>
      </c>
      <c r="CI126" s="7">
        <v>100</v>
      </c>
      <c r="CJ126" s="7">
        <v>0</v>
      </c>
      <c r="CK126" s="7">
        <v>0.85714299999999999</v>
      </c>
      <c r="CL126" s="7">
        <v>91.185410000000005</v>
      </c>
      <c r="CM126" s="7">
        <v>100</v>
      </c>
      <c r="CN126" s="7">
        <v>0.85499999999999998</v>
      </c>
      <c r="CO126" s="7">
        <v>100</v>
      </c>
      <c r="CP126" s="7">
        <v>100</v>
      </c>
      <c r="CQ126" s="7">
        <v>0.53994799999999998</v>
      </c>
      <c r="CR126" s="7">
        <v>0.96039600000000003</v>
      </c>
      <c r="CS126" s="7">
        <v>35.996563999999999</v>
      </c>
      <c r="CT126" s="7">
        <v>50</v>
      </c>
      <c r="CU126" s="7">
        <v>0.46891899999999997</v>
      </c>
      <c r="CV126" s="7">
        <v>39.076577</v>
      </c>
      <c r="CW126" s="7">
        <v>50</v>
      </c>
      <c r="CX126" s="7">
        <v>0.85714299999999999</v>
      </c>
      <c r="CY126" s="7">
        <v>0.94</v>
      </c>
      <c r="CZ126" s="7">
        <v>8.2857E-2</v>
      </c>
      <c r="DA126" s="7">
        <v>15.389535</v>
      </c>
      <c r="DB126" s="7">
        <v>17.608319000000002</v>
      </c>
      <c r="DC126" s="7">
        <v>16.064022999999999</v>
      </c>
      <c r="DD126" s="7">
        <v>11.115401</v>
      </c>
      <c r="DE126" s="4" t="s">
        <v>124</v>
      </c>
      <c r="DF126" s="6"/>
      <c r="DG126" s="6"/>
      <c r="DH126" s="6"/>
      <c r="DI126" s="6"/>
      <c r="DJ126" s="4" t="s">
        <v>124</v>
      </c>
      <c r="DK126" s="4" t="s">
        <v>124</v>
      </c>
      <c r="DL126" s="4" t="s">
        <v>124</v>
      </c>
      <c r="DM126" s="4" t="s">
        <v>124</v>
      </c>
      <c r="DN126" s="4" t="s">
        <v>124</v>
      </c>
      <c r="DO126" s="4" t="s">
        <v>124</v>
      </c>
      <c r="DP126" s="6"/>
      <c r="DQ126" s="4" t="s">
        <v>125</v>
      </c>
    </row>
    <row r="127" spans="1:121" ht="20" customHeight="1" x14ac:dyDescent="0.15">
      <c r="A127" s="5">
        <v>2018</v>
      </c>
      <c r="B127" s="3" t="s">
        <v>250</v>
      </c>
      <c r="C127" s="4" t="str">
        <f t="shared" ref="C127:C544" si="125">"0690011"</f>
        <v>0690011</v>
      </c>
      <c r="D127" s="4" t="s">
        <v>122</v>
      </c>
      <c r="E127" s="4" t="str">
        <f t="shared" si="1"/>
        <v>0000000</v>
      </c>
      <c r="F127" s="4" t="s">
        <v>122</v>
      </c>
      <c r="G127" s="4" t="s">
        <v>122</v>
      </c>
      <c r="H127" s="4" t="s">
        <v>122</v>
      </c>
      <c r="I127" s="6"/>
      <c r="J127" s="4" t="s">
        <v>123</v>
      </c>
      <c r="K127" s="7">
        <v>1012.989638</v>
      </c>
      <c r="L127" s="7">
        <v>1450</v>
      </c>
      <c r="M127" s="7">
        <v>69.861354000000006</v>
      </c>
      <c r="N127" s="4" t="s">
        <v>124</v>
      </c>
      <c r="O127" s="7">
        <v>0</v>
      </c>
      <c r="P127" s="7">
        <v>67.861788000000004</v>
      </c>
      <c r="Q127" s="7">
        <v>45.241191999999998</v>
      </c>
      <c r="R127" s="7">
        <v>50</v>
      </c>
      <c r="S127" s="7">
        <v>63.834598</v>
      </c>
      <c r="T127" s="7">
        <v>73.547233000000006</v>
      </c>
      <c r="U127" s="7">
        <v>42.556398000000002</v>
      </c>
      <c r="V127" s="7">
        <v>50</v>
      </c>
      <c r="W127" s="7">
        <v>60.754415999999999</v>
      </c>
      <c r="X127" s="7">
        <v>40.502943999999999</v>
      </c>
      <c r="Y127" s="7">
        <v>50</v>
      </c>
      <c r="Z127" s="7">
        <v>66.585537000000002</v>
      </c>
      <c r="AA127" s="7">
        <v>56.638331000000001</v>
      </c>
      <c r="AB127" s="7">
        <v>37.758887999999999</v>
      </c>
      <c r="AC127" s="7">
        <v>50</v>
      </c>
      <c r="AD127" s="7">
        <v>61.905518999999998</v>
      </c>
      <c r="AE127" s="7">
        <v>41.270346000000004</v>
      </c>
      <c r="AF127" s="7">
        <v>50</v>
      </c>
      <c r="AG127" s="7">
        <v>57.192098000000001</v>
      </c>
      <c r="AH127" s="7">
        <v>67.630497000000005</v>
      </c>
      <c r="AI127" s="7">
        <v>38.128064999999999</v>
      </c>
      <c r="AJ127" s="7">
        <v>50</v>
      </c>
      <c r="AK127" s="7">
        <v>9.7100000000000009</v>
      </c>
      <c r="AL127" s="7">
        <v>9.94</v>
      </c>
      <c r="AM127" s="7">
        <v>10.43</v>
      </c>
      <c r="AN127" s="7">
        <v>0.62876799999999999</v>
      </c>
      <c r="AO127" s="7">
        <v>62.876756</v>
      </c>
      <c r="AP127" s="7">
        <v>100</v>
      </c>
      <c r="AQ127" s="7">
        <v>0.55970699999999995</v>
      </c>
      <c r="AR127" s="7">
        <v>55.970734</v>
      </c>
      <c r="AS127" s="7">
        <v>100</v>
      </c>
      <c r="AT127" s="7">
        <v>0.60307699999999997</v>
      </c>
      <c r="AU127" s="7">
        <v>0.66578499999999996</v>
      </c>
      <c r="AV127" s="7">
        <v>60.307692000000003</v>
      </c>
      <c r="AW127" s="7">
        <v>100</v>
      </c>
      <c r="AX127" s="7">
        <v>0.58493300000000004</v>
      </c>
      <c r="AY127" s="7">
        <v>0.52317100000000005</v>
      </c>
      <c r="AZ127" s="7">
        <v>58.493282999999998</v>
      </c>
      <c r="BA127" s="7">
        <v>100</v>
      </c>
      <c r="BB127" s="7">
        <v>0.57317200000000001</v>
      </c>
      <c r="BC127" s="7">
        <v>28.658601000000001</v>
      </c>
      <c r="BD127" s="7">
        <v>50</v>
      </c>
      <c r="BE127" s="7">
        <v>0.34833199999999997</v>
      </c>
      <c r="BF127" s="7">
        <v>17.416599000000001</v>
      </c>
      <c r="BG127" s="7">
        <v>50</v>
      </c>
      <c r="BH127" s="7">
        <v>0</v>
      </c>
      <c r="BI127" s="7">
        <v>0.98118000000000005</v>
      </c>
      <c r="BJ127" s="7">
        <v>0.97134699999999996</v>
      </c>
      <c r="BK127" s="7">
        <v>0.99575400000000003</v>
      </c>
      <c r="BL127" s="7">
        <v>0.97772099999999995</v>
      </c>
      <c r="BM127" s="7">
        <v>0.96982800000000002</v>
      </c>
      <c r="BN127" s="7">
        <v>0.98938400000000004</v>
      </c>
      <c r="BO127" s="7">
        <v>0.97851600000000005</v>
      </c>
      <c r="BP127" s="7">
        <v>0.96551699999999996</v>
      </c>
      <c r="BQ127" s="7">
        <v>0.99549500000000002</v>
      </c>
      <c r="BR127" s="7">
        <v>0.13167999999999999</v>
      </c>
      <c r="BS127" s="7">
        <v>33.663958999999998</v>
      </c>
      <c r="BT127" s="7">
        <v>50</v>
      </c>
      <c r="BU127" s="7">
        <v>0.18562899999999999</v>
      </c>
      <c r="BV127" s="7">
        <v>22.874251000000001</v>
      </c>
      <c r="BW127" s="7">
        <v>50</v>
      </c>
      <c r="BX127" s="7">
        <v>0.92428200000000005</v>
      </c>
      <c r="BY127" s="7">
        <v>50</v>
      </c>
      <c r="BZ127" s="7">
        <v>50</v>
      </c>
      <c r="CA127" s="7">
        <v>0.26631899999999997</v>
      </c>
      <c r="CB127" s="7">
        <v>17.754569</v>
      </c>
      <c r="CC127" s="7">
        <v>50</v>
      </c>
      <c r="CD127" s="7">
        <v>0.87437200000000004</v>
      </c>
      <c r="CE127" s="7">
        <v>46.509141</v>
      </c>
      <c r="CF127" s="7">
        <v>50</v>
      </c>
      <c r="CG127" s="7">
        <v>0.85499999999999998</v>
      </c>
      <c r="CH127" s="7">
        <v>90.957447000000002</v>
      </c>
      <c r="CI127" s="7">
        <v>100</v>
      </c>
      <c r="CJ127" s="7">
        <v>1</v>
      </c>
      <c r="CK127" s="7">
        <v>0.78070200000000001</v>
      </c>
      <c r="CL127" s="7">
        <v>83.053377999999995</v>
      </c>
      <c r="CM127" s="7">
        <v>100</v>
      </c>
      <c r="CN127" s="7">
        <v>0.57699999999999996</v>
      </c>
      <c r="CO127" s="7">
        <v>76.952381000000003</v>
      </c>
      <c r="CP127" s="7">
        <v>100</v>
      </c>
      <c r="CQ127" s="7">
        <v>0.36129</v>
      </c>
      <c r="CR127" s="7">
        <v>0.89208600000000005</v>
      </c>
      <c r="CS127" s="7">
        <v>12.043011</v>
      </c>
      <c r="CT127" s="7">
        <v>50</v>
      </c>
      <c r="CU127" s="7">
        <v>0.60864200000000002</v>
      </c>
      <c r="CV127" s="7">
        <v>50</v>
      </c>
      <c r="CW127" s="7">
        <v>50</v>
      </c>
      <c r="CX127" s="7">
        <v>0.78070200000000001</v>
      </c>
      <c r="CY127" s="7">
        <v>0.94</v>
      </c>
      <c r="CZ127" s="7">
        <v>0.159298</v>
      </c>
      <c r="DA127" s="7">
        <v>15.389535</v>
      </c>
      <c r="DB127" s="7">
        <v>17.608319000000002</v>
      </c>
      <c r="DC127" s="7">
        <v>16.064022999999999</v>
      </c>
      <c r="DD127" s="7">
        <v>11.115401</v>
      </c>
      <c r="DE127" s="4" t="s">
        <v>124</v>
      </c>
      <c r="DF127" s="6"/>
      <c r="DG127" s="6"/>
      <c r="DH127" s="6"/>
      <c r="DI127" s="6"/>
      <c r="DJ127" s="4" t="s">
        <v>124</v>
      </c>
      <c r="DK127" s="4" t="s">
        <v>124</v>
      </c>
      <c r="DL127" s="4" t="s">
        <v>124</v>
      </c>
      <c r="DM127" s="4" t="s">
        <v>124</v>
      </c>
      <c r="DN127" s="4" t="s">
        <v>124</v>
      </c>
      <c r="DO127" s="4" t="s">
        <v>124</v>
      </c>
      <c r="DP127" s="6"/>
      <c r="DQ127" s="4" t="s">
        <v>125</v>
      </c>
    </row>
    <row r="128" spans="1:121" ht="20" customHeight="1" x14ac:dyDescent="0.15">
      <c r="A128" s="5">
        <v>2018</v>
      </c>
      <c r="B128" s="3" t="s">
        <v>251</v>
      </c>
      <c r="C128" s="4" t="str">
        <f t="shared" ref="C128:C548" si="126">"0710011"</f>
        <v>0710011</v>
      </c>
      <c r="D128" s="4" t="s">
        <v>122</v>
      </c>
      <c r="E128" s="4" t="str">
        <f t="shared" si="1"/>
        <v>0000000</v>
      </c>
      <c r="F128" s="4" t="s">
        <v>122</v>
      </c>
      <c r="G128" s="4" t="s">
        <v>122</v>
      </c>
      <c r="H128" s="4" t="s">
        <v>122</v>
      </c>
      <c r="I128" s="6"/>
      <c r="J128" s="4" t="s">
        <v>123</v>
      </c>
      <c r="K128" s="7">
        <v>1071.794637</v>
      </c>
      <c r="L128" s="7">
        <v>1350</v>
      </c>
      <c r="M128" s="7">
        <v>79.392195000000001</v>
      </c>
      <c r="N128" s="4" t="s">
        <v>124</v>
      </c>
      <c r="O128" s="7">
        <v>0</v>
      </c>
      <c r="P128" s="7">
        <v>70.109331999999995</v>
      </c>
      <c r="Q128" s="7">
        <v>46.739555000000003</v>
      </c>
      <c r="R128" s="7">
        <v>50</v>
      </c>
      <c r="S128" s="7">
        <v>62.303798999999998</v>
      </c>
      <c r="T128" s="7">
        <v>75</v>
      </c>
      <c r="U128" s="7">
        <v>41.535865999999999</v>
      </c>
      <c r="V128" s="7">
        <v>50</v>
      </c>
      <c r="W128" s="7">
        <v>66.244763000000006</v>
      </c>
      <c r="X128" s="7">
        <v>44.163175000000003</v>
      </c>
      <c r="Y128" s="7">
        <v>50</v>
      </c>
      <c r="Z128" s="7">
        <v>71.773336</v>
      </c>
      <c r="AA128" s="7">
        <v>57.853679</v>
      </c>
      <c r="AB128" s="7">
        <v>38.569119999999998</v>
      </c>
      <c r="AC128" s="7">
        <v>50</v>
      </c>
      <c r="AD128" s="7">
        <v>66.407455999999996</v>
      </c>
      <c r="AE128" s="7">
        <v>44.271638000000003</v>
      </c>
      <c r="AF128" s="7">
        <v>50</v>
      </c>
      <c r="AG128" s="7">
        <v>62.454723999999999</v>
      </c>
      <c r="AH128" s="7">
        <v>68.979870000000005</v>
      </c>
      <c r="AI128" s="7">
        <v>41.636482000000001</v>
      </c>
      <c r="AJ128" s="7">
        <v>50</v>
      </c>
      <c r="AK128" s="7">
        <v>12.69</v>
      </c>
      <c r="AL128" s="7">
        <v>13.91</v>
      </c>
      <c r="AM128" s="7">
        <v>6.52</v>
      </c>
      <c r="AN128" s="7">
        <v>0.51449100000000003</v>
      </c>
      <c r="AO128" s="7">
        <v>51.449119000000003</v>
      </c>
      <c r="AP128" s="7">
        <v>100</v>
      </c>
      <c r="AQ128" s="7">
        <v>0.64624999999999999</v>
      </c>
      <c r="AR128" s="7">
        <v>64.625021000000004</v>
      </c>
      <c r="AS128" s="7">
        <v>100</v>
      </c>
      <c r="AT128" s="7">
        <v>0.50889300000000004</v>
      </c>
      <c r="AU128" s="7">
        <v>0.51833499999999999</v>
      </c>
      <c r="AV128" s="7">
        <v>50.889271000000001</v>
      </c>
      <c r="AW128" s="7">
        <v>100</v>
      </c>
      <c r="AX128" s="7">
        <v>0.61452399999999996</v>
      </c>
      <c r="AY128" s="7">
        <v>0.66771599999999998</v>
      </c>
      <c r="AZ128" s="7">
        <v>61.452446999999999</v>
      </c>
      <c r="BA128" s="7">
        <v>100</v>
      </c>
      <c r="BB128" s="4" t="s">
        <v>124</v>
      </c>
      <c r="BC128" s="4" t="s">
        <v>124</v>
      </c>
      <c r="BD128" s="4" t="s">
        <v>124</v>
      </c>
      <c r="BE128" s="4" t="s">
        <v>124</v>
      </c>
      <c r="BF128" s="4" t="s">
        <v>124</v>
      </c>
      <c r="BG128" s="4" t="s">
        <v>124</v>
      </c>
      <c r="BH128" s="7">
        <v>0</v>
      </c>
      <c r="BI128" s="7">
        <v>0.97104199999999996</v>
      </c>
      <c r="BJ128" s="7">
        <v>0.97142899999999999</v>
      </c>
      <c r="BK128" s="7">
        <v>0.97077899999999995</v>
      </c>
      <c r="BL128" s="7">
        <v>0.97104199999999996</v>
      </c>
      <c r="BM128" s="7">
        <v>0.97142899999999999</v>
      </c>
      <c r="BN128" s="7">
        <v>0.97077899999999995</v>
      </c>
      <c r="BO128" s="7">
        <v>0.97674399999999995</v>
      </c>
      <c r="BP128" s="7">
        <v>0.97674399999999995</v>
      </c>
      <c r="BQ128" s="7">
        <v>0.97674399999999995</v>
      </c>
      <c r="BR128" s="7">
        <v>7.1653999999999995E-2</v>
      </c>
      <c r="BS128" s="7">
        <v>45.669125000000001</v>
      </c>
      <c r="BT128" s="7">
        <v>50</v>
      </c>
      <c r="BU128" s="7">
        <v>0.116095</v>
      </c>
      <c r="BV128" s="7">
        <v>36.781002999999998</v>
      </c>
      <c r="BW128" s="7">
        <v>50</v>
      </c>
      <c r="BX128" s="7">
        <v>0.89080499999999996</v>
      </c>
      <c r="BY128" s="7">
        <v>50</v>
      </c>
      <c r="BZ128" s="7">
        <v>50</v>
      </c>
      <c r="CA128" s="7">
        <v>0.45402300000000001</v>
      </c>
      <c r="CB128" s="7">
        <v>30.268198999999999</v>
      </c>
      <c r="CC128" s="7">
        <v>50</v>
      </c>
      <c r="CD128" s="7">
        <v>0.980769</v>
      </c>
      <c r="CE128" s="7">
        <v>50</v>
      </c>
      <c r="CF128" s="7">
        <v>50</v>
      </c>
      <c r="CG128" s="7">
        <v>0.93258399999999997</v>
      </c>
      <c r="CH128" s="7">
        <v>99.211093000000005</v>
      </c>
      <c r="CI128" s="7">
        <v>100</v>
      </c>
      <c r="CJ128" s="7">
        <v>0</v>
      </c>
      <c r="CK128" s="7">
        <v>0.89285700000000001</v>
      </c>
      <c r="CL128" s="7">
        <v>94.984802000000002</v>
      </c>
      <c r="CM128" s="7">
        <v>100</v>
      </c>
      <c r="CN128" s="7">
        <v>0.627</v>
      </c>
      <c r="CO128" s="7">
        <v>83.534137000000001</v>
      </c>
      <c r="CP128" s="7">
        <v>100</v>
      </c>
      <c r="CQ128" s="7">
        <v>0.69473700000000005</v>
      </c>
      <c r="CR128" s="7">
        <v>0.91935500000000003</v>
      </c>
      <c r="CS128" s="7">
        <v>46.315789000000002</v>
      </c>
      <c r="CT128" s="7">
        <v>50</v>
      </c>
      <c r="CU128" s="7">
        <v>0.59638599999999997</v>
      </c>
      <c r="CV128" s="7">
        <v>49.698794999999997</v>
      </c>
      <c r="CW128" s="7">
        <v>50</v>
      </c>
      <c r="CX128" s="7">
        <v>0.89285700000000001</v>
      </c>
      <c r="CY128" s="7">
        <v>0.94</v>
      </c>
      <c r="CZ128" s="7">
        <v>4.7142999999999997E-2</v>
      </c>
      <c r="DA128" s="7">
        <v>15.389535</v>
      </c>
      <c r="DB128" s="7">
        <v>17.608319000000002</v>
      </c>
      <c r="DC128" s="7">
        <v>16.064022999999999</v>
      </c>
      <c r="DD128" s="7">
        <v>11.115401</v>
      </c>
      <c r="DE128" s="4" t="s">
        <v>124</v>
      </c>
      <c r="DF128" s="6"/>
      <c r="DG128" s="6"/>
      <c r="DH128" s="6"/>
      <c r="DI128" s="6"/>
      <c r="DJ128" s="4" t="s">
        <v>124</v>
      </c>
      <c r="DK128" s="4" t="s">
        <v>124</v>
      </c>
      <c r="DL128" s="4" t="s">
        <v>124</v>
      </c>
      <c r="DM128" s="4" t="s">
        <v>124</v>
      </c>
      <c r="DN128" s="4" t="s">
        <v>124</v>
      </c>
      <c r="DO128" s="4" t="s">
        <v>124</v>
      </c>
      <c r="DP128" s="6"/>
      <c r="DQ128" s="4" t="s">
        <v>125</v>
      </c>
    </row>
    <row r="129" spans="1:121" ht="20" customHeight="1" x14ac:dyDescent="0.15">
      <c r="A129" s="5">
        <v>2018</v>
      </c>
      <c r="B129" s="3" t="s">
        <v>252</v>
      </c>
      <c r="C129" s="4" t="str">
        <f t="shared" ref="C129:C551" si="127">"0720011"</f>
        <v>0720011</v>
      </c>
      <c r="D129" s="4" t="s">
        <v>122</v>
      </c>
      <c r="E129" s="4" t="str">
        <f t="shared" si="1"/>
        <v>0000000</v>
      </c>
      <c r="F129" s="4" t="s">
        <v>122</v>
      </c>
      <c r="G129" s="4" t="s">
        <v>122</v>
      </c>
      <c r="H129" s="4" t="s">
        <v>122</v>
      </c>
      <c r="I129" s="6"/>
      <c r="J129" s="4" t="s">
        <v>123</v>
      </c>
      <c r="K129" s="7">
        <v>1103.6620439999999</v>
      </c>
      <c r="L129" s="7">
        <v>1450</v>
      </c>
      <c r="M129" s="7">
        <v>76.114624000000006</v>
      </c>
      <c r="N129" s="4" t="s">
        <v>124</v>
      </c>
      <c r="O129" s="7">
        <v>1</v>
      </c>
      <c r="P129" s="7">
        <v>65.681892000000005</v>
      </c>
      <c r="Q129" s="7">
        <v>43.787928000000001</v>
      </c>
      <c r="R129" s="7">
        <v>50</v>
      </c>
      <c r="S129" s="7">
        <v>56.590730000000001</v>
      </c>
      <c r="T129" s="7">
        <v>72.639281999999994</v>
      </c>
      <c r="U129" s="7">
        <v>37.727153000000001</v>
      </c>
      <c r="V129" s="7">
        <v>50</v>
      </c>
      <c r="W129" s="7">
        <v>62.869819</v>
      </c>
      <c r="X129" s="7">
        <v>41.913212000000001</v>
      </c>
      <c r="Y129" s="7">
        <v>50</v>
      </c>
      <c r="Z129" s="7">
        <v>70.476844999999997</v>
      </c>
      <c r="AA129" s="7">
        <v>52.925438</v>
      </c>
      <c r="AB129" s="7">
        <v>35.283625000000001</v>
      </c>
      <c r="AC129" s="7">
        <v>50</v>
      </c>
      <c r="AD129" s="7">
        <v>65.389388999999994</v>
      </c>
      <c r="AE129" s="7">
        <v>43.592925999999999</v>
      </c>
      <c r="AF129" s="7">
        <v>50</v>
      </c>
      <c r="AG129" s="7">
        <v>56.877834999999997</v>
      </c>
      <c r="AH129" s="7">
        <v>71.719183999999998</v>
      </c>
      <c r="AI129" s="7">
        <v>37.918556000000002</v>
      </c>
      <c r="AJ129" s="7">
        <v>50</v>
      </c>
      <c r="AK129" s="7">
        <v>16.04</v>
      </c>
      <c r="AL129" s="7">
        <v>17.55</v>
      </c>
      <c r="AM129" s="7">
        <v>14.84</v>
      </c>
      <c r="AN129" s="7">
        <v>0.53212499999999996</v>
      </c>
      <c r="AO129" s="7">
        <v>53.212485000000001</v>
      </c>
      <c r="AP129" s="7">
        <v>100</v>
      </c>
      <c r="AQ129" s="7">
        <v>0.60417600000000005</v>
      </c>
      <c r="AR129" s="7">
        <v>60.417574999999999</v>
      </c>
      <c r="AS129" s="7">
        <v>100</v>
      </c>
      <c r="AT129" s="7">
        <v>0.485564</v>
      </c>
      <c r="AU129" s="7">
        <v>0.563998</v>
      </c>
      <c r="AV129" s="7">
        <v>48.556376</v>
      </c>
      <c r="AW129" s="7">
        <v>100</v>
      </c>
      <c r="AX129" s="7">
        <v>0.57972400000000002</v>
      </c>
      <c r="AY129" s="7">
        <v>0.62081299999999995</v>
      </c>
      <c r="AZ129" s="7">
        <v>57.972445999999998</v>
      </c>
      <c r="BA129" s="7">
        <v>100</v>
      </c>
      <c r="BB129" s="7">
        <v>0.56820999999999999</v>
      </c>
      <c r="BC129" s="7">
        <v>28.410516999999999</v>
      </c>
      <c r="BD129" s="7">
        <v>50</v>
      </c>
      <c r="BE129" s="7">
        <v>0.540825</v>
      </c>
      <c r="BF129" s="7">
        <v>27.041267999999999</v>
      </c>
      <c r="BG129" s="7">
        <v>50</v>
      </c>
      <c r="BH129" s="7">
        <v>0</v>
      </c>
      <c r="BI129" s="7">
        <v>0.99062499999999998</v>
      </c>
      <c r="BJ129" s="7">
        <v>0.98909100000000005</v>
      </c>
      <c r="BK129" s="7">
        <v>0.99178100000000002</v>
      </c>
      <c r="BL129" s="7">
        <v>0.98983600000000005</v>
      </c>
      <c r="BM129" s="7">
        <v>0.98907100000000003</v>
      </c>
      <c r="BN129" s="7">
        <v>0.99041100000000004</v>
      </c>
      <c r="BO129" s="7">
        <v>0.98409899999999995</v>
      </c>
      <c r="BP129" s="7">
        <v>0.97541</v>
      </c>
      <c r="BQ129" s="7">
        <v>0.99068299999999998</v>
      </c>
      <c r="BR129" s="7">
        <v>1.9264E-2</v>
      </c>
      <c r="BS129" s="7">
        <v>50</v>
      </c>
      <c r="BT129" s="7">
        <v>50</v>
      </c>
      <c r="BU129" s="7">
        <v>2.3736E-2</v>
      </c>
      <c r="BV129" s="7">
        <v>50</v>
      </c>
      <c r="BW129" s="7">
        <v>50</v>
      </c>
      <c r="BX129" s="7">
        <v>0.79743600000000003</v>
      </c>
      <c r="BY129" s="7">
        <v>50</v>
      </c>
      <c r="BZ129" s="7">
        <v>50</v>
      </c>
      <c r="CA129" s="7">
        <v>0.44871800000000001</v>
      </c>
      <c r="CB129" s="7">
        <v>29.914529999999999</v>
      </c>
      <c r="CC129" s="7">
        <v>50</v>
      </c>
      <c r="CD129" s="7">
        <v>0.96256699999999995</v>
      </c>
      <c r="CE129" s="7">
        <v>50</v>
      </c>
      <c r="CF129" s="7">
        <v>50</v>
      </c>
      <c r="CG129" s="7">
        <v>0.93333299999999997</v>
      </c>
      <c r="CH129" s="7">
        <v>99.290779999999998</v>
      </c>
      <c r="CI129" s="7">
        <v>100</v>
      </c>
      <c r="CJ129" s="7">
        <v>0</v>
      </c>
      <c r="CK129" s="7">
        <v>0.85714299999999999</v>
      </c>
      <c r="CL129" s="7">
        <v>91.185410000000005</v>
      </c>
      <c r="CM129" s="7">
        <v>100</v>
      </c>
      <c r="CN129" s="7">
        <v>0.67700000000000005</v>
      </c>
      <c r="CO129" s="7">
        <v>90.277777999999998</v>
      </c>
      <c r="CP129" s="7">
        <v>100</v>
      </c>
      <c r="CQ129" s="7">
        <v>0.51355200000000001</v>
      </c>
      <c r="CR129" s="7">
        <v>0.96957099999999996</v>
      </c>
      <c r="CS129" s="7">
        <v>34.236804999999997</v>
      </c>
      <c r="CT129" s="7">
        <v>50</v>
      </c>
      <c r="CU129" s="7">
        <v>0.51507199999999997</v>
      </c>
      <c r="CV129" s="7">
        <v>42.922674000000001</v>
      </c>
      <c r="CW129" s="7">
        <v>50</v>
      </c>
      <c r="CX129" s="7">
        <v>0.85714299999999999</v>
      </c>
      <c r="CY129" s="7">
        <v>0.94</v>
      </c>
      <c r="CZ129" s="7">
        <v>8.2857E-2</v>
      </c>
      <c r="DA129" s="7">
        <v>15.389535</v>
      </c>
      <c r="DB129" s="7">
        <v>17.608319000000002</v>
      </c>
      <c r="DC129" s="7">
        <v>16.064022999999999</v>
      </c>
      <c r="DD129" s="7">
        <v>11.115401</v>
      </c>
      <c r="DE129" s="4" t="s">
        <v>124</v>
      </c>
      <c r="DF129" s="6"/>
      <c r="DG129" s="6"/>
      <c r="DH129" s="6"/>
      <c r="DI129" s="6"/>
      <c r="DJ129" s="4" t="s">
        <v>124</v>
      </c>
      <c r="DK129" s="4" t="s">
        <v>124</v>
      </c>
      <c r="DL129" s="4" t="s">
        <v>124</v>
      </c>
      <c r="DM129" s="4" t="s">
        <v>124</v>
      </c>
      <c r="DN129" s="4" t="s">
        <v>124</v>
      </c>
      <c r="DO129" s="4" t="s">
        <v>124</v>
      </c>
      <c r="DP129" s="6"/>
      <c r="DQ129" s="4" t="s">
        <v>125</v>
      </c>
    </row>
    <row r="130" spans="1:121" ht="20" customHeight="1" x14ac:dyDescent="0.15">
      <c r="A130" s="5">
        <v>2018</v>
      </c>
      <c r="B130" s="3" t="s">
        <v>253</v>
      </c>
      <c r="C130" s="4" t="str">
        <f t="shared" ref="C130:C557" si="128">"0730011"</f>
        <v>0730011</v>
      </c>
      <c r="D130" s="4" t="s">
        <v>122</v>
      </c>
      <c r="E130" s="4" t="str">
        <f t="shared" si="1"/>
        <v>0000000</v>
      </c>
      <c r="F130" s="4" t="s">
        <v>122</v>
      </c>
      <c r="G130" s="4" t="s">
        <v>122</v>
      </c>
      <c r="H130" s="4" t="s">
        <v>122</v>
      </c>
      <c r="I130" s="6"/>
      <c r="J130" s="4" t="s">
        <v>123</v>
      </c>
      <c r="K130" s="7">
        <v>636.98511399999995</v>
      </c>
      <c r="L130" s="7">
        <v>900</v>
      </c>
      <c r="M130" s="7">
        <v>70.776123999999996</v>
      </c>
      <c r="N130" s="4" t="s">
        <v>124</v>
      </c>
      <c r="O130" s="7">
        <v>1</v>
      </c>
      <c r="P130" s="7">
        <v>69.669803000000002</v>
      </c>
      <c r="Q130" s="7">
        <v>46.446536000000002</v>
      </c>
      <c r="R130" s="7">
        <v>50</v>
      </c>
      <c r="S130" s="7">
        <v>61.047167000000002</v>
      </c>
      <c r="T130" s="7">
        <v>75</v>
      </c>
      <c r="U130" s="7">
        <v>40.698112000000002</v>
      </c>
      <c r="V130" s="7">
        <v>50</v>
      </c>
      <c r="W130" s="7">
        <v>62.883881000000002</v>
      </c>
      <c r="X130" s="7">
        <v>41.922587</v>
      </c>
      <c r="Y130" s="7">
        <v>50</v>
      </c>
      <c r="Z130" s="7">
        <v>69.594078999999994</v>
      </c>
      <c r="AA130" s="7">
        <v>55.150094000000003</v>
      </c>
      <c r="AB130" s="7">
        <v>36.766728999999998</v>
      </c>
      <c r="AC130" s="7">
        <v>50</v>
      </c>
      <c r="AD130" s="7">
        <v>66.269651999999994</v>
      </c>
      <c r="AE130" s="7">
        <v>44.179768000000003</v>
      </c>
      <c r="AF130" s="7">
        <v>50</v>
      </c>
      <c r="AG130" s="7">
        <v>57.803410999999997</v>
      </c>
      <c r="AH130" s="7">
        <v>75</v>
      </c>
      <c r="AI130" s="7">
        <v>38.535608000000003</v>
      </c>
      <c r="AJ130" s="7">
        <v>50</v>
      </c>
      <c r="AK130" s="7">
        <v>13.95</v>
      </c>
      <c r="AL130" s="7">
        <v>14.44</v>
      </c>
      <c r="AM130" s="7">
        <v>17.190000000000001</v>
      </c>
      <c r="AN130" s="7">
        <v>0.55115199999999998</v>
      </c>
      <c r="AO130" s="7">
        <v>55.115226999999997</v>
      </c>
      <c r="AP130" s="7">
        <v>100</v>
      </c>
      <c r="AQ130" s="7">
        <v>0.61548000000000003</v>
      </c>
      <c r="AR130" s="7">
        <v>61.548001999999997</v>
      </c>
      <c r="AS130" s="7">
        <v>100</v>
      </c>
      <c r="AT130" s="7">
        <v>0.45304299999999997</v>
      </c>
      <c r="AU130" s="7">
        <v>0.62727100000000002</v>
      </c>
      <c r="AV130" s="7">
        <v>45.304335999999999</v>
      </c>
      <c r="AW130" s="7">
        <v>100</v>
      </c>
      <c r="AX130" s="7">
        <v>0.57526600000000006</v>
      </c>
      <c r="AY130" s="7">
        <v>0.64625200000000005</v>
      </c>
      <c r="AZ130" s="7">
        <v>57.526629999999997</v>
      </c>
      <c r="BA130" s="7">
        <v>100</v>
      </c>
      <c r="BB130" s="4" t="s">
        <v>124</v>
      </c>
      <c r="BC130" s="4" t="s">
        <v>124</v>
      </c>
      <c r="BD130" s="4" t="s">
        <v>124</v>
      </c>
      <c r="BE130" s="4" t="s">
        <v>124</v>
      </c>
      <c r="BF130" s="4" t="s">
        <v>124</v>
      </c>
      <c r="BG130" s="4" t="s">
        <v>124</v>
      </c>
      <c r="BH130" s="7">
        <v>0</v>
      </c>
      <c r="BI130" s="7">
        <v>1</v>
      </c>
      <c r="BJ130" s="7">
        <v>1</v>
      </c>
      <c r="BK130" s="7">
        <v>1</v>
      </c>
      <c r="BL130" s="7">
        <v>0.99248099999999995</v>
      </c>
      <c r="BM130" s="7">
        <v>0.99206300000000003</v>
      </c>
      <c r="BN130" s="7">
        <v>0.99285699999999999</v>
      </c>
      <c r="BO130" s="7">
        <v>0.99019599999999997</v>
      </c>
      <c r="BP130" s="7">
        <v>0.98148100000000005</v>
      </c>
      <c r="BQ130" s="7">
        <v>1</v>
      </c>
      <c r="BR130" s="7">
        <v>4.6875E-2</v>
      </c>
      <c r="BS130" s="7">
        <v>50</v>
      </c>
      <c r="BT130" s="7">
        <v>50</v>
      </c>
      <c r="BU130" s="7">
        <v>7.8652E-2</v>
      </c>
      <c r="BV130" s="7">
        <v>44.269663000000001</v>
      </c>
      <c r="BW130" s="7">
        <v>50</v>
      </c>
      <c r="BX130" s="4" t="s">
        <v>124</v>
      </c>
      <c r="BY130" s="4" t="s">
        <v>124</v>
      </c>
      <c r="BZ130" s="4" t="s">
        <v>124</v>
      </c>
      <c r="CA130" s="4" t="s">
        <v>124</v>
      </c>
      <c r="CB130" s="4" t="s">
        <v>124</v>
      </c>
      <c r="CC130" s="4" t="s">
        <v>124</v>
      </c>
      <c r="CD130" s="7">
        <v>0.97916700000000001</v>
      </c>
      <c r="CE130" s="7">
        <v>50</v>
      </c>
      <c r="CF130" s="7">
        <v>50</v>
      </c>
      <c r="CG130" s="4" t="s">
        <v>124</v>
      </c>
      <c r="CH130" s="4" t="s">
        <v>124</v>
      </c>
      <c r="CI130" s="4" t="s">
        <v>124</v>
      </c>
      <c r="CJ130" s="4" t="s">
        <v>124</v>
      </c>
      <c r="CK130" s="4" t="s">
        <v>124</v>
      </c>
      <c r="CL130" s="4" t="s">
        <v>124</v>
      </c>
      <c r="CM130" s="4" t="s">
        <v>124</v>
      </c>
      <c r="CN130" s="4" t="s">
        <v>124</v>
      </c>
      <c r="CO130" s="4" t="s">
        <v>124</v>
      </c>
      <c r="CP130" s="4" t="s">
        <v>124</v>
      </c>
      <c r="CQ130" s="7">
        <v>0.37007899999999999</v>
      </c>
      <c r="CR130" s="7">
        <v>0.98449600000000004</v>
      </c>
      <c r="CS130" s="7">
        <v>24.671916</v>
      </c>
      <c r="CT130" s="7">
        <v>50</v>
      </c>
      <c r="CU130" s="4" t="s">
        <v>124</v>
      </c>
      <c r="CV130" s="4" t="s">
        <v>124</v>
      </c>
      <c r="CW130" s="4" t="s">
        <v>124</v>
      </c>
      <c r="CX130" s="4" t="s">
        <v>124</v>
      </c>
      <c r="CY130" s="4" t="s">
        <v>124</v>
      </c>
      <c r="CZ130" s="4" t="s">
        <v>124</v>
      </c>
      <c r="DA130" s="7">
        <v>15.389535</v>
      </c>
      <c r="DB130" s="7">
        <v>17.608319000000002</v>
      </c>
      <c r="DC130" s="7">
        <v>16.064022999999999</v>
      </c>
      <c r="DD130" s="4" t="s">
        <v>124</v>
      </c>
      <c r="DE130" s="4" t="s">
        <v>124</v>
      </c>
      <c r="DF130" s="6"/>
      <c r="DG130" s="6"/>
      <c r="DH130" s="6"/>
      <c r="DI130" s="6"/>
      <c r="DJ130" s="4" t="s">
        <v>124</v>
      </c>
      <c r="DK130" s="4" t="s">
        <v>124</v>
      </c>
      <c r="DL130" s="4" t="s">
        <v>124</v>
      </c>
      <c r="DM130" s="4" t="s">
        <v>124</v>
      </c>
      <c r="DN130" s="4" t="s">
        <v>124</v>
      </c>
      <c r="DO130" s="4" t="s">
        <v>124</v>
      </c>
      <c r="DP130" s="6"/>
      <c r="DQ130" s="4" t="s">
        <v>125</v>
      </c>
    </row>
    <row r="131" spans="1:121" ht="20" customHeight="1" x14ac:dyDescent="0.15">
      <c r="A131" s="5">
        <v>2018</v>
      </c>
      <c r="B131" s="3" t="s">
        <v>254</v>
      </c>
      <c r="C131" s="4" t="str">
        <f t="shared" ref="C131:C558" si="129">"0740011"</f>
        <v>0740011</v>
      </c>
      <c r="D131" s="4" t="s">
        <v>122</v>
      </c>
      <c r="E131" s="4" t="str">
        <f t="shared" si="1"/>
        <v>0000000</v>
      </c>
      <c r="F131" s="4" t="s">
        <v>122</v>
      </c>
      <c r="G131" s="4" t="s">
        <v>122</v>
      </c>
      <c r="H131" s="4" t="s">
        <v>122</v>
      </c>
      <c r="I131" s="6"/>
      <c r="J131" s="4" t="s">
        <v>123</v>
      </c>
      <c r="K131" s="7">
        <v>1132.3146830000001</v>
      </c>
      <c r="L131" s="7">
        <v>1350</v>
      </c>
      <c r="M131" s="7">
        <v>83.875162000000003</v>
      </c>
      <c r="N131" s="4" t="s">
        <v>124</v>
      </c>
      <c r="O131" s="7">
        <v>0</v>
      </c>
      <c r="P131" s="7">
        <v>75.529557999999994</v>
      </c>
      <c r="Q131" s="7">
        <v>50</v>
      </c>
      <c r="R131" s="7">
        <v>50</v>
      </c>
      <c r="S131" s="7">
        <v>66.045843000000005</v>
      </c>
      <c r="T131" s="7">
        <v>75</v>
      </c>
      <c r="U131" s="7">
        <v>44.030562000000003</v>
      </c>
      <c r="V131" s="7">
        <v>50</v>
      </c>
      <c r="W131" s="7">
        <v>73.323490000000007</v>
      </c>
      <c r="X131" s="7">
        <v>48.882325999999999</v>
      </c>
      <c r="Y131" s="7">
        <v>50</v>
      </c>
      <c r="Z131" s="7">
        <v>75</v>
      </c>
      <c r="AA131" s="7">
        <v>63.370843000000001</v>
      </c>
      <c r="AB131" s="7">
        <v>42.247228999999997</v>
      </c>
      <c r="AC131" s="7">
        <v>50</v>
      </c>
      <c r="AD131" s="7">
        <v>74.219859999999997</v>
      </c>
      <c r="AE131" s="7">
        <v>49.479906</v>
      </c>
      <c r="AF131" s="7">
        <v>50</v>
      </c>
      <c r="AG131" s="7">
        <v>66.717866999999998</v>
      </c>
      <c r="AH131" s="7">
        <v>75</v>
      </c>
      <c r="AI131" s="7">
        <v>44.478577999999999</v>
      </c>
      <c r="AJ131" s="7">
        <v>50</v>
      </c>
      <c r="AK131" s="7">
        <v>8.9499999999999993</v>
      </c>
      <c r="AL131" s="7">
        <v>11.62</v>
      </c>
      <c r="AM131" s="7">
        <v>8.2799999999999994</v>
      </c>
      <c r="AN131" s="7">
        <v>0.629027</v>
      </c>
      <c r="AO131" s="7">
        <v>62.902659</v>
      </c>
      <c r="AP131" s="7">
        <v>100</v>
      </c>
      <c r="AQ131" s="7">
        <v>0.72093499999999999</v>
      </c>
      <c r="AR131" s="7">
        <v>72.093485999999999</v>
      </c>
      <c r="AS131" s="7">
        <v>100</v>
      </c>
      <c r="AT131" s="7">
        <v>0.58462400000000003</v>
      </c>
      <c r="AU131" s="7">
        <v>0.65391900000000003</v>
      </c>
      <c r="AV131" s="7">
        <v>58.462387</v>
      </c>
      <c r="AW131" s="7">
        <v>100</v>
      </c>
      <c r="AX131" s="7">
        <v>0.63910400000000001</v>
      </c>
      <c r="AY131" s="7">
        <v>0.76680999999999999</v>
      </c>
      <c r="AZ131" s="7">
        <v>63.910417000000002</v>
      </c>
      <c r="BA131" s="7">
        <v>100</v>
      </c>
      <c r="BB131" s="4" t="s">
        <v>124</v>
      </c>
      <c r="BC131" s="4" t="s">
        <v>124</v>
      </c>
      <c r="BD131" s="4" t="s">
        <v>124</v>
      </c>
      <c r="BE131" s="4" t="s">
        <v>124</v>
      </c>
      <c r="BF131" s="4" t="s">
        <v>124</v>
      </c>
      <c r="BG131" s="4" t="s">
        <v>124</v>
      </c>
      <c r="BH131" s="7">
        <v>0</v>
      </c>
      <c r="BI131" s="7">
        <v>0.97894700000000001</v>
      </c>
      <c r="BJ131" s="7">
        <v>0.97560999999999998</v>
      </c>
      <c r="BK131" s="7">
        <v>0.980707</v>
      </c>
      <c r="BL131" s="7">
        <v>0.97894700000000001</v>
      </c>
      <c r="BM131" s="7">
        <v>0.97560999999999998</v>
      </c>
      <c r="BN131" s="7">
        <v>0.980707</v>
      </c>
      <c r="BO131" s="7">
        <v>0.95774599999999999</v>
      </c>
      <c r="BP131" s="7">
        <v>0.95121999999999995</v>
      </c>
      <c r="BQ131" s="7">
        <v>0.96183200000000002</v>
      </c>
      <c r="BR131" s="7">
        <v>5.2264999999999999E-2</v>
      </c>
      <c r="BS131" s="7">
        <v>49.547038000000001</v>
      </c>
      <c r="BT131" s="7">
        <v>50</v>
      </c>
      <c r="BU131" s="7">
        <v>0.11379300000000001</v>
      </c>
      <c r="BV131" s="7">
        <v>37.241379000000002</v>
      </c>
      <c r="BW131" s="7">
        <v>50</v>
      </c>
      <c r="BX131" s="7">
        <v>0.94117600000000001</v>
      </c>
      <c r="BY131" s="7">
        <v>50</v>
      </c>
      <c r="BZ131" s="7">
        <v>50</v>
      </c>
      <c r="CA131" s="7">
        <v>0.54901999999999995</v>
      </c>
      <c r="CB131" s="7">
        <v>36.601306999999998</v>
      </c>
      <c r="CC131" s="7">
        <v>50</v>
      </c>
      <c r="CD131" s="7">
        <v>1</v>
      </c>
      <c r="CE131" s="7">
        <v>50</v>
      </c>
      <c r="CF131" s="7">
        <v>50</v>
      </c>
      <c r="CG131" s="7">
        <v>0.984375</v>
      </c>
      <c r="CH131" s="7">
        <v>100</v>
      </c>
      <c r="CI131" s="7">
        <v>100</v>
      </c>
      <c r="CJ131" s="7">
        <v>0</v>
      </c>
      <c r="CK131" s="7">
        <v>1</v>
      </c>
      <c r="CL131" s="7">
        <v>100</v>
      </c>
      <c r="CM131" s="7">
        <v>100</v>
      </c>
      <c r="CN131" s="7">
        <v>0.746</v>
      </c>
      <c r="CO131" s="7">
        <v>99.470899000000003</v>
      </c>
      <c r="CP131" s="7">
        <v>100</v>
      </c>
      <c r="CQ131" s="7">
        <v>0.68899500000000002</v>
      </c>
      <c r="CR131" s="7">
        <v>0.79467699999999997</v>
      </c>
      <c r="CS131" s="7">
        <v>22.966507</v>
      </c>
      <c r="CT131" s="7">
        <v>50</v>
      </c>
      <c r="CU131" s="7">
        <v>0.72438199999999997</v>
      </c>
      <c r="CV131" s="7">
        <v>50</v>
      </c>
      <c r="CW131" s="7">
        <v>50</v>
      </c>
      <c r="CX131" s="7">
        <v>1</v>
      </c>
      <c r="CY131" s="7">
        <v>0.94</v>
      </c>
      <c r="CZ131" s="7">
        <v>-0.06</v>
      </c>
      <c r="DA131" s="7">
        <v>15.389535</v>
      </c>
      <c r="DB131" s="7">
        <v>17.608319000000002</v>
      </c>
      <c r="DC131" s="7">
        <v>16.064022999999999</v>
      </c>
      <c r="DD131" s="7">
        <v>11.115401</v>
      </c>
      <c r="DE131" s="4" t="s">
        <v>124</v>
      </c>
      <c r="DF131" s="6"/>
      <c r="DG131" s="6"/>
      <c r="DH131" s="6"/>
      <c r="DI131" s="6"/>
      <c r="DJ131" s="4" t="s">
        <v>124</v>
      </c>
      <c r="DK131" s="4" t="s">
        <v>124</v>
      </c>
      <c r="DL131" s="4" t="s">
        <v>124</v>
      </c>
      <c r="DM131" s="4" t="s">
        <v>124</v>
      </c>
      <c r="DN131" s="4" t="s">
        <v>124</v>
      </c>
      <c r="DO131" s="4" t="s">
        <v>124</v>
      </c>
      <c r="DP131" s="6"/>
      <c r="DQ131" s="4" t="s">
        <v>125</v>
      </c>
    </row>
    <row r="132" spans="1:121" ht="20" customHeight="1" x14ac:dyDescent="0.15">
      <c r="A132" s="5">
        <v>2018</v>
      </c>
      <c r="B132" s="3" t="s">
        <v>255</v>
      </c>
      <c r="C132" s="4" t="str">
        <f t="shared" ref="C132:C564" si="130">"0760011"</f>
        <v>0760011</v>
      </c>
      <c r="D132" s="4" t="s">
        <v>122</v>
      </c>
      <c r="E132" s="4" t="str">
        <f t="shared" si="1"/>
        <v>0000000</v>
      </c>
      <c r="F132" s="4" t="s">
        <v>122</v>
      </c>
      <c r="G132" s="4" t="s">
        <v>122</v>
      </c>
      <c r="H132" s="4" t="s">
        <v>122</v>
      </c>
      <c r="I132" s="6"/>
      <c r="J132" s="4" t="s">
        <v>123</v>
      </c>
      <c r="K132" s="7">
        <v>1180.2180020000001</v>
      </c>
      <c r="L132" s="7">
        <v>1450</v>
      </c>
      <c r="M132" s="7">
        <v>81.394345000000001</v>
      </c>
      <c r="N132" s="4" t="s">
        <v>124</v>
      </c>
      <c r="O132" s="7">
        <v>1</v>
      </c>
      <c r="P132" s="7">
        <v>74.046139999999994</v>
      </c>
      <c r="Q132" s="7">
        <v>49.364094000000001</v>
      </c>
      <c r="R132" s="7">
        <v>50</v>
      </c>
      <c r="S132" s="7">
        <v>58.999158999999999</v>
      </c>
      <c r="T132" s="7">
        <v>75</v>
      </c>
      <c r="U132" s="7">
        <v>39.332771999999999</v>
      </c>
      <c r="V132" s="7">
        <v>50</v>
      </c>
      <c r="W132" s="7">
        <v>72.052569000000005</v>
      </c>
      <c r="X132" s="7">
        <v>48.035046000000001</v>
      </c>
      <c r="Y132" s="7">
        <v>50</v>
      </c>
      <c r="Z132" s="7">
        <v>75</v>
      </c>
      <c r="AA132" s="7">
        <v>56.871521000000001</v>
      </c>
      <c r="AB132" s="7">
        <v>37.914346999999999</v>
      </c>
      <c r="AC132" s="7">
        <v>50</v>
      </c>
      <c r="AD132" s="7">
        <v>66.686895000000007</v>
      </c>
      <c r="AE132" s="7">
        <v>44.457929999999998</v>
      </c>
      <c r="AF132" s="7">
        <v>50</v>
      </c>
      <c r="AG132" s="7">
        <v>51.817214</v>
      </c>
      <c r="AH132" s="7">
        <v>69.894081</v>
      </c>
      <c r="AI132" s="7">
        <v>34.544809000000001</v>
      </c>
      <c r="AJ132" s="7">
        <v>50</v>
      </c>
      <c r="AK132" s="7">
        <v>16</v>
      </c>
      <c r="AL132" s="7">
        <v>18.12</v>
      </c>
      <c r="AM132" s="7">
        <v>18.07</v>
      </c>
      <c r="AN132" s="7">
        <v>0.57787900000000003</v>
      </c>
      <c r="AO132" s="7">
        <v>57.787927000000003</v>
      </c>
      <c r="AP132" s="7">
        <v>100</v>
      </c>
      <c r="AQ132" s="7">
        <v>0.62851100000000004</v>
      </c>
      <c r="AR132" s="7">
        <v>62.851069000000003</v>
      </c>
      <c r="AS132" s="7">
        <v>100</v>
      </c>
      <c r="AT132" s="7">
        <v>0.51982899999999999</v>
      </c>
      <c r="AU132" s="7">
        <v>0.59106400000000003</v>
      </c>
      <c r="AV132" s="7">
        <v>51.982939000000002</v>
      </c>
      <c r="AW132" s="7">
        <v>100</v>
      </c>
      <c r="AX132" s="7">
        <v>0.57552099999999995</v>
      </c>
      <c r="AY132" s="7">
        <v>0.640602</v>
      </c>
      <c r="AZ132" s="7">
        <v>57.552132999999998</v>
      </c>
      <c r="BA132" s="7">
        <v>100</v>
      </c>
      <c r="BB132" s="7">
        <v>0.69694999999999996</v>
      </c>
      <c r="BC132" s="7">
        <v>34.847493999999998</v>
      </c>
      <c r="BD132" s="7">
        <v>50</v>
      </c>
      <c r="BE132" s="7">
        <v>0.50473199999999996</v>
      </c>
      <c r="BF132" s="7">
        <v>25.236592000000002</v>
      </c>
      <c r="BG132" s="7">
        <v>50</v>
      </c>
      <c r="BH132" s="7">
        <v>1</v>
      </c>
      <c r="BI132" s="7">
        <v>0.92155500000000001</v>
      </c>
      <c r="BJ132" s="7">
        <v>0.89530699999999996</v>
      </c>
      <c r="BK132" s="7">
        <v>0.92794399999999999</v>
      </c>
      <c r="BL132" s="7">
        <v>0.91872799999999999</v>
      </c>
      <c r="BM132" s="7">
        <v>0.89169699999999996</v>
      </c>
      <c r="BN132" s="7">
        <v>0.92530800000000002</v>
      </c>
      <c r="BO132" s="7">
        <v>0.89813500000000002</v>
      </c>
      <c r="BP132" s="7">
        <v>0.89843799999999996</v>
      </c>
      <c r="BQ132" s="7">
        <v>0.89806699999999995</v>
      </c>
      <c r="BR132" s="7">
        <v>2.3569E-2</v>
      </c>
      <c r="BS132" s="7">
        <v>50</v>
      </c>
      <c r="BT132" s="7">
        <v>50</v>
      </c>
      <c r="BU132" s="7">
        <v>6.4378000000000005E-2</v>
      </c>
      <c r="BV132" s="7">
        <v>47.124464000000003</v>
      </c>
      <c r="BW132" s="7">
        <v>50</v>
      </c>
      <c r="BX132" s="7">
        <v>0.87678599999999995</v>
      </c>
      <c r="BY132" s="7">
        <v>50</v>
      </c>
      <c r="BZ132" s="7">
        <v>50</v>
      </c>
      <c r="CA132" s="7">
        <v>0.75</v>
      </c>
      <c r="CB132" s="7">
        <v>50</v>
      </c>
      <c r="CC132" s="7">
        <v>50</v>
      </c>
      <c r="CD132" s="7">
        <v>0.99540200000000001</v>
      </c>
      <c r="CE132" s="7">
        <v>50</v>
      </c>
      <c r="CF132" s="7">
        <v>50</v>
      </c>
      <c r="CG132" s="7">
        <v>0.972603</v>
      </c>
      <c r="CH132" s="7">
        <v>100</v>
      </c>
      <c r="CI132" s="7">
        <v>100</v>
      </c>
      <c r="CJ132" s="7">
        <v>0</v>
      </c>
      <c r="CK132" s="7">
        <v>0.94444399999999995</v>
      </c>
      <c r="CL132" s="7">
        <v>100</v>
      </c>
      <c r="CM132" s="7">
        <v>100</v>
      </c>
      <c r="CN132" s="7">
        <v>0.88400000000000001</v>
      </c>
      <c r="CO132" s="7">
        <v>100</v>
      </c>
      <c r="CP132" s="7">
        <v>100</v>
      </c>
      <c r="CQ132" s="7">
        <v>0.58779599999999999</v>
      </c>
      <c r="CR132" s="7">
        <v>0.93589699999999998</v>
      </c>
      <c r="CS132" s="7">
        <v>39.186383999999997</v>
      </c>
      <c r="CT132" s="7">
        <v>50</v>
      </c>
      <c r="CU132" s="7">
        <v>0.67718</v>
      </c>
      <c r="CV132" s="7">
        <v>50</v>
      </c>
      <c r="CW132" s="7">
        <v>50</v>
      </c>
      <c r="CX132" s="7">
        <v>0.94444399999999995</v>
      </c>
      <c r="CY132" s="7">
        <v>0.94</v>
      </c>
      <c r="CZ132" s="7">
        <v>-4.444E-3</v>
      </c>
      <c r="DA132" s="7">
        <v>15.389535</v>
      </c>
      <c r="DB132" s="7">
        <v>17.608319000000002</v>
      </c>
      <c r="DC132" s="7">
        <v>16.064022999999999</v>
      </c>
      <c r="DD132" s="7">
        <v>11.115401</v>
      </c>
      <c r="DE132" s="4" t="s">
        <v>124</v>
      </c>
      <c r="DF132" s="6"/>
      <c r="DG132" s="6"/>
      <c r="DH132" s="6"/>
      <c r="DI132" s="6"/>
      <c r="DJ132" s="4" t="s">
        <v>124</v>
      </c>
      <c r="DK132" s="4" t="s">
        <v>124</v>
      </c>
      <c r="DL132" s="4" t="s">
        <v>124</v>
      </c>
      <c r="DM132" s="4" t="s">
        <v>124</v>
      </c>
      <c r="DN132" s="4" t="s">
        <v>124</v>
      </c>
      <c r="DO132" s="4" t="s">
        <v>124</v>
      </c>
      <c r="DP132" s="6"/>
      <c r="DQ132" s="4" t="s">
        <v>125</v>
      </c>
    </row>
    <row r="133" spans="1:121" ht="20" customHeight="1" x14ac:dyDescent="0.15">
      <c r="A133" s="5">
        <v>2018</v>
      </c>
      <c r="B133" s="3" t="s">
        <v>256</v>
      </c>
      <c r="C133" s="4" t="str">
        <f t="shared" ref="C133:C568" si="131">"0770011"</f>
        <v>0770011</v>
      </c>
      <c r="D133" s="4" t="s">
        <v>122</v>
      </c>
      <c r="E133" s="4" t="str">
        <f t="shared" si="1"/>
        <v>0000000</v>
      </c>
      <c r="F133" s="4" t="s">
        <v>122</v>
      </c>
      <c r="G133" s="4" t="s">
        <v>122</v>
      </c>
      <c r="H133" s="4" t="s">
        <v>122</v>
      </c>
      <c r="I133" s="6"/>
      <c r="J133" s="4" t="s">
        <v>123</v>
      </c>
      <c r="K133" s="7">
        <v>940.927097</v>
      </c>
      <c r="L133" s="7">
        <v>1450</v>
      </c>
      <c r="M133" s="7">
        <v>64.891524000000004</v>
      </c>
      <c r="N133" s="4" t="s">
        <v>124</v>
      </c>
      <c r="O133" s="7">
        <v>1</v>
      </c>
      <c r="P133" s="7">
        <v>57.966051999999998</v>
      </c>
      <c r="Q133" s="7">
        <v>38.644035000000002</v>
      </c>
      <c r="R133" s="7">
        <v>50</v>
      </c>
      <c r="S133" s="7">
        <v>52.748379</v>
      </c>
      <c r="T133" s="7">
        <v>68.819264000000004</v>
      </c>
      <c r="U133" s="7">
        <v>35.165585999999998</v>
      </c>
      <c r="V133" s="7">
        <v>50</v>
      </c>
      <c r="W133" s="7">
        <v>53.52214</v>
      </c>
      <c r="X133" s="7">
        <v>35.681426999999999</v>
      </c>
      <c r="Y133" s="7">
        <v>50</v>
      </c>
      <c r="Z133" s="7">
        <v>65.459070999999994</v>
      </c>
      <c r="AA133" s="7">
        <v>47.711737999999997</v>
      </c>
      <c r="AB133" s="7">
        <v>31.807825000000001</v>
      </c>
      <c r="AC133" s="7">
        <v>50</v>
      </c>
      <c r="AD133" s="7">
        <v>52.367185999999997</v>
      </c>
      <c r="AE133" s="7">
        <v>34.911456999999999</v>
      </c>
      <c r="AF133" s="7">
        <v>50</v>
      </c>
      <c r="AG133" s="7">
        <v>47.784320000000001</v>
      </c>
      <c r="AH133" s="7">
        <v>60.759768000000001</v>
      </c>
      <c r="AI133" s="7">
        <v>31.856214000000001</v>
      </c>
      <c r="AJ133" s="7">
        <v>50</v>
      </c>
      <c r="AK133" s="7">
        <v>16.07</v>
      </c>
      <c r="AL133" s="7">
        <v>17.739999999999998</v>
      </c>
      <c r="AM133" s="7">
        <v>12.97</v>
      </c>
      <c r="AN133" s="7">
        <v>0.50038000000000005</v>
      </c>
      <c r="AO133" s="7">
        <v>50.037998999999999</v>
      </c>
      <c r="AP133" s="7">
        <v>100</v>
      </c>
      <c r="AQ133" s="7">
        <v>0.54435999999999996</v>
      </c>
      <c r="AR133" s="7">
        <v>54.435957999999999</v>
      </c>
      <c r="AS133" s="7">
        <v>100</v>
      </c>
      <c r="AT133" s="7">
        <v>0.48312899999999998</v>
      </c>
      <c r="AU133" s="7">
        <v>0.53650799999999998</v>
      </c>
      <c r="AV133" s="7">
        <v>48.312927999999999</v>
      </c>
      <c r="AW133" s="7">
        <v>100</v>
      </c>
      <c r="AX133" s="7">
        <v>0.52042500000000003</v>
      </c>
      <c r="AY133" s="7">
        <v>0.59345599999999998</v>
      </c>
      <c r="AZ133" s="7">
        <v>52.042476000000001</v>
      </c>
      <c r="BA133" s="7">
        <v>100</v>
      </c>
      <c r="BB133" s="7">
        <v>0.61674899999999999</v>
      </c>
      <c r="BC133" s="7">
        <v>30.837444000000001</v>
      </c>
      <c r="BD133" s="7">
        <v>50</v>
      </c>
      <c r="BE133" s="7">
        <v>0.553508</v>
      </c>
      <c r="BF133" s="7">
        <v>27.675405000000001</v>
      </c>
      <c r="BG133" s="7">
        <v>50</v>
      </c>
      <c r="BH133" s="7">
        <v>1</v>
      </c>
      <c r="BI133" s="7">
        <v>0.96408099999999997</v>
      </c>
      <c r="BJ133" s="7">
        <v>0.96022200000000002</v>
      </c>
      <c r="BK133" s="7">
        <v>0.97256100000000001</v>
      </c>
      <c r="BL133" s="7">
        <v>0.95194100000000004</v>
      </c>
      <c r="BM133" s="7">
        <v>0.944882</v>
      </c>
      <c r="BN133" s="7">
        <v>0.96744699999999995</v>
      </c>
      <c r="BO133" s="7">
        <v>0.94834200000000002</v>
      </c>
      <c r="BP133" s="7">
        <v>0.94097200000000003</v>
      </c>
      <c r="BQ133" s="7">
        <v>0.96304800000000002</v>
      </c>
      <c r="BR133" s="7">
        <v>0.17754700000000001</v>
      </c>
      <c r="BS133" s="7">
        <v>24.490686</v>
      </c>
      <c r="BT133" s="7">
        <v>50</v>
      </c>
      <c r="BU133" s="7">
        <v>0.23030500000000001</v>
      </c>
      <c r="BV133" s="7">
        <v>13.939088999999999</v>
      </c>
      <c r="BW133" s="7">
        <v>50</v>
      </c>
      <c r="BX133" s="7">
        <v>0.90760200000000002</v>
      </c>
      <c r="BY133" s="7">
        <v>50</v>
      </c>
      <c r="BZ133" s="7">
        <v>50</v>
      </c>
      <c r="CA133" s="7">
        <v>0.28538000000000002</v>
      </c>
      <c r="CB133" s="7">
        <v>19.025341000000001</v>
      </c>
      <c r="CC133" s="7">
        <v>50</v>
      </c>
      <c r="CD133" s="7">
        <v>0.850163</v>
      </c>
      <c r="CE133" s="7">
        <v>45.221429000000001</v>
      </c>
      <c r="CF133" s="7">
        <v>50</v>
      </c>
      <c r="CG133" s="7">
        <v>0.82195099999999999</v>
      </c>
      <c r="CH133" s="7">
        <v>87.441619000000003</v>
      </c>
      <c r="CI133" s="7">
        <v>100</v>
      </c>
      <c r="CJ133" s="7">
        <v>0</v>
      </c>
      <c r="CK133" s="7">
        <v>0.86090199999999995</v>
      </c>
      <c r="CL133" s="7">
        <v>91.585346000000001</v>
      </c>
      <c r="CM133" s="7">
        <v>100</v>
      </c>
      <c r="CN133" s="7">
        <v>0.56299999999999994</v>
      </c>
      <c r="CO133" s="7">
        <v>75.045536999999996</v>
      </c>
      <c r="CP133" s="7">
        <v>100</v>
      </c>
      <c r="CQ133" s="7">
        <v>0.37406299999999998</v>
      </c>
      <c r="CR133" s="7">
        <v>0.95962400000000003</v>
      </c>
      <c r="CS133" s="7">
        <v>24.937560000000001</v>
      </c>
      <c r="CT133" s="7">
        <v>50</v>
      </c>
      <c r="CU133" s="7">
        <v>0.45398100000000002</v>
      </c>
      <c r="CV133" s="7">
        <v>37.831733</v>
      </c>
      <c r="CW133" s="7">
        <v>50</v>
      </c>
      <c r="CX133" s="7">
        <v>0.86090199999999995</v>
      </c>
      <c r="CY133" s="7">
        <v>0.94</v>
      </c>
      <c r="CZ133" s="7">
        <v>7.9098000000000002E-2</v>
      </c>
      <c r="DA133" s="7">
        <v>15.389535</v>
      </c>
      <c r="DB133" s="7">
        <v>17.608319000000002</v>
      </c>
      <c r="DC133" s="7">
        <v>16.064022999999999</v>
      </c>
      <c r="DD133" s="7">
        <v>11.115401</v>
      </c>
      <c r="DE133" s="4" t="s">
        <v>124</v>
      </c>
      <c r="DF133" s="6"/>
      <c r="DG133" s="6"/>
      <c r="DH133" s="6"/>
      <c r="DI133" s="6"/>
      <c r="DJ133" s="4" t="s">
        <v>124</v>
      </c>
      <c r="DK133" s="4" t="s">
        <v>124</v>
      </c>
      <c r="DL133" s="4" t="s">
        <v>124</v>
      </c>
      <c r="DM133" s="4" t="s">
        <v>124</v>
      </c>
      <c r="DN133" s="4" t="s">
        <v>124</v>
      </c>
      <c r="DO133" s="4" t="s">
        <v>124</v>
      </c>
      <c r="DP133" s="6"/>
      <c r="DQ133" s="4" t="s">
        <v>125</v>
      </c>
    </row>
    <row r="134" spans="1:121" ht="20" customHeight="1" x14ac:dyDescent="0.15">
      <c r="A134" s="5">
        <v>2018</v>
      </c>
      <c r="B134" s="3" t="s">
        <v>257</v>
      </c>
      <c r="C134" s="4" t="str">
        <f t="shared" ref="C134:C862" si="132">"1320011"</f>
        <v>1320011</v>
      </c>
      <c r="D134" s="4" t="s">
        <v>122</v>
      </c>
      <c r="E134" s="4" t="str">
        <f t="shared" si="1"/>
        <v>0000000</v>
      </c>
      <c r="F134" s="4" t="s">
        <v>122</v>
      </c>
      <c r="G134" s="4" t="s">
        <v>122</v>
      </c>
      <c r="H134" s="4" t="s">
        <v>122</v>
      </c>
      <c r="I134" s="6"/>
      <c r="J134" s="4" t="s">
        <v>123</v>
      </c>
      <c r="K134" s="7">
        <v>1204.8162440000001</v>
      </c>
      <c r="L134" s="7">
        <v>1450</v>
      </c>
      <c r="M134" s="7">
        <v>83.090774999999994</v>
      </c>
      <c r="N134" s="4" t="s">
        <v>124</v>
      </c>
      <c r="O134" s="7">
        <v>0</v>
      </c>
      <c r="P134" s="7">
        <v>76.918811000000005</v>
      </c>
      <c r="Q134" s="7">
        <v>50</v>
      </c>
      <c r="R134" s="7">
        <v>50</v>
      </c>
      <c r="S134" s="7">
        <v>65.479921000000004</v>
      </c>
      <c r="T134" s="7">
        <v>75</v>
      </c>
      <c r="U134" s="7">
        <v>43.653280000000002</v>
      </c>
      <c r="V134" s="7">
        <v>50</v>
      </c>
      <c r="W134" s="7">
        <v>75.260763999999995</v>
      </c>
      <c r="X134" s="7">
        <v>50</v>
      </c>
      <c r="Y134" s="7">
        <v>50</v>
      </c>
      <c r="Z134" s="7">
        <v>75</v>
      </c>
      <c r="AA134" s="7">
        <v>63.799433000000001</v>
      </c>
      <c r="AB134" s="7">
        <v>42.532955999999999</v>
      </c>
      <c r="AC134" s="7">
        <v>50</v>
      </c>
      <c r="AD134" s="7">
        <v>71.214135999999996</v>
      </c>
      <c r="AE134" s="7">
        <v>47.476090999999997</v>
      </c>
      <c r="AF134" s="7">
        <v>50</v>
      </c>
      <c r="AG134" s="7">
        <v>59.027597999999998</v>
      </c>
      <c r="AH134" s="7">
        <v>75</v>
      </c>
      <c r="AI134" s="7">
        <v>39.351731999999998</v>
      </c>
      <c r="AJ134" s="7">
        <v>50</v>
      </c>
      <c r="AK134" s="7">
        <v>9.52</v>
      </c>
      <c r="AL134" s="7">
        <v>11.2</v>
      </c>
      <c r="AM134" s="7">
        <v>15.97</v>
      </c>
      <c r="AN134" s="7">
        <v>0.61489300000000002</v>
      </c>
      <c r="AO134" s="7">
        <v>61.489342000000001</v>
      </c>
      <c r="AP134" s="7">
        <v>100</v>
      </c>
      <c r="AQ134" s="7">
        <v>0.71540499999999996</v>
      </c>
      <c r="AR134" s="7">
        <v>71.540503000000001</v>
      </c>
      <c r="AS134" s="7">
        <v>100</v>
      </c>
      <c r="AT134" s="7">
        <v>0.553867</v>
      </c>
      <c r="AU134" s="7">
        <v>0.636625</v>
      </c>
      <c r="AV134" s="7">
        <v>55.386668</v>
      </c>
      <c r="AW134" s="7">
        <v>100</v>
      </c>
      <c r="AX134" s="7">
        <v>0.61177700000000002</v>
      </c>
      <c r="AY134" s="7">
        <v>0.75221700000000002</v>
      </c>
      <c r="AZ134" s="7">
        <v>61.177726</v>
      </c>
      <c r="BA134" s="7">
        <v>100</v>
      </c>
      <c r="BB134" s="7">
        <v>0.76693800000000001</v>
      </c>
      <c r="BC134" s="7">
        <v>38.346893999999999</v>
      </c>
      <c r="BD134" s="7">
        <v>50</v>
      </c>
      <c r="BE134" s="7">
        <v>0.63308299999999995</v>
      </c>
      <c r="BF134" s="7">
        <v>31.654156</v>
      </c>
      <c r="BG134" s="7">
        <v>50</v>
      </c>
      <c r="BH134" s="7">
        <v>0</v>
      </c>
      <c r="BI134" s="7">
        <v>0.98848599999999998</v>
      </c>
      <c r="BJ134" s="7">
        <v>0.97809299999999999</v>
      </c>
      <c r="BK134" s="7">
        <v>0.99362700000000004</v>
      </c>
      <c r="BL134" s="7">
        <v>0.98806000000000005</v>
      </c>
      <c r="BM134" s="7">
        <v>0.97680400000000001</v>
      </c>
      <c r="BN134" s="7">
        <v>0.99362700000000004</v>
      </c>
      <c r="BO134" s="7">
        <v>0.98938199999999998</v>
      </c>
      <c r="BP134" s="7">
        <v>0.97891600000000001</v>
      </c>
      <c r="BQ134" s="7">
        <v>0.99431800000000004</v>
      </c>
      <c r="BR134" s="7">
        <v>5.1720000000000002E-2</v>
      </c>
      <c r="BS134" s="7">
        <v>49.655968999999999</v>
      </c>
      <c r="BT134" s="7">
        <v>50</v>
      </c>
      <c r="BU134" s="7">
        <v>0.101115</v>
      </c>
      <c r="BV134" s="7">
        <v>39.776952000000001</v>
      </c>
      <c r="BW134" s="7">
        <v>50</v>
      </c>
      <c r="BX134" s="7">
        <v>0.93072299999999997</v>
      </c>
      <c r="BY134" s="7">
        <v>50</v>
      </c>
      <c r="BZ134" s="7">
        <v>50</v>
      </c>
      <c r="CA134" s="7">
        <v>0.584337</v>
      </c>
      <c r="CB134" s="7">
        <v>38.955823000000002</v>
      </c>
      <c r="CC134" s="7">
        <v>50</v>
      </c>
      <c r="CD134" s="7">
        <v>0.98101300000000002</v>
      </c>
      <c r="CE134" s="7">
        <v>50</v>
      </c>
      <c r="CF134" s="7">
        <v>50</v>
      </c>
      <c r="CG134" s="7">
        <v>0.945245</v>
      </c>
      <c r="CH134" s="7">
        <v>100</v>
      </c>
      <c r="CI134" s="7">
        <v>100</v>
      </c>
      <c r="CJ134" s="7">
        <v>0</v>
      </c>
      <c r="CK134" s="7">
        <v>0.84285699999999997</v>
      </c>
      <c r="CL134" s="7">
        <v>89.665653000000006</v>
      </c>
      <c r="CM134" s="7">
        <v>100</v>
      </c>
      <c r="CN134" s="7">
        <v>0.85299999999999998</v>
      </c>
      <c r="CO134" s="7">
        <v>100</v>
      </c>
      <c r="CP134" s="7">
        <v>100</v>
      </c>
      <c r="CQ134" s="7">
        <v>0.66228699999999996</v>
      </c>
      <c r="CR134" s="7">
        <v>0.96783799999999998</v>
      </c>
      <c r="CS134" s="7">
        <v>44.152498999999999</v>
      </c>
      <c r="CT134" s="7">
        <v>50</v>
      </c>
      <c r="CU134" s="7">
        <v>0.62394499999999997</v>
      </c>
      <c r="CV134" s="7">
        <v>50</v>
      </c>
      <c r="CW134" s="7">
        <v>50</v>
      </c>
      <c r="CX134" s="7">
        <v>0.84285699999999997</v>
      </c>
      <c r="CY134" s="7">
        <v>0.94</v>
      </c>
      <c r="CZ134" s="7">
        <v>9.7142999999999993E-2</v>
      </c>
      <c r="DA134" s="7">
        <v>15.389535</v>
      </c>
      <c r="DB134" s="7">
        <v>17.608319000000002</v>
      </c>
      <c r="DC134" s="7">
        <v>16.064022999999999</v>
      </c>
      <c r="DD134" s="7">
        <v>11.115401</v>
      </c>
      <c r="DE134" s="4" t="s">
        <v>124</v>
      </c>
      <c r="DF134" s="6"/>
      <c r="DG134" s="6"/>
      <c r="DH134" s="6"/>
      <c r="DI134" s="6"/>
      <c r="DJ134" s="4" t="s">
        <v>124</v>
      </c>
      <c r="DK134" s="4" t="s">
        <v>124</v>
      </c>
      <c r="DL134" s="4" t="s">
        <v>124</v>
      </c>
      <c r="DM134" s="4" t="s">
        <v>124</v>
      </c>
      <c r="DN134" s="4" t="s">
        <v>124</v>
      </c>
      <c r="DO134" s="4" t="s">
        <v>124</v>
      </c>
      <c r="DP134" s="6"/>
      <c r="DQ134" s="4" t="s">
        <v>125</v>
      </c>
    </row>
    <row r="135" spans="1:121" ht="20" customHeight="1" x14ac:dyDescent="0.15">
      <c r="A135" s="5">
        <v>2018</v>
      </c>
      <c r="B135" s="3" t="s">
        <v>258</v>
      </c>
      <c r="C135" s="4" t="str">
        <f t="shared" ref="C135:C868" si="133">"1330011"</f>
        <v>1330011</v>
      </c>
      <c r="D135" s="4" t="s">
        <v>122</v>
      </c>
      <c r="E135" s="4" t="str">
        <f t="shared" si="1"/>
        <v>0000000</v>
      </c>
      <c r="F135" s="4" t="s">
        <v>122</v>
      </c>
      <c r="G135" s="4" t="s">
        <v>122</v>
      </c>
      <c r="H135" s="4" t="s">
        <v>122</v>
      </c>
      <c r="I135" s="6"/>
      <c r="J135" s="4" t="s">
        <v>123</v>
      </c>
      <c r="K135" s="7">
        <v>505.47992900000003</v>
      </c>
      <c r="L135" s="7">
        <v>900</v>
      </c>
      <c r="M135" s="7">
        <v>56.164437</v>
      </c>
      <c r="N135" s="4" t="s">
        <v>124</v>
      </c>
      <c r="O135" s="7">
        <v>0</v>
      </c>
      <c r="P135" s="7">
        <v>61.723145000000002</v>
      </c>
      <c r="Q135" s="7">
        <v>41.148764</v>
      </c>
      <c r="R135" s="7">
        <v>50</v>
      </c>
      <c r="S135" s="7">
        <v>58.144199999999998</v>
      </c>
      <c r="T135" s="7">
        <v>68.517076000000003</v>
      </c>
      <c r="U135" s="7">
        <v>38.762799999999999</v>
      </c>
      <c r="V135" s="7">
        <v>50</v>
      </c>
      <c r="W135" s="7">
        <v>54.166778999999998</v>
      </c>
      <c r="X135" s="7">
        <v>36.111185999999996</v>
      </c>
      <c r="Y135" s="7">
        <v>50</v>
      </c>
      <c r="Z135" s="7">
        <v>62.308976999999999</v>
      </c>
      <c r="AA135" s="7">
        <v>49.877586000000001</v>
      </c>
      <c r="AB135" s="7">
        <v>33.251724000000003</v>
      </c>
      <c r="AC135" s="7">
        <v>50</v>
      </c>
      <c r="AD135" s="7">
        <v>66.014117999999996</v>
      </c>
      <c r="AE135" s="7">
        <v>44.009411999999998</v>
      </c>
      <c r="AF135" s="7">
        <v>50</v>
      </c>
      <c r="AG135" s="7">
        <v>64.654825000000002</v>
      </c>
      <c r="AH135" s="7">
        <v>68.188987999999995</v>
      </c>
      <c r="AI135" s="7">
        <v>43.103217000000001</v>
      </c>
      <c r="AJ135" s="7">
        <v>50</v>
      </c>
      <c r="AK135" s="7">
        <v>10.37</v>
      </c>
      <c r="AL135" s="7">
        <v>12.43</v>
      </c>
      <c r="AM135" s="7">
        <v>3.53</v>
      </c>
      <c r="AN135" s="7">
        <v>0.41800399999999999</v>
      </c>
      <c r="AO135" s="7">
        <v>41.800437000000002</v>
      </c>
      <c r="AP135" s="7">
        <v>100</v>
      </c>
      <c r="AQ135" s="7">
        <v>0.29147299999999998</v>
      </c>
      <c r="AR135" s="7">
        <v>29.14733</v>
      </c>
      <c r="AS135" s="7">
        <v>100</v>
      </c>
      <c r="AT135" s="7">
        <v>0.37352800000000003</v>
      </c>
      <c r="AU135" s="7">
        <v>0.49649199999999999</v>
      </c>
      <c r="AV135" s="7">
        <v>37.352800999999999</v>
      </c>
      <c r="AW135" s="7">
        <v>100</v>
      </c>
      <c r="AX135" s="7">
        <v>0.26574799999999998</v>
      </c>
      <c r="AY135" s="7">
        <v>0.33687099999999998</v>
      </c>
      <c r="AZ135" s="7">
        <v>26.574776</v>
      </c>
      <c r="BA135" s="7">
        <v>100</v>
      </c>
      <c r="BB135" s="4" t="s">
        <v>124</v>
      </c>
      <c r="BC135" s="4" t="s">
        <v>124</v>
      </c>
      <c r="BD135" s="4" t="s">
        <v>124</v>
      </c>
      <c r="BE135" s="4" t="s">
        <v>124</v>
      </c>
      <c r="BF135" s="4" t="s">
        <v>124</v>
      </c>
      <c r="BG135" s="4" t="s">
        <v>124</v>
      </c>
      <c r="BH135" s="7">
        <v>0</v>
      </c>
      <c r="BI135" s="7">
        <v>0.99450499999999997</v>
      </c>
      <c r="BJ135" s="7">
        <v>0.99159699999999995</v>
      </c>
      <c r="BK135" s="7">
        <v>1</v>
      </c>
      <c r="BL135" s="7">
        <v>0.99450499999999997</v>
      </c>
      <c r="BM135" s="7">
        <v>0.99159699999999995</v>
      </c>
      <c r="BN135" s="7">
        <v>1</v>
      </c>
      <c r="BO135" s="7">
        <v>0.98148100000000005</v>
      </c>
      <c r="BP135" s="7">
        <v>0.97058800000000001</v>
      </c>
      <c r="BQ135" s="7">
        <v>1</v>
      </c>
      <c r="BR135" s="7">
        <v>0.137184</v>
      </c>
      <c r="BS135" s="7">
        <v>32.563177000000003</v>
      </c>
      <c r="BT135" s="7">
        <v>50</v>
      </c>
      <c r="BU135" s="7">
        <v>0.19459499999999999</v>
      </c>
      <c r="BV135" s="7">
        <v>21.081081000000001</v>
      </c>
      <c r="BW135" s="7">
        <v>50</v>
      </c>
      <c r="BX135" s="4" t="s">
        <v>124</v>
      </c>
      <c r="BY135" s="4" t="s">
        <v>124</v>
      </c>
      <c r="BZ135" s="4" t="s">
        <v>124</v>
      </c>
      <c r="CA135" s="4" t="s">
        <v>124</v>
      </c>
      <c r="CB135" s="4" t="s">
        <v>124</v>
      </c>
      <c r="CC135" s="4" t="s">
        <v>124</v>
      </c>
      <c r="CD135" s="7">
        <v>0.93333299999999997</v>
      </c>
      <c r="CE135" s="7">
        <v>49.645389999999999</v>
      </c>
      <c r="CF135" s="7">
        <v>50</v>
      </c>
      <c r="CG135" s="4" t="s">
        <v>124</v>
      </c>
      <c r="CH135" s="4" t="s">
        <v>124</v>
      </c>
      <c r="CI135" s="4" t="s">
        <v>124</v>
      </c>
      <c r="CJ135" s="4" t="s">
        <v>124</v>
      </c>
      <c r="CK135" s="4" t="s">
        <v>124</v>
      </c>
      <c r="CL135" s="4" t="s">
        <v>124</v>
      </c>
      <c r="CM135" s="4" t="s">
        <v>124</v>
      </c>
      <c r="CN135" s="4" t="s">
        <v>124</v>
      </c>
      <c r="CO135" s="4" t="s">
        <v>124</v>
      </c>
      <c r="CP135" s="4" t="s">
        <v>124</v>
      </c>
      <c r="CQ135" s="7">
        <v>0.463918</v>
      </c>
      <c r="CR135" s="7">
        <v>0.98979600000000001</v>
      </c>
      <c r="CS135" s="7">
        <v>30.927835000000002</v>
      </c>
      <c r="CT135" s="7">
        <v>50</v>
      </c>
      <c r="CU135" s="4" t="s">
        <v>124</v>
      </c>
      <c r="CV135" s="4" t="s">
        <v>124</v>
      </c>
      <c r="CW135" s="4" t="s">
        <v>124</v>
      </c>
      <c r="CX135" s="4" t="s">
        <v>124</v>
      </c>
      <c r="CY135" s="4" t="s">
        <v>124</v>
      </c>
      <c r="CZ135" s="4" t="s">
        <v>124</v>
      </c>
      <c r="DA135" s="7">
        <v>15.389535</v>
      </c>
      <c r="DB135" s="7">
        <v>17.608319000000002</v>
      </c>
      <c r="DC135" s="7">
        <v>16.064022999999999</v>
      </c>
      <c r="DD135" s="4" t="s">
        <v>124</v>
      </c>
      <c r="DE135" s="4" t="s">
        <v>124</v>
      </c>
      <c r="DF135" s="6"/>
      <c r="DG135" s="6"/>
      <c r="DH135" s="6"/>
      <c r="DI135" s="6"/>
      <c r="DJ135" s="4" t="s">
        <v>124</v>
      </c>
      <c r="DK135" s="4" t="s">
        <v>124</v>
      </c>
      <c r="DL135" s="4" t="s">
        <v>124</v>
      </c>
      <c r="DM135" s="4" t="s">
        <v>124</v>
      </c>
      <c r="DN135" s="4" t="s">
        <v>124</v>
      </c>
      <c r="DO135" s="4" t="s">
        <v>124</v>
      </c>
      <c r="DP135" s="6"/>
      <c r="DQ135" s="4" t="s">
        <v>125</v>
      </c>
    </row>
    <row r="136" spans="1:121" ht="20" customHeight="1" x14ac:dyDescent="0.15">
      <c r="A136" s="5">
        <v>2018</v>
      </c>
      <c r="B136" s="3" t="s">
        <v>259</v>
      </c>
      <c r="C136" s="4" t="str">
        <f t="shared" ref="C136:C869" si="134">"1340011"</f>
        <v>1340011</v>
      </c>
      <c r="D136" s="4" t="s">
        <v>122</v>
      </c>
      <c r="E136" s="4" t="str">
        <f t="shared" si="1"/>
        <v>0000000</v>
      </c>
      <c r="F136" s="4" t="s">
        <v>122</v>
      </c>
      <c r="G136" s="4" t="s">
        <v>122</v>
      </c>
      <c r="H136" s="4" t="s">
        <v>122</v>
      </c>
      <c r="I136" s="6"/>
      <c r="J136" s="4" t="s">
        <v>123</v>
      </c>
      <c r="K136" s="7">
        <v>1024.1624059999999</v>
      </c>
      <c r="L136" s="7">
        <v>1350</v>
      </c>
      <c r="M136" s="7">
        <v>75.863882000000004</v>
      </c>
      <c r="N136" s="4" t="s">
        <v>124</v>
      </c>
      <c r="O136" s="7">
        <v>0</v>
      </c>
      <c r="P136" s="7">
        <v>67.041021999999998</v>
      </c>
      <c r="Q136" s="7">
        <v>44.694015</v>
      </c>
      <c r="R136" s="7">
        <v>50</v>
      </c>
      <c r="S136" s="7">
        <v>60.442981000000003</v>
      </c>
      <c r="T136" s="7">
        <v>72.712194999999994</v>
      </c>
      <c r="U136" s="7">
        <v>40.295321000000001</v>
      </c>
      <c r="V136" s="7">
        <v>50</v>
      </c>
      <c r="W136" s="7">
        <v>63.121597000000001</v>
      </c>
      <c r="X136" s="7">
        <v>42.081065000000002</v>
      </c>
      <c r="Y136" s="7">
        <v>50</v>
      </c>
      <c r="Z136" s="7">
        <v>68.898094</v>
      </c>
      <c r="AA136" s="7">
        <v>56.401018999999998</v>
      </c>
      <c r="AB136" s="7">
        <v>37.600679</v>
      </c>
      <c r="AC136" s="7">
        <v>50</v>
      </c>
      <c r="AD136" s="7">
        <v>65.969357000000002</v>
      </c>
      <c r="AE136" s="7">
        <v>43.979571</v>
      </c>
      <c r="AF136" s="7">
        <v>50</v>
      </c>
      <c r="AG136" s="7">
        <v>57.597833000000001</v>
      </c>
      <c r="AH136" s="7">
        <v>71.345187999999993</v>
      </c>
      <c r="AI136" s="7">
        <v>38.398555000000002</v>
      </c>
      <c r="AJ136" s="7">
        <v>50</v>
      </c>
      <c r="AK136" s="7">
        <v>12.26</v>
      </c>
      <c r="AL136" s="7">
        <v>12.49</v>
      </c>
      <c r="AM136" s="7">
        <v>13.74</v>
      </c>
      <c r="AN136" s="7">
        <v>0.53428200000000003</v>
      </c>
      <c r="AO136" s="7">
        <v>53.428215999999999</v>
      </c>
      <c r="AP136" s="7">
        <v>100</v>
      </c>
      <c r="AQ136" s="7">
        <v>0.64325200000000005</v>
      </c>
      <c r="AR136" s="7">
        <v>64.325231000000002</v>
      </c>
      <c r="AS136" s="7">
        <v>100</v>
      </c>
      <c r="AT136" s="7">
        <v>0.48397200000000001</v>
      </c>
      <c r="AU136" s="7">
        <v>0.574986</v>
      </c>
      <c r="AV136" s="7">
        <v>48.397230999999998</v>
      </c>
      <c r="AW136" s="7">
        <v>100</v>
      </c>
      <c r="AX136" s="7">
        <v>0.63510999999999995</v>
      </c>
      <c r="AY136" s="7">
        <v>0.64983999999999997</v>
      </c>
      <c r="AZ136" s="7">
        <v>63.511017000000002</v>
      </c>
      <c r="BA136" s="7">
        <v>100</v>
      </c>
      <c r="BB136" s="4" t="s">
        <v>124</v>
      </c>
      <c r="BC136" s="4" t="s">
        <v>124</v>
      </c>
      <c r="BD136" s="4" t="s">
        <v>124</v>
      </c>
      <c r="BE136" s="4" t="s">
        <v>124</v>
      </c>
      <c r="BF136" s="4" t="s">
        <v>124</v>
      </c>
      <c r="BG136" s="4" t="s">
        <v>124</v>
      </c>
      <c r="BH136" s="7">
        <v>0</v>
      </c>
      <c r="BI136" s="7">
        <v>0.98640300000000003</v>
      </c>
      <c r="BJ136" s="7">
        <v>0.97382199999999997</v>
      </c>
      <c r="BK136" s="7">
        <v>0.99765800000000004</v>
      </c>
      <c r="BL136" s="7">
        <v>0.98640300000000003</v>
      </c>
      <c r="BM136" s="7">
        <v>0.97382199999999997</v>
      </c>
      <c r="BN136" s="7">
        <v>0.99765800000000004</v>
      </c>
      <c r="BO136" s="7">
        <v>0.979769</v>
      </c>
      <c r="BP136" s="7">
        <v>0.97080299999999997</v>
      </c>
      <c r="BQ136" s="7">
        <v>0.98564600000000002</v>
      </c>
      <c r="BR136" s="7">
        <v>7.7856999999999996E-2</v>
      </c>
      <c r="BS136" s="7">
        <v>44.428570999999998</v>
      </c>
      <c r="BT136" s="7">
        <v>50</v>
      </c>
      <c r="BU136" s="7">
        <v>0.115269</v>
      </c>
      <c r="BV136" s="7">
        <v>36.946108000000002</v>
      </c>
      <c r="BW136" s="7">
        <v>50</v>
      </c>
      <c r="BX136" s="7">
        <v>0.68500000000000005</v>
      </c>
      <c r="BY136" s="7">
        <v>45.666666999999997</v>
      </c>
      <c r="BZ136" s="7">
        <v>50</v>
      </c>
      <c r="CA136" s="7">
        <v>0.44</v>
      </c>
      <c r="CB136" s="7">
        <v>29.333333</v>
      </c>
      <c r="CC136" s="7">
        <v>50</v>
      </c>
      <c r="CD136" s="7">
        <v>0.95263200000000003</v>
      </c>
      <c r="CE136" s="7">
        <v>50</v>
      </c>
      <c r="CF136" s="7">
        <v>50</v>
      </c>
      <c r="CG136" s="7">
        <v>0.90816300000000005</v>
      </c>
      <c r="CH136" s="7">
        <v>96.613112999999998</v>
      </c>
      <c r="CI136" s="7">
        <v>100</v>
      </c>
      <c r="CJ136" s="7">
        <v>0</v>
      </c>
      <c r="CK136" s="7">
        <v>0.88095199999999996</v>
      </c>
      <c r="CL136" s="7">
        <v>93.718338000000003</v>
      </c>
      <c r="CM136" s="7">
        <v>100</v>
      </c>
      <c r="CN136" s="7">
        <v>0.61499999999999999</v>
      </c>
      <c r="CO136" s="7">
        <v>82.051282</v>
      </c>
      <c r="CP136" s="7">
        <v>100</v>
      </c>
      <c r="CQ136" s="7">
        <v>0.46938800000000003</v>
      </c>
      <c r="CR136" s="7">
        <v>1.004556</v>
      </c>
      <c r="CS136" s="7">
        <v>31.292517</v>
      </c>
      <c r="CT136" s="7">
        <v>50</v>
      </c>
      <c r="CU136" s="7">
        <v>0.44881900000000002</v>
      </c>
      <c r="CV136" s="7">
        <v>37.401575000000001</v>
      </c>
      <c r="CW136" s="7">
        <v>50</v>
      </c>
      <c r="CX136" s="7">
        <v>0.88095199999999996</v>
      </c>
      <c r="CY136" s="7">
        <v>0.94</v>
      </c>
      <c r="CZ136" s="7">
        <v>5.9048000000000003E-2</v>
      </c>
      <c r="DA136" s="7">
        <v>15.389535</v>
      </c>
      <c r="DB136" s="7">
        <v>17.608319000000002</v>
      </c>
      <c r="DC136" s="7">
        <v>16.064022999999999</v>
      </c>
      <c r="DD136" s="7">
        <v>11.115401</v>
      </c>
      <c r="DE136" s="4" t="s">
        <v>124</v>
      </c>
      <c r="DF136" s="6"/>
      <c r="DG136" s="6"/>
      <c r="DH136" s="6"/>
      <c r="DI136" s="6"/>
      <c r="DJ136" s="4" t="s">
        <v>124</v>
      </c>
      <c r="DK136" s="4" t="s">
        <v>124</v>
      </c>
      <c r="DL136" s="4" t="s">
        <v>124</v>
      </c>
      <c r="DM136" s="4" t="s">
        <v>124</v>
      </c>
      <c r="DN136" s="4" t="s">
        <v>124</v>
      </c>
      <c r="DO136" s="4" t="s">
        <v>124</v>
      </c>
      <c r="DP136" s="6"/>
      <c r="DQ136" s="4" t="s">
        <v>125</v>
      </c>
    </row>
    <row r="137" spans="1:121" ht="20" customHeight="1" x14ac:dyDescent="0.15">
      <c r="A137" s="5">
        <v>2018</v>
      </c>
      <c r="B137" s="3" t="s">
        <v>260</v>
      </c>
      <c r="C137" s="4" t="str">
        <f>"2420014"</f>
        <v>2420014</v>
      </c>
      <c r="D137" s="4" t="s">
        <v>122</v>
      </c>
      <c r="E137" s="4" t="str">
        <f t="shared" si="1"/>
        <v>0000000</v>
      </c>
      <c r="F137" s="4" t="s">
        <v>122</v>
      </c>
      <c r="G137" s="4" t="s">
        <v>122</v>
      </c>
      <c r="H137" s="4" t="s">
        <v>122</v>
      </c>
      <c r="I137" s="6"/>
      <c r="J137" s="4" t="s">
        <v>123</v>
      </c>
      <c r="K137" s="7">
        <v>122.642944</v>
      </c>
      <c r="L137" s="7">
        <v>550</v>
      </c>
      <c r="M137" s="7">
        <v>22.298717</v>
      </c>
      <c r="N137" s="4" t="s">
        <v>124</v>
      </c>
      <c r="O137" s="7">
        <v>0</v>
      </c>
      <c r="P137" s="4" t="s">
        <v>124</v>
      </c>
      <c r="Q137" s="4" t="s">
        <v>124</v>
      </c>
      <c r="R137" s="4" t="s">
        <v>124</v>
      </c>
      <c r="S137" s="4" t="s">
        <v>124</v>
      </c>
      <c r="T137" s="4" t="s">
        <v>124</v>
      </c>
      <c r="U137" s="4" t="s">
        <v>124</v>
      </c>
      <c r="V137" s="4" t="s">
        <v>124</v>
      </c>
      <c r="W137" s="7">
        <v>23.620602999999999</v>
      </c>
      <c r="X137" s="7">
        <v>47.241205999999998</v>
      </c>
      <c r="Y137" s="7">
        <v>150</v>
      </c>
      <c r="Z137" s="4" t="s">
        <v>124</v>
      </c>
      <c r="AA137" s="7">
        <v>23.620602999999999</v>
      </c>
      <c r="AB137" s="7">
        <v>47.241205999999998</v>
      </c>
      <c r="AC137" s="7">
        <v>150</v>
      </c>
      <c r="AD137" s="4" t="s">
        <v>124</v>
      </c>
      <c r="AE137" s="4" t="s">
        <v>124</v>
      </c>
      <c r="AF137" s="4" t="s">
        <v>124</v>
      </c>
      <c r="AG137" s="4" t="s">
        <v>124</v>
      </c>
      <c r="AH137" s="4" t="s">
        <v>124</v>
      </c>
      <c r="AI137" s="4" t="s">
        <v>124</v>
      </c>
      <c r="AJ137" s="4" t="s">
        <v>124</v>
      </c>
      <c r="AK137" s="4" t="s">
        <v>124</v>
      </c>
      <c r="AL137" s="4" t="s">
        <v>124</v>
      </c>
      <c r="AM137" s="4" t="s">
        <v>124</v>
      </c>
      <c r="AN137" s="4" t="s">
        <v>124</v>
      </c>
      <c r="AO137" s="4" t="s">
        <v>124</v>
      </c>
      <c r="AP137" s="4" t="s">
        <v>124</v>
      </c>
      <c r="AQ137" s="4" t="s">
        <v>124</v>
      </c>
      <c r="AR137" s="4" t="s">
        <v>124</v>
      </c>
      <c r="AS137" s="4" t="s">
        <v>124</v>
      </c>
      <c r="AT137" s="4" t="s">
        <v>124</v>
      </c>
      <c r="AU137" s="4" t="s">
        <v>124</v>
      </c>
      <c r="AV137" s="4" t="s">
        <v>124</v>
      </c>
      <c r="AW137" s="4" t="s">
        <v>124</v>
      </c>
      <c r="AX137" s="4" t="s">
        <v>124</v>
      </c>
      <c r="AY137" s="4" t="s">
        <v>124</v>
      </c>
      <c r="AZ137" s="4" t="s">
        <v>124</v>
      </c>
      <c r="BA137" s="4" t="s">
        <v>124</v>
      </c>
      <c r="BB137" s="4" t="s">
        <v>124</v>
      </c>
      <c r="BC137" s="4" t="s">
        <v>124</v>
      </c>
      <c r="BD137" s="4" t="s">
        <v>124</v>
      </c>
      <c r="BE137" s="4" t="s">
        <v>124</v>
      </c>
      <c r="BF137" s="4" t="s">
        <v>124</v>
      </c>
      <c r="BG137" s="4" t="s">
        <v>124</v>
      </c>
      <c r="BH137" s="7">
        <v>1</v>
      </c>
      <c r="BI137" s="7">
        <v>0.764706</v>
      </c>
      <c r="BJ137" s="7">
        <v>0.75757600000000003</v>
      </c>
      <c r="BK137" s="4" t="s">
        <v>124</v>
      </c>
      <c r="BL137" s="7">
        <v>0.85294099999999995</v>
      </c>
      <c r="BM137" s="7">
        <v>0.84848500000000004</v>
      </c>
      <c r="BN137" s="4" t="s">
        <v>124</v>
      </c>
      <c r="BO137" s="7">
        <v>0.76190500000000005</v>
      </c>
      <c r="BP137" s="7">
        <v>0.76190500000000005</v>
      </c>
      <c r="BQ137" s="4" t="s">
        <v>124</v>
      </c>
      <c r="BR137" s="7">
        <v>0.56756799999999996</v>
      </c>
      <c r="BS137" s="7">
        <v>0</v>
      </c>
      <c r="BT137" s="7">
        <v>50</v>
      </c>
      <c r="BU137" s="7">
        <v>0.62686600000000003</v>
      </c>
      <c r="BV137" s="7">
        <v>0</v>
      </c>
      <c r="BW137" s="7">
        <v>50</v>
      </c>
      <c r="BX137" s="4" t="s">
        <v>124</v>
      </c>
      <c r="BY137" s="4" t="s">
        <v>124</v>
      </c>
      <c r="BZ137" s="4" t="s">
        <v>124</v>
      </c>
      <c r="CA137" s="4" t="s">
        <v>124</v>
      </c>
      <c r="CB137" s="4" t="s">
        <v>124</v>
      </c>
      <c r="CC137" s="4" t="s">
        <v>124</v>
      </c>
      <c r="CD137" s="7">
        <v>0.28571400000000002</v>
      </c>
      <c r="CE137" s="7">
        <v>15.197568</v>
      </c>
      <c r="CF137" s="7">
        <v>50</v>
      </c>
      <c r="CG137" s="4" t="s">
        <v>124</v>
      </c>
      <c r="CH137" s="4" t="s">
        <v>124</v>
      </c>
      <c r="CI137" s="4" t="s">
        <v>124</v>
      </c>
      <c r="CJ137" s="4" t="s">
        <v>124</v>
      </c>
      <c r="CK137" s="4" t="s">
        <v>124</v>
      </c>
      <c r="CL137" s="4" t="s">
        <v>124</v>
      </c>
      <c r="CM137" s="4" t="s">
        <v>124</v>
      </c>
      <c r="CN137" s="4" t="s">
        <v>124</v>
      </c>
      <c r="CO137" s="4" t="s">
        <v>124</v>
      </c>
      <c r="CP137" s="4" t="s">
        <v>124</v>
      </c>
      <c r="CQ137" s="4" t="s">
        <v>124</v>
      </c>
      <c r="CR137" s="7">
        <v>0</v>
      </c>
      <c r="CS137" s="7">
        <v>0</v>
      </c>
      <c r="CT137" s="7">
        <v>50</v>
      </c>
      <c r="CU137" s="7">
        <v>0.155556</v>
      </c>
      <c r="CV137" s="7">
        <v>12.962963</v>
      </c>
      <c r="CW137" s="7">
        <v>50</v>
      </c>
      <c r="CX137" s="4" t="s">
        <v>124</v>
      </c>
      <c r="CY137" s="4" t="s">
        <v>124</v>
      </c>
      <c r="CZ137" s="4" t="s">
        <v>124</v>
      </c>
      <c r="DA137" s="7">
        <v>15.389535</v>
      </c>
      <c r="DB137" s="7">
        <v>17.608319000000002</v>
      </c>
      <c r="DC137" s="7">
        <v>16.064022999999999</v>
      </c>
      <c r="DD137" s="4" t="s">
        <v>124</v>
      </c>
      <c r="DE137" s="4" t="s">
        <v>124</v>
      </c>
      <c r="DF137" s="6"/>
      <c r="DG137" s="6"/>
      <c r="DH137" s="6"/>
      <c r="DI137" s="6"/>
      <c r="DJ137" s="4" t="s">
        <v>124</v>
      </c>
      <c r="DK137" s="4" t="s">
        <v>124</v>
      </c>
      <c r="DL137" s="4" t="s">
        <v>124</v>
      </c>
      <c r="DM137" s="4" t="s">
        <v>124</v>
      </c>
      <c r="DN137" s="4" t="s">
        <v>124</v>
      </c>
      <c r="DO137" s="4" t="s">
        <v>124</v>
      </c>
      <c r="DP137" s="6"/>
      <c r="DQ137" s="4" t="s">
        <v>125</v>
      </c>
    </row>
    <row r="138" spans="1:121" ht="20" customHeight="1" x14ac:dyDescent="0.15">
      <c r="A138" s="5">
        <v>2018</v>
      </c>
      <c r="B138" s="3" t="s">
        <v>261</v>
      </c>
      <c r="C138" s="4" t="str">
        <f>"2430014"</f>
        <v>2430014</v>
      </c>
      <c r="D138" s="4" t="s">
        <v>122</v>
      </c>
      <c r="E138" s="4" t="str">
        <f t="shared" si="1"/>
        <v>0000000</v>
      </c>
      <c r="F138" s="4" t="s">
        <v>122</v>
      </c>
      <c r="G138" s="4" t="s">
        <v>122</v>
      </c>
      <c r="H138" s="4" t="s">
        <v>122</v>
      </c>
      <c r="I138" s="6"/>
      <c r="J138" s="4" t="s">
        <v>123</v>
      </c>
      <c r="K138" s="7">
        <v>548.518733</v>
      </c>
      <c r="L138" s="7">
        <v>1050</v>
      </c>
      <c r="M138" s="7">
        <v>52.239879000000002</v>
      </c>
      <c r="N138" s="4" t="s">
        <v>124</v>
      </c>
      <c r="O138" s="7">
        <v>1</v>
      </c>
      <c r="P138" s="7">
        <v>58.947499999999998</v>
      </c>
      <c r="Q138" s="7">
        <v>39.298333</v>
      </c>
      <c r="R138" s="7">
        <v>50</v>
      </c>
      <c r="S138" s="7">
        <v>49.549211999999997</v>
      </c>
      <c r="T138" s="7">
        <v>73.108433000000005</v>
      </c>
      <c r="U138" s="7">
        <v>33.032808000000003</v>
      </c>
      <c r="V138" s="7">
        <v>50</v>
      </c>
      <c r="W138" s="7">
        <v>52.403393000000001</v>
      </c>
      <c r="X138" s="7">
        <v>34.935594999999999</v>
      </c>
      <c r="Y138" s="7">
        <v>50</v>
      </c>
      <c r="Z138" s="7">
        <v>66.325841999999994</v>
      </c>
      <c r="AA138" s="7">
        <v>43.163381999999999</v>
      </c>
      <c r="AB138" s="7">
        <v>28.775587999999999</v>
      </c>
      <c r="AC138" s="7">
        <v>50</v>
      </c>
      <c r="AD138" s="7">
        <v>51.617007999999998</v>
      </c>
      <c r="AE138" s="7">
        <v>34.411338999999998</v>
      </c>
      <c r="AF138" s="7">
        <v>50</v>
      </c>
      <c r="AG138" s="7">
        <v>43.419967999999997</v>
      </c>
      <c r="AH138" s="7">
        <v>68.557558</v>
      </c>
      <c r="AI138" s="7">
        <v>28.946645</v>
      </c>
      <c r="AJ138" s="7">
        <v>50</v>
      </c>
      <c r="AK138" s="7">
        <v>23.55</v>
      </c>
      <c r="AL138" s="7">
        <v>23.16</v>
      </c>
      <c r="AM138" s="7">
        <v>25.13</v>
      </c>
      <c r="AN138" s="7">
        <v>0.60217100000000001</v>
      </c>
      <c r="AO138" s="7">
        <v>60.217067</v>
      </c>
      <c r="AP138" s="7">
        <v>100</v>
      </c>
      <c r="AQ138" s="7">
        <v>0.61252600000000001</v>
      </c>
      <c r="AR138" s="7">
        <v>61.252645999999999</v>
      </c>
      <c r="AS138" s="7">
        <v>100</v>
      </c>
      <c r="AT138" s="7">
        <v>0.57681499999999997</v>
      </c>
      <c r="AU138" s="7">
        <v>0.63039199999999995</v>
      </c>
      <c r="AV138" s="7">
        <v>57.681541000000003</v>
      </c>
      <c r="AW138" s="7">
        <v>100</v>
      </c>
      <c r="AX138" s="7">
        <v>0.59908399999999995</v>
      </c>
      <c r="AY138" s="7">
        <v>0.627606</v>
      </c>
      <c r="AZ138" s="7">
        <v>59.908372999999997</v>
      </c>
      <c r="BA138" s="7">
        <v>100</v>
      </c>
      <c r="BB138" s="4" t="s">
        <v>124</v>
      </c>
      <c r="BC138" s="4" t="s">
        <v>124</v>
      </c>
      <c r="BD138" s="4" t="s">
        <v>124</v>
      </c>
      <c r="BE138" s="4" t="s">
        <v>124</v>
      </c>
      <c r="BF138" s="4" t="s">
        <v>124</v>
      </c>
      <c r="BG138" s="4" t="s">
        <v>124</v>
      </c>
      <c r="BH138" s="7">
        <v>0</v>
      </c>
      <c r="BI138" s="7">
        <v>0.995</v>
      </c>
      <c r="BJ138" s="7">
        <v>0.99206300000000003</v>
      </c>
      <c r="BK138" s="7">
        <v>1</v>
      </c>
      <c r="BL138" s="7">
        <v>0.99250000000000005</v>
      </c>
      <c r="BM138" s="7">
        <v>0.98809499999999995</v>
      </c>
      <c r="BN138" s="7">
        <v>1</v>
      </c>
      <c r="BO138" s="7">
        <v>1</v>
      </c>
      <c r="BP138" s="7">
        <v>1</v>
      </c>
      <c r="BQ138" s="7">
        <v>1</v>
      </c>
      <c r="BR138" s="7">
        <v>0.18550700000000001</v>
      </c>
      <c r="BS138" s="7">
        <v>22.898551000000001</v>
      </c>
      <c r="BT138" s="7">
        <v>50</v>
      </c>
      <c r="BU138" s="7">
        <v>0.24735699999999999</v>
      </c>
      <c r="BV138" s="7">
        <v>10.528541000000001</v>
      </c>
      <c r="BW138" s="7">
        <v>50</v>
      </c>
      <c r="BX138" s="7">
        <v>0.52631600000000001</v>
      </c>
      <c r="BY138" s="7">
        <v>35.087719</v>
      </c>
      <c r="BZ138" s="7">
        <v>50</v>
      </c>
      <c r="CA138" s="7">
        <v>3.1579000000000003E-2</v>
      </c>
      <c r="CB138" s="7">
        <v>2.1052629999999999</v>
      </c>
      <c r="CC138" s="7">
        <v>50</v>
      </c>
      <c r="CD138" s="7">
        <v>0.49504999999999999</v>
      </c>
      <c r="CE138" s="7">
        <v>26.332419999999999</v>
      </c>
      <c r="CF138" s="7">
        <v>50</v>
      </c>
      <c r="CG138" s="4" t="s">
        <v>124</v>
      </c>
      <c r="CH138" s="4" t="s">
        <v>124</v>
      </c>
      <c r="CI138" s="4" t="s">
        <v>124</v>
      </c>
      <c r="CJ138" s="4" t="s">
        <v>124</v>
      </c>
      <c r="CK138" s="4" t="s">
        <v>124</v>
      </c>
      <c r="CL138" s="4" t="s">
        <v>124</v>
      </c>
      <c r="CM138" s="4" t="s">
        <v>124</v>
      </c>
      <c r="CN138" s="4" t="s">
        <v>124</v>
      </c>
      <c r="CO138" s="4" t="s">
        <v>124</v>
      </c>
      <c r="CP138" s="4" t="s">
        <v>124</v>
      </c>
      <c r="CQ138" s="7">
        <v>0.33146100000000001</v>
      </c>
      <c r="CR138" s="7">
        <v>0.89</v>
      </c>
      <c r="CS138" s="7">
        <v>11.048689</v>
      </c>
      <c r="CT138" s="7">
        <v>50</v>
      </c>
      <c r="CU138" s="7">
        <v>2.4691000000000001E-2</v>
      </c>
      <c r="CV138" s="7">
        <v>2.0576129999999999</v>
      </c>
      <c r="CW138" s="7">
        <v>50</v>
      </c>
      <c r="CX138" s="4" t="s">
        <v>124</v>
      </c>
      <c r="CY138" s="4" t="s">
        <v>124</v>
      </c>
      <c r="CZ138" s="4" t="s">
        <v>124</v>
      </c>
      <c r="DA138" s="7">
        <v>15.389535</v>
      </c>
      <c r="DB138" s="7">
        <v>17.608319000000002</v>
      </c>
      <c r="DC138" s="7">
        <v>16.064022999999999</v>
      </c>
      <c r="DD138" s="4" t="s">
        <v>124</v>
      </c>
      <c r="DE138" s="4" t="s">
        <v>124</v>
      </c>
      <c r="DF138" s="6"/>
      <c r="DG138" s="6"/>
      <c r="DH138" s="6"/>
      <c r="DI138" s="6"/>
      <c r="DJ138" s="4" t="s">
        <v>124</v>
      </c>
      <c r="DK138" s="4" t="s">
        <v>124</v>
      </c>
      <c r="DL138" s="4" t="s">
        <v>124</v>
      </c>
      <c r="DM138" s="4" t="s">
        <v>124</v>
      </c>
      <c r="DN138" s="4" t="s">
        <v>124</v>
      </c>
      <c r="DO138" s="4" t="s">
        <v>124</v>
      </c>
      <c r="DP138" s="6"/>
      <c r="DQ138" s="4" t="s">
        <v>125</v>
      </c>
    </row>
    <row r="139" spans="1:121" ht="20" customHeight="1" x14ac:dyDescent="0.15">
      <c r="A139" s="5">
        <v>2018</v>
      </c>
      <c r="B139" s="3" t="s">
        <v>262</v>
      </c>
      <c r="C139" s="4" t="str">
        <f t="shared" ref="C139:C1156" si="135">"2440014"</f>
        <v>2440014</v>
      </c>
      <c r="D139" s="4" t="s">
        <v>122</v>
      </c>
      <c r="E139" s="4" t="str">
        <f t="shared" si="1"/>
        <v>0000000</v>
      </c>
      <c r="F139" s="4" t="s">
        <v>122</v>
      </c>
      <c r="G139" s="4" t="s">
        <v>122</v>
      </c>
      <c r="H139" s="4" t="s">
        <v>122</v>
      </c>
      <c r="I139" s="6"/>
      <c r="J139" s="4" t="s">
        <v>123</v>
      </c>
      <c r="K139" s="7">
        <v>577.52153299999998</v>
      </c>
      <c r="L139" s="7">
        <v>1250</v>
      </c>
      <c r="M139" s="7">
        <v>46.201723000000001</v>
      </c>
      <c r="N139" s="4" t="s">
        <v>124</v>
      </c>
      <c r="O139" s="7">
        <v>1</v>
      </c>
      <c r="P139" s="7">
        <v>57.743718000000001</v>
      </c>
      <c r="Q139" s="7">
        <v>38.495812000000001</v>
      </c>
      <c r="R139" s="7">
        <v>50</v>
      </c>
      <c r="S139" s="7">
        <v>50.272601000000002</v>
      </c>
      <c r="T139" s="7">
        <v>71.549041000000003</v>
      </c>
      <c r="U139" s="7">
        <v>33.515067000000002</v>
      </c>
      <c r="V139" s="7">
        <v>50</v>
      </c>
      <c r="W139" s="7">
        <v>52.330728999999998</v>
      </c>
      <c r="X139" s="7">
        <v>34.887152999999998</v>
      </c>
      <c r="Y139" s="7">
        <v>50</v>
      </c>
      <c r="Z139" s="7">
        <v>65.932167000000007</v>
      </c>
      <c r="AA139" s="7">
        <v>44.897007000000002</v>
      </c>
      <c r="AB139" s="7">
        <v>29.931338</v>
      </c>
      <c r="AC139" s="7">
        <v>50</v>
      </c>
      <c r="AD139" s="7">
        <v>54.735480000000003</v>
      </c>
      <c r="AE139" s="7">
        <v>36.490319999999997</v>
      </c>
      <c r="AF139" s="7">
        <v>50</v>
      </c>
      <c r="AG139" s="7">
        <v>50.108621999999997</v>
      </c>
      <c r="AH139" s="7">
        <v>69.120801</v>
      </c>
      <c r="AI139" s="7">
        <v>33.405748000000003</v>
      </c>
      <c r="AJ139" s="7">
        <v>50</v>
      </c>
      <c r="AK139" s="7">
        <v>21.27</v>
      </c>
      <c r="AL139" s="7">
        <v>21.03</v>
      </c>
      <c r="AM139" s="7">
        <v>19.010000000000002</v>
      </c>
      <c r="AN139" s="7">
        <v>0.53350600000000004</v>
      </c>
      <c r="AO139" s="7">
        <v>53.350633999999999</v>
      </c>
      <c r="AP139" s="7">
        <v>100</v>
      </c>
      <c r="AQ139" s="7">
        <v>0.56888300000000003</v>
      </c>
      <c r="AR139" s="7">
        <v>56.888294000000002</v>
      </c>
      <c r="AS139" s="7">
        <v>100</v>
      </c>
      <c r="AT139" s="7">
        <v>0.50740799999999997</v>
      </c>
      <c r="AU139" s="7">
        <v>0.56862599999999996</v>
      </c>
      <c r="AV139" s="7">
        <v>50.7408</v>
      </c>
      <c r="AW139" s="7">
        <v>100</v>
      </c>
      <c r="AX139" s="7">
        <v>0.52749999999999997</v>
      </c>
      <c r="AY139" s="7">
        <v>0.62369699999999995</v>
      </c>
      <c r="AZ139" s="7">
        <v>52.749980000000001</v>
      </c>
      <c r="BA139" s="7">
        <v>100</v>
      </c>
      <c r="BB139" s="7">
        <v>0.44960299999999997</v>
      </c>
      <c r="BC139" s="7">
        <v>22.480155</v>
      </c>
      <c r="BD139" s="7">
        <v>50</v>
      </c>
      <c r="BE139" s="7">
        <v>0.45798899999999998</v>
      </c>
      <c r="BF139" s="7">
        <v>22.899449000000001</v>
      </c>
      <c r="BG139" s="7">
        <v>50</v>
      </c>
      <c r="BH139" s="7">
        <v>0</v>
      </c>
      <c r="BI139" s="7">
        <v>0.98267099999999996</v>
      </c>
      <c r="BJ139" s="7">
        <v>0.97382800000000003</v>
      </c>
      <c r="BK139" s="7">
        <v>1</v>
      </c>
      <c r="BL139" s="7">
        <v>0.97256299999999996</v>
      </c>
      <c r="BM139" s="7">
        <v>0.95969499999999996</v>
      </c>
      <c r="BN139" s="7">
        <v>0.99785900000000005</v>
      </c>
      <c r="BO139" s="7">
        <v>0.97352300000000003</v>
      </c>
      <c r="BP139" s="7">
        <v>0.96560800000000002</v>
      </c>
      <c r="BQ139" s="7">
        <v>1</v>
      </c>
      <c r="BR139" s="7">
        <v>0.23472699999999999</v>
      </c>
      <c r="BS139" s="7">
        <v>13.054662</v>
      </c>
      <c r="BT139" s="7">
        <v>50</v>
      </c>
      <c r="BU139" s="7">
        <v>0.28061599999999998</v>
      </c>
      <c r="BV139" s="7">
        <v>3.8768370000000001</v>
      </c>
      <c r="BW139" s="7">
        <v>50</v>
      </c>
      <c r="BX139" s="7">
        <v>0.24260399999999999</v>
      </c>
      <c r="BY139" s="7">
        <v>16.173570000000002</v>
      </c>
      <c r="BZ139" s="7">
        <v>50</v>
      </c>
      <c r="CA139" s="7">
        <v>5.9170000000000004E-3</v>
      </c>
      <c r="CB139" s="7">
        <v>0.39447700000000002</v>
      </c>
      <c r="CC139" s="7">
        <v>50</v>
      </c>
      <c r="CD139" s="7">
        <v>0.835476</v>
      </c>
      <c r="CE139" s="7">
        <v>44.440190000000001</v>
      </c>
      <c r="CF139" s="7">
        <v>50</v>
      </c>
      <c r="CG139" s="4" t="s">
        <v>124</v>
      </c>
      <c r="CH139" s="4" t="s">
        <v>124</v>
      </c>
      <c r="CI139" s="4" t="s">
        <v>124</v>
      </c>
      <c r="CJ139" s="4" t="s">
        <v>124</v>
      </c>
      <c r="CK139" s="4" t="s">
        <v>124</v>
      </c>
      <c r="CL139" s="4" t="s">
        <v>124</v>
      </c>
      <c r="CM139" s="4" t="s">
        <v>124</v>
      </c>
      <c r="CN139" s="7">
        <v>7.0000000000000007E-2</v>
      </c>
      <c r="CO139" s="7">
        <v>9.3023260000000008</v>
      </c>
      <c r="CP139" s="7">
        <v>100</v>
      </c>
      <c r="CQ139" s="7">
        <v>0.478796</v>
      </c>
      <c r="CR139" s="7">
        <v>0.88606099999999999</v>
      </c>
      <c r="CS139" s="7">
        <v>15.959872000000001</v>
      </c>
      <c r="CT139" s="7">
        <v>50</v>
      </c>
      <c r="CU139" s="7">
        <v>0.10181800000000001</v>
      </c>
      <c r="CV139" s="7">
        <v>8.4848479999999995</v>
      </c>
      <c r="CW139" s="7">
        <v>50</v>
      </c>
      <c r="CX139" s="4" t="s">
        <v>124</v>
      </c>
      <c r="CY139" s="4" t="s">
        <v>124</v>
      </c>
      <c r="CZ139" s="4" t="s">
        <v>124</v>
      </c>
      <c r="DA139" s="7">
        <v>15.389535</v>
      </c>
      <c r="DB139" s="7">
        <v>17.608319000000002</v>
      </c>
      <c r="DC139" s="7">
        <v>16.064022999999999</v>
      </c>
      <c r="DD139" s="4" t="s">
        <v>124</v>
      </c>
      <c r="DE139" s="4" t="s">
        <v>124</v>
      </c>
      <c r="DF139" s="6"/>
      <c r="DG139" s="6"/>
      <c r="DH139" s="6"/>
      <c r="DI139" s="6"/>
      <c r="DJ139" s="4" t="s">
        <v>124</v>
      </c>
      <c r="DK139" s="4" t="s">
        <v>124</v>
      </c>
      <c r="DL139" s="4" t="s">
        <v>124</v>
      </c>
      <c r="DM139" s="4" t="s">
        <v>124</v>
      </c>
      <c r="DN139" s="4" t="s">
        <v>124</v>
      </c>
      <c r="DO139" s="4" t="s">
        <v>124</v>
      </c>
      <c r="DP139" s="6"/>
      <c r="DQ139" s="4" t="s">
        <v>125</v>
      </c>
    </row>
    <row r="140" spans="1:121" ht="20" customHeight="1" x14ac:dyDescent="0.15">
      <c r="A140" s="5">
        <v>2018</v>
      </c>
      <c r="B140" s="3" t="s">
        <v>263</v>
      </c>
      <c r="C140" s="4" t="str">
        <f t="shared" ref="C140:C1158" si="136">"2450014"</f>
        <v>2450014</v>
      </c>
      <c r="D140" s="4" t="s">
        <v>122</v>
      </c>
      <c r="E140" s="4" t="str">
        <f t="shared" si="1"/>
        <v>0000000</v>
      </c>
      <c r="F140" s="4" t="s">
        <v>122</v>
      </c>
      <c r="G140" s="4" t="s">
        <v>122</v>
      </c>
      <c r="H140" s="4" t="s">
        <v>122</v>
      </c>
      <c r="I140" s="6"/>
      <c r="J140" s="4" t="s">
        <v>123</v>
      </c>
      <c r="K140" s="7">
        <v>1065.0687780000001</v>
      </c>
      <c r="L140" s="7">
        <v>1450</v>
      </c>
      <c r="M140" s="7">
        <v>73.453018999999998</v>
      </c>
      <c r="N140" s="4" t="s">
        <v>124</v>
      </c>
      <c r="O140" s="7">
        <v>1</v>
      </c>
      <c r="P140" s="7">
        <v>61.856107999999999</v>
      </c>
      <c r="Q140" s="7">
        <v>41.237405000000003</v>
      </c>
      <c r="R140" s="7">
        <v>50</v>
      </c>
      <c r="S140" s="7">
        <v>57.641551</v>
      </c>
      <c r="T140" s="7">
        <v>72.099314000000007</v>
      </c>
      <c r="U140" s="7">
        <v>38.427700000000002</v>
      </c>
      <c r="V140" s="7">
        <v>50</v>
      </c>
      <c r="W140" s="7">
        <v>53.563592999999997</v>
      </c>
      <c r="X140" s="7">
        <v>35.709062000000003</v>
      </c>
      <c r="Y140" s="7">
        <v>50</v>
      </c>
      <c r="Z140" s="7">
        <v>64.746198000000007</v>
      </c>
      <c r="AA140" s="7">
        <v>48.954275000000003</v>
      </c>
      <c r="AB140" s="7">
        <v>32.636183000000003</v>
      </c>
      <c r="AC140" s="7">
        <v>50</v>
      </c>
      <c r="AD140" s="7">
        <v>59.487805999999999</v>
      </c>
      <c r="AE140" s="7">
        <v>39.658538</v>
      </c>
      <c r="AF140" s="7">
        <v>50</v>
      </c>
      <c r="AG140" s="7">
        <v>52.335813999999999</v>
      </c>
      <c r="AH140" s="7">
        <v>72.228773000000004</v>
      </c>
      <c r="AI140" s="7">
        <v>34.890543000000001</v>
      </c>
      <c r="AJ140" s="7">
        <v>50</v>
      </c>
      <c r="AK140" s="7">
        <v>14.45</v>
      </c>
      <c r="AL140" s="7">
        <v>15.79</v>
      </c>
      <c r="AM140" s="7">
        <v>19.89</v>
      </c>
      <c r="AN140" s="7">
        <v>0.62759900000000002</v>
      </c>
      <c r="AO140" s="7">
        <v>62.759853999999997</v>
      </c>
      <c r="AP140" s="7">
        <v>100</v>
      </c>
      <c r="AQ140" s="7">
        <v>0.63832599999999995</v>
      </c>
      <c r="AR140" s="7">
        <v>63.832602999999999</v>
      </c>
      <c r="AS140" s="7">
        <v>100</v>
      </c>
      <c r="AT140" s="7">
        <v>0.63791600000000004</v>
      </c>
      <c r="AU140" s="7">
        <v>0.59702500000000003</v>
      </c>
      <c r="AV140" s="7">
        <v>63.791606999999999</v>
      </c>
      <c r="AW140" s="7">
        <v>100</v>
      </c>
      <c r="AX140" s="7">
        <v>0.60159899999999999</v>
      </c>
      <c r="AY140" s="7">
        <v>0.74682300000000001</v>
      </c>
      <c r="AZ140" s="7">
        <v>60.159892999999997</v>
      </c>
      <c r="BA140" s="7">
        <v>100</v>
      </c>
      <c r="BB140" s="7">
        <v>0.57727099999999998</v>
      </c>
      <c r="BC140" s="7">
        <v>28.863558999999999</v>
      </c>
      <c r="BD140" s="7">
        <v>50</v>
      </c>
      <c r="BE140" s="7">
        <v>0.49159900000000001</v>
      </c>
      <c r="BF140" s="7">
        <v>24.579968000000001</v>
      </c>
      <c r="BG140" s="7">
        <v>50</v>
      </c>
      <c r="BH140" s="7">
        <v>0</v>
      </c>
      <c r="BI140" s="7">
        <v>0.98029599999999995</v>
      </c>
      <c r="BJ140" s="7">
        <v>0.97754700000000005</v>
      </c>
      <c r="BK140" s="7">
        <v>0.987124</v>
      </c>
      <c r="BL140" s="7">
        <v>0.97906400000000005</v>
      </c>
      <c r="BM140" s="7">
        <v>0.97582000000000002</v>
      </c>
      <c r="BN140" s="7">
        <v>0.987124</v>
      </c>
      <c r="BO140" s="7">
        <v>0.97679800000000006</v>
      </c>
      <c r="BP140" s="7">
        <v>0.96774199999999999</v>
      </c>
      <c r="BQ140" s="7">
        <v>0.993421</v>
      </c>
      <c r="BR140" s="7">
        <v>0.155864</v>
      </c>
      <c r="BS140" s="7">
        <v>28.827159999999999</v>
      </c>
      <c r="BT140" s="7">
        <v>50</v>
      </c>
      <c r="BU140" s="7">
        <v>0.207373</v>
      </c>
      <c r="BV140" s="7">
        <v>18.525345999999999</v>
      </c>
      <c r="BW140" s="7">
        <v>50</v>
      </c>
      <c r="BX140" s="7">
        <v>0.74532699999999996</v>
      </c>
      <c r="BY140" s="7">
        <v>49.688473999999999</v>
      </c>
      <c r="BZ140" s="7">
        <v>50</v>
      </c>
      <c r="CA140" s="7">
        <v>0.38084099999999999</v>
      </c>
      <c r="CB140" s="7">
        <v>25.389408</v>
      </c>
      <c r="CC140" s="7">
        <v>50</v>
      </c>
      <c r="CD140" s="7">
        <v>0.93145199999999995</v>
      </c>
      <c r="CE140" s="7">
        <v>49.545299</v>
      </c>
      <c r="CF140" s="7">
        <v>50</v>
      </c>
      <c r="CG140" s="7">
        <v>0.89795899999999995</v>
      </c>
      <c r="CH140" s="7">
        <v>95.527573000000004</v>
      </c>
      <c r="CI140" s="7">
        <v>100</v>
      </c>
      <c r="CJ140" s="7">
        <v>0</v>
      </c>
      <c r="CK140" s="7">
        <v>0.92173899999999998</v>
      </c>
      <c r="CL140" s="7">
        <v>98.057354000000004</v>
      </c>
      <c r="CM140" s="7">
        <v>100</v>
      </c>
      <c r="CN140" s="7">
        <v>0.67</v>
      </c>
      <c r="CO140" s="7">
        <v>89.377289000000005</v>
      </c>
      <c r="CP140" s="7">
        <v>100</v>
      </c>
      <c r="CQ140" s="7">
        <v>0.50375899999999996</v>
      </c>
      <c r="CR140" s="7">
        <v>0.91724099999999997</v>
      </c>
      <c r="CS140" s="7">
        <v>33.583959999999998</v>
      </c>
      <c r="CT140" s="7">
        <v>50</v>
      </c>
      <c r="CU140" s="7">
        <v>0.602217</v>
      </c>
      <c r="CV140" s="7">
        <v>50</v>
      </c>
      <c r="CW140" s="7">
        <v>50</v>
      </c>
      <c r="CX140" s="7">
        <v>0.92173899999999998</v>
      </c>
      <c r="CY140" s="7">
        <v>0.94</v>
      </c>
      <c r="CZ140" s="7">
        <v>1.8260999999999999E-2</v>
      </c>
      <c r="DA140" s="7">
        <v>15.389535</v>
      </c>
      <c r="DB140" s="7">
        <v>17.608319000000002</v>
      </c>
      <c r="DC140" s="7">
        <v>16.064022999999999</v>
      </c>
      <c r="DD140" s="7">
        <v>11.115401</v>
      </c>
      <c r="DE140" s="4" t="s">
        <v>124</v>
      </c>
      <c r="DF140" s="6"/>
      <c r="DG140" s="6"/>
      <c r="DH140" s="6"/>
      <c r="DI140" s="6"/>
      <c r="DJ140" s="4" t="s">
        <v>124</v>
      </c>
      <c r="DK140" s="4" t="s">
        <v>124</v>
      </c>
      <c r="DL140" s="4" t="s">
        <v>124</v>
      </c>
      <c r="DM140" s="4" t="s">
        <v>124</v>
      </c>
      <c r="DN140" s="4" t="s">
        <v>124</v>
      </c>
      <c r="DO140" s="4" t="s">
        <v>124</v>
      </c>
      <c r="DP140" s="6"/>
      <c r="DQ140" s="4" t="s">
        <v>125</v>
      </c>
    </row>
    <row r="141" spans="1:121" ht="20" customHeight="1" x14ac:dyDescent="0.15">
      <c r="A141" s="5">
        <v>2018</v>
      </c>
      <c r="B141" s="3" t="s">
        <v>264</v>
      </c>
      <c r="C141" s="4" t="str">
        <f t="shared" ref="C141:C1165" si="137">"2530014"</f>
        <v>2530014</v>
      </c>
      <c r="D141" s="4" t="s">
        <v>122</v>
      </c>
      <c r="E141" s="4" t="str">
        <f t="shared" si="1"/>
        <v>0000000</v>
      </c>
      <c r="F141" s="4" t="s">
        <v>122</v>
      </c>
      <c r="G141" s="4" t="s">
        <v>122</v>
      </c>
      <c r="H141" s="4" t="s">
        <v>122</v>
      </c>
      <c r="I141" s="6"/>
      <c r="J141" s="4" t="s">
        <v>123</v>
      </c>
      <c r="K141" s="7">
        <v>753.83293300000003</v>
      </c>
      <c r="L141" s="7">
        <v>1350</v>
      </c>
      <c r="M141" s="7">
        <v>55.839475999999998</v>
      </c>
      <c r="N141" s="4" t="s">
        <v>124</v>
      </c>
      <c r="O141" s="7">
        <v>1</v>
      </c>
      <c r="P141" s="7">
        <v>44.017870000000002</v>
      </c>
      <c r="Q141" s="7">
        <v>29.345245999999999</v>
      </c>
      <c r="R141" s="7">
        <v>50</v>
      </c>
      <c r="S141" s="7">
        <v>38.932316999999998</v>
      </c>
      <c r="T141" s="7">
        <v>56.927349999999997</v>
      </c>
      <c r="U141" s="7">
        <v>25.954878000000001</v>
      </c>
      <c r="V141" s="7">
        <v>50</v>
      </c>
      <c r="W141" s="7">
        <v>34.595035000000003</v>
      </c>
      <c r="X141" s="7">
        <v>23.063357</v>
      </c>
      <c r="Y141" s="7">
        <v>50</v>
      </c>
      <c r="Z141" s="7">
        <v>42.871794999999999</v>
      </c>
      <c r="AA141" s="7">
        <v>31.267265999999999</v>
      </c>
      <c r="AB141" s="7">
        <v>20.844843999999998</v>
      </c>
      <c r="AC141" s="7">
        <v>50</v>
      </c>
      <c r="AD141" s="7">
        <v>50.234153999999997</v>
      </c>
      <c r="AE141" s="7">
        <v>33.489435999999998</v>
      </c>
      <c r="AF141" s="7">
        <v>50</v>
      </c>
      <c r="AG141" s="7">
        <v>43.761116000000001</v>
      </c>
      <c r="AH141" s="7">
        <v>60.031185000000001</v>
      </c>
      <c r="AI141" s="7">
        <v>29.174077</v>
      </c>
      <c r="AJ141" s="7">
        <v>50</v>
      </c>
      <c r="AK141" s="7">
        <v>17.989999999999998</v>
      </c>
      <c r="AL141" s="7">
        <v>11.6</v>
      </c>
      <c r="AM141" s="7">
        <v>16.27</v>
      </c>
      <c r="AN141" s="7">
        <v>0.45282499999999998</v>
      </c>
      <c r="AO141" s="7">
        <v>45.282491999999998</v>
      </c>
      <c r="AP141" s="7">
        <v>100</v>
      </c>
      <c r="AQ141" s="7">
        <v>0.49248900000000001</v>
      </c>
      <c r="AR141" s="7">
        <v>49.248876000000003</v>
      </c>
      <c r="AS141" s="7">
        <v>100</v>
      </c>
      <c r="AT141" s="7">
        <v>0.45282499999999998</v>
      </c>
      <c r="AU141" s="4" t="s">
        <v>124</v>
      </c>
      <c r="AV141" s="7">
        <v>45.282491999999998</v>
      </c>
      <c r="AW141" s="7">
        <v>100</v>
      </c>
      <c r="AX141" s="7">
        <v>0.49248900000000001</v>
      </c>
      <c r="AY141" s="4" t="s">
        <v>124</v>
      </c>
      <c r="AZ141" s="7">
        <v>49.248876000000003</v>
      </c>
      <c r="BA141" s="7">
        <v>100</v>
      </c>
      <c r="BB141" s="4" t="s">
        <v>124</v>
      </c>
      <c r="BC141" s="4" t="s">
        <v>124</v>
      </c>
      <c r="BD141" s="4" t="s">
        <v>124</v>
      </c>
      <c r="BE141" s="4" t="s">
        <v>124</v>
      </c>
      <c r="BF141" s="4" t="s">
        <v>124</v>
      </c>
      <c r="BG141" s="4" t="s">
        <v>124</v>
      </c>
      <c r="BH141" s="7">
        <v>1</v>
      </c>
      <c r="BI141" s="7">
        <v>0.95061700000000005</v>
      </c>
      <c r="BJ141" s="7">
        <v>0.94166700000000003</v>
      </c>
      <c r="BK141" s="7">
        <v>0.97619</v>
      </c>
      <c r="BL141" s="7">
        <v>0.93827199999999999</v>
      </c>
      <c r="BM141" s="7">
        <v>0.92500000000000004</v>
      </c>
      <c r="BN141" s="7">
        <v>0.97619</v>
      </c>
      <c r="BO141" s="7">
        <v>0.90090099999999995</v>
      </c>
      <c r="BP141" s="7">
        <v>0.859155</v>
      </c>
      <c r="BQ141" s="7">
        <v>0.97499999999999998</v>
      </c>
      <c r="BR141" s="7">
        <v>0.318519</v>
      </c>
      <c r="BS141" s="7">
        <v>0</v>
      </c>
      <c r="BT141" s="7">
        <v>50</v>
      </c>
      <c r="BU141" s="7">
        <v>0.344086</v>
      </c>
      <c r="BV141" s="7">
        <v>0</v>
      </c>
      <c r="BW141" s="7">
        <v>50</v>
      </c>
      <c r="BX141" s="7">
        <v>0.75316499999999997</v>
      </c>
      <c r="BY141" s="7">
        <v>50</v>
      </c>
      <c r="BZ141" s="7">
        <v>50</v>
      </c>
      <c r="CA141" s="7">
        <v>0.139241</v>
      </c>
      <c r="CB141" s="7">
        <v>9.2827000000000002</v>
      </c>
      <c r="CC141" s="7">
        <v>50</v>
      </c>
      <c r="CD141" s="7">
        <v>0.87963000000000002</v>
      </c>
      <c r="CE141" s="7">
        <v>46.788809999999998</v>
      </c>
      <c r="CF141" s="7">
        <v>50</v>
      </c>
      <c r="CG141" s="7">
        <v>0.76190500000000005</v>
      </c>
      <c r="CH141" s="7">
        <v>81.053697999999997</v>
      </c>
      <c r="CI141" s="7">
        <v>100</v>
      </c>
      <c r="CJ141" s="7">
        <v>0</v>
      </c>
      <c r="CK141" s="7">
        <v>0.79545500000000002</v>
      </c>
      <c r="CL141" s="7">
        <v>84.622823999999994</v>
      </c>
      <c r="CM141" s="7">
        <v>100</v>
      </c>
      <c r="CN141" s="7">
        <v>0.57299999999999995</v>
      </c>
      <c r="CO141" s="7">
        <v>76.444444000000004</v>
      </c>
      <c r="CP141" s="7">
        <v>100</v>
      </c>
      <c r="CQ141" s="7">
        <v>0.141176</v>
      </c>
      <c r="CR141" s="7">
        <v>0.75221199999999999</v>
      </c>
      <c r="CS141" s="7">
        <v>4.7058819999999999</v>
      </c>
      <c r="CT141" s="7">
        <v>50</v>
      </c>
      <c r="CU141" s="7">
        <v>0.60182400000000003</v>
      </c>
      <c r="CV141" s="7">
        <v>50</v>
      </c>
      <c r="CW141" s="7">
        <v>50</v>
      </c>
      <c r="CX141" s="7">
        <v>0.79545500000000002</v>
      </c>
      <c r="CY141" s="7">
        <v>0.86666699999999997</v>
      </c>
      <c r="CZ141" s="7">
        <v>7.1211999999999998E-2</v>
      </c>
      <c r="DA141" s="7">
        <v>15.389535</v>
      </c>
      <c r="DB141" s="7">
        <v>17.608319000000002</v>
      </c>
      <c r="DC141" s="7">
        <v>16.064022999999999</v>
      </c>
      <c r="DD141" s="7">
        <v>11.115401</v>
      </c>
      <c r="DE141" s="4" t="s">
        <v>124</v>
      </c>
      <c r="DF141" s="6"/>
      <c r="DG141" s="6"/>
      <c r="DH141" s="6"/>
      <c r="DI141" s="6"/>
      <c r="DJ141" s="4" t="s">
        <v>124</v>
      </c>
      <c r="DK141" s="4" t="s">
        <v>124</v>
      </c>
      <c r="DL141" s="4" t="s">
        <v>124</v>
      </c>
      <c r="DM141" s="4" t="s">
        <v>124</v>
      </c>
      <c r="DN141" s="4" t="s">
        <v>124</v>
      </c>
      <c r="DO141" s="4" t="s">
        <v>124</v>
      </c>
      <c r="DP141" s="6"/>
      <c r="DQ141" s="4" t="s">
        <v>125</v>
      </c>
    </row>
    <row r="142" spans="1:121" ht="20" customHeight="1" x14ac:dyDescent="0.15">
      <c r="A142" s="5">
        <v>2018</v>
      </c>
      <c r="B142" s="3" t="s">
        <v>265</v>
      </c>
      <c r="C142" s="4" t="str">
        <f t="shared" ref="C142:C1167" si="138">"2610013"</f>
        <v>2610013</v>
      </c>
      <c r="D142" s="4" t="s">
        <v>122</v>
      </c>
      <c r="E142" s="4" t="str">
        <f t="shared" si="1"/>
        <v>0000000</v>
      </c>
      <c r="F142" s="4" t="s">
        <v>122</v>
      </c>
      <c r="G142" s="4" t="s">
        <v>122</v>
      </c>
      <c r="H142" s="4" t="s">
        <v>122</v>
      </c>
      <c r="I142" s="6"/>
      <c r="J142" s="4" t="s">
        <v>123</v>
      </c>
      <c r="K142" s="7">
        <v>536.88705500000003</v>
      </c>
      <c r="L142" s="7">
        <v>950</v>
      </c>
      <c r="M142" s="7">
        <v>56.514426999999998</v>
      </c>
      <c r="N142" s="4" t="s">
        <v>124</v>
      </c>
      <c r="O142" s="7">
        <v>0</v>
      </c>
      <c r="P142" s="7">
        <v>58.245651000000002</v>
      </c>
      <c r="Q142" s="7">
        <v>38.830433999999997</v>
      </c>
      <c r="R142" s="7">
        <v>50</v>
      </c>
      <c r="S142" s="7">
        <v>54.484695000000002</v>
      </c>
      <c r="T142" s="7">
        <v>62.754643000000002</v>
      </c>
      <c r="U142" s="7">
        <v>36.323129999999999</v>
      </c>
      <c r="V142" s="7">
        <v>50</v>
      </c>
      <c r="W142" s="7">
        <v>51.529867000000003</v>
      </c>
      <c r="X142" s="7">
        <v>34.353245000000001</v>
      </c>
      <c r="Y142" s="7">
        <v>50</v>
      </c>
      <c r="Z142" s="7">
        <v>55.212721000000002</v>
      </c>
      <c r="AA142" s="7">
        <v>48.491937</v>
      </c>
      <c r="AB142" s="7">
        <v>32.327958000000002</v>
      </c>
      <c r="AC142" s="7">
        <v>50</v>
      </c>
      <c r="AD142" s="7">
        <v>55.303016</v>
      </c>
      <c r="AE142" s="7">
        <v>36.868676999999998</v>
      </c>
      <c r="AF142" s="7">
        <v>50</v>
      </c>
      <c r="AG142" s="7">
        <v>51.984532999999999</v>
      </c>
      <c r="AH142" s="7">
        <v>58.77234</v>
      </c>
      <c r="AI142" s="7">
        <v>34.656354999999998</v>
      </c>
      <c r="AJ142" s="7">
        <v>50</v>
      </c>
      <c r="AK142" s="7">
        <v>8.26</v>
      </c>
      <c r="AL142" s="7">
        <v>6.72</v>
      </c>
      <c r="AM142" s="7">
        <v>6.78</v>
      </c>
      <c r="AN142" s="7">
        <v>0.48300399999999999</v>
      </c>
      <c r="AO142" s="7">
        <v>48.300362999999997</v>
      </c>
      <c r="AP142" s="7">
        <v>100</v>
      </c>
      <c r="AQ142" s="7">
        <v>0.44305899999999998</v>
      </c>
      <c r="AR142" s="7">
        <v>44.30594</v>
      </c>
      <c r="AS142" s="7">
        <v>100</v>
      </c>
      <c r="AT142" s="7">
        <v>0.442716</v>
      </c>
      <c r="AU142" s="7">
        <v>0.52750399999999997</v>
      </c>
      <c r="AV142" s="7">
        <v>44.271648999999996</v>
      </c>
      <c r="AW142" s="7">
        <v>100</v>
      </c>
      <c r="AX142" s="7">
        <v>0.43593599999999999</v>
      </c>
      <c r="AY142" s="7">
        <v>0.45103799999999999</v>
      </c>
      <c r="AZ142" s="7">
        <v>43.593598</v>
      </c>
      <c r="BA142" s="7">
        <v>100</v>
      </c>
      <c r="BB142" s="4" t="s">
        <v>124</v>
      </c>
      <c r="BC142" s="4" t="s">
        <v>124</v>
      </c>
      <c r="BD142" s="4" t="s">
        <v>124</v>
      </c>
      <c r="BE142" s="4" t="s">
        <v>124</v>
      </c>
      <c r="BF142" s="4" t="s">
        <v>124</v>
      </c>
      <c r="BG142" s="4" t="s">
        <v>124</v>
      </c>
      <c r="BH142" s="7">
        <v>0</v>
      </c>
      <c r="BI142" s="7">
        <v>0.99758999999999998</v>
      </c>
      <c r="BJ142" s="7">
        <v>0.995726</v>
      </c>
      <c r="BK142" s="7">
        <v>1</v>
      </c>
      <c r="BL142" s="7">
        <v>0.99277099999999996</v>
      </c>
      <c r="BM142" s="7">
        <v>0.995726</v>
      </c>
      <c r="BN142" s="7">
        <v>0.98895</v>
      </c>
      <c r="BO142" s="7">
        <v>0.97857099999999997</v>
      </c>
      <c r="BP142" s="7">
        <v>0.972603</v>
      </c>
      <c r="BQ142" s="7">
        <v>0.98507500000000003</v>
      </c>
      <c r="BR142" s="7">
        <v>0.179758</v>
      </c>
      <c r="BS142" s="7">
        <v>24.048338000000001</v>
      </c>
      <c r="BT142" s="7">
        <v>50</v>
      </c>
      <c r="BU142" s="7">
        <v>0.19528599999999999</v>
      </c>
      <c r="BV142" s="7">
        <v>20.942761000000001</v>
      </c>
      <c r="BW142" s="7">
        <v>50</v>
      </c>
      <c r="BX142" s="4" t="s">
        <v>124</v>
      </c>
      <c r="BY142" s="4" t="s">
        <v>124</v>
      </c>
      <c r="BZ142" s="4" t="s">
        <v>124</v>
      </c>
      <c r="CA142" s="4" t="s">
        <v>124</v>
      </c>
      <c r="CB142" s="4" t="s">
        <v>124</v>
      </c>
      <c r="CC142" s="4" t="s">
        <v>124</v>
      </c>
      <c r="CD142" s="7">
        <v>0.90384600000000004</v>
      </c>
      <c r="CE142" s="7">
        <v>48.076923000000001</v>
      </c>
      <c r="CF142" s="7">
        <v>50</v>
      </c>
      <c r="CG142" s="4" t="s">
        <v>124</v>
      </c>
      <c r="CH142" s="4" t="s">
        <v>124</v>
      </c>
      <c r="CI142" s="4" t="s">
        <v>124</v>
      </c>
      <c r="CJ142" s="4" t="s">
        <v>124</v>
      </c>
      <c r="CK142" s="4" t="s">
        <v>124</v>
      </c>
      <c r="CL142" s="4" t="s">
        <v>124</v>
      </c>
      <c r="CM142" s="4" t="s">
        <v>124</v>
      </c>
      <c r="CN142" s="4" t="s">
        <v>124</v>
      </c>
      <c r="CO142" s="4" t="s">
        <v>124</v>
      </c>
      <c r="CP142" s="4" t="s">
        <v>124</v>
      </c>
      <c r="CQ142" s="7">
        <v>0.49246200000000001</v>
      </c>
      <c r="CR142" s="7">
        <v>0.995</v>
      </c>
      <c r="CS142" s="7">
        <v>32.830821</v>
      </c>
      <c r="CT142" s="7">
        <v>50</v>
      </c>
      <c r="CU142" s="7">
        <v>0.20588200000000001</v>
      </c>
      <c r="CV142" s="7">
        <v>17.156863000000001</v>
      </c>
      <c r="CW142" s="7">
        <v>50</v>
      </c>
      <c r="CX142" s="4" t="s">
        <v>124</v>
      </c>
      <c r="CY142" s="4" t="s">
        <v>124</v>
      </c>
      <c r="CZ142" s="4" t="s">
        <v>124</v>
      </c>
      <c r="DA142" s="7">
        <v>15.389535</v>
      </c>
      <c r="DB142" s="7">
        <v>17.608319000000002</v>
      </c>
      <c r="DC142" s="7">
        <v>16.064022999999999</v>
      </c>
      <c r="DD142" s="4" t="s">
        <v>124</v>
      </c>
      <c r="DE142" s="4" t="s">
        <v>124</v>
      </c>
      <c r="DF142" s="6"/>
      <c r="DG142" s="6"/>
      <c r="DH142" s="6"/>
      <c r="DI142" s="6"/>
      <c r="DJ142" s="4" t="s">
        <v>124</v>
      </c>
      <c r="DK142" s="4" t="s">
        <v>124</v>
      </c>
      <c r="DL142" s="4" t="s">
        <v>124</v>
      </c>
      <c r="DM142" s="4" t="s">
        <v>124</v>
      </c>
      <c r="DN142" s="4" t="s">
        <v>124</v>
      </c>
      <c r="DO142" s="4" t="s">
        <v>124</v>
      </c>
      <c r="DP142" s="6"/>
      <c r="DQ142" s="4" t="s">
        <v>125</v>
      </c>
    </row>
    <row r="143" spans="1:121" ht="20" customHeight="1" x14ac:dyDescent="0.15">
      <c r="A143" s="5">
        <v>2018</v>
      </c>
      <c r="B143" s="3" t="s">
        <v>266</v>
      </c>
      <c r="C143" s="4" t="str">
        <f>"2630013"</f>
        <v>2630013</v>
      </c>
      <c r="D143" s="4" t="s">
        <v>122</v>
      </c>
      <c r="E143" s="4" t="str">
        <f t="shared" si="1"/>
        <v>0000000</v>
      </c>
      <c r="F143" s="4" t="s">
        <v>122</v>
      </c>
      <c r="G143" s="4" t="s">
        <v>122</v>
      </c>
      <c r="H143" s="4" t="s">
        <v>122</v>
      </c>
      <c r="I143" s="6"/>
      <c r="J143" s="4" t="s">
        <v>123</v>
      </c>
      <c r="K143" s="7">
        <v>740.48101799999995</v>
      </c>
      <c r="L143" s="7">
        <v>1000</v>
      </c>
      <c r="M143" s="7">
        <v>74.048102</v>
      </c>
      <c r="N143" s="4" t="s">
        <v>124</v>
      </c>
      <c r="O143" s="7">
        <v>0</v>
      </c>
      <c r="P143" s="7">
        <v>69.066524000000001</v>
      </c>
      <c r="Q143" s="7">
        <v>46.044348999999997</v>
      </c>
      <c r="R143" s="7">
        <v>50</v>
      </c>
      <c r="S143" s="7">
        <v>64.276443</v>
      </c>
      <c r="T143" s="7">
        <v>73.901371999999995</v>
      </c>
      <c r="U143" s="7">
        <v>42.850962000000003</v>
      </c>
      <c r="V143" s="7">
        <v>50</v>
      </c>
      <c r="W143" s="7">
        <v>65.245142999999999</v>
      </c>
      <c r="X143" s="7">
        <v>43.496761999999997</v>
      </c>
      <c r="Y143" s="7">
        <v>50</v>
      </c>
      <c r="Z143" s="7">
        <v>68.869848000000005</v>
      </c>
      <c r="AA143" s="7">
        <v>61.687562</v>
      </c>
      <c r="AB143" s="7">
        <v>41.125042000000001</v>
      </c>
      <c r="AC143" s="7">
        <v>50</v>
      </c>
      <c r="AD143" s="7">
        <v>65.798528000000005</v>
      </c>
      <c r="AE143" s="7">
        <v>43.865684999999999</v>
      </c>
      <c r="AF143" s="7">
        <v>50</v>
      </c>
      <c r="AG143" s="7">
        <v>62.051468999999997</v>
      </c>
      <c r="AH143" s="7">
        <v>69.649671999999995</v>
      </c>
      <c r="AI143" s="7">
        <v>41.367646000000001</v>
      </c>
      <c r="AJ143" s="7">
        <v>50</v>
      </c>
      <c r="AK143" s="7">
        <v>9.6199999999999992</v>
      </c>
      <c r="AL143" s="7">
        <v>7.18</v>
      </c>
      <c r="AM143" s="7">
        <v>7.59</v>
      </c>
      <c r="AN143" s="7">
        <v>0.66884399999999999</v>
      </c>
      <c r="AO143" s="7">
        <v>66.884395999999995</v>
      </c>
      <c r="AP143" s="7">
        <v>100</v>
      </c>
      <c r="AQ143" s="7">
        <v>0.68443299999999996</v>
      </c>
      <c r="AR143" s="7">
        <v>68.443264999999997</v>
      </c>
      <c r="AS143" s="7">
        <v>100</v>
      </c>
      <c r="AT143" s="7">
        <v>0.64549900000000004</v>
      </c>
      <c r="AU143" s="7">
        <v>0.688994</v>
      </c>
      <c r="AV143" s="7">
        <v>64.549886000000001</v>
      </c>
      <c r="AW143" s="7">
        <v>100</v>
      </c>
      <c r="AX143" s="7">
        <v>0.64676100000000003</v>
      </c>
      <c r="AY143" s="7">
        <v>0.71694899999999995</v>
      </c>
      <c r="AZ143" s="7">
        <v>64.676068999999998</v>
      </c>
      <c r="BA143" s="7">
        <v>100</v>
      </c>
      <c r="BB143" s="7">
        <v>0.50989700000000004</v>
      </c>
      <c r="BC143" s="7">
        <v>25.494838999999999</v>
      </c>
      <c r="BD143" s="7">
        <v>50</v>
      </c>
      <c r="BE143" s="7">
        <v>0.51215500000000003</v>
      </c>
      <c r="BF143" s="7">
        <v>25.607724999999999</v>
      </c>
      <c r="BG143" s="7">
        <v>50</v>
      </c>
      <c r="BH143" s="7">
        <v>0</v>
      </c>
      <c r="BI143" s="7">
        <v>1</v>
      </c>
      <c r="BJ143" s="7">
        <v>1</v>
      </c>
      <c r="BK143" s="7">
        <v>1</v>
      </c>
      <c r="BL143" s="7">
        <v>0.99541299999999999</v>
      </c>
      <c r="BM143" s="7">
        <v>1</v>
      </c>
      <c r="BN143" s="7">
        <v>0.99082599999999998</v>
      </c>
      <c r="BO143" s="7">
        <v>1</v>
      </c>
      <c r="BP143" s="7">
        <v>1</v>
      </c>
      <c r="BQ143" s="7">
        <v>1</v>
      </c>
      <c r="BR143" s="7">
        <v>5.8824000000000001E-2</v>
      </c>
      <c r="BS143" s="7">
        <v>48.235294000000003</v>
      </c>
      <c r="BT143" s="7">
        <v>50</v>
      </c>
      <c r="BU143" s="7">
        <v>7.2289000000000006E-2</v>
      </c>
      <c r="BV143" s="7">
        <v>45.542169000000001</v>
      </c>
      <c r="BW143" s="7">
        <v>50</v>
      </c>
      <c r="BX143" s="4" t="s">
        <v>124</v>
      </c>
      <c r="BY143" s="4" t="s">
        <v>124</v>
      </c>
      <c r="BZ143" s="4" t="s">
        <v>124</v>
      </c>
      <c r="CA143" s="4" t="s">
        <v>124</v>
      </c>
      <c r="CB143" s="4" t="s">
        <v>124</v>
      </c>
      <c r="CC143" s="4" t="s">
        <v>124</v>
      </c>
      <c r="CD143" s="7">
        <v>0.9375</v>
      </c>
      <c r="CE143" s="7">
        <v>49.867021000000001</v>
      </c>
      <c r="CF143" s="7">
        <v>50</v>
      </c>
      <c r="CG143" s="4" t="s">
        <v>124</v>
      </c>
      <c r="CH143" s="4" t="s">
        <v>124</v>
      </c>
      <c r="CI143" s="4" t="s">
        <v>124</v>
      </c>
      <c r="CJ143" s="4" t="s">
        <v>124</v>
      </c>
      <c r="CK143" s="4" t="s">
        <v>124</v>
      </c>
      <c r="CL143" s="4" t="s">
        <v>124</v>
      </c>
      <c r="CM143" s="4" t="s">
        <v>124</v>
      </c>
      <c r="CN143" s="4" t="s">
        <v>124</v>
      </c>
      <c r="CO143" s="4" t="s">
        <v>124</v>
      </c>
      <c r="CP143" s="4" t="s">
        <v>124</v>
      </c>
      <c r="CQ143" s="7">
        <v>0.336449</v>
      </c>
      <c r="CR143" s="7">
        <v>0.99074099999999998</v>
      </c>
      <c r="CS143" s="7">
        <v>22.429907</v>
      </c>
      <c r="CT143" s="7">
        <v>50</v>
      </c>
      <c r="CU143" s="4" t="s">
        <v>124</v>
      </c>
      <c r="CV143" s="4" t="s">
        <v>124</v>
      </c>
      <c r="CW143" s="4" t="s">
        <v>124</v>
      </c>
      <c r="CX143" s="4" t="s">
        <v>124</v>
      </c>
      <c r="CY143" s="4" t="s">
        <v>124</v>
      </c>
      <c r="CZ143" s="4" t="s">
        <v>124</v>
      </c>
      <c r="DA143" s="7">
        <v>15.389535</v>
      </c>
      <c r="DB143" s="7">
        <v>17.608319000000002</v>
      </c>
      <c r="DC143" s="7">
        <v>16.064022999999999</v>
      </c>
      <c r="DD143" s="4" t="s">
        <v>124</v>
      </c>
      <c r="DE143" s="4" t="s">
        <v>124</v>
      </c>
      <c r="DF143" s="6"/>
      <c r="DG143" s="6"/>
      <c r="DH143" s="6"/>
      <c r="DI143" s="6"/>
      <c r="DJ143" s="4" t="s">
        <v>124</v>
      </c>
      <c r="DK143" s="4" t="s">
        <v>124</v>
      </c>
      <c r="DL143" s="4" t="s">
        <v>124</v>
      </c>
      <c r="DM143" s="4" t="s">
        <v>124</v>
      </c>
      <c r="DN143" s="4" t="s">
        <v>124</v>
      </c>
      <c r="DO143" s="4" t="s">
        <v>124</v>
      </c>
      <c r="DP143" s="6"/>
      <c r="DQ143" s="4" t="s">
        <v>125</v>
      </c>
    </row>
    <row r="144" spans="1:121" ht="20" customHeight="1" x14ac:dyDescent="0.15">
      <c r="A144" s="5">
        <v>2018</v>
      </c>
      <c r="B144" s="3" t="s">
        <v>267</v>
      </c>
      <c r="C144" s="4" t="str">
        <f t="shared" ref="C144:C1169" si="139">"2640013"</f>
        <v>2640013</v>
      </c>
      <c r="D144" s="4" t="s">
        <v>122</v>
      </c>
      <c r="E144" s="4" t="str">
        <f t="shared" si="1"/>
        <v>0000000</v>
      </c>
      <c r="F144" s="4" t="s">
        <v>122</v>
      </c>
      <c r="G144" s="4" t="s">
        <v>122</v>
      </c>
      <c r="H144" s="4" t="s">
        <v>122</v>
      </c>
      <c r="I144" s="6"/>
      <c r="J144" s="4" t="s">
        <v>123</v>
      </c>
      <c r="K144" s="7">
        <v>733.78830800000003</v>
      </c>
      <c r="L144" s="7">
        <v>1000</v>
      </c>
      <c r="M144" s="7">
        <v>73.378831000000005</v>
      </c>
      <c r="N144" s="4" t="s">
        <v>124</v>
      </c>
      <c r="O144" s="7">
        <v>0</v>
      </c>
      <c r="P144" s="7">
        <v>67.430136000000005</v>
      </c>
      <c r="Q144" s="7">
        <v>44.953423999999998</v>
      </c>
      <c r="R144" s="7">
        <v>50</v>
      </c>
      <c r="S144" s="7">
        <v>61.999834999999997</v>
      </c>
      <c r="T144" s="7">
        <v>73.260564000000002</v>
      </c>
      <c r="U144" s="7">
        <v>41.333222999999997</v>
      </c>
      <c r="V144" s="7">
        <v>50</v>
      </c>
      <c r="W144" s="7">
        <v>60.592610000000001</v>
      </c>
      <c r="X144" s="7">
        <v>40.395074000000001</v>
      </c>
      <c r="Y144" s="7">
        <v>50</v>
      </c>
      <c r="Z144" s="7">
        <v>64.909591000000006</v>
      </c>
      <c r="AA144" s="7">
        <v>56.571894</v>
      </c>
      <c r="AB144" s="7">
        <v>37.714596</v>
      </c>
      <c r="AC144" s="7">
        <v>50</v>
      </c>
      <c r="AD144" s="7">
        <v>68.753253000000001</v>
      </c>
      <c r="AE144" s="7">
        <v>45.835501999999998</v>
      </c>
      <c r="AF144" s="7">
        <v>50</v>
      </c>
      <c r="AG144" s="7">
        <v>64.026537000000005</v>
      </c>
      <c r="AH144" s="7">
        <v>72.534626000000003</v>
      </c>
      <c r="AI144" s="7">
        <v>42.684358000000003</v>
      </c>
      <c r="AJ144" s="7">
        <v>50</v>
      </c>
      <c r="AK144" s="7">
        <v>11.26</v>
      </c>
      <c r="AL144" s="7">
        <v>8.33</v>
      </c>
      <c r="AM144" s="7">
        <v>8.5</v>
      </c>
      <c r="AN144" s="7">
        <v>0.52647299999999997</v>
      </c>
      <c r="AO144" s="7">
        <v>52.647275</v>
      </c>
      <c r="AP144" s="7">
        <v>100</v>
      </c>
      <c r="AQ144" s="7">
        <v>0.66329300000000002</v>
      </c>
      <c r="AR144" s="7">
        <v>66.329255000000003</v>
      </c>
      <c r="AS144" s="7">
        <v>100</v>
      </c>
      <c r="AT144" s="7">
        <v>0.50417900000000004</v>
      </c>
      <c r="AU144" s="7">
        <v>0.54572699999999996</v>
      </c>
      <c r="AV144" s="7">
        <v>50.417853999999998</v>
      </c>
      <c r="AW144" s="7">
        <v>100</v>
      </c>
      <c r="AX144" s="7">
        <v>0.67450699999999997</v>
      </c>
      <c r="AY144" s="7">
        <v>0.65360799999999997</v>
      </c>
      <c r="AZ144" s="7">
        <v>67.450659000000002</v>
      </c>
      <c r="BA144" s="7">
        <v>100</v>
      </c>
      <c r="BB144" s="7">
        <v>0.62668599999999997</v>
      </c>
      <c r="BC144" s="7">
        <v>31.334313999999999</v>
      </c>
      <c r="BD144" s="7">
        <v>50</v>
      </c>
      <c r="BE144" s="7">
        <v>0.59946900000000003</v>
      </c>
      <c r="BF144" s="7">
        <v>29.973451000000001</v>
      </c>
      <c r="BG144" s="7">
        <v>50</v>
      </c>
      <c r="BH144" s="7">
        <v>0</v>
      </c>
      <c r="BI144" s="7">
        <v>0.98507500000000003</v>
      </c>
      <c r="BJ144" s="7">
        <v>1</v>
      </c>
      <c r="BK144" s="7">
        <v>0.96969700000000003</v>
      </c>
      <c r="BL144" s="7">
        <v>0.98507500000000003</v>
      </c>
      <c r="BM144" s="7">
        <v>1</v>
      </c>
      <c r="BN144" s="7">
        <v>0.96969700000000003</v>
      </c>
      <c r="BO144" s="7">
        <v>1</v>
      </c>
      <c r="BP144" s="7">
        <v>1</v>
      </c>
      <c r="BQ144" s="7">
        <v>1</v>
      </c>
      <c r="BR144" s="7">
        <v>0.04</v>
      </c>
      <c r="BS144" s="7">
        <v>50</v>
      </c>
      <c r="BT144" s="7">
        <v>50</v>
      </c>
      <c r="BU144" s="7">
        <v>5.6337999999999999E-2</v>
      </c>
      <c r="BV144" s="7">
        <v>48.732393999999999</v>
      </c>
      <c r="BW144" s="7">
        <v>50</v>
      </c>
      <c r="BX144" s="4" t="s">
        <v>124</v>
      </c>
      <c r="BY144" s="4" t="s">
        <v>124</v>
      </c>
      <c r="BZ144" s="4" t="s">
        <v>124</v>
      </c>
      <c r="CA144" s="4" t="s">
        <v>124</v>
      </c>
      <c r="CB144" s="4" t="s">
        <v>124</v>
      </c>
      <c r="CC144" s="4" t="s">
        <v>124</v>
      </c>
      <c r="CD144" s="7">
        <v>0.96551699999999996</v>
      </c>
      <c r="CE144" s="7">
        <v>50</v>
      </c>
      <c r="CF144" s="7">
        <v>50</v>
      </c>
      <c r="CG144" s="4" t="s">
        <v>124</v>
      </c>
      <c r="CH144" s="4" t="s">
        <v>124</v>
      </c>
      <c r="CI144" s="4" t="s">
        <v>124</v>
      </c>
      <c r="CJ144" s="4" t="s">
        <v>124</v>
      </c>
      <c r="CK144" s="4" t="s">
        <v>124</v>
      </c>
      <c r="CL144" s="4" t="s">
        <v>124</v>
      </c>
      <c r="CM144" s="4" t="s">
        <v>124</v>
      </c>
      <c r="CN144" s="4" t="s">
        <v>124</v>
      </c>
      <c r="CO144" s="4" t="s">
        <v>124</v>
      </c>
      <c r="CP144" s="4" t="s">
        <v>124</v>
      </c>
      <c r="CQ144" s="7">
        <v>0.50980400000000003</v>
      </c>
      <c r="CR144" s="7">
        <v>1</v>
      </c>
      <c r="CS144" s="7">
        <v>33.986927999999999</v>
      </c>
      <c r="CT144" s="7">
        <v>50</v>
      </c>
      <c r="CU144" s="4" t="s">
        <v>124</v>
      </c>
      <c r="CV144" s="4" t="s">
        <v>124</v>
      </c>
      <c r="CW144" s="4" t="s">
        <v>124</v>
      </c>
      <c r="CX144" s="4" t="s">
        <v>124</v>
      </c>
      <c r="CY144" s="4" t="s">
        <v>124</v>
      </c>
      <c r="CZ144" s="4" t="s">
        <v>124</v>
      </c>
      <c r="DA144" s="7">
        <v>15.389535</v>
      </c>
      <c r="DB144" s="7">
        <v>17.608319000000002</v>
      </c>
      <c r="DC144" s="7">
        <v>16.064022999999999</v>
      </c>
      <c r="DD144" s="4" t="s">
        <v>124</v>
      </c>
      <c r="DE144" s="4" t="s">
        <v>124</v>
      </c>
      <c r="DF144" s="6"/>
      <c r="DG144" s="6"/>
      <c r="DH144" s="6"/>
      <c r="DI144" s="6"/>
      <c r="DJ144" s="4" t="s">
        <v>124</v>
      </c>
      <c r="DK144" s="4" t="s">
        <v>124</v>
      </c>
      <c r="DL144" s="4" t="s">
        <v>124</v>
      </c>
      <c r="DM144" s="4" t="s">
        <v>124</v>
      </c>
      <c r="DN144" s="4" t="s">
        <v>124</v>
      </c>
      <c r="DO144" s="4" t="s">
        <v>124</v>
      </c>
      <c r="DP144" s="6"/>
      <c r="DQ144" s="4" t="s">
        <v>125</v>
      </c>
    </row>
    <row r="145" spans="1:121" ht="20" customHeight="1" x14ac:dyDescent="0.15">
      <c r="A145" s="5">
        <v>2018</v>
      </c>
      <c r="B145" s="3" t="s">
        <v>268</v>
      </c>
      <c r="C145" s="4" t="str">
        <f t="shared" ref="C145:C1170" si="140">"2650013"</f>
        <v>2650013</v>
      </c>
      <c r="D145" s="4" t="s">
        <v>122</v>
      </c>
      <c r="E145" s="4" t="str">
        <f t="shared" si="1"/>
        <v>0000000</v>
      </c>
      <c r="F145" s="4" t="s">
        <v>122</v>
      </c>
      <c r="G145" s="4" t="s">
        <v>122</v>
      </c>
      <c r="H145" s="4" t="s">
        <v>122</v>
      </c>
      <c r="I145" s="6"/>
      <c r="J145" s="4" t="s">
        <v>123</v>
      </c>
      <c r="K145" s="7">
        <v>599.97569799999997</v>
      </c>
      <c r="L145" s="7">
        <v>1000</v>
      </c>
      <c r="M145" s="7">
        <v>59.997570000000003</v>
      </c>
      <c r="N145" s="4" t="s">
        <v>124</v>
      </c>
      <c r="O145" s="7">
        <v>0</v>
      </c>
      <c r="P145" s="7">
        <v>57.330294000000002</v>
      </c>
      <c r="Q145" s="7">
        <v>38.220196000000001</v>
      </c>
      <c r="R145" s="7">
        <v>50</v>
      </c>
      <c r="S145" s="7">
        <v>54.632936000000001</v>
      </c>
      <c r="T145" s="7">
        <v>65.731900999999993</v>
      </c>
      <c r="U145" s="7">
        <v>36.421956999999999</v>
      </c>
      <c r="V145" s="7">
        <v>50</v>
      </c>
      <c r="W145" s="7">
        <v>46.764758</v>
      </c>
      <c r="X145" s="7">
        <v>31.176504999999999</v>
      </c>
      <c r="Y145" s="7">
        <v>50</v>
      </c>
      <c r="Z145" s="7">
        <v>53.757151999999998</v>
      </c>
      <c r="AA145" s="7">
        <v>44.519831000000003</v>
      </c>
      <c r="AB145" s="7">
        <v>29.679887000000001</v>
      </c>
      <c r="AC145" s="7">
        <v>50</v>
      </c>
      <c r="AD145" s="7">
        <v>52.221552000000003</v>
      </c>
      <c r="AE145" s="7">
        <v>34.814368000000002</v>
      </c>
      <c r="AF145" s="7">
        <v>50</v>
      </c>
      <c r="AG145" s="7">
        <v>49.247126000000002</v>
      </c>
      <c r="AH145" s="7">
        <v>61.144827999999997</v>
      </c>
      <c r="AI145" s="7">
        <v>32.831417999999999</v>
      </c>
      <c r="AJ145" s="7">
        <v>50</v>
      </c>
      <c r="AK145" s="7">
        <v>11.09</v>
      </c>
      <c r="AL145" s="7">
        <v>9.23</v>
      </c>
      <c r="AM145" s="7">
        <v>11.89</v>
      </c>
      <c r="AN145" s="7">
        <v>0.50406200000000001</v>
      </c>
      <c r="AO145" s="7">
        <v>50.406182999999999</v>
      </c>
      <c r="AP145" s="7">
        <v>100</v>
      </c>
      <c r="AQ145" s="7">
        <v>0.43598199999999998</v>
      </c>
      <c r="AR145" s="7">
        <v>43.598196000000002</v>
      </c>
      <c r="AS145" s="7">
        <v>100</v>
      </c>
      <c r="AT145" s="7">
        <v>0.505888</v>
      </c>
      <c r="AU145" s="7">
        <v>0.49883699999999997</v>
      </c>
      <c r="AV145" s="7">
        <v>50.588766</v>
      </c>
      <c r="AW145" s="7">
        <v>100</v>
      </c>
      <c r="AX145" s="7">
        <v>0.47232800000000003</v>
      </c>
      <c r="AY145" s="7">
        <v>0.33197599999999999</v>
      </c>
      <c r="AZ145" s="7">
        <v>47.232812000000003</v>
      </c>
      <c r="BA145" s="7">
        <v>100</v>
      </c>
      <c r="BB145" s="7">
        <v>0.57960299999999998</v>
      </c>
      <c r="BC145" s="7">
        <v>28.980159</v>
      </c>
      <c r="BD145" s="7">
        <v>50</v>
      </c>
      <c r="BE145" s="7">
        <v>0.67495700000000003</v>
      </c>
      <c r="BF145" s="7">
        <v>33.747857000000003</v>
      </c>
      <c r="BG145" s="7">
        <v>50</v>
      </c>
      <c r="BH145" s="7">
        <v>0</v>
      </c>
      <c r="BI145" s="7">
        <v>0.99609400000000003</v>
      </c>
      <c r="BJ145" s="7">
        <v>0.99487199999999998</v>
      </c>
      <c r="BK145" s="7">
        <v>1</v>
      </c>
      <c r="BL145" s="7">
        <v>0.99609400000000003</v>
      </c>
      <c r="BM145" s="7">
        <v>0.99487199999999998</v>
      </c>
      <c r="BN145" s="7">
        <v>1</v>
      </c>
      <c r="BO145" s="7">
        <v>1</v>
      </c>
      <c r="BP145" s="7">
        <v>1</v>
      </c>
      <c r="BQ145" s="7">
        <v>1</v>
      </c>
      <c r="BR145" s="7">
        <v>0.101563</v>
      </c>
      <c r="BS145" s="7">
        <v>39.6875</v>
      </c>
      <c r="BT145" s="7">
        <v>50</v>
      </c>
      <c r="BU145" s="7">
        <v>0.13541700000000001</v>
      </c>
      <c r="BV145" s="7">
        <v>32.916666999999997</v>
      </c>
      <c r="BW145" s="7">
        <v>50</v>
      </c>
      <c r="BX145" s="4" t="s">
        <v>124</v>
      </c>
      <c r="BY145" s="4" t="s">
        <v>124</v>
      </c>
      <c r="BZ145" s="4" t="s">
        <v>124</v>
      </c>
      <c r="CA145" s="4" t="s">
        <v>124</v>
      </c>
      <c r="CB145" s="4" t="s">
        <v>124</v>
      </c>
      <c r="CC145" s="4" t="s">
        <v>124</v>
      </c>
      <c r="CD145" s="7">
        <v>0.93243200000000004</v>
      </c>
      <c r="CE145" s="7">
        <v>49.597470000000001</v>
      </c>
      <c r="CF145" s="7">
        <v>50</v>
      </c>
      <c r="CG145" s="4" t="s">
        <v>124</v>
      </c>
      <c r="CH145" s="4" t="s">
        <v>124</v>
      </c>
      <c r="CI145" s="4" t="s">
        <v>124</v>
      </c>
      <c r="CJ145" s="4" t="s">
        <v>124</v>
      </c>
      <c r="CK145" s="4" t="s">
        <v>124</v>
      </c>
      <c r="CL145" s="4" t="s">
        <v>124</v>
      </c>
      <c r="CM145" s="4" t="s">
        <v>124</v>
      </c>
      <c r="CN145" s="4" t="s">
        <v>124</v>
      </c>
      <c r="CO145" s="4" t="s">
        <v>124</v>
      </c>
      <c r="CP145" s="4" t="s">
        <v>124</v>
      </c>
      <c r="CQ145" s="7">
        <v>0.30113600000000001</v>
      </c>
      <c r="CR145" s="7">
        <v>1.0232559999999999</v>
      </c>
      <c r="CS145" s="7">
        <v>20.075758</v>
      </c>
      <c r="CT145" s="7">
        <v>50</v>
      </c>
      <c r="CU145" s="4" t="s">
        <v>124</v>
      </c>
      <c r="CV145" s="4" t="s">
        <v>124</v>
      </c>
      <c r="CW145" s="4" t="s">
        <v>124</v>
      </c>
      <c r="CX145" s="4" t="s">
        <v>124</v>
      </c>
      <c r="CY145" s="4" t="s">
        <v>124</v>
      </c>
      <c r="CZ145" s="4" t="s">
        <v>124</v>
      </c>
      <c r="DA145" s="7">
        <v>15.389535</v>
      </c>
      <c r="DB145" s="7">
        <v>17.608319000000002</v>
      </c>
      <c r="DC145" s="7">
        <v>16.064022999999999</v>
      </c>
      <c r="DD145" s="4" t="s">
        <v>124</v>
      </c>
      <c r="DE145" s="4" t="s">
        <v>124</v>
      </c>
      <c r="DF145" s="6"/>
      <c r="DG145" s="6"/>
      <c r="DH145" s="6"/>
      <c r="DI145" s="6"/>
      <c r="DJ145" s="4" t="s">
        <v>124</v>
      </c>
      <c r="DK145" s="4" t="s">
        <v>124</v>
      </c>
      <c r="DL145" s="4" t="s">
        <v>124</v>
      </c>
      <c r="DM145" s="4" t="s">
        <v>124</v>
      </c>
      <c r="DN145" s="4" t="s">
        <v>124</v>
      </c>
      <c r="DO145" s="4" t="s">
        <v>124</v>
      </c>
      <c r="DP145" s="6"/>
      <c r="DQ145" s="4" t="s">
        <v>125</v>
      </c>
    </row>
    <row r="146" spans="1:121" ht="20" customHeight="1" x14ac:dyDescent="0.15">
      <c r="A146" s="5">
        <v>2018</v>
      </c>
      <c r="B146" s="3" t="s">
        <v>269</v>
      </c>
      <c r="C146" s="4" t="str">
        <f t="shared" ref="C146:C1171" si="141">"2680013"</f>
        <v>2680013</v>
      </c>
      <c r="D146" s="4" t="s">
        <v>122</v>
      </c>
      <c r="E146" s="4" t="str">
        <f t="shared" si="1"/>
        <v>0000000</v>
      </c>
      <c r="F146" s="4" t="s">
        <v>122</v>
      </c>
      <c r="G146" s="4" t="s">
        <v>122</v>
      </c>
      <c r="H146" s="4" t="s">
        <v>122</v>
      </c>
      <c r="I146" s="6"/>
      <c r="J146" s="4" t="s">
        <v>123</v>
      </c>
      <c r="K146" s="7">
        <v>944.75327500000003</v>
      </c>
      <c r="L146" s="7">
        <v>1450</v>
      </c>
      <c r="M146" s="7">
        <v>65.155398000000005</v>
      </c>
      <c r="N146" s="4" t="s">
        <v>124</v>
      </c>
      <c r="O146" s="7">
        <v>0</v>
      </c>
      <c r="P146" s="7">
        <v>43.388888999999999</v>
      </c>
      <c r="Q146" s="7">
        <v>86.777777999999998</v>
      </c>
      <c r="R146" s="7">
        <v>150</v>
      </c>
      <c r="S146" s="7">
        <v>41.102150999999999</v>
      </c>
      <c r="T146" s="4" t="s">
        <v>124</v>
      </c>
      <c r="U146" s="7">
        <v>82.204301000000001</v>
      </c>
      <c r="V146" s="7">
        <v>150</v>
      </c>
      <c r="W146" s="7">
        <v>38.311965999999998</v>
      </c>
      <c r="X146" s="7">
        <v>76.623931999999996</v>
      </c>
      <c r="Y146" s="7">
        <v>150</v>
      </c>
      <c r="Z146" s="4" t="s">
        <v>124</v>
      </c>
      <c r="AA146" s="7">
        <v>37.376344000000003</v>
      </c>
      <c r="AB146" s="7">
        <v>74.752688000000006</v>
      </c>
      <c r="AC146" s="7">
        <v>150</v>
      </c>
      <c r="AD146" s="7">
        <v>42.463563000000001</v>
      </c>
      <c r="AE146" s="7">
        <v>56.618084000000003</v>
      </c>
      <c r="AF146" s="7">
        <v>100</v>
      </c>
      <c r="AG146" s="7">
        <v>40.361538000000003</v>
      </c>
      <c r="AH146" s="4" t="s">
        <v>124</v>
      </c>
      <c r="AI146" s="7">
        <v>53.815384999999999</v>
      </c>
      <c r="AJ146" s="7">
        <v>100</v>
      </c>
      <c r="AK146" s="4" t="s">
        <v>124</v>
      </c>
      <c r="AL146" s="4" t="s">
        <v>124</v>
      </c>
      <c r="AM146" s="4" t="s">
        <v>124</v>
      </c>
      <c r="AN146" s="4" t="s">
        <v>124</v>
      </c>
      <c r="AO146" s="4" t="s">
        <v>124</v>
      </c>
      <c r="AP146" s="4" t="s">
        <v>124</v>
      </c>
      <c r="AQ146" s="4" t="s">
        <v>124</v>
      </c>
      <c r="AR146" s="4" t="s">
        <v>124</v>
      </c>
      <c r="AS146" s="4" t="s">
        <v>124</v>
      </c>
      <c r="AT146" s="4" t="s">
        <v>124</v>
      </c>
      <c r="AU146" s="4" t="s">
        <v>124</v>
      </c>
      <c r="AV146" s="4" t="s">
        <v>124</v>
      </c>
      <c r="AW146" s="4" t="s">
        <v>124</v>
      </c>
      <c r="AX146" s="4" t="s">
        <v>124</v>
      </c>
      <c r="AY146" s="4" t="s">
        <v>124</v>
      </c>
      <c r="AZ146" s="4" t="s">
        <v>124</v>
      </c>
      <c r="BA146" s="4" t="s">
        <v>124</v>
      </c>
      <c r="BB146" s="4" t="s">
        <v>124</v>
      </c>
      <c r="BC146" s="4" t="s">
        <v>124</v>
      </c>
      <c r="BD146" s="4" t="s">
        <v>124</v>
      </c>
      <c r="BE146" s="4" t="s">
        <v>124</v>
      </c>
      <c r="BF146" s="4" t="s">
        <v>124</v>
      </c>
      <c r="BG146" s="4" t="s">
        <v>124</v>
      </c>
      <c r="BH146" s="7">
        <v>0</v>
      </c>
      <c r="BI146" s="7">
        <v>1</v>
      </c>
      <c r="BJ146" s="7">
        <v>1</v>
      </c>
      <c r="BK146" s="4" t="s">
        <v>124</v>
      </c>
      <c r="BL146" s="7">
        <v>1</v>
      </c>
      <c r="BM146" s="7">
        <v>1</v>
      </c>
      <c r="BN146" s="4" t="s">
        <v>124</v>
      </c>
      <c r="BO146" s="7">
        <v>0.97560999999999998</v>
      </c>
      <c r="BP146" s="7">
        <v>0.96875</v>
      </c>
      <c r="BQ146" s="4" t="s">
        <v>124</v>
      </c>
      <c r="BR146" s="7">
        <v>0.12562799999999999</v>
      </c>
      <c r="BS146" s="7">
        <v>34.874372000000001</v>
      </c>
      <c r="BT146" s="7">
        <v>50</v>
      </c>
      <c r="BU146" s="7">
        <v>0.162162</v>
      </c>
      <c r="BV146" s="7">
        <v>27.567568000000001</v>
      </c>
      <c r="BW146" s="7">
        <v>50</v>
      </c>
      <c r="BX146" s="7">
        <v>0.88095199999999996</v>
      </c>
      <c r="BY146" s="7">
        <v>50</v>
      </c>
      <c r="BZ146" s="7">
        <v>50</v>
      </c>
      <c r="CA146" s="7">
        <v>0.25</v>
      </c>
      <c r="CB146" s="7">
        <v>16.666667</v>
      </c>
      <c r="CC146" s="7">
        <v>50</v>
      </c>
      <c r="CD146" s="7">
        <v>0.93442599999999998</v>
      </c>
      <c r="CE146" s="7">
        <v>49.703522999999997</v>
      </c>
      <c r="CF146" s="7">
        <v>50</v>
      </c>
      <c r="CG146" s="7">
        <v>0.91891900000000004</v>
      </c>
      <c r="CH146" s="7">
        <v>97.757332000000005</v>
      </c>
      <c r="CI146" s="7">
        <v>100</v>
      </c>
      <c r="CJ146" s="7">
        <v>0</v>
      </c>
      <c r="CK146" s="7">
        <v>0.92592600000000003</v>
      </c>
      <c r="CL146" s="7">
        <v>98.502758</v>
      </c>
      <c r="CM146" s="7">
        <v>100</v>
      </c>
      <c r="CN146" s="7">
        <v>0.66700000000000004</v>
      </c>
      <c r="CO146" s="7">
        <v>88.888889000000006</v>
      </c>
      <c r="CP146" s="7">
        <v>100</v>
      </c>
      <c r="CQ146" s="7">
        <v>0</v>
      </c>
      <c r="CR146" s="7">
        <v>0.83928599999999998</v>
      </c>
      <c r="CS146" s="7">
        <v>0</v>
      </c>
      <c r="CT146" s="7">
        <v>50</v>
      </c>
      <c r="CU146" s="7">
        <v>0.66331700000000005</v>
      </c>
      <c r="CV146" s="7">
        <v>50</v>
      </c>
      <c r="CW146" s="7">
        <v>50</v>
      </c>
      <c r="CX146" s="7">
        <v>0.92592600000000003</v>
      </c>
      <c r="CY146" s="4" t="s">
        <v>124</v>
      </c>
      <c r="CZ146" s="4" t="s">
        <v>124</v>
      </c>
      <c r="DA146" s="7">
        <v>15.389535</v>
      </c>
      <c r="DB146" s="7">
        <v>17.608319000000002</v>
      </c>
      <c r="DC146" s="7">
        <v>16.064022999999999</v>
      </c>
      <c r="DD146" s="7">
        <v>11.115401</v>
      </c>
      <c r="DE146" s="4" t="s">
        <v>124</v>
      </c>
      <c r="DF146" s="6"/>
      <c r="DG146" s="6"/>
      <c r="DH146" s="6"/>
      <c r="DI146" s="6"/>
      <c r="DJ146" s="4" t="s">
        <v>124</v>
      </c>
      <c r="DK146" s="4" t="s">
        <v>124</v>
      </c>
      <c r="DL146" s="4" t="s">
        <v>124</v>
      </c>
      <c r="DM146" s="4" t="s">
        <v>124</v>
      </c>
      <c r="DN146" s="4" t="s">
        <v>124</v>
      </c>
      <c r="DO146" s="4" t="s">
        <v>124</v>
      </c>
      <c r="DP146" s="6"/>
      <c r="DQ146" s="4" t="s">
        <v>125</v>
      </c>
    </row>
    <row r="147" spans="1:121" ht="20" customHeight="1" x14ac:dyDescent="0.15">
      <c r="A147" s="5">
        <v>2018</v>
      </c>
      <c r="B147" s="3" t="s">
        <v>270</v>
      </c>
      <c r="C147" s="4" t="str">
        <f t="shared" ref="C147:C1172" si="142">"2690013"</f>
        <v>2690013</v>
      </c>
      <c r="D147" s="4" t="s">
        <v>122</v>
      </c>
      <c r="E147" s="4" t="str">
        <f t="shared" si="1"/>
        <v>0000000</v>
      </c>
      <c r="F147" s="4" t="s">
        <v>122</v>
      </c>
      <c r="G147" s="4" t="s">
        <v>122</v>
      </c>
      <c r="H147" s="4" t="s">
        <v>122</v>
      </c>
      <c r="I147" s="6"/>
      <c r="J147" s="4" t="s">
        <v>123</v>
      </c>
      <c r="K147" s="7">
        <v>803.825917</v>
      </c>
      <c r="L147" s="7">
        <v>1350</v>
      </c>
      <c r="M147" s="7">
        <v>59.542661000000003</v>
      </c>
      <c r="N147" s="4" t="s">
        <v>124</v>
      </c>
      <c r="O147" s="7">
        <v>0</v>
      </c>
      <c r="P147" s="7">
        <v>53.134168000000003</v>
      </c>
      <c r="Q147" s="7">
        <v>35.422778000000001</v>
      </c>
      <c r="R147" s="7">
        <v>50</v>
      </c>
      <c r="S147" s="7">
        <v>51.462896999999998</v>
      </c>
      <c r="T147" s="7">
        <v>60.019804999999998</v>
      </c>
      <c r="U147" s="7">
        <v>34.308598000000003</v>
      </c>
      <c r="V147" s="7">
        <v>50</v>
      </c>
      <c r="W147" s="7">
        <v>44.241345000000003</v>
      </c>
      <c r="X147" s="7">
        <v>29.494230000000002</v>
      </c>
      <c r="Y147" s="7">
        <v>50</v>
      </c>
      <c r="Z147" s="7">
        <v>47.099710999999999</v>
      </c>
      <c r="AA147" s="7">
        <v>43.540765</v>
      </c>
      <c r="AB147" s="7">
        <v>29.027176999999998</v>
      </c>
      <c r="AC147" s="7">
        <v>50</v>
      </c>
      <c r="AD147" s="7">
        <v>47.586194999999996</v>
      </c>
      <c r="AE147" s="7">
        <v>31.724129999999999</v>
      </c>
      <c r="AF147" s="7">
        <v>50</v>
      </c>
      <c r="AG147" s="7">
        <v>46.704166000000001</v>
      </c>
      <c r="AH147" s="4" t="s">
        <v>124</v>
      </c>
      <c r="AI147" s="7">
        <v>31.136111</v>
      </c>
      <c r="AJ147" s="7">
        <v>50</v>
      </c>
      <c r="AK147" s="7">
        <v>8.5500000000000007</v>
      </c>
      <c r="AL147" s="7">
        <v>3.55</v>
      </c>
      <c r="AM147" s="4" t="s">
        <v>124</v>
      </c>
      <c r="AN147" s="7">
        <v>0.51880899999999996</v>
      </c>
      <c r="AO147" s="7">
        <v>51.880938999999998</v>
      </c>
      <c r="AP147" s="7">
        <v>100</v>
      </c>
      <c r="AQ147" s="7">
        <v>0.54472299999999996</v>
      </c>
      <c r="AR147" s="7">
        <v>54.472251</v>
      </c>
      <c r="AS147" s="7">
        <v>100</v>
      </c>
      <c r="AT147" s="7">
        <v>0.49775900000000001</v>
      </c>
      <c r="AU147" s="4" t="s">
        <v>124</v>
      </c>
      <c r="AV147" s="7">
        <v>49.7759</v>
      </c>
      <c r="AW147" s="7">
        <v>100</v>
      </c>
      <c r="AX147" s="7">
        <v>0.55478799999999995</v>
      </c>
      <c r="AY147" s="4" t="s">
        <v>124</v>
      </c>
      <c r="AZ147" s="7">
        <v>55.478845999999997</v>
      </c>
      <c r="BA147" s="7">
        <v>100</v>
      </c>
      <c r="BB147" s="4" t="s">
        <v>124</v>
      </c>
      <c r="BC147" s="4" t="s">
        <v>124</v>
      </c>
      <c r="BD147" s="4" t="s">
        <v>124</v>
      </c>
      <c r="BE147" s="4" t="s">
        <v>124</v>
      </c>
      <c r="BF147" s="4" t="s">
        <v>124</v>
      </c>
      <c r="BG147" s="4" t="s">
        <v>124</v>
      </c>
      <c r="BH147" s="7">
        <v>0</v>
      </c>
      <c r="BI147" s="7">
        <v>1</v>
      </c>
      <c r="BJ147" s="7">
        <v>1</v>
      </c>
      <c r="BK147" s="7">
        <v>1</v>
      </c>
      <c r="BL147" s="7">
        <v>1</v>
      </c>
      <c r="BM147" s="7">
        <v>1</v>
      </c>
      <c r="BN147" s="7">
        <v>1</v>
      </c>
      <c r="BO147" s="7">
        <v>1</v>
      </c>
      <c r="BP147" s="7">
        <v>1</v>
      </c>
      <c r="BQ147" s="4" t="s">
        <v>124</v>
      </c>
      <c r="BR147" s="7">
        <v>0.17829500000000001</v>
      </c>
      <c r="BS147" s="7">
        <v>24.341085</v>
      </c>
      <c r="BT147" s="7">
        <v>50</v>
      </c>
      <c r="BU147" s="7">
        <v>0.19069800000000001</v>
      </c>
      <c r="BV147" s="7">
        <v>21.860465000000001</v>
      </c>
      <c r="BW147" s="7">
        <v>50</v>
      </c>
      <c r="BX147" s="7">
        <v>5.7971000000000002E-2</v>
      </c>
      <c r="BY147" s="7">
        <v>3.8647339999999999</v>
      </c>
      <c r="BZ147" s="7">
        <v>50</v>
      </c>
      <c r="CA147" s="7">
        <v>5.7971000000000002E-2</v>
      </c>
      <c r="CB147" s="7">
        <v>3.8647339999999999</v>
      </c>
      <c r="CC147" s="7">
        <v>50</v>
      </c>
      <c r="CD147" s="7">
        <v>0.87878800000000001</v>
      </c>
      <c r="CE147" s="7">
        <v>46.744036000000001</v>
      </c>
      <c r="CF147" s="7">
        <v>50</v>
      </c>
      <c r="CG147" s="7">
        <v>0.78048799999999996</v>
      </c>
      <c r="CH147" s="7">
        <v>83.030618000000004</v>
      </c>
      <c r="CI147" s="7">
        <v>100</v>
      </c>
      <c r="CJ147" s="7">
        <v>0</v>
      </c>
      <c r="CK147" s="7">
        <v>0.87096799999999996</v>
      </c>
      <c r="CL147" s="7">
        <v>92.656143</v>
      </c>
      <c r="CM147" s="7">
        <v>100</v>
      </c>
      <c r="CN147" s="7">
        <v>0.8</v>
      </c>
      <c r="CO147" s="7">
        <v>100</v>
      </c>
      <c r="CP147" s="7">
        <v>100</v>
      </c>
      <c r="CQ147" s="7">
        <v>0.34065899999999999</v>
      </c>
      <c r="CR147" s="7">
        <v>1.0581400000000001</v>
      </c>
      <c r="CS147" s="7">
        <v>22.710622999999998</v>
      </c>
      <c r="CT147" s="7">
        <v>50</v>
      </c>
      <c r="CU147" s="7">
        <v>2.4389999999999998E-2</v>
      </c>
      <c r="CV147" s="7">
        <v>2.0325199999999999</v>
      </c>
      <c r="CW147" s="7">
        <v>50</v>
      </c>
      <c r="CX147" s="7">
        <v>0.87096799999999996</v>
      </c>
      <c r="CY147" s="4" t="s">
        <v>124</v>
      </c>
      <c r="CZ147" s="4" t="s">
        <v>124</v>
      </c>
      <c r="DA147" s="7">
        <v>15.389535</v>
      </c>
      <c r="DB147" s="7">
        <v>17.608319000000002</v>
      </c>
      <c r="DC147" s="7">
        <v>16.064022999999999</v>
      </c>
      <c r="DD147" s="7">
        <v>11.115401</v>
      </c>
      <c r="DE147" s="4" t="s">
        <v>124</v>
      </c>
      <c r="DF147" s="6"/>
      <c r="DG147" s="6"/>
      <c r="DH147" s="6"/>
      <c r="DI147" s="6"/>
      <c r="DJ147" s="4" t="s">
        <v>124</v>
      </c>
      <c r="DK147" s="4" t="s">
        <v>124</v>
      </c>
      <c r="DL147" s="4" t="s">
        <v>124</v>
      </c>
      <c r="DM147" s="4" t="s">
        <v>124</v>
      </c>
      <c r="DN147" s="4" t="s">
        <v>124</v>
      </c>
      <c r="DO147" s="4" t="s">
        <v>124</v>
      </c>
      <c r="DP147" s="6"/>
      <c r="DQ147" s="4" t="s">
        <v>125</v>
      </c>
    </row>
    <row r="148" spans="1:121" ht="20" customHeight="1" x14ac:dyDescent="0.15">
      <c r="A148" s="5">
        <v>2018</v>
      </c>
      <c r="B148" s="3" t="s">
        <v>271</v>
      </c>
      <c r="C148" s="4" t="str">
        <f t="shared" ref="C148:C1173" si="143">"2700013"</f>
        <v>2700013</v>
      </c>
      <c r="D148" s="4" t="s">
        <v>122</v>
      </c>
      <c r="E148" s="4" t="str">
        <f t="shared" si="1"/>
        <v>0000000</v>
      </c>
      <c r="F148" s="4" t="s">
        <v>122</v>
      </c>
      <c r="G148" s="4" t="s">
        <v>122</v>
      </c>
      <c r="H148" s="4" t="s">
        <v>122</v>
      </c>
      <c r="I148" s="6"/>
      <c r="J148" s="4" t="s">
        <v>123</v>
      </c>
      <c r="K148" s="7">
        <v>684.33468900000003</v>
      </c>
      <c r="L148" s="7">
        <v>850</v>
      </c>
      <c r="M148" s="7">
        <v>80.509962999999999</v>
      </c>
      <c r="N148" s="4" t="s">
        <v>124</v>
      </c>
      <c r="O148" s="7">
        <v>0</v>
      </c>
      <c r="P148" s="7">
        <v>68.885129000000006</v>
      </c>
      <c r="Q148" s="7">
        <v>45.923419000000003</v>
      </c>
      <c r="R148" s="7">
        <v>50</v>
      </c>
      <c r="S148" s="7">
        <v>65.887624000000002</v>
      </c>
      <c r="T148" s="7">
        <v>75</v>
      </c>
      <c r="U148" s="7">
        <v>43.925082000000003</v>
      </c>
      <c r="V148" s="7">
        <v>50</v>
      </c>
      <c r="W148" s="7">
        <v>67.802205999999998</v>
      </c>
      <c r="X148" s="7">
        <v>45.201470999999998</v>
      </c>
      <c r="Y148" s="7">
        <v>50</v>
      </c>
      <c r="Z148" s="7">
        <v>73.681101999999996</v>
      </c>
      <c r="AA148" s="7">
        <v>65.218075999999996</v>
      </c>
      <c r="AB148" s="7">
        <v>43.478717000000003</v>
      </c>
      <c r="AC148" s="7">
        <v>50</v>
      </c>
      <c r="AD148" s="7">
        <v>71.076195999999996</v>
      </c>
      <c r="AE148" s="7">
        <v>47.384130999999996</v>
      </c>
      <c r="AF148" s="7">
        <v>50</v>
      </c>
      <c r="AG148" s="7">
        <v>69.579851000000005</v>
      </c>
      <c r="AH148" s="4" t="s">
        <v>124</v>
      </c>
      <c r="AI148" s="7">
        <v>46.386566999999999</v>
      </c>
      <c r="AJ148" s="7">
        <v>50</v>
      </c>
      <c r="AK148" s="7">
        <v>9.11</v>
      </c>
      <c r="AL148" s="7">
        <v>8.4600000000000009</v>
      </c>
      <c r="AM148" s="4" t="s">
        <v>124</v>
      </c>
      <c r="AN148" s="7">
        <v>0.64149800000000001</v>
      </c>
      <c r="AO148" s="7">
        <v>64.149805999999998</v>
      </c>
      <c r="AP148" s="7">
        <v>100</v>
      </c>
      <c r="AQ148" s="7">
        <v>0.76246899999999995</v>
      </c>
      <c r="AR148" s="7">
        <v>76.246922999999995</v>
      </c>
      <c r="AS148" s="7">
        <v>100</v>
      </c>
      <c r="AT148" s="7">
        <v>0.61407500000000004</v>
      </c>
      <c r="AU148" s="7">
        <v>0.69634399999999996</v>
      </c>
      <c r="AV148" s="7">
        <v>61.407499999999999</v>
      </c>
      <c r="AW148" s="7">
        <v>100</v>
      </c>
      <c r="AX148" s="7">
        <v>0.73810200000000004</v>
      </c>
      <c r="AY148" s="7">
        <v>0.81120300000000001</v>
      </c>
      <c r="AZ148" s="7">
        <v>73.810215999999997</v>
      </c>
      <c r="BA148" s="7">
        <v>100</v>
      </c>
      <c r="BB148" s="4" t="s">
        <v>124</v>
      </c>
      <c r="BC148" s="4" t="s">
        <v>124</v>
      </c>
      <c r="BD148" s="4" t="s">
        <v>124</v>
      </c>
      <c r="BE148" s="4" t="s">
        <v>124</v>
      </c>
      <c r="BF148" s="4" t="s">
        <v>124</v>
      </c>
      <c r="BG148" s="4" t="s">
        <v>124</v>
      </c>
      <c r="BH148" s="7">
        <v>0</v>
      </c>
      <c r="BI148" s="7">
        <v>1</v>
      </c>
      <c r="BJ148" s="7">
        <v>1</v>
      </c>
      <c r="BK148" s="7">
        <v>1</v>
      </c>
      <c r="BL148" s="7">
        <v>1</v>
      </c>
      <c r="BM148" s="7">
        <v>1</v>
      </c>
      <c r="BN148" s="7">
        <v>1</v>
      </c>
      <c r="BO148" s="7">
        <v>1</v>
      </c>
      <c r="BP148" s="7">
        <v>1</v>
      </c>
      <c r="BQ148" s="4" t="s">
        <v>124</v>
      </c>
      <c r="BR148" s="7">
        <v>4.0404000000000002E-2</v>
      </c>
      <c r="BS148" s="7">
        <v>50</v>
      </c>
      <c r="BT148" s="7">
        <v>50</v>
      </c>
      <c r="BU148" s="7">
        <v>5.1471000000000003E-2</v>
      </c>
      <c r="BV148" s="7">
        <v>49.705882000000003</v>
      </c>
      <c r="BW148" s="7">
        <v>50</v>
      </c>
      <c r="BX148" s="4" t="s">
        <v>124</v>
      </c>
      <c r="BY148" s="4" t="s">
        <v>124</v>
      </c>
      <c r="BZ148" s="4" t="s">
        <v>124</v>
      </c>
      <c r="CA148" s="4" t="s">
        <v>124</v>
      </c>
      <c r="CB148" s="4" t="s">
        <v>124</v>
      </c>
      <c r="CC148" s="4" t="s">
        <v>124</v>
      </c>
      <c r="CD148" s="4" t="s">
        <v>124</v>
      </c>
      <c r="CE148" s="4" t="s">
        <v>124</v>
      </c>
      <c r="CF148" s="4" t="s">
        <v>124</v>
      </c>
      <c r="CG148" s="4" t="s">
        <v>124</v>
      </c>
      <c r="CH148" s="4" t="s">
        <v>124</v>
      </c>
      <c r="CI148" s="4" t="s">
        <v>124</v>
      </c>
      <c r="CJ148" s="4" t="s">
        <v>124</v>
      </c>
      <c r="CK148" s="4" t="s">
        <v>124</v>
      </c>
      <c r="CL148" s="4" t="s">
        <v>124</v>
      </c>
      <c r="CM148" s="4" t="s">
        <v>124</v>
      </c>
      <c r="CN148" s="4" t="s">
        <v>124</v>
      </c>
      <c r="CO148" s="4" t="s">
        <v>124</v>
      </c>
      <c r="CP148" s="4" t="s">
        <v>124</v>
      </c>
      <c r="CQ148" s="7">
        <v>0.55072500000000002</v>
      </c>
      <c r="CR148" s="7">
        <v>1</v>
      </c>
      <c r="CS148" s="7">
        <v>36.714976</v>
      </c>
      <c r="CT148" s="7">
        <v>50</v>
      </c>
      <c r="CU148" s="4" t="s">
        <v>124</v>
      </c>
      <c r="CV148" s="4" t="s">
        <v>124</v>
      </c>
      <c r="CW148" s="4" t="s">
        <v>124</v>
      </c>
      <c r="CX148" s="4" t="s">
        <v>124</v>
      </c>
      <c r="CY148" s="4" t="s">
        <v>124</v>
      </c>
      <c r="CZ148" s="4" t="s">
        <v>124</v>
      </c>
      <c r="DA148" s="7">
        <v>15.389535</v>
      </c>
      <c r="DB148" s="7">
        <v>17.608319000000002</v>
      </c>
      <c r="DC148" s="7">
        <v>16.064022999999999</v>
      </c>
      <c r="DD148" s="4" t="s">
        <v>124</v>
      </c>
      <c r="DE148" s="4" t="s">
        <v>124</v>
      </c>
      <c r="DF148" s="6"/>
      <c r="DG148" s="6"/>
      <c r="DH148" s="6"/>
      <c r="DI148" s="6"/>
      <c r="DJ148" s="4" t="s">
        <v>124</v>
      </c>
      <c r="DK148" s="4" t="s">
        <v>124</v>
      </c>
      <c r="DL148" s="4" t="s">
        <v>124</v>
      </c>
      <c r="DM148" s="4" t="s">
        <v>124</v>
      </c>
      <c r="DN148" s="4" t="s">
        <v>124</v>
      </c>
      <c r="DO148" s="4" t="s">
        <v>124</v>
      </c>
      <c r="DP148" s="6"/>
      <c r="DQ148" s="4" t="s">
        <v>125</v>
      </c>
    </row>
    <row r="149" spans="1:121" ht="20" customHeight="1" x14ac:dyDescent="0.15">
      <c r="A149" s="5">
        <v>2018</v>
      </c>
      <c r="B149" s="3" t="s">
        <v>272</v>
      </c>
      <c r="C149" s="4" t="str">
        <f t="shared" ref="C149:C1174" si="144">"2720013"</f>
        <v>2720013</v>
      </c>
      <c r="D149" s="4" t="s">
        <v>122</v>
      </c>
      <c r="E149" s="4" t="str">
        <f t="shared" si="1"/>
        <v>0000000</v>
      </c>
      <c r="F149" s="4" t="s">
        <v>122</v>
      </c>
      <c r="G149" s="4" t="s">
        <v>122</v>
      </c>
      <c r="H149" s="4" t="s">
        <v>122</v>
      </c>
      <c r="I149" s="6"/>
      <c r="J149" s="4" t="s">
        <v>123</v>
      </c>
      <c r="K149" s="7">
        <v>494.95209599999998</v>
      </c>
      <c r="L149" s="7">
        <v>850</v>
      </c>
      <c r="M149" s="7">
        <v>58.229658000000001</v>
      </c>
      <c r="N149" s="4" t="s">
        <v>124</v>
      </c>
      <c r="O149" s="7">
        <v>0</v>
      </c>
      <c r="P149" s="7">
        <v>48.75</v>
      </c>
      <c r="Q149" s="7">
        <v>97.5</v>
      </c>
      <c r="R149" s="7">
        <v>150</v>
      </c>
      <c r="S149" s="4" t="s">
        <v>124</v>
      </c>
      <c r="T149" s="4" t="s">
        <v>124</v>
      </c>
      <c r="U149" s="4" t="s">
        <v>124</v>
      </c>
      <c r="V149" s="4" t="s">
        <v>124</v>
      </c>
      <c r="W149" s="7">
        <v>39.166666999999997</v>
      </c>
      <c r="X149" s="7">
        <v>78.333332999999996</v>
      </c>
      <c r="Y149" s="7">
        <v>150</v>
      </c>
      <c r="Z149" s="4" t="s">
        <v>124</v>
      </c>
      <c r="AA149" s="4" t="s">
        <v>124</v>
      </c>
      <c r="AB149" s="4" t="s">
        <v>124</v>
      </c>
      <c r="AC149" s="4" t="s">
        <v>124</v>
      </c>
      <c r="AD149" s="7">
        <v>53.186813000000001</v>
      </c>
      <c r="AE149" s="7">
        <v>70.915751</v>
      </c>
      <c r="AF149" s="7">
        <v>100</v>
      </c>
      <c r="AG149" s="4" t="s">
        <v>124</v>
      </c>
      <c r="AH149" s="4" t="s">
        <v>124</v>
      </c>
      <c r="AI149" s="4" t="s">
        <v>124</v>
      </c>
      <c r="AJ149" s="4" t="s">
        <v>124</v>
      </c>
      <c r="AK149" s="4" t="s">
        <v>124</v>
      </c>
      <c r="AL149" s="4" t="s">
        <v>124</v>
      </c>
      <c r="AM149" s="4" t="s">
        <v>124</v>
      </c>
      <c r="AN149" s="4" t="s">
        <v>124</v>
      </c>
      <c r="AO149" s="4" t="s">
        <v>124</v>
      </c>
      <c r="AP149" s="4" t="s">
        <v>124</v>
      </c>
      <c r="AQ149" s="4" t="s">
        <v>124</v>
      </c>
      <c r="AR149" s="4" t="s">
        <v>124</v>
      </c>
      <c r="AS149" s="4" t="s">
        <v>124</v>
      </c>
      <c r="AT149" s="4" t="s">
        <v>124</v>
      </c>
      <c r="AU149" s="4" t="s">
        <v>124</v>
      </c>
      <c r="AV149" s="4" t="s">
        <v>124</v>
      </c>
      <c r="AW149" s="4" t="s">
        <v>124</v>
      </c>
      <c r="AX149" s="4" t="s">
        <v>124</v>
      </c>
      <c r="AY149" s="4" t="s">
        <v>124</v>
      </c>
      <c r="AZ149" s="4" t="s">
        <v>124</v>
      </c>
      <c r="BA149" s="4" t="s">
        <v>124</v>
      </c>
      <c r="BB149" s="4" t="s">
        <v>124</v>
      </c>
      <c r="BC149" s="4" t="s">
        <v>124</v>
      </c>
      <c r="BD149" s="4" t="s">
        <v>124</v>
      </c>
      <c r="BE149" s="4" t="s">
        <v>124</v>
      </c>
      <c r="BF149" s="4" t="s">
        <v>124</v>
      </c>
      <c r="BG149" s="4" t="s">
        <v>124</v>
      </c>
      <c r="BH149" s="7">
        <v>0</v>
      </c>
      <c r="BI149" s="7">
        <v>1</v>
      </c>
      <c r="BJ149" s="4" t="s">
        <v>124</v>
      </c>
      <c r="BK149" s="4" t="s">
        <v>124</v>
      </c>
      <c r="BL149" s="7">
        <v>1</v>
      </c>
      <c r="BM149" s="4" t="s">
        <v>124</v>
      </c>
      <c r="BN149" s="4" t="s">
        <v>124</v>
      </c>
      <c r="BO149" s="7">
        <v>1</v>
      </c>
      <c r="BP149" s="4" t="s">
        <v>124</v>
      </c>
      <c r="BQ149" s="4" t="s">
        <v>124</v>
      </c>
      <c r="BR149" s="7">
        <v>0.29411799999999999</v>
      </c>
      <c r="BS149" s="7">
        <v>1.176471</v>
      </c>
      <c r="BT149" s="7">
        <v>50</v>
      </c>
      <c r="BU149" s="7">
        <v>0.30158699999999999</v>
      </c>
      <c r="BV149" s="7">
        <v>0</v>
      </c>
      <c r="BW149" s="7">
        <v>50</v>
      </c>
      <c r="BX149" s="7">
        <v>0.77083299999999999</v>
      </c>
      <c r="BY149" s="7">
        <v>50</v>
      </c>
      <c r="BZ149" s="7">
        <v>50</v>
      </c>
      <c r="CA149" s="7">
        <v>0.125</v>
      </c>
      <c r="CB149" s="7">
        <v>8.3333329999999997</v>
      </c>
      <c r="CC149" s="7">
        <v>50</v>
      </c>
      <c r="CD149" s="4" t="s">
        <v>124</v>
      </c>
      <c r="CE149" s="4" t="s">
        <v>124</v>
      </c>
      <c r="CF149" s="4" t="s">
        <v>124</v>
      </c>
      <c r="CG149" s="7">
        <v>0.82142899999999996</v>
      </c>
      <c r="CH149" s="7">
        <v>87.386018000000007</v>
      </c>
      <c r="CI149" s="7">
        <v>100</v>
      </c>
      <c r="CJ149" s="7">
        <v>0</v>
      </c>
      <c r="CK149" s="4" t="s">
        <v>124</v>
      </c>
      <c r="CL149" s="4" t="s">
        <v>124</v>
      </c>
      <c r="CM149" s="4" t="s">
        <v>124</v>
      </c>
      <c r="CN149" s="7">
        <v>0.45800000000000002</v>
      </c>
      <c r="CO149" s="7">
        <v>61.111111000000001</v>
      </c>
      <c r="CP149" s="7">
        <v>100</v>
      </c>
      <c r="CQ149" s="4" t="s">
        <v>124</v>
      </c>
      <c r="CR149" s="4" t="s">
        <v>124</v>
      </c>
      <c r="CS149" s="4" t="s">
        <v>124</v>
      </c>
      <c r="CT149" s="4" t="s">
        <v>124</v>
      </c>
      <c r="CU149" s="7">
        <v>0.48235299999999998</v>
      </c>
      <c r="CV149" s="7">
        <v>40.196078</v>
      </c>
      <c r="CW149" s="7">
        <v>50</v>
      </c>
      <c r="CX149" s="4" t="s">
        <v>124</v>
      </c>
      <c r="CY149" s="4" t="s">
        <v>124</v>
      </c>
      <c r="CZ149" s="4" t="s">
        <v>124</v>
      </c>
      <c r="DA149" s="7">
        <v>15.389535</v>
      </c>
      <c r="DB149" s="7">
        <v>17.608319000000002</v>
      </c>
      <c r="DC149" s="7">
        <v>16.064022999999999</v>
      </c>
      <c r="DD149" s="7">
        <v>11.115401</v>
      </c>
      <c r="DE149" s="4" t="s">
        <v>124</v>
      </c>
      <c r="DF149" s="6"/>
      <c r="DG149" s="6"/>
      <c r="DH149" s="6"/>
      <c r="DI149" s="6"/>
      <c r="DJ149" s="4" t="s">
        <v>124</v>
      </c>
      <c r="DK149" s="4" t="s">
        <v>124</v>
      </c>
      <c r="DL149" s="4" t="s">
        <v>124</v>
      </c>
      <c r="DM149" s="4" t="s">
        <v>124</v>
      </c>
      <c r="DN149" s="4" t="s">
        <v>124</v>
      </c>
      <c r="DO149" s="4" t="s">
        <v>124</v>
      </c>
      <c r="DP149" s="6"/>
      <c r="DQ149" s="4" t="s">
        <v>125</v>
      </c>
    </row>
    <row r="150" spans="1:121" ht="20" customHeight="1" x14ac:dyDescent="0.15">
      <c r="A150" s="5">
        <v>2018</v>
      </c>
      <c r="B150" s="3" t="s">
        <v>273</v>
      </c>
      <c r="C150" s="4" t="str">
        <f t="shared" ref="C150:C540" si="145">"0650011"</f>
        <v>0650011</v>
      </c>
      <c r="D150" s="4" t="s">
        <v>122</v>
      </c>
      <c r="E150" s="4" t="str">
        <f t="shared" si="1"/>
        <v>0000000</v>
      </c>
      <c r="F150" s="4" t="s">
        <v>122</v>
      </c>
      <c r="G150" s="4" t="s">
        <v>122</v>
      </c>
      <c r="H150" s="4" t="s">
        <v>122</v>
      </c>
      <c r="I150" s="6"/>
      <c r="J150" s="4" t="s">
        <v>123</v>
      </c>
      <c r="K150" s="7">
        <v>737.20126400000004</v>
      </c>
      <c r="L150" s="7">
        <v>850</v>
      </c>
      <c r="M150" s="7">
        <v>86.729560000000006</v>
      </c>
      <c r="N150" s="4" t="s">
        <v>124</v>
      </c>
      <c r="O150" s="7">
        <v>0</v>
      </c>
      <c r="P150" s="7">
        <v>77.396533000000005</v>
      </c>
      <c r="Q150" s="7">
        <v>50</v>
      </c>
      <c r="R150" s="7">
        <v>50</v>
      </c>
      <c r="S150" s="7">
        <v>68.689043999999996</v>
      </c>
      <c r="T150" s="7">
        <v>75</v>
      </c>
      <c r="U150" s="7">
        <v>45.792695999999999</v>
      </c>
      <c r="V150" s="7">
        <v>50</v>
      </c>
      <c r="W150" s="7">
        <v>68.828102000000001</v>
      </c>
      <c r="X150" s="7">
        <v>45.885401000000002</v>
      </c>
      <c r="Y150" s="7">
        <v>50</v>
      </c>
      <c r="Z150" s="7">
        <v>73.162414999999996</v>
      </c>
      <c r="AA150" s="7">
        <v>60.159475</v>
      </c>
      <c r="AB150" s="7">
        <v>40.106316999999997</v>
      </c>
      <c r="AC150" s="7">
        <v>50</v>
      </c>
      <c r="AD150" s="7">
        <v>77.398159000000007</v>
      </c>
      <c r="AE150" s="7">
        <v>50</v>
      </c>
      <c r="AF150" s="7">
        <v>50</v>
      </c>
      <c r="AG150" s="4" t="s">
        <v>124</v>
      </c>
      <c r="AH150" s="7">
        <v>75</v>
      </c>
      <c r="AI150" s="4" t="s">
        <v>124</v>
      </c>
      <c r="AJ150" s="4" t="s">
        <v>124</v>
      </c>
      <c r="AK150" s="7">
        <v>6.31</v>
      </c>
      <c r="AL150" s="7">
        <v>13</v>
      </c>
      <c r="AM150" s="4" t="s">
        <v>124</v>
      </c>
      <c r="AN150" s="7">
        <v>0.72462199999999999</v>
      </c>
      <c r="AO150" s="7">
        <v>72.462165999999996</v>
      </c>
      <c r="AP150" s="7">
        <v>100</v>
      </c>
      <c r="AQ150" s="7">
        <v>0.77302999999999999</v>
      </c>
      <c r="AR150" s="7">
        <v>77.303009000000003</v>
      </c>
      <c r="AS150" s="7">
        <v>100</v>
      </c>
      <c r="AT150" s="7">
        <v>0.71638400000000002</v>
      </c>
      <c r="AU150" s="7">
        <v>0.72786300000000004</v>
      </c>
      <c r="AV150" s="7">
        <v>71.638356999999999</v>
      </c>
      <c r="AW150" s="7">
        <v>100</v>
      </c>
      <c r="AX150" s="7">
        <v>0.84013300000000002</v>
      </c>
      <c r="AY150" s="7">
        <v>0.74662899999999999</v>
      </c>
      <c r="AZ150" s="7">
        <v>84.013317999999998</v>
      </c>
      <c r="BA150" s="7">
        <v>100</v>
      </c>
      <c r="BB150" s="4" t="s">
        <v>124</v>
      </c>
      <c r="BC150" s="4" t="s">
        <v>124</v>
      </c>
      <c r="BD150" s="4" t="s">
        <v>124</v>
      </c>
      <c r="BE150" s="4" t="s">
        <v>124</v>
      </c>
      <c r="BF150" s="4" t="s">
        <v>124</v>
      </c>
      <c r="BG150" s="4" t="s">
        <v>124</v>
      </c>
      <c r="BH150" s="7">
        <v>0</v>
      </c>
      <c r="BI150" s="7">
        <v>1</v>
      </c>
      <c r="BJ150" s="7">
        <v>1</v>
      </c>
      <c r="BK150" s="7">
        <v>1</v>
      </c>
      <c r="BL150" s="7">
        <v>1</v>
      </c>
      <c r="BM150" s="7">
        <v>1</v>
      </c>
      <c r="BN150" s="7">
        <v>1</v>
      </c>
      <c r="BO150" s="7">
        <v>1</v>
      </c>
      <c r="BP150" s="4" t="s">
        <v>124</v>
      </c>
      <c r="BQ150" s="7">
        <v>1</v>
      </c>
      <c r="BR150" s="7">
        <v>1.3245E-2</v>
      </c>
      <c r="BS150" s="7">
        <v>50</v>
      </c>
      <c r="BT150" s="7">
        <v>50</v>
      </c>
      <c r="BU150" s="7">
        <v>1.7857000000000001E-2</v>
      </c>
      <c r="BV150" s="7">
        <v>50</v>
      </c>
      <c r="BW150" s="7">
        <v>50</v>
      </c>
      <c r="BX150" s="4" t="s">
        <v>124</v>
      </c>
      <c r="BY150" s="4" t="s">
        <v>124</v>
      </c>
      <c r="BZ150" s="4" t="s">
        <v>124</v>
      </c>
      <c r="CA150" s="4" t="s">
        <v>124</v>
      </c>
      <c r="CB150" s="4" t="s">
        <v>124</v>
      </c>
      <c r="CC150" s="4" t="s">
        <v>124</v>
      </c>
      <c r="CD150" s="7">
        <v>0.96875</v>
      </c>
      <c r="CE150" s="7">
        <v>50</v>
      </c>
      <c r="CF150" s="7">
        <v>50</v>
      </c>
      <c r="CG150" s="4" t="s">
        <v>124</v>
      </c>
      <c r="CH150" s="4" t="s">
        <v>124</v>
      </c>
      <c r="CI150" s="4" t="s">
        <v>124</v>
      </c>
      <c r="CJ150" s="4" t="s">
        <v>124</v>
      </c>
      <c r="CK150" s="4" t="s">
        <v>124</v>
      </c>
      <c r="CL150" s="4" t="s">
        <v>124</v>
      </c>
      <c r="CM150" s="4" t="s">
        <v>124</v>
      </c>
      <c r="CN150" s="4" t="s">
        <v>124</v>
      </c>
      <c r="CO150" s="4" t="s">
        <v>124</v>
      </c>
      <c r="CP150" s="4" t="s">
        <v>124</v>
      </c>
      <c r="CQ150" s="7">
        <v>0.94827600000000001</v>
      </c>
      <c r="CR150" s="7">
        <v>0.98305100000000001</v>
      </c>
      <c r="CS150" s="7">
        <v>50</v>
      </c>
      <c r="CT150" s="7">
        <v>50</v>
      </c>
      <c r="CU150" s="4" t="s">
        <v>124</v>
      </c>
      <c r="CV150" s="4" t="s">
        <v>124</v>
      </c>
      <c r="CW150" s="4" t="s">
        <v>124</v>
      </c>
      <c r="CX150" s="4" t="s">
        <v>124</v>
      </c>
      <c r="CY150" s="4" t="s">
        <v>124</v>
      </c>
      <c r="CZ150" s="4" t="s">
        <v>124</v>
      </c>
      <c r="DA150" s="7">
        <v>15.389535</v>
      </c>
      <c r="DB150" s="7">
        <v>17.608319000000002</v>
      </c>
      <c r="DC150" s="7">
        <v>16.064022999999999</v>
      </c>
      <c r="DD150" s="4" t="s">
        <v>124</v>
      </c>
      <c r="DE150" s="4" t="s">
        <v>124</v>
      </c>
      <c r="DF150" s="6"/>
      <c r="DG150" s="6"/>
      <c r="DH150" s="6"/>
      <c r="DI150" s="6"/>
      <c r="DJ150" s="4" t="s">
        <v>124</v>
      </c>
      <c r="DK150" s="4" t="s">
        <v>124</v>
      </c>
      <c r="DL150" s="4" t="s">
        <v>124</v>
      </c>
      <c r="DM150" s="4" t="s">
        <v>124</v>
      </c>
      <c r="DN150" s="4" t="s">
        <v>124</v>
      </c>
      <c r="DO150" s="4" t="s">
        <v>124</v>
      </c>
      <c r="DP150" s="6"/>
      <c r="DQ150" s="4" t="s">
        <v>125</v>
      </c>
    </row>
    <row r="151" spans="1:121" ht="20" customHeight="1" x14ac:dyDescent="0.15">
      <c r="A151" s="5">
        <v>2018</v>
      </c>
      <c r="B151" s="3" t="s">
        <v>274</v>
      </c>
      <c r="C151" s="4" t="str">
        <f t="shared" ref="C151:C824" si="146">"1210011"</f>
        <v>1210011</v>
      </c>
      <c r="D151" s="4" t="s">
        <v>122</v>
      </c>
      <c r="E151" s="4" t="str">
        <f>"0000000"</f>
        <v>0000000</v>
      </c>
      <c r="F151" s="4" t="s">
        <v>122</v>
      </c>
      <c r="G151" s="4" t="s">
        <v>122</v>
      </c>
      <c r="H151" s="4" t="s">
        <v>122</v>
      </c>
      <c r="I151" s="6"/>
      <c r="J151" s="4" t="s">
        <v>123</v>
      </c>
      <c r="K151" s="7">
        <v>718.73540400000002</v>
      </c>
      <c r="L151" s="7">
        <v>900</v>
      </c>
      <c r="M151" s="7">
        <v>79.859488999999996</v>
      </c>
      <c r="N151" s="4" t="s">
        <v>124</v>
      </c>
      <c r="O151" s="7">
        <v>0</v>
      </c>
      <c r="P151" s="7">
        <v>80.119119999999995</v>
      </c>
      <c r="Q151" s="7">
        <v>50</v>
      </c>
      <c r="R151" s="7">
        <v>50</v>
      </c>
      <c r="S151" s="7">
        <v>65.206162000000006</v>
      </c>
      <c r="T151" s="7">
        <v>75</v>
      </c>
      <c r="U151" s="7">
        <v>43.470775000000003</v>
      </c>
      <c r="V151" s="7">
        <v>50</v>
      </c>
      <c r="W151" s="7">
        <v>76.130117999999996</v>
      </c>
      <c r="X151" s="7">
        <v>50</v>
      </c>
      <c r="Y151" s="7">
        <v>50</v>
      </c>
      <c r="Z151" s="7">
        <v>75</v>
      </c>
      <c r="AA151" s="7">
        <v>60.259856999999997</v>
      </c>
      <c r="AB151" s="7">
        <v>40.173237999999998</v>
      </c>
      <c r="AC151" s="7">
        <v>50</v>
      </c>
      <c r="AD151" s="7">
        <v>78.466443999999996</v>
      </c>
      <c r="AE151" s="7">
        <v>50</v>
      </c>
      <c r="AF151" s="7">
        <v>50</v>
      </c>
      <c r="AG151" s="7">
        <v>66.446607</v>
      </c>
      <c r="AH151" s="7">
        <v>75</v>
      </c>
      <c r="AI151" s="7">
        <v>44.297738000000003</v>
      </c>
      <c r="AJ151" s="7">
        <v>50</v>
      </c>
      <c r="AK151" s="7">
        <v>9.7899999999999991</v>
      </c>
      <c r="AL151" s="7">
        <v>14.74</v>
      </c>
      <c r="AM151" s="7">
        <v>8.5500000000000007</v>
      </c>
      <c r="AN151" s="7">
        <v>0.67266199999999998</v>
      </c>
      <c r="AO151" s="7">
        <v>67.266216999999997</v>
      </c>
      <c r="AP151" s="7">
        <v>100</v>
      </c>
      <c r="AQ151" s="7">
        <v>0.73675100000000004</v>
      </c>
      <c r="AR151" s="7">
        <v>73.675117999999998</v>
      </c>
      <c r="AS151" s="7">
        <v>100</v>
      </c>
      <c r="AT151" s="7">
        <v>0.56607399999999997</v>
      </c>
      <c r="AU151" s="7">
        <v>0.71263299999999996</v>
      </c>
      <c r="AV151" s="7">
        <v>56.607438999999999</v>
      </c>
      <c r="AW151" s="7">
        <v>100</v>
      </c>
      <c r="AX151" s="7">
        <v>0.61152700000000004</v>
      </c>
      <c r="AY151" s="7">
        <v>0.78292799999999996</v>
      </c>
      <c r="AZ151" s="7">
        <v>61.152681000000001</v>
      </c>
      <c r="BA151" s="7">
        <v>100</v>
      </c>
      <c r="BB151" s="4" t="s">
        <v>124</v>
      </c>
      <c r="BC151" s="4" t="s">
        <v>124</v>
      </c>
      <c r="BD151" s="4" t="s">
        <v>124</v>
      </c>
      <c r="BE151" s="4" t="s">
        <v>124</v>
      </c>
      <c r="BF151" s="4" t="s">
        <v>124</v>
      </c>
      <c r="BG151" s="4" t="s">
        <v>124</v>
      </c>
      <c r="BH151" s="7">
        <v>0</v>
      </c>
      <c r="BI151" s="7">
        <v>0.99644100000000002</v>
      </c>
      <c r="BJ151" s="7">
        <v>1</v>
      </c>
      <c r="BK151" s="7">
        <v>0.99504999999999999</v>
      </c>
      <c r="BL151" s="7">
        <v>0.99288299999999996</v>
      </c>
      <c r="BM151" s="7">
        <v>0.98734200000000005</v>
      </c>
      <c r="BN151" s="7">
        <v>0.99504999999999999</v>
      </c>
      <c r="BO151" s="7">
        <v>1</v>
      </c>
      <c r="BP151" s="7">
        <v>1</v>
      </c>
      <c r="BQ151" s="7">
        <v>1</v>
      </c>
      <c r="BR151" s="7">
        <v>3.4568000000000002E-2</v>
      </c>
      <c r="BS151" s="7">
        <v>50</v>
      </c>
      <c r="BT151" s="7">
        <v>50</v>
      </c>
      <c r="BU151" s="7">
        <v>3.3897999999999998E-2</v>
      </c>
      <c r="BV151" s="7">
        <v>50</v>
      </c>
      <c r="BW151" s="7">
        <v>50</v>
      </c>
      <c r="BX151" s="4" t="s">
        <v>124</v>
      </c>
      <c r="BY151" s="4" t="s">
        <v>124</v>
      </c>
      <c r="BZ151" s="4" t="s">
        <v>124</v>
      </c>
      <c r="CA151" s="4" t="s">
        <v>124</v>
      </c>
      <c r="CB151" s="4" t="s">
        <v>124</v>
      </c>
      <c r="CC151" s="4" t="s">
        <v>124</v>
      </c>
      <c r="CD151" s="7">
        <v>0.91666700000000001</v>
      </c>
      <c r="CE151" s="7">
        <v>48.758865</v>
      </c>
      <c r="CF151" s="7">
        <v>50</v>
      </c>
      <c r="CG151" s="4" t="s">
        <v>124</v>
      </c>
      <c r="CH151" s="4" t="s">
        <v>124</v>
      </c>
      <c r="CI151" s="4" t="s">
        <v>124</v>
      </c>
      <c r="CJ151" s="4" t="s">
        <v>124</v>
      </c>
      <c r="CK151" s="4" t="s">
        <v>124</v>
      </c>
      <c r="CL151" s="4" t="s">
        <v>124</v>
      </c>
      <c r="CM151" s="4" t="s">
        <v>124</v>
      </c>
      <c r="CN151" s="4" t="s">
        <v>124</v>
      </c>
      <c r="CO151" s="4" t="s">
        <v>124</v>
      </c>
      <c r="CP151" s="4" t="s">
        <v>124</v>
      </c>
      <c r="CQ151" s="7">
        <v>0.5</v>
      </c>
      <c r="CR151" s="7">
        <v>0.98630099999999998</v>
      </c>
      <c r="CS151" s="7">
        <v>33.333333000000003</v>
      </c>
      <c r="CT151" s="7">
        <v>50</v>
      </c>
      <c r="CU151" s="4" t="s">
        <v>124</v>
      </c>
      <c r="CV151" s="4" t="s">
        <v>124</v>
      </c>
      <c r="CW151" s="4" t="s">
        <v>124</v>
      </c>
      <c r="CX151" s="4" t="s">
        <v>124</v>
      </c>
      <c r="CY151" s="4" t="s">
        <v>124</v>
      </c>
      <c r="CZ151" s="4" t="s">
        <v>124</v>
      </c>
      <c r="DA151" s="7">
        <v>15.389535</v>
      </c>
      <c r="DB151" s="7">
        <v>17.608319000000002</v>
      </c>
      <c r="DC151" s="7">
        <v>16.064022999999999</v>
      </c>
      <c r="DD151" s="4" t="s">
        <v>124</v>
      </c>
      <c r="DE151" s="4" t="s">
        <v>124</v>
      </c>
      <c r="DF151" s="6"/>
      <c r="DG151" s="6"/>
      <c r="DH151" s="6"/>
      <c r="DI151" s="6"/>
      <c r="DJ151" s="4" t="s">
        <v>124</v>
      </c>
      <c r="DK151" s="4" t="s">
        <v>124</v>
      </c>
      <c r="DL151" s="4" t="s">
        <v>124</v>
      </c>
      <c r="DM151" s="4" t="s">
        <v>124</v>
      </c>
      <c r="DN151" s="4" t="s">
        <v>124</v>
      </c>
      <c r="DO151" s="4" t="s">
        <v>124</v>
      </c>
      <c r="DP151" s="6"/>
      <c r="DQ151" s="4" t="s">
        <v>125</v>
      </c>
    </row>
    <row r="152" spans="1:121" ht="20" customHeight="1" x14ac:dyDescent="0.15">
      <c r="A152" s="5">
        <v>2018</v>
      </c>
      <c r="B152" s="3" t="s">
        <v>275</v>
      </c>
      <c r="C152" s="4" t="str">
        <f t="shared" ref="C152:C825" si="147">"1220011"</f>
        <v>1220011</v>
      </c>
      <c r="D152" s="4" t="s">
        <v>122</v>
      </c>
      <c r="E152" s="4" t="str">
        <f t="shared" si="1"/>
        <v>0000000</v>
      </c>
      <c r="F152" s="4" t="s">
        <v>122</v>
      </c>
      <c r="G152" s="4" t="s">
        <v>122</v>
      </c>
      <c r="H152" s="4" t="s">
        <v>122</v>
      </c>
      <c r="I152" s="6"/>
      <c r="J152" s="4" t="s">
        <v>123</v>
      </c>
      <c r="K152" s="7">
        <v>668.54507799999999</v>
      </c>
      <c r="L152" s="7">
        <v>850</v>
      </c>
      <c r="M152" s="7">
        <v>78.652361999999997</v>
      </c>
      <c r="N152" s="4" t="s">
        <v>124</v>
      </c>
      <c r="O152" s="7">
        <v>0</v>
      </c>
      <c r="P152" s="7">
        <v>81.548004000000006</v>
      </c>
      <c r="Q152" s="7">
        <v>50</v>
      </c>
      <c r="R152" s="7">
        <v>50</v>
      </c>
      <c r="S152" s="7">
        <v>73.037687000000005</v>
      </c>
      <c r="T152" s="7">
        <v>75</v>
      </c>
      <c r="U152" s="7">
        <v>48.691792</v>
      </c>
      <c r="V152" s="7">
        <v>50</v>
      </c>
      <c r="W152" s="7">
        <v>70.553837999999999</v>
      </c>
      <c r="X152" s="7">
        <v>47.035891999999997</v>
      </c>
      <c r="Y152" s="7">
        <v>50</v>
      </c>
      <c r="Z152" s="7">
        <v>75</v>
      </c>
      <c r="AA152" s="7">
        <v>61.857250999999998</v>
      </c>
      <c r="AB152" s="7">
        <v>41.238166999999997</v>
      </c>
      <c r="AC152" s="7">
        <v>50</v>
      </c>
      <c r="AD152" s="7">
        <v>76.813744</v>
      </c>
      <c r="AE152" s="7">
        <v>50</v>
      </c>
      <c r="AF152" s="7">
        <v>50</v>
      </c>
      <c r="AG152" s="4" t="s">
        <v>124</v>
      </c>
      <c r="AH152" s="7">
        <v>75</v>
      </c>
      <c r="AI152" s="4" t="s">
        <v>124</v>
      </c>
      <c r="AJ152" s="4" t="s">
        <v>124</v>
      </c>
      <c r="AK152" s="7">
        <v>1.96</v>
      </c>
      <c r="AL152" s="7">
        <v>13.14</v>
      </c>
      <c r="AM152" s="4" t="s">
        <v>124</v>
      </c>
      <c r="AN152" s="7">
        <v>0.70958100000000002</v>
      </c>
      <c r="AO152" s="7">
        <v>70.958106999999998</v>
      </c>
      <c r="AP152" s="7">
        <v>100</v>
      </c>
      <c r="AQ152" s="7">
        <v>0.63417199999999996</v>
      </c>
      <c r="AR152" s="7">
        <v>63.417236000000003</v>
      </c>
      <c r="AS152" s="7">
        <v>100</v>
      </c>
      <c r="AT152" s="7">
        <v>0.75270800000000004</v>
      </c>
      <c r="AU152" s="7">
        <v>0.68826600000000004</v>
      </c>
      <c r="AV152" s="7">
        <v>75.270770999999996</v>
      </c>
      <c r="AW152" s="7">
        <v>100</v>
      </c>
      <c r="AX152" s="7">
        <v>0.61167700000000003</v>
      </c>
      <c r="AY152" s="7">
        <v>0.64529099999999995</v>
      </c>
      <c r="AZ152" s="7">
        <v>61.167676</v>
      </c>
      <c r="BA152" s="7">
        <v>100</v>
      </c>
      <c r="BB152" s="4" t="s">
        <v>124</v>
      </c>
      <c r="BC152" s="4" t="s">
        <v>124</v>
      </c>
      <c r="BD152" s="4" t="s">
        <v>124</v>
      </c>
      <c r="BE152" s="4" t="s">
        <v>124</v>
      </c>
      <c r="BF152" s="4" t="s">
        <v>124</v>
      </c>
      <c r="BG152" s="4" t="s">
        <v>124</v>
      </c>
      <c r="BH152" s="7">
        <v>0</v>
      </c>
      <c r="BI152" s="7">
        <v>0.98901099999999997</v>
      </c>
      <c r="BJ152" s="7">
        <v>0.98507500000000003</v>
      </c>
      <c r="BK152" s="7">
        <v>0.99130399999999996</v>
      </c>
      <c r="BL152" s="7">
        <v>0.98901099999999997</v>
      </c>
      <c r="BM152" s="7">
        <v>0.98507500000000003</v>
      </c>
      <c r="BN152" s="7">
        <v>0.99130399999999996</v>
      </c>
      <c r="BO152" s="7">
        <v>0.96551699999999996</v>
      </c>
      <c r="BP152" s="4" t="s">
        <v>124</v>
      </c>
      <c r="BQ152" s="7">
        <v>0.97674399999999995</v>
      </c>
      <c r="BR152" s="7">
        <v>6.5934000000000006E-2</v>
      </c>
      <c r="BS152" s="7">
        <v>46.813186999999999</v>
      </c>
      <c r="BT152" s="7">
        <v>50</v>
      </c>
      <c r="BU152" s="7">
        <v>0.12903200000000001</v>
      </c>
      <c r="BV152" s="7">
        <v>34.193548</v>
      </c>
      <c r="BW152" s="7">
        <v>50</v>
      </c>
      <c r="BX152" s="4" t="s">
        <v>124</v>
      </c>
      <c r="BY152" s="4" t="s">
        <v>124</v>
      </c>
      <c r="BZ152" s="4" t="s">
        <v>124</v>
      </c>
      <c r="CA152" s="4" t="s">
        <v>124</v>
      </c>
      <c r="CB152" s="4" t="s">
        <v>124</v>
      </c>
      <c r="CC152" s="4" t="s">
        <v>124</v>
      </c>
      <c r="CD152" s="7">
        <v>0.88</v>
      </c>
      <c r="CE152" s="7">
        <v>46.808511000000003</v>
      </c>
      <c r="CF152" s="7">
        <v>50</v>
      </c>
      <c r="CG152" s="4" t="s">
        <v>124</v>
      </c>
      <c r="CH152" s="4" t="s">
        <v>124</v>
      </c>
      <c r="CI152" s="4" t="s">
        <v>124</v>
      </c>
      <c r="CJ152" s="4" t="s">
        <v>124</v>
      </c>
      <c r="CK152" s="4" t="s">
        <v>124</v>
      </c>
      <c r="CL152" s="4" t="s">
        <v>124</v>
      </c>
      <c r="CM152" s="4" t="s">
        <v>124</v>
      </c>
      <c r="CN152" s="4" t="s">
        <v>124</v>
      </c>
      <c r="CO152" s="4" t="s">
        <v>124</v>
      </c>
      <c r="CP152" s="4" t="s">
        <v>124</v>
      </c>
      <c r="CQ152" s="7">
        <v>0.494253</v>
      </c>
      <c r="CR152" s="7">
        <v>0.96666700000000005</v>
      </c>
      <c r="CS152" s="7">
        <v>32.950192000000001</v>
      </c>
      <c r="CT152" s="7">
        <v>50</v>
      </c>
      <c r="CU152" s="4" t="s">
        <v>124</v>
      </c>
      <c r="CV152" s="4" t="s">
        <v>124</v>
      </c>
      <c r="CW152" s="4" t="s">
        <v>124</v>
      </c>
      <c r="CX152" s="4" t="s">
        <v>124</v>
      </c>
      <c r="CY152" s="4" t="s">
        <v>124</v>
      </c>
      <c r="CZ152" s="4" t="s">
        <v>124</v>
      </c>
      <c r="DA152" s="7">
        <v>15.389535</v>
      </c>
      <c r="DB152" s="7">
        <v>17.608319000000002</v>
      </c>
      <c r="DC152" s="7">
        <v>16.064022999999999</v>
      </c>
      <c r="DD152" s="4" t="s">
        <v>124</v>
      </c>
      <c r="DE152" s="4" t="s">
        <v>124</v>
      </c>
      <c r="DF152" s="6"/>
      <c r="DG152" s="6"/>
      <c r="DH152" s="6"/>
      <c r="DI152" s="6"/>
      <c r="DJ152" s="4" t="s">
        <v>124</v>
      </c>
      <c r="DK152" s="4" t="s">
        <v>124</v>
      </c>
      <c r="DL152" s="4" t="s">
        <v>124</v>
      </c>
      <c r="DM152" s="4" t="s">
        <v>124</v>
      </c>
      <c r="DN152" s="4" t="s">
        <v>124</v>
      </c>
      <c r="DO152" s="4" t="s">
        <v>124</v>
      </c>
      <c r="DP152" s="6"/>
      <c r="DQ152" s="4" t="s">
        <v>125</v>
      </c>
    </row>
    <row r="153" spans="1:121" ht="20" customHeight="1" x14ac:dyDescent="0.15">
      <c r="A153" s="5">
        <v>2018</v>
      </c>
      <c r="B153" s="3" t="s">
        <v>276</v>
      </c>
      <c r="C153" s="4" t="str">
        <f t="shared" ref="C153:C826" si="148">"1230011"</f>
        <v>1230011</v>
      </c>
      <c r="D153" s="4" t="s">
        <v>122</v>
      </c>
      <c r="E153" s="4" t="str">
        <f t="shared" si="1"/>
        <v>0000000</v>
      </c>
      <c r="F153" s="4" t="s">
        <v>122</v>
      </c>
      <c r="G153" s="4" t="s">
        <v>122</v>
      </c>
      <c r="H153" s="4" t="s">
        <v>122</v>
      </c>
      <c r="I153" s="6"/>
      <c r="J153" s="4" t="s">
        <v>123</v>
      </c>
      <c r="K153" s="7">
        <v>394.75178199999999</v>
      </c>
      <c r="L153" s="7">
        <v>450</v>
      </c>
      <c r="M153" s="7">
        <v>87.722617999999997</v>
      </c>
      <c r="N153" s="4" t="s">
        <v>124</v>
      </c>
      <c r="O153" s="7">
        <v>0</v>
      </c>
      <c r="P153" s="7">
        <v>76.522161999999994</v>
      </c>
      <c r="Q153" s="7">
        <v>50</v>
      </c>
      <c r="R153" s="7">
        <v>50</v>
      </c>
      <c r="S153" s="4" t="s">
        <v>124</v>
      </c>
      <c r="T153" s="7">
        <v>75</v>
      </c>
      <c r="U153" s="4" t="s">
        <v>124</v>
      </c>
      <c r="V153" s="4" t="s">
        <v>124</v>
      </c>
      <c r="W153" s="7">
        <v>70.923062000000002</v>
      </c>
      <c r="X153" s="7">
        <v>47.282041999999997</v>
      </c>
      <c r="Y153" s="7">
        <v>50</v>
      </c>
      <c r="Z153" s="7">
        <v>75</v>
      </c>
      <c r="AA153" s="4" t="s">
        <v>124</v>
      </c>
      <c r="AB153" s="4" t="s">
        <v>124</v>
      </c>
      <c r="AC153" s="4" t="s">
        <v>124</v>
      </c>
      <c r="AD153" s="4" t="s">
        <v>124</v>
      </c>
      <c r="AE153" s="4" t="s">
        <v>124</v>
      </c>
      <c r="AF153" s="4" t="s">
        <v>124</v>
      </c>
      <c r="AG153" s="4" t="s">
        <v>124</v>
      </c>
      <c r="AH153" s="4" t="s">
        <v>124</v>
      </c>
      <c r="AI153" s="4" t="s">
        <v>124</v>
      </c>
      <c r="AJ153" s="4" t="s">
        <v>124</v>
      </c>
      <c r="AK153" s="4" t="s">
        <v>124</v>
      </c>
      <c r="AL153" s="4" t="s">
        <v>124</v>
      </c>
      <c r="AM153" s="4" t="s">
        <v>124</v>
      </c>
      <c r="AN153" s="7">
        <v>0.67613299999999998</v>
      </c>
      <c r="AO153" s="7">
        <v>67.613259999999997</v>
      </c>
      <c r="AP153" s="7">
        <v>100</v>
      </c>
      <c r="AQ153" s="7">
        <v>0.923126</v>
      </c>
      <c r="AR153" s="7">
        <v>92.312619999999995</v>
      </c>
      <c r="AS153" s="7">
        <v>100</v>
      </c>
      <c r="AT153" s="4" t="s">
        <v>124</v>
      </c>
      <c r="AU153" s="7">
        <v>0.74214899999999995</v>
      </c>
      <c r="AV153" s="4" t="s">
        <v>124</v>
      </c>
      <c r="AW153" s="4" t="s">
        <v>124</v>
      </c>
      <c r="AX153" s="4" t="s">
        <v>124</v>
      </c>
      <c r="AY153" s="7">
        <v>0.99383500000000002</v>
      </c>
      <c r="AZ153" s="4" t="s">
        <v>124</v>
      </c>
      <c r="BA153" s="4" t="s">
        <v>124</v>
      </c>
      <c r="BB153" s="4" t="s">
        <v>124</v>
      </c>
      <c r="BC153" s="4" t="s">
        <v>124</v>
      </c>
      <c r="BD153" s="4" t="s">
        <v>124</v>
      </c>
      <c r="BE153" s="4" t="s">
        <v>124</v>
      </c>
      <c r="BF153" s="4" t="s">
        <v>124</v>
      </c>
      <c r="BG153" s="4" t="s">
        <v>124</v>
      </c>
      <c r="BH153" s="7">
        <v>0</v>
      </c>
      <c r="BI153" s="7">
        <v>0.97872300000000001</v>
      </c>
      <c r="BJ153" s="4" t="s">
        <v>124</v>
      </c>
      <c r="BK153" s="7">
        <v>1</v>
      </c>
      <c r="BL153" s="7">
        <v>0.97872300000000001</v>
      </c>
      <c r="BM153" s="4" t="s">
        <v>124</v>
      </c>
      <c r="BN153" s="7">
        <v>1</v>
      </c>
      <c r="BO153" s="4" t="s">
        <v>124</v>
      </c>
      <c r="BP153" s="4" t="s">
        <v>124</v>
      </c>
      <c r="BQ153" s="4" t="s">
        <v>124</v>
      </c>
      <c r="BR153" s="7">
        <v>3.4091000000000003E-2</v>
      </c>
      <c r="BS153" s="7">
        <v>50</v>
      </c>
      <c r="BT153" s="7">
        <v>50</v>
      </c>
      <c r="BU153" s="7">
        <v>7.8947000000000003E-2</v>
      </c>
      <c r="BV153" s="7">
        <v>44.210526000000002</v>
      </c>
      <c r="BW153" s="7">
        <v>50</v>
      </c>
      <c r="BX153" s="4" t="s">
        <v>124</v>
      </c>
      <c r="BY153" s="4" t="s">
        <v>124</v>
      </c>
      <c r="BZ153" s="4" t="s">
        <v>124</v>
      </c>
      <c r="CA153" s="4" t="s">
        <v>124</v>
      </c>
      <c r="CB153" s="4" t="s">
        <v>124</v>
      </c>
      <c r="CC153" s="4" t="s">
        <v>124</v>
      </c>
      <c r="CD153" s="4" t="s">
        <v>124</v>
      </c>
      <c r="CE153" s="4" t="s">
        <v>124</v>
      </c>
      <c r="CF153" s="4" t="s">
        <v>124</v>
      </c>
      <c r="CG153" s="4" t="s">
        <v>124</v>
      </c>
      <c r="CH153" s="4" t="s">
        <v>124</v>
      </c>
      <c r="CI153" s="4" t="s">
        <v>124</v>
      </c>
      <c r="CJ153" s="4" t="s">
        <v>124</v>
      </c>
      <c r="CK153" s="4" t="s">
        <v>124</v>
      </c>
      <c r="CL153" s="4" t="s">
        <v>124</v>
      </c>
      <c r="CM153" s="4" t="s">
        <v>124</v>
      </c>
      <c r="CN153" s="4" t="s">
        <v>124</v>
      </c>
      <c r="CO153" s="4" t="s">
        <v>124</v>
      </c>
      <c r="CP153" s="4" t="s">
        <v>124</v>
      </c>
      <c r="CQ153" s="7">
        <v>0.65</v>
      </c>
      <c r="CR153" s="7">
        <v>1</v>
      </c>
      <c r="CS153" s="7">
        <v>43.333333000000003</v>
      </c>
      <c r="CT153" s="7">
        <v>50</v>
      </c>
      <c r="CU153" s="4" t="s">
        <v>124</v>
      </c>
      <c r="CV153" s="4" t="s">
        <v>124</v>
      </c>
      <c r="CW153" s="4" t="s">
        <v>124</v>
      </c>
      <c r="CX153" s="4" t="s">
        <v>124</v>
      </c>
      <c r="CY153" s="4" t="s">
        <v>124</v>
      </c>
      <c r="CZ153" s="4" t="s">
        <v>124</v>
      </c>
      <c r="DA153" s="7">
        <v>15.389535</v>
      </c>
      <c r="DB153" s="7">
        <v>17.608319000000002</v>
      </c>
      <c r="DC153" s="7">
        <v>16.064022999999999</v>
      </c>
      <c r="DD153" s="4" t="s">
        <v>124</v>
      </c>
      <c r="DE153" s="4" t="s">
        <v>124</v>
      </c>
      <c r="DF153" s="6"/>
      <c r="DG153" s="6"/>
      <c r="DH153" s="6"/>
      <c r="DI153" s="6"/>
      <c r="DJ153" s="4" t="s">
        <v>124</v>
      </c>
      <c r="DK153" s="4" t="s">
        <v>124</v>
      </c>
      <c r="DL153" s="4" t="s">
        <v>124</v>
      </c>
      <c r="DM153" s="4" t="s">
        <v>124</v>
      </c>
      <c r="DN153" s="4" t="s">
        <v>124</v>
      </c>
      <c r="DO153" s="4" t="s">
        <v>124</v>
      </c>
      <c r="DP153" s="6"/>
      <c r="DQ153" s="4" t="s">
        <v>125</v>
      </c>
    </row>
    <row r="154" spans="1:121" ht="20" customHeight="1" x14ac:dyDescent="0.15">
      <c r="A154" s="5">
        <v>2018</v>
      </c>
      <c r="B154" s="3" t="s">
        <v>277</v>
      </c>
      <c r="C154" s="4" t="str">
        <f t="shared" ref="C154:C827" si="149">"1240011"</f>
        <v>1240011</v>
      </c>
      <c r="D154" s="4" t="s">
        <v>122</v>
      </c>
      <c r="E154" s="4" t="str">
        <f t="shared" si="1"/>
        <v>0000000</v>
      </c>
      <c r="F154" s="4" t="s">
        <v>122</v>
      </c>
      <c r="G154" s="4" t="s">
        <v>122</v>
      </c>
      <c r="H154" s="4" t="s">
        <v>122</v>
      </c>
      <c r="I154" s="6"/>
      <c r="J154" s="4" t="s">
        <v>123</v>
      </c>
      <c r="K154" s="7">
        <v>1103.3065160000001</v>
      </c>
      <c r="L154" s="7">
        <v>1450</v>
      </c>
      <c r="M154" s="7">
        <v>76.090104999999994</v>
      </c>
      <c r="N154" s="4" t="s">
        <v>124</v>
      </c>
      <c r="O154" s="7">
        <v>0</v>
      </c>
      <c r="P154" s="7">
        <v>66.946098000000006</v>
      </c>
      <c r="Q154" s="7">
        <v>44.630732000000002</v>
      </c>
      <c r="R154" s="7">
        <v>50</v>
      </c>
      <c r="S154" s="7">
        <v>58.912458000000001</v>
      </c>
      <c r="T154" s="7">
        <v>73.735820000000004</v>
      </c>
      <c r="U154" s="7">
        <v>39.274971999999998</v>
      </c>
      <c r="V154" s="7">
        <v>50</v>
      </c>
      <c r="W154" s="7">
        <v>63.949365999999998</v>
      </c>
      <c r="X154" s="7">
        <v>42.632911</v>
      </c>
      <c r="Y154" s="7">
        <v>50</v>
      </c>
      <c r="Z154" s="7">
        <v>71.080893000000003</v>
      </c>
      <c r="AA154" s="7">
        <v>55.511299999999999</v>
      </c>
      <c r="AB154" s="7">
        <v>37.007533000000002</v>
      </c>
      <c r="AC154" s="7">
        <v>50</v>
      </c>
      <c r="AD154" s="7">
        <v>63.361480999999998</v>
      </c>
      <c r="AE154" s="7">
        <v>42.240986999999997</v>
      </c>
      <c r="AF154" s="7">
        <v>50</v>
      </c>
      <c r="AG154" s="7">
        <v>56.563175000000001</v>
      </c>
      <c r="AH154" s="7">
        <v>68.614716999999999</v>
      </c>
      <c r="AI154" s="7">
        <v>37.708784000000001</v>
      </c>
      <c r="AJ154" s="7">
        <v>50</v>
      </c>
      <c r="AK154" s="7">
        <v>14.82</v>
      </c>
      <c r="AL154" s="7">
        <v>15.56</v>
      </c>
      <c r="AM154" s="7">
        <v>12.05</v>
      </c>
      <c r="AN154" s="7">
        <v>0.55079699999999998</v>
      </c>
      <c r="AO154" s="7">
        <v>55.079690999999997</v>
      </c>
      <c r="AP154" s="7">
        <v>100</v>
      </c>
      <c r="AQ154" s="7">
        <v>0.62882199999999999</v>
      </c>
      <c r="AR154" s="7">
        <v>62.882162999999998</v>
      </c>
      <c r="AS154" s="7">
        <v>100</v>
      </c>
      <c r="AT154" s="7">
        <v>0.49513200000000002</v>
      </c>
      <c r="AU154" s="7">
        <v>0.59466799999999997</v>
      </c>
      <c r="AV154" s="7">
        <v>49.513199</v>
      </c>
      <c r="AW154" s="7">
        <v>100</v>
      </c>
      <c r="AX154" s="7">
        <v>0.57230800000000004</v>
      </c>
      <c r="AY154" s="7">
        <v>0.67324300000000004</v>
      </c>
      <c r="AZ154" s="7">
        <v>57.230766000000003</v>
      </c>
      <c r="BA154" s="7">
        <v>100</v>
      </c>
      <c r="BB154" s="7">
        <v>0.62076699999999996</v>
      </c>
      <c r="BC154" s="7">
        <v>31.038356</v>
      </c>
      <c r="BD154" s="7">
        <v>50</v>
      </c>
      <c r="BE154" s="7">
        <v>0.47530499999999998</v>
      </c>
      <c r="BF154" s="7">
        <v>23.765256999999998</v>
      </c>
      <c r="BG154" s="7">
        <v>50</v>
      </c>
      <c r="BH154" s="7">
        <v>0</v>
      </c>
      <c r="BI154" s="7">
        <v>0.99407800000000002</v>
      </c>
      <c r="BJ154" s="7">
        <v>0.99276699999999996</v>
      </c>
      <c r="BK154" s="7">
        <v>0.99523099999999998</v>
      </c>
      <c r="BL154" s="7">
        <v>0.99407800000000002</v>
      </c>
      <c r="BM154" s="7">
        <v>0.99276699999999996</v>
      </c>
      <c r="BN154" s="7">
        <v>0.99523099999999998</v>
      </c>
      <c r="BO154" s="7">
        <v>0.99051199999999995</v>
      </c>
      <c r="BP154" s="7">
        <v>0.97907900000000003</v>
      </c>
      <c r="BQ154" s="7">
        <v>1</v>
      </c>
      <c r="BR154" s="7">
        <v>0.111009</v>
      </c>
      <c r="BS154" s="7">
        <v>37.798250000000003</v>
      </c>
      <c r="BT154" s="7">
        <v>50</v>
      </c>
      <c r="BU154" s="7">
        <v>0.168986</v>
      </c>
      <c r="BV154" s="7">
        <v>26.202783</v>
      </c>
      <c r="BW154" s="7">
        <v>50</v>
      </c>
      <c r="BX154" s="7">
        <v>0.79940999999999995</v>
      </c>
      <c r="BY154" s="7">
        <v>50</v>
      </c>
      <c r="BZ154" s="7">
        <v>50</v>
      </c>
      <c r="CA154" s="7">
        <v>0.39822999999999997</v>
      </c>
      <c r="CB154" s="7">
        <v>26.548673000000001</v>
      </c>
      <c r="CC154" s="7">
        <v>50</v>
      </c>
      <c r="CD154" s="7">
        <v>0.96656500000000001</v>
      </c>
      <c r="CE154" s="7">
        <v>50</v>
      </c>
      <c r="CF154" s="7">
        <v>50</v>
      </c>
      <c r="CG154" s="7">
        <v>0.93670900000000001</v>
      </c>
      <c r="CH154" s="7">
        <v>99.649878999999999</v>
      </c>
      <c r="CI154" s="7">
        <v>100</v>
      </c>
      <c r="CJ154" s="7">
        <v>0</v>
      </c>
      <c r="CK154" s="7">
        <v>0.95082</v>
      </c>
      <c r="CL154" s="7">
        <v>100</v>
      </c>
      <c r="CM154" s="7">
        <v>100</v>
      </c>
      <c r="CN154" s="7">
        <v>0.748</v>
      </c>
      <c r="CO154" s="7">
        <v>99.779248999999993</v>
      </c>
      <c r="CP154" s="7">
        <v>100</v>
      </c>
      <c r="CQ154" s="7">
        <v>0.61756</v>
      </c>
      <c r="CR154" s="7">
        <v>0.92817700000000003</v>
      </c>
      <c r="CS154" s="7">
        <v>41.170634999999997</v>
      </c>
      <c r="CT154" s="7">
        <v>50</v>
      </c>
      <c r="CU154" s="7">
        <v>0.58982000000000001</v>
      </c>
      <c r="CV154" s="7">
        <v>49.151696999999999</v>
      </c>
      <c r="CW154" s="7">
        <v>50</v>
      </c>
      <c r="CX154" s="7">
        <v>0.95082</v>
      </c>
      <c r="CY154" s="7">
        <v>0.94</v>
      </c>
      <c r="CZ154" s="7">
        <v>-1.082E-2</v>
      </c>
      <c r="DA154" s="7">
        <v>15.389535</v>
      </c>
      <c r="DB154" s="7">
        <v>17.608319000000002</v>
      </c>
      <c r="DC154" s="7">
        <v>16.064022999999999</v>
      </c>
      <c r="DD154" s="7">
        <v>11.115401</v>
      </c>
      <c r="DE154" s="4" t="s">
        <v>124</v>
      </c>
      <c r="DF154" s="6"/>
      <c r="DG154" s="6"/>
      <c r="DH154" s="6"/>
      <c r="DI154" s="6"/>
      <c r="DJ154" s="4" t="s">
        <v>124</v>
      </c>
      <c r="DK154" s="4" t="s">
        <v>124</v>
      </c>
      <c r="DL154" s="4" t="s">
        <v>124</v>
      </c>
      <c r="DM154" s="4" t="s">
        <v>124</v>
      </c>
      <c r="DN154" s="4" t="s">
        <v>124</v>
      </c>
      <c r="DO154" s="4" t="s">
        <v>124</v>
      </c>
      <c r="DP154" s="6"/>
      <c r="DQ154" s="4" t="s">
        <v>125</v>
      </c>
    </row>
    <row r="155" spans="1:121" ht="20" customHeight="1" x14ac:dyDescent="0.15">
      <c r="A155" s="5">
        <v>2018</v>
      </c>
      <c r="B155" s="3" t="s">
        <v>278</v>
      </c>
      <c r="C155" s="4" t="str">
        <f t="shared" ref="C155:C831" si="150">"1250011"</f>
        <v>1250011</v>
      </c>
      <c r="D155" s="4" t="s">
        <v>122</v>
      </c>
      <c r="E155" s="4" t="str">
        <f t="shared" si="1"/>
        <v>0000000</v>
      </c>
      <c r="F155" s="4" t="s">
        <v>122</v>
      </c>
      <c r="G155" s="4" t="s">
        <v>122</v>
      </c>
      <c r="H155" s="4" t="s">
        <v>122</v>
      </c>
      <c r="I155" s="6"/>
      <c r="J155" s="4" t="s">
        <v>123</v>
      </c>
      <c r="K155" s="7">
        <v>674.75871700000005</v>
      </c>
      <c r="L155" s="7">
        <v>800</v>
      </c>
      <c r="M155" s="7">
        <v>84.344840000000005</v>
      </c>
      <c r="N155" s="4" t="s">
        <v>124</v>
      </c>
      <c r="O155" s="7">
        <v>0</v>
      </c>
      <c r="P155" s="7">
        <v>75.064696999999995</v>
      </c>
      <c r="Q155" s="7">
        <v>50</v>
      </c>
      <c r="R155" s="7">
        <v>50</v>
      </c>
      <c r="S155" s="7">
        <v>66.677358999999996</v>
      </c>
      <c r="T155" s="7">
        <v>75</v>
      </c>
      <c r="U155" s="7">
        <v>44.451573000000003</v>
      </c>
      <c r="V155" s="7">
        <v>50</v>
      </c>
      <c r="W155" s="7">
        <v>66.759618000000003</v>
      </c>
      <c r="X155" s="7">
        <v>44.506411999999997</v>
      </c>
      <c r="Y155" s="7">
        <v>50</v>
      </c>
      <c r="Z155" s="7">
        <v>72.569918000000001</v>
      </c>
      <c r="AA155" s="7">
        <v>60.792282999999998</v>
      </c>
      <c r="AB155" s="7">
        <v>40.528188</v>
      </c>
      <c r="AC155" s="7">
        <v>50</v>
      </c>
      <c r="AD155" s="7">
        <v>76.404359999999997</v>
      </c>
      <c r="AE155" s="7">
        <v>50</v>
      </c>
      <c r="AF155" s="7">
        <v>50</v>
      </c>
      <c r="AG155" s="4" t="s">
        <v>124</v>
      </c>
      <c r="AH155" s="4" t="s">
        <v>124</v>
      </c>
      <c r="AI155" s="4" t="s">
        <v>124</v>
      </c>
      <c r="AJ155" s="4" t="s">
        <v>124</v>
      </c>
      <c r="AK155" s="7">
        <v>8.32</v>
      </c>
      <c r="AL155" s="7">
        <v>11.77</v>
      </c>
      <c r="AM155" s="4" t="s">
        <v>124</v>
      </c>
      <c r="AN155" s="7">
        <v>0.789744</v>
      </c>
      <c r="AO155" s="7">
        <v>78.974383000000003</v>
      </c>
      <c r="AP155" s="7">
        <v>100</v>
      </c>
      <c r="AQ155" s="7">
        <v>0.75256299999999998</v>
      </c>
      <c r="AR155" s="7">
        <v>75.256260999999995</v>
      </c>
      <c r="AS155" s="7">
        <v>100</v>
      </c>
      <c r="AT155" s="7">
        <v>0.66395199999999999</v>
      </c>
      <c r="AU155" s="7">
        <v>0.90410000000000001</v>
      </c>
      <c r="AV155" s="7">
        <v>66.395182000000005</v>
      </c>
      <c r="AW155" s="7">
        <v>100</v>
      </c>
      <c r="AX155" s="7">
        <v>0.82715099999999997</v>
      </c>
      <c r="AY155" s="7">
        <v>0.691137</v>
      </c>
      <c r="AZ155" s="7">
        <v>82.715123000000006</v>
      </c>
      <c r="BA155" s="7">
        <v>100</v>
      </c>
      <c r="BB155" s="4" t="s">
        <v>124</v>
      </c>
      <c r="BC155" s="4" t="s">
        <v>124</v>
      </c>
      <c r="BD155" s="4" t="s">
        <v>124</v>
      </c>
      <c r="BE155" s="4" t="s">
        <v>124</v>
      </c>
      <c r="BF155" s="4" t="s">
        <v>124</v>
      </c>
      <c r="BG155" s="4" t="s">
        <v>124</v>
      </c>
      <c r="BH155" s="7">
        <v>0</v>
      </c>
      <c r="BI155" s="7">
        <v>0.98750000000000004</v>
      </c>
      <c r="BJ155" s="7">
        <v>1</v>
      </c>
      <c r="BK155" s="7">
        <v>0.97499999999999998</v>
      </c>
      <c r="BL155" s="7">
        <v>0.98750000000000004</v>
      </c>
      <c r="BM155" s="7">
        <v>0.97499999999999998</v>
      </c>
      <c r="BN155" s="7">
        <v>1</v>
      </c>
      <c r="BO155" s="7">
        <v>0.96296300000000001</v>
      </c>
      <c r="BP155" s="4" t="s">
        <v>124</v>
      </c>
      <c r="BQ155" s="4" t="s">
        <v>124</v>
      </c>
      <c r="BR155" s="7">
        <v>5.1723999999999999E-2</v>
      </c>
      <c r="BS155" s="7">
        <v>49.655172</v>
      </c>
      <c r="BT155" s="7">
        <v>50</v>
      </c>
      <c r="BU155" s="7">
        <v>4.9180000000000001E-2</v>
      </c>
      <c r="BV155" s="7">
        <v>50</v>
      </c>
      <c r="BW155" s="7">
        <v>50</v>
      </c>
      <c r="BX155" s="4" t="s">
        <v>124</v>
      </c>
      <c r="BY155" s="4" t="s">
        <v>124</v>
      </c>
      <c r="BZ155" s="4" t="s">
        <v>124</v>
      </c>
      <c r="CA155" s="4" t="s">
        <v>124</v>
      </c>
      <c r="CB155" s="4" t="s">
        <v>124</v>
      </c>
      <c r="CC155" s="4" t="s">
        <v>124</v>
      </c>
      <c r="CD155" s="4" t="s">
        <v>124</v>
      </c>
      <c r="CE155" s="4" t="s">
        <v>124</v>
      </c>
      <c r="CF155" s="4" t="s">
        <v>124</v>
      </c>
      <c r="CG155" s="4" t="s">
        <v>124</v>
      </c>
      <c r="CH155" s="4" t="s">
        <v>124</v>
      </c>
      <c r="CI155" s="4" t="s">
        <v>124</v>
      </c>
      <c r="CJ155" s="4" t="s">
        <v>124</v>
      </c>
      <c r="CK155" s="4" t="s">
        <v>124</v>
      </c>
      <c r="CL155" s="4" t="s">
        <v>124</v>
      </c>
      <c r="CM155" s="4" t="s">
        <v>124</v>
      </c>
      <c r="CN155" s="4" t="s">
        <v>124</v>
      </c>
      <c r="CO155" s="4" t="s">
        <v>124</v>
      </c>
      <c r="CP155" s="4" t="s">
        <v>124</v>
      </c>
      <c r="CQ155" s="7">
        <v>0.63414599999999999</v>
      </c>
      <c r="CR155" s="7">
        <v>0.911111</v>
      </c>
      <c r="CS155" s="7">
        <v>42.276423000000001</v>
      </c>
      <c r="CT155" s="7">
        <v>50</v>
      </c>
      <c r="CU155" s="4" t="s">
        <v>124</v>
      </c>
      <c r="CV155" s="4" t="s">
        <v>124</v>
      </c>
      <c r="CW155" s="4" t="s">
        <v>124</v>
      </c>
      <c r="CX155" s="4" t="s">
        <v>124</v>
      </c>
      <c r="CY155" s="4" t="s">
        <v>124</v>
      </c>
      <c r="CZ155" s="4" t="s">
        <v>124</v>
      </c>
      <c r="DA155" s="7">
        <v>15.389535</v>
      </c>
      <c r="DB155" s="7">
        <v>17.608319000000002</v>
      </c>
      <c r="DC155" s="7">
        <v>16.064022999999999</v>
      </c>
      <c r="DD155" s="4" t="s">
        <v>124</v>
      </c>
      <c r="DE155" s="4" t="s">
        <v>124</v>
      </c>
      <c r="DF155" s="6"/>
      <c r="DG155" s="6"/>
      <c r="DH155" s="6"/>
      <c r="DI155" s="6"/>
      <c r="DJ155" s="4" t="s">
        <v>124</v>
      </c>
      <c r="DK155" s="4" t="s">
        <v>124</v>
      </c>
      <c r="DL155" s="4" t="s">
        <v>124</v>
      </c>
      <c r="DM155" s="4" t="s">
        <v>124</v>
      </c>
      <c r="DN155" s="4" t="s">
        <v>124</v>
      </c>
      <c r="DO155" s="4" t="s">
        <v>124</v>
      </c>
      <c r="DP155" s="6"/>
      <c r="DQ155" s="4" t="s">
        <v>125</v>
      </c>
    </row>
    <row r="156" spans="1:121" ht="20" customHeight="1" x14ac:dyDescent="0.15">
      <c r="A156" s="5">
        <v>2018</v>
      </c>
      <c r="B156" s="3" t="s">
        <v>279</v>
      </c>
      <c r="C156" s="4" t="str">
        <f t="shared" ref="C156:C832" si="151">"1260011"</f>
        <v>1260011</v>
      </c>
      <c r="D156" s="4" t="s">
        <v>122</v>
      </c>
      <c r="E156" s="4" t="str">
        <f t="shared" si="1"/>
        <v>0000000</v>
      </c>
      <c r="F156" s="4" t="s">
        <v>122</v>
      </c>
      <c r="G156" s="4" t="s">
        <v>122</v>
      </c>
      <c r="H156" s="4" t="s">
        <v>122</v>
      </c>
      <c r="I156" s="6"/>
      <c r="J156" s="4" t="s">
        <v>123</v>
      </c>
      <c r="K156" s="7">
        <v>1145.3115170000001</v>
      </c>
      <c r="L156" s="7">
        <v>1450</v>
      </c>
      <c r="M156" s="7">
        <v>78.987001000000006</v>
      </c>
      <c r="N156" s="4" t="s">
        <v>124</v>
      </c>
      <c r="O156" s="7">
        <v>0</v>
      </c>
      <c r="P156" s="7">
        <v>74.315235000000001</v>
      </c>
      <c r="Q156" s="7">
        <v>49.543489999999998</v>
      </c>
      <c r="R156" s="7">
        <v>50</v>
      </c>
      <c r="S156" s="7">
        <v>66.197395999999998</v>
      </c>
      <c r="T156" s="7">
        <v>75</v>
      </c>
      <c r="U156" s="7">
        <v>44.131596999999999</v>
      </c>
      <c r="V156" s="7">
        <v>50</v>
      </c>
      <c r="W156" s="7">
        <v>69.809659999999994</v>
      </c>
      <c r="X156" s="7">
        <v>46.539772999999997</v>
      </c>
      <c r="Y156" s="7">
        <v>50</v>
      </c>
      <c r="Z156" s="7">
        <v>75</v>
      </c>
      <c r="AA156" s="7">
        <v>60.721792000000001</v>
      </c>
      <c r="AB156" s="7">
        <v>40.481195</v>
      </c>
      <c r="AC156" s="7">
        <v>50</v>
      </c>
      <c r="AD156" s="7">
        <v>68.973279000000005</v>
      </c>
      <c r="AE156" s="7">
        <v>45.982185999999999</v>
      </c>
      <c r="AF156" s="7">
        <v>50</v>
      </c>
      <c r="AG156" s="7">
        <v>61.754108000000002</v>
      </c>
      <c r="AH156" s="7">
        <v>73.552358999999996</v>
      </c>
      <c r="AI156" s="7">
        <v>41.169406000000002</v>
      </c>
      <c r="AJ156" s="7">
        <v>50</v>
      </c>
      <c r="AK156" s="7">
        <v>8.8000000000000007</v>
      </c>
      <c r="AL156" s="7">
        <v>14.27</v>
      </c>
      <c r="AM156" s="7">
        <v>11.79</v>
      </c>
      <c r="AN156" s="7">
        <v>0.63126300000000002</v>
      </c>
      <c r="AO156" s="7">
        <v>63.126334</v>
      </c>
      <c r="AP156" s="7">
        <v>100</v>
      </c>
      <c r="AQ156" s="7">
        <v>0.67804900000000001</v>
      </c>
      <c r="AR156" s="7">
        <v>67.804856999999998</v>
      </c>
      <c r="AS156" s="7">
        <v>100</v>
      </c>
      <c r="AT156" s="7">
        <v>0.58118999999999998</v>
      </c>
      <c r="AU156" s="7">
        <v>0.66291599999999995</v>
      </c>
      <c r="AV156" s="7">
        <v>58.119025000000001</v>
      </c>
      <c r="AW156" s="7">
        <v>100</v>
      </c>
      <c r="AX156" s="7">
        <v>0.595522</v>
      </c>
      <c r="AY156" s="7">
        <v>0.730236</v>
      </c>
      <c r="AZ156" s="7">
        <v>59.552210000000002</v>
      </c>
      <c r="BA156" s="7">
        <v>100</v>
      </c>
      <c r="BB156" s="7">
        <v>0.66156499999999996</v>
      </c>
      <c r="BC156" s="7">
        <v>33.078256000000003</v>
      </c>
      <c r="BD156" s="7">
        <v>50</v>
      </c>
      <c r="BE156" s="7">
        <v>0.57280900000000001</v>
      </c>
      <c r="BF156" s="7">
        <v>28.640474000000001</v>
      </c>
      <c r="BG156" s="7">
        <v>50</v>
      </c>
      <c r="BH156" s="7">
        <v>0</v>
      </c>
      <c r="BI156" s="7">
        <v>0.99344399999999999</v>
      </c>
      <c r="BJ156" s="7">
        <v>0.98808399999999996</v>
      </c>
      <c r="BK156" s="7">
        <v>0.99733700000000003</v>
      </c>
      <c r="BL156" s="7">
        <v>0.993058</v>
      </c>
      <c r="BM156" s="7">
        <v>0.98900100000000002</v>
      </c>
      <c r="BN156" s="7">
        <v>0.99600500000000003</v>
      </c>
      <c r="BO156" s="7">
        <v>0.98309599999999997</v>
      </c>
      <c r="BP156" s="7">
        <v>0.97327399999999997</v>
      </c>
      <c r="BQ156" s="7">
        <v>0.98963000000000001</v>
      </c>
      <c r="BR156" s="7">
        <v>7.1351999999999999E-2</v>
      </c>
      <c r="BS156" s="7">
        <v>45.729636999999997</v>
      </c>
      <c r="BT156" s="7">
        <v>50</v>
      </c>
      <c r="BU156" s="7">
        <v>0.11158800000000001</v>
      </c>
      <c r="BV156" s="7">
        <v>37.682403000000001</v>
      </c>
      <c r="BW156" s="7">
        <v>50</v>
      </c>
      <c r="BX156" s="7">
        <v>0.828457</v>
      </c>
      <c r="BY156" s="7">
        <v>50</v>
      </c>
      <c r="BZ156" s="7">
        <v>50</v>
      </c>
      <c r="CA156" s="7">
        <v>0.51462799999999997</v>
      </c>
      <c r="CB156" s="7">
        <v>34.308511000000003</v>
      </c>
      <c r="CC156" s="7">
        <v>50</v>
      </c>
      <c r="CD156" s="7">
        <v>0.90163899999999997</v>
      </c>
      <c r="CE156" s="7">
        <v>47.959539999999997</v>
      </c>
      <c r="CF156" s="7">
        <v>50</v>
      </c>
      <c r="CG156" s="7">
        <v>0.89972099999999999</v>
      </c>
      <c r="CH156" s="7">
        <v>95.715047999999996</v>
      </c>
      <c r="CI156" s="7">
        <v>100</v>
      </c>
      <c r="CJ156" s="7">
        <v>0</v>
      </c>
      <c r="CK156" s="7">
        <v>0.83333299999999999</v>
      </c>
      <c r="CL156" s="7">
        <v>88.652482000000006</v>
      </c>
      <c r="CM156" s="7">
        <v>100</v>
      </c>
      <c r="CN156" s="7">
        <v>0.75800000000000001</v>
      </c>
      <c r="CO156" s="7">
        <v>100</v>
      </c>
      <c r="CP156" s="7">
        <v>100</v>
      </c>
      <c r="CQ156" s="7">
        <v>0.62782499999999997</v>
      </c>
      <c r="CR156" s="7">
        <v>0.95546600000000004</v>
      </c>
      <c r="CS156" s="7">
        <v>41.854990999999998</v>
      </c>
      <c r="CT156" s="7">
        <v>50</v>
      </c>
      <c r="CU156" s="7">
        <v>0.30288100000000001</v>
      </c>
      <c r="CV156" s="7">
        <v>25.240103000000001</v>
      </c>
      <c r="CW156" s="7">
        <v>50</v>
      </c>
      <c r="CX156" s="7">
        <v>0.83333299999999999</v>
      </c>
      <c r="CY156" s="7">
        <v>0.94</v>
      </c>
      <c r="CZ156" s="7">
        <v>0.106667</v>
      </c>
      <c r="DA156" s="7">
        <v>15.389535</v>
      </c>
      <c r="DB156" s="7">
        <v>17.608319000000002</v>
      </c>
      <c r="DC156" s="7">
        <v>16.064022999999999</v>
      </c>
      <c r="DD156" s="7">
        <v>11.115401</v>
      </c>
      <c r="DE156" s="4" t="s">
        <v>124</v>
      </c>
      <c r="DF156" s="6"/>
      <c r="DG156" s="6"/>
      <c r="DH156" s="6"/>
      <c r="DI156" s="6"/>
      <c r="DJ156" s="4" t="s">
        <v>124</v>
      </c>
      <c r="DK156" s="4" t="s">
        <v>124</v>
      </c>
      <c r="DL156" s="4" t="s">
        <v>124</v>
      </c>
      <c r="DM156" s="4" t="s">
        <v>124</v>
      </c>
      <c r="DN156" s="4" t="s">
        <v>124</v>
      </c>
      <c r="DO156" s="4" t="s">
        <v>124</v>
      </c>
      <c r="DP156" s="6"/>
      <c r="DQ156" s="4" t="s">
        <v>125</v>
      </c>
    </row>
    <row r="157" spans="1:121" ht="20" customHeight="1" x14ac:dyDescent="0.15">
      <c r="A157" s="5">
        <v>2018</v>
      </c>
      <c r="B157" s="3" t="s">
        <v>280</v>
      </c>
      <c r="C157" s="4" t="str">
        <f t="shared" ref="C157:C840" si="152">"1270011"</f>
        <v>1270011</v>
      </c>
      <c r="D157" s="4" t="s">
        <v>122</v>
      </c>
      <c r="E157" s="4" t="str">
        <f t="shared" si="1"/>
        <v>0000000</v>
      </c>
      <c r="F157" s="4" t="s">
        <v>122</v>
      </c>
      <c r="G157" s="4" t="s">
        <v>122</v>
      </c>
      <c r="H157" s="4" t="s">
        <v>122</v>
      </c>
      <c r="I157" s="6"/>
      <c r="J157" s="4" t="s">
        <v>123</v>
      </c>
      <c r="K157" s="7">
        <v>655.75992099999996</v>
      </c>
      <c r="L157" s="7">
        <v>850</v>
      </c>
      <c r="M157" s="7">
        <v>77.148225999999994</v>
      </c>
      <c r="N157" s="4" t="s">
        <v>124</v>
      </c>
      <c r="O157" s="7">
        <v>0</v>
      </c>
      <c r="P157" s="7">
        <v>73.349384999999998</v>
      </c>
      <c r="Q157" s="7">
        <v>48.899590000000003</v>
      </c>
      <c r="R157" s="7">
        <v>50</v>
      </c>
      <c r="S157" s="7">
        <v>61.605902</v>
      </c>
      <c r="T157" s="7">
        <v>75</v>
      </c>
      <c r="U157" s="7">
        <v>41.070601000000003</v>
      </c>
      <c r="V157" s="7">
        <v>50</v>
      </c>
      <c r="W157" s="7">
        <v>70.800359</v>
      </c>
      <c r="X157" s="7">
        <v>47.200239000000003</v>
      </c>
      <c r="Y157" s="7">
        <v>50</v>
      </c>
      <c r="Z157" s="7">
        <v>74.182822000000002</v>
      </c>
      <c r="AA157" s="7">
        <v>58.071615000000001</v>
      </c>
      <c r="AB157" s="7">
        <v>38.714410000000001</v>
      </c>
      <c r="AC157" s="7">
        <v>50</v>
      </c>
      <c r="AD157" s="7">
        <v>69.436706999999998</v>
      </c>
      <c r="AE157" s="7">
        <v>46.291137999999997</v>
      </c>
      <c r="AF157" s="7">
        <v>50</v>
      </c>
      <c r="AG157" s="4" t="s">
        <v>124</v>
      </c>
      <c r="AH157" s="7">
        <v>72.196111999999999</v>
      </c>
      <c r="AI157" s="4" t="s">
        <v>124</v>
      </c>
      <c r="AJ157" s="4" t="s">
        <v>124</v>
      </c>
      <c r="AK157" s="7">
        <v>13.39</v>
      </c>
      <c r="AL157" s="7">
        <v>16.11</v>
      </c>
      <c r="AM157" s="4" t="s">
        <v>124</v>
      </c>
      <c r="AN157" s="7">
        <v>0.60003799999999996</v>
      </c>
      <c r="AO157" s="7">
        <v>60.003833999999998</v>
      </c>
      <c r="AP157" s="7">
        <v>100</v>
      </c>
      <c r="AQ157" s="7">
        <v>0.67798199999999997</v>
      </c>
      <c r="AR157" s="7">
        <v>67.798162000000005</v>
      </c>
      <c r="AS157" s="7">
        <v>100</v>
      </c>
      <c r="AT157" s="7">
        <v>0.66543799999999997</v>
      </c>
      <c r="AU157" s="7">
        <v>0.58468399999999998</v>
      </c>
      <c r="AV157" s="7">
        <v>66.543805000000006</v>
      </c>
      <c r="AW157" s="7">
        <v>100</v>
      </c>
      <c r="AX157" s="7">
        <v>0.56957400000000002</v>
      </c>
      <c r="AY157" s="7">
        <v>0.70249099999999998</v>
      </c>
      <c r="AZ157" s="7">
        <v>56.957439999999998</v>
      </c>
      <c r="BA157" s="7">
        <v>100</v>
      </c>
      <c r="BB157" s="4" t="s">
        <v>124</v>
      </c>
      <c r="BC157" s="4" t="s">
        <v>124</v>
      </c>
      <c r="BD157" s="4" t="s">
        <v>124</v>
      </c>
      <c r="BE157" s="4" t="s">
        <v>124</v>
      </c>
      <c r="BF157" s="4" t="s">
        <v>124</v>
      </c>
      <c r="BG157" s="4" t="s">
        <v>124</v>
      </c>
      <c r="BH157" s="7">
        <v>1</v>
      </c>
      <c r="BI157" s="7">
        <v>0.93846200000000002</v>
      </c>
      <c r="BJ157" s="7">
        <v>0.97435899999999998</v>
      </c>
      <c r="BK157" s="7">
        <v>0.92948699999999995</v>
      </c>
      <c r="BL157" s="7">
        <v>0.93846200000000002</v>
      </c>
      <c r="BM157" s="7">
        <v>0.97435899999999998</v>
      </c>
      <c r="BN157" s="7">
        <v>0.92948699999999995</v>
      </c>
      <c r="BO157" s="7">
        <v>0.91666700000000001</v>
      </c>
      <c r="BP157" s="4" t="s">
        <v>124</v>
      </c>
      <c r="BQ157" s="7">
        <v>0.92</v>
      </c>
      <c r="BR157" s="7">
        <v>2.6315999999999999E-2</v>
      </c>
      <c r="BS157" s="7">
        <v>50</v>
      </c>
      <c r="BT157" s="7">
        <v>50</v>
      </c>
      <c r="BU157" s="7">
        <v>4.0815999999999998E-2</v>
      </c>
      <c r="BV157" s="7">
        <v>50</v>
      </c>
      <c r="BW157" s="7">
        <v>50</v>
      </c>
      <c r="BX157" s="4" t="s">
        <v>124</v>
      </c>
      <c r="BY157" s="4" t="s">
        <v>124</v>
      </c>
      <c r="BZ157" s="4" t="s">
        <v>124</v>
      </c>
      <c r="CA157" s="4" t="s">
        <v>124</v>
      </c>
      <c r="CB157" s="4" t="s">
        <v>124</v>
      </c>
      <c r="CC157" s="4" t="s">
        <v>124</v>
      </c>
      <c r="CD157" s="7">
        <v>0.97058800000000001</v>
      </c>
      <c r="CE157" s="7">
        <v>50</v>
      </c>
      <c r="CF157" s="7">
        <v>50</v>
      </c>
      <c r="CG157" s="4" t="s">
        <v>124</v>
      </c>
      <c r="CH157" s="4" t="s">
        <v>124</v>
      </c>
      <c r="CI157" s="4" t="s">
        <v>124</v>
      </c>
      <c r="CJ157" s="4" t="s">
        <v>124</v>
      </c>
      <c r="CK157" s="4" t="s">
        <v>124</v>
      </c>
      <c r="CL157" s="4" t="s">
        <v>124</v>
      </c>
      <c r="CM157" s="4" t="s">
        <v>124</v>
      </c>
      <c r="CN157" s="4" t="s">
        <v>124</v>
      </c>
      <c r="CO157" s="4" t="s">
        <v>124</v>
      </c>
      <c r="CP157" s="4" t="s">
        <v>124</v>
      </c>
      <c r="CQ157" s="7">
        <v>0.484211</v>
      </c>
      <c r="CR157" s="7">
        <v>0.97938099999999995</v>
      </c>
      <c r="CS157" s="7">
        <v>32.280701999999998</v>
      </c>
      <c r="CT157" s="7">
        <v>50</v>
      </c>
      <c r="CU157" s="4" t="s">
        <v>124</v>
      </c>
      <c r="CV157" s="4" t="s">
        <v>124</v>
      </c>
      <c r="CW157" s="4" t="s">
        <v>124</v>
      </c>
      <c r="CX157" s="4" t="s">
        <v>124</v>
      </c>
      <c r="CY157" s="4" t="s">
        <v>124</v>
      </c>
      <c r="CZ157" s="4" t="s">
        <v>124</v>
      </c>
      <c r="DA157" s="7">
        <v>15.389535</v>
      </c>
      <c r="DB157" s="7">
        <v>17.608319000000002</v>
      </c>
      <c r="DC157" s="7">
        <v>16.064022999999999</v>
      </c>
      <c r="DD157" s="4" t="s">
        <v>124</v>
      </c>
      <c r="DE157" s="4" t="s">
        <v>124</v>
      </c>
      <c r="DF157" s="6"/>
      <c r="DG157" s="6"/>
      <c r="DH157" s="6"/>
      <c r="DI157" s="6"/>
      <c r="DJ157" s="4" t="s">
        <v>124</v>
      </c>
      <c r="DK157" s="4" t="s">
        <v>124</v>
      </c>
      <c r="DL157" s="4" t="s">
        <v>124</v>
      </c>
      <c r="DM157" s="4" t="s">
        <v>124</v>
      </c>
      <c r="DN157" s="4" t="s">
        <v>124</v>
      </c>
      <c r="DO157" s="4" t="s">
        <v>124</v>
      </c>
      <c r="DP157" s="6"/>
      <c r="DQ157" s="4" t="s">
        <v>125</v>
      </c>
    </row>
    <row r="158" spans="1:121" ht="20" customHeight="1" x14ac:dyDescent="0.15">
      <c r="A158" s="5">
        <v>2018</v>
      </c>
      <c r="B158" s="3" t="s">
        <v>281</v>
      </c>
      <c r="C158" s="4" t="str">
        <f t="shared" ref="C158:C841" si="153">"1280011"</f>
        <v>1280011</v>
      </c>
      <c r="D158" s="4" t="s">
        <v>122</v>
      </c>
      <c r="E158" s="4" t="str">
        <f t="shared" si="1"/>
        <v>0000000</v>
      </c>
      <c r="F158" s="4" t="s">
        <v>122</v>
      </c>
      <c r="G158" s="4" t="s">
        <v>122</v>
      </c>
      <c r="H158" s="4" t="s">
        <v>122</v>
      </c>
      <c r="I158" s="6"/>
      <c r="J158" s="4" t="s">
        <v>123</v>
      </c>
      <c r="K158" s="7">
        <v>1241.157459</v>
      </c>
      <c r="L158" s="7">
        <v>1450</v>
      </c>
      <c r="M158" s="7">
        <v>85.597065999999998</v>
      </c>
      <c r="N158" s="4" t="s">
        <v>124</v>
      </c>
      <c r="O158" s="7">
        <v>0</v>
      </c>
      <c r="P158" s="7">
        <v>80.883072999999996</v>
      </c>
      <c r="Q158" s="7">
        <v>50</v>
      </c>
      <c r="R158" s="7">
        <v>50</v>
      </c>
      <c r="S158" s="7">
        <v>68.058398999999994</v>
      </c>
      <c r="T158" s="7">
        <v>75</v>
      </c>
      <c r="U158" s="7">
        <v>45.372266000000003</v>
      </c>
      <c r="V158" s="7">
        <v>50</v>
      </c>
      <c r="W158" s="7">
        <v>74.486232999999999</v>
      </c>
      <c r="X158" s="7">
        <v>49.657488999999998</v>
      </c>
      <c r="Y158" s="7">
        <v>50</v>
      </c>
      <c r="Z158" s="7">
        <v>75</v>
      </c>
      <c r="AA158" s="7">
        <v>60.200360000000003</v>
      </c>
      <c r="AB158" s="7">
        <v>40.133572999999998</v>
      </c>
      <c r="AC158" s="7">
        <v>50</v>
      </c>
      <c r="AD158" s="7">
        <v>79.332431</v>
      </c>
      <c r="AE158" s="7">
        <v>50</v>
      </c>
      <c r="AF158" s="7">
        <v>50</v>
      </c>
      <c r="AG158" s="7">
        <v>63.341982000000002</v>
      </c>
      <c r="AH158" s="7">
        <v>75</v>
      </c>
      <c r="AI158" s="7">
        <v>42.227988000000003</v>
      </c>
      <c r="AJ158" s="7">
        <v>50</v>
      </c>
      <c r="AK158" s="7">
        <v>6.94</v>
      </c>
      <c r="AL158" s="7">
        <v>14.79</v>
      </c>
      <c r="AM158" s="7">
        <v>11.65</v>
      </c>
      <c r="AN158" s="7">
        <v>0.69531100000000001</v>
      </c>
      <c r="AO158" s="7">
        <v>69.531121999999996</v>
      </c>
      <c r="AP158" s="7">
        <v>100</v>
      </c>
      <c r="AQ158" s="7">
        <v>0.72036699999999998</v>
      </c>
      <c r="AR158" s="7">
        <v>72.036732000000001</v>
      </c>
      <c r="AS158" s="7">
        <v>100</v>
      </c>
      <c r="AT158" s="7">
        <v>0.60814400000000002</v>
      </c>
      <c r="AU158" s="7">
        <v>0.72313400000000005</v>
      </c>
      <c r="AV158" s="7">
        <v>60.814447999999999</v>
      </c>
      <c r="AW158" s="7">
        <v>100</v>
      </c>
      <c r="AX158" s="7">
        <v>0.62035600000000002</v>
      </c>
      <c r="AY158" s="7">
        <v>0.75222699999999998</v>
      </c>
      <c r="AZ158" s="7">
        <v>62.035561000000001</v>
      </c>
      <c r="BA158" s="7">
        <v>100</v>
      </c>
      <c r="BB158" s="7">
        <v>0.87959200000000004</v>
      </c>
      <c r="BC158" s="7">
        <v>43.979576999999999</v>
      </c>
      <c r="BD158" s="7">
        <v>50</v>
      </c>
      <c r="BE158" s="7">
        <v>0.74754200000000004</v>
      </c>
      <c r="BF158" s="7">
        <v>37.377124999999999</v>
      </c>
      <c r="BG158" s="7">
        <v>50</v>
      </c>
      <c r="BH158" s="7">
        <v>0</v>
      </c>
      <c r="BI158" s="7">
        <v>0.99013200000000001</v>
      </c>
      <c r="BJ158" s="7">
        <v>0.96750899999999995</v>
      </c>
      <c r="BK158" s="7">
        <v>0.99809400000000004</v>
      </c>
      <c r="BL158" s="7">
        <v>0.99060199999999998</v>
      </c>
      <c r="BM158" s="7">
        <v>0.96750899999999995</v>
      </c>
      <c r="BN158" s="7">
        <v>0.99872899999999998</v>
      </c>
      <c r="BO158" s="7">
        <v>0.99166699999999997</v>
      </c>
      <c r="BP158" s="7">
        <v>0.96956500000000001</v>
      </c>
      <c r="BQ158" s="7">
        <v>0.99863000000000002</v>
      </c>
      <c r="BR158" s="7">
        <v>5.8838000000000001E-2</v>
      </c>
      <c r="BS158" s="7">
        <v>48.232385999999998</v>
      </c>
      <c r="BT158" s="7">
        <v>50</v>
      </c>
      <c r="BU158" s="7">
        <v>0.114481</v>
      </c>
      <c r="BV158" s="7">
        <v>37.103718000000001</v>
      </c>
      <c r="BW158" s="7">
        <v>50</v>
      </c>
      <c r="BX158" s="7">
        <v>0.83244700000000005</v>
      </c>
      <c r="BY158" s="7">
        <v>50</v>
      </c>
      <c r="BZ158" s="7">
        <v>50</v>
      </c>
      <c r="CA158" s="7">
        <v>0.71808499999999997</v>
      </c>
      <c r="CB158" s="7">
        <v>47.872340000000001</v>
      </c>
      <c r="CC158" s="7">
        <v>50</v>
      </c>
      <c r="CD158" s="7">
        <v>0.98494000000000004</v>
      </c>
      <c r="CE158" s="7">
        <v>50</v>
      </c>
      <c r="CF158" s="7">
        <v>50</v>
      </c>
      <c r="CG158" s="7">
        <v>0.94186000000000003</v>
      </c>
      <c r="CH158" s="7">
        <v>100</v>
      </c>
      <c r="CI158" s="7">
        <v>100</v>
      </c>
      <c r="CJ158" s="7">
        <v>0</v>
      </c>
      <c r="CK158" s="7">
        <v>0.95</v>
      </c>
      <c r="CL158" s="7">
        <v>100</v>
      </c>
      <c r="CM158" s="7">
        <v>100</v>
      </c>
      <c r="CN158" s="7">
        <v>0.83199999999999996</v>
      </c>
      <c r="CO158" s="7">
        <v>100</v>
      </c>
      <c r="CP158" s="7">
        <v>100</v>
      </c>
      <c r="CQ158" s="7">
        <v>0.61711000000000005</v>
      </c>
      <c r="CR158" s="7">
        <v>0.95859899999999998</v>
      </c>
      <c r="CS158" s="7">
        <v>41.140642</v>
      </c>
      <c r="CT158" s="7">
        <v>50</v>
      </c>
      <c r="CU158" s="7">
        <v>0.52371000000000001</v>
      </c>
      <c r="CV158" s="7">
        <v>43.642491999999997</v>
      </c>
      <c r="CW158" s="7">
        <v>50</v>
      </c>
      <c r="CX158" s="7">
        <v>0.95</v>
      </c>
      <c r="CY158" s="7">
        <v>0.94</v>
      </c>
      <c r="CZ158" s="7">
        <v>-0.01</v>
      </c>
      <c r="DA158" s="7">
        <v>15.389535</v>
      </c>
      <c r="DB158" s="7">
        <v>17.608319000000002</v>
      </c>
      <c r="DC158" s="7">
        <v>16.064022999999999</v>
      </c>
      <c r="DD158" s="7">
        <v>11.115401</v>
      </c>
      <c r="DE158" s="4" t="s">
        <v>124</v>
      </c>
      <c r="DF158" s="6"/>
      <c r="DG158" s="6"/>
      <c r="DH158" s="6"/>
      <c r="DI158" s="6"/>
      <c r="DJ158" s="4" t="s">
        <v>124</v>
      </c>
      <c r="DK158" s="4" t="s">
        <v>124</v>
      </c>
      <c r="DL158" s="4" t="s">
        <v>124</v>
      </c>
      <c r="DM158" s="4" t="s">
        <v>124</v>
      </c>
      <c r="DN158" s="4" t="s">
        <v>124</v>
      </c>
      <c r="DO158" s="4" t="s">
        <v>124</v>
      </c>
      <c r="DP158" s="6"/>
      <c r="DQ158" s="4" t="s">
        <v>125</v>
      </c>
    </row>
    <row r="159" spans="1:121" ht="20" customHeight="1" x14ac:dyDescent="0.15">
      <c r="A159" s="5">
        <v>2018</v>
      </c>
      <c r="B159" s="3" t="s">
        <v>282</v>
      </c>
      <c r="C159" s="4" t="str">
        <f t="shared" ref="C159:C848" si="154">"1290011"</f>
        <v>1290011</v>
      </c>
      <c r="D159" s="4" t="s">
        <v>122</v>
      </c>
      <c r="E159" s="4" t="str">
        <f t="shared" si="1"/>
        <v>0000000</v>
      </c>
      <c r="F159" s="4" t="s">
        <v>122</v>
      </c>
      <c r="G159" s="4" t="s">
        <v>122</v>
      </c>
      <c r="H159" s="4" t="s">
        <v>122</v>
      </c>
      <c r="I159" s="6"/>
      <c r="J159" s="4" t="s">
        <v>123</v>
      </c>
      <c r="K159" s="7">
        <v>1035.839489</v>
      </c>
      <c r="L159" s="7">
        <v>1350</v>
      </c>
      <c r="M159" s="7">
        <v>76.728851000000006</v>
      </c>
      <c r="N159" s="4" t="s">
        <v>124</v>
      </c>
      <c r="O159" s="7">
        <v>1</v>
      </c>
      <c r="P159" s="7">
        <v>69.665805000000006</v>
      </c>
      <c r="Q159" s="7">
        <v>46.443869999999997</v>
      </c>
      <c r="R159" s="7">
        <v>50</v>
      </c>
      <c r="S159" s="7">
        <v>55.025759999999998</v>
      </c>
      <c r="T159" s="7">
        <v>73.603089999999995</v>
      </c>
      <c r="U159" s="7">
        <v>36.683839999999996</v>
      </c>
      <c r="V159" s="7">
        <v>50</v>
      </c>
      <c r="W159" s="7">
        <v>66.143050000000002</v>
      </c>
      <c r="X159" s="7">
        <v>44.095367000000003</v>
      </c>
      <c r="Y159" s="7">
        <v>50</v>
      </c>
      <c r="Z159" s="7">
        <v>69.884992999999994</v>
      </c>
      <c r="AA159" s="7">
        <v>52.378979999999999</v>
      </c>
      <c r="AB159" s="7">
        <v>34.919319999999999</v>
      </c>
      <c r="AC159" s="7">
        <v>50</v>
      </c>
      <c r="AD159" s="7">
        <v>66.373249000000001</v>
      </c>
      <c r="AE159" s="7">
        <v>44.248832</v>
      </c>
      <c r="AF159" s="7">
        <v>50</v>
      </c>
      <c r="AG159" s="7">
        <v>56.737323000000004</v>
      </c>
      <c r="AH159" s="7">
        <v>68.693008000000006</v>
      </c>
      <c r="AI159" s="7">
        <v>37.824882000000002</v>
      </c>
      <c r="AJ159" s="7">
        <v>50</v>
      </c>
      <c r="AK159" s="7">
        <v>18.57</v>
      </c>
      <c r="AL159" s="7">
        <v>17.5</v>
      </c>
      <c r="AM159" s="7">
        <v>11.95</v>
      </c>
      <c r="AN159" s="7">
        <v>0.59381700000000004</v>
      </c>
      <c r="AO159" s="7">
        <v>59.381701999999997</v>
      </c>
      <c r="AP159" s="7">
        <v>100</v>
      </c>
      <c r="AQ159" s="7">
        <v>0.69848399999999999</v>
      </c>
      <c r="AR159" s="7">
        <v>69.848446999999993</v>
      </c>
      <c r="AS159" s="7">
        <v>100</v>
      </c>
      <c r="AT159" s="7">
        <v>0.53290000000000004</v>
      </c>
      <c r="AU159" s="7">
        <v>0.610402</v>
      </c>
      <c r="AV159" s="7">
        <v>53.289994</v>
      </c>
      <c r="AW159" s="7">
        <v>100</v>
      </c>
      <c r="AX159" s="7">
        <v>0.67876800000000004</v>
      </c>
      <c r="AY159" s="7">
        <v>0.70390900000000001</v>
      </c>
      <c r="AZ159" s="7">
        <v>67.876828000000003</v>
      </c>
      <c r="BA159" s="7">
        <v>100</v>
      </c>
      <c r="BB159" s="4" t="s">
        <v>124</v>
      </c>
      <c r="BC159" s="4" t="s">
        <v>124</v>
      </c>
      <c r="BD159" s="4" t="s">
        <v>124</v>
      </c>
      <c r="BE159" s="4" t="s">
        <v>124</v>
      </c>
      <c r="BF159" s="4" t="s">
        <v>124</v>
      </c>
      <c r="BG159" s="4" t="s">
        <v>124</v>
      </c>
      <c r="BH159" s="7">
        <v>1</v>
      </c>
      <c r="BI159" s="7">
        <v>0.96213199999999999</v>
      </c>
      <c r="BJ159" s="7">
        <v>0.95</v>
      </c>
      <c r="BK159" s="7">
        <v>0.965642</v>
      </c>
      <c r="BL159" s="7">
        <v>0.95938400000000001</v>
      </c>
      <c r="BM159" s="7">
        <v>0.95031100000000002</v>
      </c>
      <c r="BN159" s="7">
        <v>0.96202500000000002</v>
      </c>
      <c r="BO159" s="7">
        <v>0.91059599999999996</v>
      </c>
      <c r="BP159" s="7">
        <v>0.86153800000000003</v>
      </c>
      <c r="BQ159" s="7">
        <v>0.92405099999999996</v>
      </c>
      <c r="BR159" s="7">
        <v>0.12593099999999999</v>
      </c>
      <c r="BS159" s="7">
        <v>34.813710999999998</v>
      </c>
      <c r="BT159" s="7">
        <v>50</v>
      </c>
      <c r="BU159" s="7">
        <v>0.222222</v>
      </c>
      <c r="BV159" s="7">
        <v>15.555555999999999</v>
      </c>
      <c r="BW159" s="7">
        <v>50</v>
      </c>
      <c r="BX159" s="7">
        <v>0.77586200000000005</v>
      </c>
      <c r="BY159" s="7">
        <v>50</v>
      </c>
      <c r="BZ159" s="7">
        <v>50</v>
      </c>
      <c r="CA159" s="7">
        <v>0.46982800000000002</v>
      </c>
      <c r="CB159" s="7">
        <v>31.321839000000001</v>
      </c>
      <c r="CC159" s="7">
        <v>50</v>
      </c>
      <c r="CD159" s="7">
        <v>0.572052</v>
      </c>
      <c r="CE159" s="7">
        <v>30.428318999999998</v>
      </c>
      <c r="CF159" s="7">
        <v>50</v>
      </c>
      <c r="CG159" s="7">
        <v>0.965812</v>
      </c>
      <c r="CH159" s="7">
        <v>100</v>
      </c>
      <c r="CI159" s="7">
        <v>100</v>
      </c>
      <c r="CJ159" s="7">
        <v>0</v>
      </c>
      <c r="CK159" s="7">
        <v>0.87096799999999996</v>
      </c>
      <c r="CL159" s="7">
        <v>92.656143</v>
      </c>
      <c r="CM159" s="7">
        <v>100</v>
      </c>
      <c r="CN159" s="7">
        <v>0.82599999999999996</v>
      </c>
      <c r="CO159" s="7">
        <v>100</v>
      </c>
      <c r="CP159" s="7">
        <v>100</v>
      </c>
      <c r="CQ159" s="7">
        <v>0.546763</v>
      </c>
      <c r="CR159" s="7">
        <v>0.95205499999999998</v>
      </c>
      <c r="CS159" s="7">
        <v>36.450839000000002</v>
      </c>
      <c r="CT159" s="7">
        <v>50</v>
      </c>
      <c r="CU159" s="7">
        <v>0.77155200000000002</v>
      </c>
      <c r="CV159" s="7">
        <v>50</v>
      </c>
      <c r="CW159" s="7">
        <v>50</v>
      </c>
      <c r="CX159" s="7">
        <v>0.87096799999999996</v>
      </c>
      <c r="CY159" s="7">
        <v>0.94</v>
      </c>
      <c r="CZ159" s="7">
        <v>6.9031999999999996E-2</v>
      </c>
      <c r="DA159" s="7">
        <v>15.389535</v>
      </c>
      <c r="DB159" s="7">
        <v>17.608319000000002</v>
      </c>
      <c r="DC159" s="7">
        <v>16.064022999999999</v>
      </c>
      <c r="DD159" s="7">
        <v>11.115401</v>
      </c>
      <c r="DE159" s="4" t="s">
        <v>124</v>
      </c>
      <c r="DF159" s="6"/>
      <c r="DG159" s="6"/>
      <c r="DH159" s="6"/>
      <c r="DI159" s="6"/>
      <c r="DJ159" s="4" t="s">
        <v>124</v>
      </c>
      <c r="DK159" s="4" t="s">
        <v>124</v>
      </c>
      <c r="DL159" s="4" t="s">
        <v>124</v>
      </c>
      <c r="DM159" s="4" t="s">
        <v>124</v>
      </c>
      <c r="DN159" s="4" t="s">
        <v>124</v>
      </c>
      <c r="DO159" s="4" t="s">
        <v>124</v>
      </c>
      <c r="DP159" s="6"/>
      <c r="DQ159" s="4" t="s">
        <v>125</v>
      </c>
    </row>
    <row r="160" spans="1:121" ht="20" customHeight="1" x14ac:dyDescent="0.15">
      <c r="A160" s="5">
        <v>2018</v>
      </c>
      <c r="B160" s="3" t="s">
        <v>283</v>
      </c>
      <c r="C160" s="4" t="str">
        <f t="shared" ref="C160:C852" si="155">"1310011"</f>
        <v>1310011</v>
      </c>
      <c r="D160" s="4" t="s">
        <v>122</v>
      </c>
      <c r="E160" s="4" t="str">
        <f t="shared" si="1"/>
        <v>0000000</v>
      </c>
      <c r="F160" s="4" t="s">
        <v>122</v>
      </c>
      <c r="G160" s="4" t="s">
        <v>122</v>
      </c>
      <c r="H160" s="4" t="s">
        <v>122</v>
      </c>
      <c r="I160" s="6"/>
      <c r="J160" s="4" t="s">
        <v>123</v>
      </c>
      <c r="K160" s="7">
        <v>1161.1803669999999</v>
      </c>
      <c r="L160" s="7">
        <v>1450</v>
      </c>
      <c r="M160" s="7">
        <v>80.081405000000004</v>
      </c>
      <c r="N160" s="4" t="s">
        <v>124</v>
      </c>
      <c r="O160" s="7">
        <v>0</v>
      </c>
      <c r="P160" s="7">
        <v>72.725274999999996</v>
      </c>
      <c r="Q160" s="7">
        <v>48.483516999999999</v>
      </c>
      <c r="R160" s="7">
        <v>50</v>
      </c>
      <c r="S160" s="7">
        <v>62.829107999999998</v>
      </c>
      <c r="T160" s="7">
        <v>75</v>
      </c>
      <c r="U160" s="7">
        <v>41.886071999999999</v>
      </c>
      <c r="V160" s="7">
        <v>50</v>
      </c>
      <c r="W160" s="7">
        <v>69.714535999999995</v>
      </c>
      <c r="X160" s="7">
        <v>46.476357</v>
      </c>
      <c r="Y160" s="7">
        <v>50</v>
      </c>
      <c r="Z160" s="7">
        <v>74.779109000000005</v>
      </c>
      <c r="AA160" s="7">
        <v>59.008175999999999</v>
      </c>
      <c r="AB160" s="7">
        <v>39.338783999999997</v>
      </c>
      <c r="AC160" s="7">
        <v>50</v>
      </c>
      <c r="AD160" s="7">
        <v>69.975900999999993</v>
      </c>
      <c r="AE160" s="7">
        <v>46.650601000000002</v>
      </c>
      <c r="AF160" s="7">
        <v>50</v>
      </c>
      <c r="AG160" s="7">
        <v>61.166874</v>
      </c>
      <c r="AH160" s="7">
        <v>73.757057000000003</v>
      </c>
      <c r="AI160" s="7">
        <v>40.777915999999998</v>
      </c>
      <c r="AJ160" s="7">
        <v>50</v>
      </c>
      <c r="AK160" s="7">
        <v>12.17</v>
      </c>
      <c r="AL160" s="7">
        <v>15.77</v>
      </c>
      <c r="AM160" s="7">
        <v>12.59</v>
      </c>
      <c r="AN160" s="7">
        <v>0.60618499999999997</v>
      </c>
      <c r="AO160" s="7">
        <v>60.618501999999999</v>
      </c>
      <c r="AP160" s="7">
        <v>100</v>
      </c>
      <c r="AQ160" s="7">
        <v>0.66726799999999997</v>
      </c>
      <c r="AR160" s="7">
        <v>66.726769000000004</v>
      </c>
      <c r="AS160" s="7">
        <v>100</v>
      </c>
      <c r="AT160" s="7">
        <v>0.58010499999999998</v>
      </c>
      <c r="AU160" s="7">
        <v>0.61813399999999996</v>
      </c>
      <c r="AV160" s="7">
        <v>58.010547000000003</v>
      </c>
      <c r="AW160" s="7">
        <v>100</v>
      </c>
      <c r="AX160" s="7">
        <v>0.61039399999999999</v>
      </c>
      <c r="AY160" s="7">
        <v>0.69330700000000001</v>
      </c>
      <c r="AZ160" s="7">
        <v>61.039416000000003</v>
      </c>
      <c r="BA160" s="7">
        <v>100</v>
      </c>
      <c r="BB160" s="7">
        <v>0.81320499999999996</v>
      </c>
      <c r="BC160" s="7">
        <v>40.660259000000003</v>
      </c>
      <c r="BD160" s="7">
        <v>50</v>
      </c>
      <c r="BE160" s="7">
        <v>0.61770199999999997</v>
      </c>
      <c r="BF160" s="7">
        <v>30.885083999999999</v>
      </c>
      <c r="BG160" s="7">
        <v>50</v>
      </c>
      <c r="BH160" s="7">
        <v>1</v>
      </c>
      <c r="BI160" s="7">
        <v>0.986842</v>
      </c>
      <c r="BJ160" s="7">
        <v>0.97506400000000004</v>
      </c>
      <c r="BK160" s="7">
        <v>0.99271299999999996</v>
      </c>
      <c r="BL160" s="7">
        <v>0.98598399999999997</v>
      </c>
      <c r="BM160" s="7">
        <v>0.97248500000000004</v>
      </c>
      <c r="BN160" s="7">
        <v>0.99271299999999996</v>
      </c>
      <c r="BO160" s="7">
        <v>0.97560999999999998</v>
      </c>
      <c r="BP160" s="7">
        <v>0.94684999999999997</v>
      </c>
      <c r="BQ160" s="7">
        <v>0.98900100000000002</v>
      </c>
      <c r="BR160" s="7">
        <v>6.4003000000000004E-2</v>
      </c>
      <c r="BS160" s="7">
        <v>47.199491000000002</v>
      </c>
      <c r="BT160" s="7">
        <v>50</v>
      </c>
      <c r="BU160" s="7">
        <v>0.13336600000000001</v>
      </c>
      <c r="BV160" s="7">
        <v>33.326867</v>
      </c>
      <c r="BW160" s="7">
        <v>50</v>
      </c>
      <c r="BX160" s="7">
        <v>0.98033400000000004</v>
      </c>
      <c r="BY160" s="7">
        <v>50</v>
      </c>
      <c r="BZ160" s="7">
        <v>50</v>
      </c>
      <c r="CA160" s="7">
        <v>0.52802400000000005</v>
      </c>
      <c r="CB160" s="7">
        <v>35.201573000000003</v>
      </c>
      <c r="CC160" s="7">
        <v>50</v>
      </c>
      <c r="CD160" s="7">
        <v>0.950739</v>
      </c>
      <c r="CE160" s="7">
        <v>50</v>
      </c>
      <c r="CF160" s="7">
        <v>50</v>
      </c>
      <c r="CG160" s="7">
        <v>0.94095899999999999</v>
      </c>
      <c r="CH160" s="7">
        <v>100</v>
      </c>
      <c r="CI160" s="7">
        <v>100</v>
      </c>
      <c r="CJ160" s="7">
        <v>0</v>
      </c>
      <c r="CK160" s="7">
        <v>0.89436599999999999</v>
      </c>
      <c r="CL160" s="7">
        <v>95.145340000000004</v>
      </c>
      <c r="CM160" s="7">
        <v>100</v>
      </c>
      <c r="CN160" s="7">
        <v>0.77</v>
      </c>
      <c r="CO160" s="7">
        <v>100</v>
      </c>
      <c r="CP160" s="7">
        <v>100</v>
      </c>
      <c r="CQ160" s="7">
        <v>0.57858600000000004</v>
      </c>
      <c r="CR160" s="7">
        <v>0.92307700000000004</v>
      </c>
      <c r="CS160" s="7">
        <v>38.572432999999997</v>
      </c>
      <c r="CT160" s="7">
        <v>50</v>
      </c>
      <c r="CU160" s="7">
        <v>0.36216999999999999</v>
      </c>
      <c r="CV160" s="7">
        <v>30.180841000000001</v>
      </c>
      <c r="CW160" s="7">
        <v>50</v>
      </c>
      <c r="CX160" s="7">
        <v>0.89436599999999999</v>
      </c>
      <c r="CY160" s="7">
        <v>0.94</v>
      </c>
      <c r="CZ160" s="7">
        <v>4.5634000000000001E-2</v>
      </c>
      <c r="DA160" s="7">
        <v>15.389535</v>
      </c>
      <c r="DB160" s="7">
        <v>17.608319000000002</v>
      </c>
      <c r="DC160" s="7">
        <v>16.064022999999999</v>
      </c>
      <c r="DD160" s="7">
        <v>11.115401</v>
      </c>
      <c r="DE160" s="4" t="s">
        <v>124</v>
      </c>
      <c r="DF160" s="6"/>
      <c r="DG160" s="6"/>
      <c r="DH160" s="6"/>
      <c r="DI160" s="6"/>
      <c r="DJ160" s="4" t="s">
        <v>124</v>
      </c>
      <c r="DK160" s="4" t="s">
        <v>124</v>
      </c>
      <c r="DL160" s="4" t="s">
        <v>124</v>
      </c>
      <c r="DM160" s="4" t="s">
        <v>124</v>
      </c>
      <c r="DN160" s="4" t="s">
        <v>124</v>
      </c>
      <c r="DO160" s="4" t="s">
        <v>124</v>
      </c>
      <c r="DP160" s="6"/>
      <c r="DQ160" s="4" t="s">
        <v>125</v>
      </c>
    </row>
    <row r="161" spans="1:121" ht="20" customHeight="1" x14ac:dyDescent="0.15">
      <c r="A161" s="5">
        <v>2018</v>
      </c>
      <c r="B161" s="3" t="s">
        <v>284</v>
      </c>
      <c r="C161" s="4" t="str">
        <f t="shared" ref="C161:C486" si="156">"0620011"</f>
        <v>0620011</v>
      </c>
      <c r="D161" s="4" t="s">
        <v>122</v>
      </c>
      <c r="E161" s="4" t="str">
        <f t="shared" si="1"/>
        <v>0000000</v>
      </c>
      <c r="F161" s="4" t="s">
        <v>122</v>
      </c>
      <c r="G161" s="4" t="s">
        <v>122</v>
      </c>
      <c r="H161" s="4" t="s">
        <v>122</v>
      </c>
      <c r="I161" s="6"/>
      <c r="J161" s="4" t="s">
        <v>123</v>
      </c>
      <c r="K161" s="7">
        <v>1030.9541529999999</v>
      </c>
      <c r="L161" s="7">
        <v>1450</v>
      </c>
      <c r="M161" s="7">
        <v>71.100285999999997</v>
      </c>
      <c r="N161" s="4" t="s">
        <v>124</v>
      </c>
      <c r="O161" s="7">
        <v>1</v>
      </c>
      <c r="P161" s="7">
        <v>64.858880999999997</v>
      </c>
      <c r="Q161" s="7">
        <v>43.239254000000003</v>
      </c>
      <c r="R161" s="7">
        <v>50</v>
      </c>
      <c r="S161" s="7">
        <v>56.310541000000001</v>
      </c>
      <c r="T161" s="7">
        <v>75</v>
      </c>
      <c r="U161" s="7">
        <v>37.540360999999997</v>
      </c>
      <c r="V161" s="7">
        <v>50</v>
      </c>
      <c r="W161" s="7">
        <v>61.826860000000003</v>
      </c>
      <c r="X161" s="7">
        <v>41.217906999999997</v>
      </c>
      <c r="Y161" s="7">
        <v>50</v>
      </c>
      <c r="Z161" s="7">
        <v>73.235121000000007</v>
      </c>
      <c r="AA161" s="7">
        <v>52.860624000000001</v>
      </c>
      <c r="AB161" s="7">
        <v>35.240416000000003</v>
      </c>
      <c r="AC161" s="7">
        <v>50</v>
      </c>
      <c r="AD161" s="7">
        <v>57.424444999999999</v>
      </c>
      <c r="AE161" s="7">
        <v>38.282963000000002</v>
      </c>
      <c r="AF161" s="7">
        <v>50</v>
      </c>
      <c r="AG161" s="7">
        <v>50.151100999999997</v>
      </c>
      <c r="AH161" s="7">
        <v>66.073111999999995</v>
      </c>
      <c r="AI161" s="7">
        <v>33.434066999999999</v>
      </c>
      <c r="AJ161" s="7">
        <v>50</v>
      </c>
      <c r="AK161" s="7">
        <v>18.68</v>
      </c>
      <c r="AL161" s="7">
        <v>20.37</v>
      </c>
      <c r="AM161" s="7">
        <v>15.92</v>
      </c>
      <c r="AN161" s="7">
        <v>0.52217400000000003</v>
      </c>
      <c r="AO161" s="7">
        <v>52.217382000000001</v>
      </c>
      <c r="AP161" s="7">
        <v>100</v>
      </c>
      <c r="AQ161" s="7">
        <v>0.61888500000000002</v>
      </c>
      <c r="AR161" s="7">
        <v>61.888536000000002</v>
      </c>
      <c r="AS161" s="7">
        <v>100</v>
      </c>
      <c r="AT161" s="7">
        <v>0.48310799999999998</v>
      </c>
      <c r="AU161" s="7">
        <v>0.56808999999999998</v>
      </c>
      <c r="AV161" s="7">
        <v>48.310757000000002</v>
      </c>
      <c r="AW161" s="7">
        <v>100</v>
      </c>
      <c r="AX161" s="7">
        <v>0.57355400000000001</v>
      </c>
      <c r="AY161" s="7">
        <v>0.67185799999999996</v>
      </c>
      <c r="AZ161" s="7">
        <v>57.355387999999998</v>
      </c>
      <c r="BA161" s="7">
        <v>100</v>
      </c>
      <c r="BB161" s="7">
        <v>0.627027</v>
      </c>
      <c r="BC161" s="7">
        <v>31.351347000000001</v>
      </c>
      <c r="BD161" s="7">
        <v>50</v>
      </c>
      <c r="BE161" s="7">
        <v>0.52581800000000001</v>
      </c>
      <c r="BF161" s="7">
        <v>26.290914999999998</v>
      </c>
      <c r="BG161" s="7">
        <v>50</v>
      </c>
      <c r="BH161" s="7">
        <v>1</v>
      </c>
      <c r="BI161" s="7">
        <v>0.97757700000000003</v>
      </c>
      <c r="BJ161" s="7">
        <v>0.97262700000000002</v>
      </c>
      <c r="BK161" s="7">
        <v>0.98426400000000003</v>
      </c>
      <c r="BL161" s="7">
        <v>0.97791899999999998</v>
      </c>
      <c r="BM161" s="7">
        <v>0.97322500000000001</v>
      </c>
      <c r="BN161" s="7">
        <v>0.98426400000000003</v>
      </c>
      <c r="BO161" s="7">
        <v>0.959449</v>
      </c>
      <c r="BP161" s="7">
        <v>0.94572599999999996</v>
      </c>
      <c r="BQ161" s="7">
        <v>0.97719299999999998</v>
      </c>
      <c r="BR161" s="7">
        <v>0.14736399999999999</v>
      </c>
      <c r="BS161" s="7">
        <v>30.527111000000001</v>
      </c>
      <c r="BT161" s="7">
        <v>50</v>
      </c>
      <c r="BU161" s="7">
        <v>0.20330400000000001</v>
      </c>
      <c r="BV161" s="7">
        <v>19.339176999999999</v>
      </c>
      <c r="BW161" s="7">
        <v>50</v>
      </c>
      <c r="BX161" s="7">
        <v>0.72636800000000001</v>
      </c>
      <c r="BY161" s="7">
        <v>48.424543999999997</v>
      </c>
      <c r="BZ161" s="7">
        <v>50</v>
      </c>
      <c r="CA161" s="7">
        <v>0.31343300000000002</v>
      </c>
      <c r="CB161" s="7">
        <v>20.895522</v>
      </c>
      <c r="CC161" s="7">
        <v>50</v>
      </c>
      <c r="CD161" s="7">
        <v>0.893316</v>
      </c>
      <c r="CE161" s="7">
        <v>47.516818999999998</v>
      </c>
      <c r="CF161" s="7">
        <v>50</v>
      </c>
      <c r="CG161" s="7">
        <v>0.86605100000000002</v>
      </c>
      <c r="CH161" s="7">
        <v>92.133065000000002</v>
      </c>
      <c r="CI161" s="7">
        <v>100</v>
      </c>
      <c r="CJ161" s="7">
        <v>0</v>
      </c>
      <c r="CK161" s="7">
        <v>0.86530600000000002</v>
      </c>
      <c r="CL161" s="7">
        <v>92.053843000000001</v>
      </c>
      <c r="CM161" s="7">
        <v>100</v>
      </c>
      <c r="CN161" s="7">
        <v>0.76900000000000002</v>
      </c>
      <c r="CO161" s="7">
        <v>100</v>
      </c>
      <c r="CP161" s="7">
        <v>100</v>
      </c>
      <c r="CQ161" s="7">
        <v>0.37856699999999999</v>
      </c>
      <c r="CR161" s="7">
        <v>0.91686000000000001</v>
      </c>
      <c r="CS161" s="7">
        <v>25.237793</v>
      </c>
      <c r="CT161" s="7">
        <v>50</v>
      </c>
      <c r="CU161" s="7">
        <v>0.581484</v>
      </c>
      <c r="CV161" s="7">
        <v>48.456986000000001</v>
      </c>
      <c r="CW161" s="7">
        <v>50</v>
      </c>
      <c r="CX161" s="7">
        <v>0.86530600000000002</v>
      </c>
      <c r="CY161" s="7">
        <v>0.94</v>
      </c>
      <c r="CZ161" s="7">
        <v>7.4693999999999997E-2</v>
      </c>
      <c r="DA161" s="7">
        <v>15.389535</v>
      </c>
      <c r="DB161" s="7">
        <v>17.608319000000002</v>
      </c>
      <c r="DC161" s="7">
        <v>16.064022999999999</v>
      </c>
      <c r="DD161" s="7">
        <v>11.115401</v>
      </c>
      <c r="DE161" s="4" t="s">
        <v>124</v>
      </c>
      <c r="DF161" s="6"/>
      <c r="DG161" s="6"/>
      <c r="DH161" s="6"/>
      <c r="DI161" s="6"/>
      <c r="DJ161" s="4" t="s">
        <v>124</v>
      </c>
      <c r="DK161" s="4" t="s">
        <v>124</v>
      </c>
      <c r="DL161" s="4" t="s">
        <v>124</v>
      </c>
      <c r="DM161" s="4" t="s">
        <v>124</v>
      </c>
      <c r="DN161" s="4" t="s">
        <v>124</v>
      </c>
      <c r="DO161" s="4" t="s">
        <v>124</v>
      </c>
      <c r="DP161" s="6"/>
      <c r="DQ161" s="4" t="s">
        <v>125</v>
      </c>
    </row>
    <row r="162" spans="1:121" ht="20" customHeight="1" x14ac:dyDescent="0.15">
      <c r="A162" s="5">
        <v>2018</v>
      </c>
      <c r="B162" s="3" t="s">
        <v>285</v>
      </c>
      <c r="C162" s="4" t="str">
        <f t="shared" ref="C162:C496" si="157">"0630011"</f>
        <v>0630011</v>
      </c>
      <c r="D162" s="4" t="s">
        <v>122</v>
      </c>
      <c r="E162" s="4" t="str">
        <f t="shared" si="1"/>
        <v>0000000</v>
      </c>
      <c r="F162" s="4" t="s">
        <v>122</v>
      </c>
      <c r="G162" s="4" t="s">
        <v>122</v>
      </c>
      <c r="H162" s="4" t="s">
        <v>122</v>
      </c>
      <c r="I162" s="6"/>
      <c r="J162" s="4" t="s">
        <v>123</v>
      </c>
      <c r="K162" s="7">
        <v>407.75715700000001</v>
      </c>
      <c r="L162" s="7">
        <v>550</v>
      </c>
      <c r="M162" s="7">
        <v>74.137664999999998</v>
      </c>
      <c r="N162" s="4" t="s">
        <v>124</v>
      </c>
      <c r="O162" s="7">
        <v>0</v>
      </c>
      <c r="P162" s="7">
        <v>70.220408000000006</v>
      </c>
      <c r="Q162" s="7">
        <v>46.813605000000003</v>
      </c>
      <c r="R162" s="7">
        <v>50</v>
      </c>
      <c r="S162" s="7">
        <v>62.535428000000003</v>
      </c>
      <c r="T162" s="7">
        <v>75</v>
      </c>
      <c r="U162" s="7">
        <v>41.690285000000003</v>
      </c>
      <c r="V162" s="7">
        <v>50</v>
      </c>
      <c r="W162" s="7">
        <v>65.945099999999996</v>
      </c>
      <c r="X162" s="7">
        <v>43.9634</v>
      </c>
      <c r="Y162" s="7">
        <v>50</v>
      </c>
      <c r="Z162" s="7">
        <v>71.644001000000003</v>
      </c>
      <c r="AA162" s="7">
        <v>58.821474000000002</v>
      </c>
      <c r="AB162" s="7">
        <v>39.214315999999997</v>
      </c>
      <c r="AC162" s="7">
        <v>50</v>
      </c>
      <c r="AD162" s="4" t="s">
        <v>124</v>
      </c>
      <c r="AE162" s="4" t="s">
        <v>124</v>
      </c>
      <c r="AF162" s="4" t="s">
        <v>124</v>
      </c>
      <c r="AG162" s="4" t="s">
        <v>124</v>
      </c>
      <c r="AH162" s="4" t="s">
        <v>124</v>
      </c>
      <c r="AI162" s="4" t="s">
        <v>124</v>
      </c>
      <c r="AJ162" s="4" t="s">
        <v>124</v>
      </c>
      <c r="AK162" s="7">
        <v>12.46</v>
      </c>
      <c r="AL162" s="7">
        <v>12.82</v>
      </c>
      <c r="AM162" s="4" t="s">
        <v>124</v>
      </c>
      <c r="AN162" s="7">
        <v>0.60131400000000002</v>
      </c>
      <c r="AO162" s="7">
        <v>60.131445999999997</v>
      </c>
      <c r="AP162" s="7">
        <v>100</v>
      </c>
      <c r="AQ162" s="7">
        <v>0.74486699999999995</v>
      </c>
      <c r="AR162" s="7">
        <v>74.486673999999994</v>
      </c>
      <c r="AS162" s="7">
        <v>100</v>
      </c>
      <c r="AT162" s="4" t="s">
        <v>124</v>
      </c>
      <c r="AU162" s="4" t="s">
        <v>124</v>
      </c>
      <c r="AV162" s="4" t="s">
        <v>124</v>
      </c>
      <c r="AW162" s="4" t="s">
        <v>124</v>
      </c>
      <c r="AX162" s="4" t="s">
        <v>124</v>
      </c>
      <c r="AY162" s="4" t="s">
        <v>124</v>
      </c>
      <c r="AZ162" s="4" t="s">
        <v>124</v>
      </c>
      <c r="BA162" s="4" t="s">
        <v>124</v>
      </c>
      <c r="BB162" s="4" t="s">
        <v>124</v>
      </c>
      <c r="BC162" s="4" t="s">
        <v>124</v>
      </c>
      <c r="BD162" s="4" t="s">
        <v>124</v>
      </c>
      <c r="BE162" s="4" t="s">
        <v>124</v>
      </c>
      <c r="BF162" s="4" t="s">
        <v>124</v>
      </c>
      <c r="BG162" s="4" t="s">
        <v>124</v>
      </c>
      <c r="BH162" s="7">
        <v>0</v>
      </c>
      <c r="BI162" s="7">
        <v>0.97916700000000001</v>
      </c>
      <c r="BJ162" s="7">
        <v>0.95652199999999998</v>
      </c>
      <c r="BK162" s="7">
        <v>1</v>
      </c>
      <c r="BL162" s="7">
        <v>0.97916700000000001</v>
      </c>
      <c r="BM162" s="7">
        <v>0.95652199999999998</v>
      </c>
      <c r="BN162" s="7">
        <v>1</v>
      </c>
      <c r="BO162" s="4" t="s">
        <v>124</v>
      </c>
      <c r="BP162" s="4" t="s">
        <v>124</v>
      </c>
      <c r="BQ162" s="4" t="s">
        <v>124</v>
      </c>
      <c r="BR162" s="7">
        <v>6.4935000000000007E-2</v>
      </c>
      <c r="BS162" s="7">
        <v>47.012987000000003</v>
      </c>
      <c r="BT162" s="7">
        <v>50</v>
      </c>
      <c r="BU162" s="7">
        <v>0.13888900000000001</v>
      </c>
      <c r="BV162" s="7">
        <v>32.222222000000002</v>
      </c>
      <c r="BW162" s="7">
        <v>50</v>
      </c>
      <c r="BX162" s="4" t="s">
        <v>124</v>
      </c>
      <c r="BY162" s="4" t="s">
        <v>124</v>
      </c>
      <c r="BZ162" s="4" t="s">
        <v>124</v>
      </c>
      <c r="CA162" s="4" t="s">
        <v>124</v>
      </c>
      <c r="CB162" s="4" t="s">
        <v>124</v>
      </c>
      <c r="CC162" s="4" t="s">
        <v>124</v>
      </c>
      <c r="CD162" s="4" t="s">
        <v>124</v>
      </c>
      <c r="CE162" s="4" t="s">
        <v>124</v>
      </c>
      <c r="CF162" s="4" t="s">
        <v>124</v>
      </c>
      <c r="CG162" s="4" t="s">
        <v>124</v>
      </c>
      <c r="CH162" s="4" t="s">
        <v>124</v>
      </c>
      <c r="CI162" s="4" t="s">
        <v>124</v>
      </c>
      <c r="CJ162" s="4" t="s">
        <v>124</v>
      </c>
      <c r="CK162" s="4" t="s">
        <v>124</v>
      </c>
      <c r="CL162" s="4" t="s">
        <v>124</v>
      </c>
      <c r="CM162" s="4" t="s">
        <v>124</v>
      </c>
      <c r="CN162" s="4" t="s">
        <v>124</v>
      </c>
      <c r="CO162" s="4" t="s">
        <v>124</v>
      </c>
      <c r="CP162" s="4" t="s">
        <v>124</v>
      </c>
      <c r="CQ162" s="7">
        <v>0.33333299999999999</v>
      </c>
      <c r="CR162" s="7">
        <v>0.96</v>
      </c>
      <c r="CS162" s="7">
        <v>22.222221999999999</v>
      </c>
      <c r="CT162" s="7">
        <v>50</v>
      </c>
      <c r="CU162" s="4" t="s">
        <v>124</v>
      </c>
      <c r="CV162" s="4" t="s">
        <v>124</v>
      </c>
      <c r="CW162" s="4" t="s">
        <v>124</v>
      </c>
      <c r="CX162" s="4" t="s">
        <v>124</v>
      </c>
      <c r="CY162" s="4" t="s">
        <v>124</v>
      </c>
      <c r="CZ162" s="4" t="s">
        <v>124</v>
      </c>
      <c r="DA162" s="7">
        <v>15.389535</v>
      </c>
      <c r="DB162" s="7">
        <v>17.608319000000002</v>
      </c>
      <c r="DC162" s="7">
        <v>16.064022999999999</v>
      </c>
      <c r="DD162" s="4" t="s">
        <v>124</v>
      </c>
      <c r="DE162" s="4" t="s">
        <v>124</v>
      </c>
      <c r="DF162" s="6"/>
      <c r="DG162" s="6"/>
      <c r="DH162" s="6"/>
      <c r="DI162" s="6"/>
      <c r="DJ162" s="4" t="s">
        <v>124</v>
      </c>
      <c r="DK162" s="4" t="s">
        <v>124</v>
      </c>
      <c r="DL162" s="4" t="s">
        <v>124</v>
      </c>
      <c r="DM162" s="4" t="s">
        <v>124</v>
      </c>
      <c r="DN162" s="4" t="s">
        <v>124</v>
      </c>
      <c r="DO162" s="4" t="s">
        <v>124</v>
      </c>
      <c r="DP162" s="6"/>
      <c r="DQ162" s="4" t="s">
        <v>125</v>
      </c>
    </row>
    <row r="163" spans="1:121" ht="20" customHeight="1" x14ac:dyDescent="0.15">
      <c r="A163" s="5">
        <v>2018</v>
      </c>
      <c r="B163" s="3" t="s">
        <v>286</v>
      </c>
      <c r="C163" s="4" t="str">
        <f t="shared" ref="C163:C497" si="158">"0640011"</f>
        <v>0640011</v>
      </c>
      <c r="D163" s="4" t="s">
        <v>122</v>
      </c>
      <c r="E163" s="4" t="str">
        <f t="shared" si="1"/>
        <v>0000000</v>
      </c>
      <c r="F163" s="4" t="s">
        <v>122</v>
      </c>
      <c r="G163" s="4" t="s">
        <v>122</v>
      </c>
      <c r="H163" s="4" t="s">
        <v>122</v>
      </c>
      <c r="I163" s="6"/>
      <c r="J163" s="4" t="s">
        <v>123</v>
      </c>
      <c r="K163" s="7">
        <v>868.82092299999999</v>
      </c>
      <c r="L163" s="7">
        <v>1450</v>
      </c>
      <c r="M163" s="7">
        <v>59.918683999999999</v>
      </c>
      <c r="N163" s="4" t="s">
        <v>124</v>
      </c>
      <c r="O163" s="7">
        <v>1</v>
      </c>
      <c r="P163" s="7">
        <v>52.656492</v>
      </c>
      <c r="Q163" s="7">
        <v>35.104328000000002</v>
      </c>
      <c r="R163" s="7">
        <v>50</v>
      </c>
      <c r="S163" s="7">
        <v>50.240341000000001</v>
      </c>
      <c r="T163" s="7">
        <v>67.724976999999996</v>
      </c>
      <c r="U163" s="7">
        <v>33.493561</v>
      </c>
      <c r="V163" s="7">
        <v>50</v>
      </c>
      <c r="W163" s="7">
        <v>47.269765999999997</v>
      </c>
      <c r="X163" s="7">
        <v>31.513176999999999</v>
      </c>
      <c r="Y163" s="7">
        <v>50</v>
      </c>
      <c r="Z163" s="7">
        <v>62.652174000000002</v>
      </c>
      <c r="AA163" s="7">
        <v>44.785836000000003</v>
      </c>
      <c r="AB163" s="7">
        <v>29.857223999999999</v>
      </c>
      <c r="AC163" s="7">
        <v>50</v>
      </c>
      <c r="AD163" s="7">
        <v>50.882775000000002</v>
      </c>
      <c r="AE163" s="7">
        <v>33.921849999999999</v>
      </c>
      <c r="AF163" s="7">
        <v>50</v>
      </c>
      <c r="AG163" s="7">
        <v>48.647747000000003</v>
      </c>
      <c r="AH163" s="7">
        <v>63.378613999999999</v>
      </c>
      <c r="AI163" s="7">
        <v>32.431831000000003</v>
      </c>
      <c r="AJ163" s="7">
        <v>50</v>
      </c>
      <c r="AK163" s="7">
        <v>17.48</v>
      </c>
      <c r="AL163" s="7">
        <v>17.86</v>
      </c>
      <c r="AM163" s="7">
        <v>14.73</v>
      </c>
      <c r="AN163" s="7">
        <v>0.514436</v>
      </c>
      <c r="AO163" s="7">
        <v>51.443564000000002</v>
      </c>
      <c r="AP163" s="7">
        <v>100</v>
      </c>
      <c r="AQ163" s="7">
        <v>0.48930899999999999</v>
      </c>
      <c r="AR163" s="7">
        <v>48.930855999999999</v>
      </c>
      <c r="AS163" s="7">
        <v>100</v>
      </c>
      <c r="AT163" s="7">
        <v>0.50714800000000004</v>
      </c>
      <c r="AU163" s="7">
        <v>0.56537599999999999</v>
      </c>
      <c r="AV163" s="7">
        <v>50.714843999999999</v>
      </c>
      <c r="AW163" s="7">
        <v>100</v>
      </c>
      <c r="AX163" s="7">
        <v>0.48054000000000002</v>
      </c>
      <c r="AY163" s="7">
        <v>0.55025800000000002</v>
      </c>
      <c r="AZ163" s="7">
        <v>48.053953999999997</v>
      </c>
      <c r="BA163" s="7">
        <v>100</v>
      </c>
      <c r="BB163" s="7">
        <v>0.51885499999999996</v>
      </c>
      <c r="BC163" s="7">
        <v>25.942743</v>
      </c>
      <c r="BD163" s="7">
        <v>50</v>
      </c>
      <c r="BE163" s="7">
        <v>0.44502000000000003</v>
      </c>
      <c r="BF163" s="7">
        <v>22.251004999999999</v>
      </c>
      <c r="BG163" s="7">
        <v>50</v>
      </c>
      <c r="BH163" s="7">
        <v>0</v>
      </c>
      <c r="BI163" s="7">
        <v>0.97635300000000003</v>
      </c>
      <c r="BJ163" s="7">
        <v>0.97639100000000001</v>
      </c>
      <c r="BK163" s="7">
        <v>0.97612399999999999</v>
      </c>
      <c r="BL163" s="7">
        <v>0.97138800000000003</v>
      </c>
      <c r="BM163" s="7">
        <v>0.97047499999999998</v>
      </c>
      <c r="BN163" s="7">
        <v>0.976858</v>
      </c>
      <c r="BO163" s="7">
        <v>0.96167199999999997</v>
      </c>
      <c r="BP163" s="7">
        <v>0.95943999999999996</v>
      </c>
      <c r="BQ163" s="7">
        <v>0.97406800000000004</v>
      </c>
      <c r="BR163" s="7">
        <v>0.25364199999999998</v>
      </c>
      <c r="BS163" s="7">
        <v>9.2716840000000005</v>
      </c>
      <c r="BT163" s="7">
        <v>50</v>
      </c>
      <c r="BU163" s="7">
        <v>0.27973500000000001</v>
      </c>
      <c r="BV163" s="7">
        <v>4.0529770000000003</v>
      </c>
      <c r="BW163" s="7">
        <v>50</v>
      </c>
      <c r="BX163" s="7">
        <v>0.63452600000000003</v>
      </c>
      <c r="BY163" s="7">
        <v>42.301754000000003</v>
      </c>
      <c r="BZ163" s="7">
        <v>50</v>
      </c>
      <c r="CA163" s="7">
        <v>0.17389499999999999</v>
      </c>
      <c r="CB163" s="7">
        <v>11.592981999999999</v>
      </c>
      <c r="CC163" s="7">
        <v>50</v>
      </c>
      <c r="CD163" s="7">
        <v>0.76876100000000003</v>
      </c>
      <c r="CE163" s="7">
        <v>40.891522000000002</v>
      </c>
      <c r="CF163" s="7">
        <v>50</v>
      </c>
      <c r="CG163" s="7">
        <v>0.70744700000000005</v>
      </c>
      <c r="CH163" s="7">
        <v>75.260299000000003</v>
      </c>
      <c r="CI163" s="7">
        <v>100</v>
      </c>
      <c r="CJ163" s="7">
        <v>1</v>
      </c>
      <c r="CK163" s="7">
        <v>0.76024700000000001</v>
      </c>
      <c r="CL163" s="7">
        <v>80.877392</v>
      </c>
      <c r="CM163" s="7">
        <v>100</v>
      </c>
      <c r="CN163" s="7">
        <v>0.60499999999999998</v>
      </c>
      <c r="CO163" s="7">
        <v>80.708411999999996</v>
      </c>
      <c r="CP163" s="7">
        <v>100</v>
      </c>
      <c r="CQ163" s="7">
        <v>0.45307399999999998</v>
      </c>
      <c r="CR163" s="7">
        <v>1.028376</v>
      </c>
      <c r="CS163" s="7">
        <v>30.204961999999998</v>
      </c>
      <c r="CT163" s="7">
        <v>50</v>
      </c>
      <c r="CU163" s="7">
        <v>0.64567799999999997</v>
      </c>
      <c r="CV163" s="7">
        <v>50</v>
      </c>
      <c r="CW163" s="7">
        <v>50</v>
      </c>
      <c r="CX163" s="7">
        <v>0.76024700000000001</v>
      </c>
      <c r="CY163" s="7">
        <v>0.94</v>
      </c>
      <c r="CZ163" s="7">
        <v>0.179753</v>
      </c>
      <c r="DA163" s="7">
        <v>15.389535</v>
      </c>
      <c r="DB163" s="7">
        <v>17.608319000000002</v>
      </c>
      <c r="DC163" s="7">
        <v>16.064022999999999</v>
      </c>
      <c r="DD163" s="7">
        <v>11.115401</v>
      </c>
      <c r="DE163" s="4" t="s">
        <v>124</v>
      </c>
      <c r="DF163" s="6"/>
      <c r="DG163" s="6"/>
      <c r="DH163" s="6"/>
      <c r="DI163" s="6"/>
      <c r="DJ163" s="4" t="s">
        <v>124</v>
      </c>
      <c r="DK163" s="4" t="s">
        <v>124</v>
      </c>
      <c r="DL163" s="4" t="s">
        <v>124</v>
      </c>
      <c r="DM163" s="4" t="s">
        <v>124</v>
      </c>
      <c r="DN163" s="4" t="s">
        <v>124</v>
      </c>
      <c r="DO163" s="4" t="s">
        <v>124</v>
      </c>
      <c r="DP163" s="6"/>
      <c r="DQ163" s="4" t="s">
        <v>125</v>
      </c>
    </row>
    <row r="164" spans="1:121" ht="20" customHeight="1" x14ac:dyDescent="0.15">
      <c r="A164" s="5">
        <v>2018</v>
      </c>
      <c r="B164" s="3" t="s">
        <v>287</v>
      </c>
      <c r="C164" s="4" t="str">
        <f t="shared" ref="C164:C874" si="159">"1350011"</f>
        <v>1350011</v>
      </c>
      <c r="D164" s="4" t="s">
        <v>122</v>
      </c>
      <c r="E164" s="4" t="str">
        <f t="shared" si="1"/>
        <v>0000000</v>
      </c>
      <c r="F164" s="4" t="s">
        <v>122</v>
      </c>
      <c r="G164" s="4" t="s">
        <v>122</v>
      </c>
      <c r="H164" s="4" t="s">
        <v>122</v>
      </c>
      <c r="I164" s="6"/>
      <c r="J164" s="4" t="s">
        <v>123</v>
      </c>
      <c r="K164" s="7">
        <v>1033.4665990000001</v>
      </c>
      <c r="L164" s="7">
        <v>1450</v>
      </c>
      <c r="M164" s="7">
        <v>71.273559000000006</v>
      </c>
      <c r="N164" s="4" t="s">
        <v>124</v>
      </c>
      <c r="O164" s="7">
        <v>1</v>
      </c>
      <c r="P164" s="7">
        <v>64.976581999999993</v>
      </c>
      <c r="Q164" s="7">
        <v>43.317720999999999</v>
      </c>
      <c r="R164" s="7">
        <v>50</v>
      </c>
      <c r="S164" s="7">
        <v>57.854492</v>
      </c>
      <c r="T164" s="7">
        <v>75</v>
      </c>
      <c r="U164" s="7">
        <v>38.569661000000004</v>
      </c>
      <c r="V164" s="7">
        <v>50</v>
      </c>
      <c r="W164" s="7">
        <v>61.125157999999999</v>
      </c>
      <c r="X164" s="7">
        <v>40.750104999999998</v>
      </c>
      <c r="Y164" s="7">
        <v>50</v>
      </c>
      <c r="Z164" s="7">
        <v>74.948363999999998</v>
      </c>
      <c r="AA164" s="7">
        <v>53.329560000000001</v>
      </c>
      <c r="AB164" s="7">
        <v>35.553040000000003</v>
      </c>
      <c r="AC164" s="7">
        <v>50</v>
      </c>
      <c r="AD164" s="7">
        <v>59.241098999999998</v>
      </c>
      <c r="AE164" s="7">
        <v>39.494065999999997</v>
      </c>
      <c r="AF164" s="7">
        <v>50</v>
      </c>
      <c r="AG164" s="7">
        <v>53.414147999999997</v>
      </c>
      <c r="AH164" s="7">
        <v>69.121157999999994</v>
      </c>
      <c r="AI164" s="7">
        <v>35.609431999999998</v>
      </c>
      <c r="AJ164" s="7">
        <v>50</v>
      </c>
      <c r="AK164" s="7">
        <v>17.14</v>
      </c>
      <c r="AL164" s="7">
        <v>21.61</v>
      </c>
      <c r="AM164" s="7">
        <v>15.7</v>
      </c>
      <c r="AN164" s="7">
        <v>0.57002299999999995</v>
      </c>
      <c r="AO164" s="7">
        <v>57.002285999999998</v>
      </c>
      <c r="AP164" s="7">
        <v>100</v>
      </c>
      <c r="AQ164" s="7">
        <v>0.591557</v>
      </c>
      <c r="AR164" s="7">
        <v>59.155723999999999</v>
      </c>
      <c r="AS164" s="7">
        <v>100</v>
      </c>
      <c r="AT164" s="7">
        <v>0.53297300000000003</v>
      </c>
      <c r="AU164" s="7">
        <v>0.63747500000000001</v>
      </c>
      <c r="AV164" s="7">
        <v>53.297341000000003</v>
      </c>
      <c r="AW164" s="7">
        <v>100</v>
      </c>
      <c r="AX164" s="7">
        <v>0.54301299999999997</v>
      </c>
      <c r="AY164" s="7">
        <v>0.67987299999999995</v>
      </c>
      <c r="AZ164" s="7">
        <v>54.301321999999999</v>
      </c>
      <c r="BA164" s="7">
        <v>100</v>
      </c>
      <c r="BB164" s="7">
        <v>0.61338000000000004</v>
      </c>
      <c r="BC164" s="7">
        <v>30.668991999999999</v>
      </c>
      <c r="BD164" s="7">
        <v>50</v>
      </c>
      <c r="BE164" s="7">
        <v>0.56767999999999996</v>
      </c>
      <c r="BF164" s="7">
        <v>28.384001999999999</v>
      </c>
      <c r="BG164" s="7">
        <v>50</v>
      </c>
      <c r="BH164" s="7">
        <v>0</v>
      </c>
      <c r="BI164" s="7">
        <v>0.97748000000000002</v>
      </c>
      <c r="BJ164" s="7">
        <v>0.97404400000000002</v>
      </c>
      <c r="BK164" s="7">
        <v>0.98404100000000005</v>
      </c>
      <c r="BL164" s="7">
        <v>0.97584000000000004</v>
      </c>
      <c r="BM164" s="7">
        <v>0.97190600000000005</v>
      </c>
      <c r="BN164" s="7">
        <v>0.98335600000000001</v>
      </c>
      <c r="BO164" s="7">
        <v>0.96873200000000004</v>
      </c>
      <c r="BP164" s="7">
        <v>0.96099900000000005</v>
      </c>
      <c r="BQ164" s="7">
        <v>0.98301000000000005</v>
      </c>
      <c r="BR164" s="7">
        <v>0.111362</v>
      </c>
      <c r="BS164" s="7">
        <v>37.727615</v>
      </c>
      <c r="BT164" s="7">
        <v>50</v>
      </c>
      <c r="BU164" s="7">
        <v>0.142731</v>
      </c>
      <c r="BV164" s="7">
        <v>31.453831000000001</v>
      </c>
      <c r="BW164" s="7">
        <v>50</v>
      </c>
      <c r="BX164" s="7">
        <v>0.86795</v>
      </c>
      <c r="BY164" s="7">
        <v>50</v>
      </c>
      <c r="BZ164" s="7">
        <v>50</v>
      </c>
      <c r="CA164" s="7">
        <v>0.409132</v>
      </c>
      <c r="CB164" s="7">
        <v>27.27544</v>
      </c>
      <c r="CC164" s="7">
        <v>50</v>
      </c>
      <c r="CD164" s="7">
        <v>0.78927499999999995</v>
      </c>
      <c r="CE164" s="7">
        <v>41.982726</v>
      </c>
      <c r="CF164" s="7">
        <v>50</v>
      </c>
      <c r="CG164" s="7">
        <v>0.87446999999999997</v>
      </c>
      <c r="CH164" s="7">
        <v>93.028711999999999</v>
      </c>
      <c r="CI164" s="7">
        <v>100</v>
      </c>
      <c r="CJ164" s="7">
        <v>0</v>
      </c>
      <c r="CK164" s="7">
        <v>0.88858300000000001</v>
      </c>
      <c r="CL164" s="7">
        <v>94.53013</v>
      </c>
      <c r="CM164" s="7">
        <v>100</v>
      </c>
      <c r="CN164" s="7">
        <v>0.71399999999999997</v>
      </c>
      <c r="CO164" s="7">
        <v>95.255814000000001</v>
      </c>
      <c r="CP164" s="7">
        <v>100</v>
      </c>
      <c r="CQ164" s="7">
        <v>0.30174400000000001</v>
      </c>
      <c r="CR164" s="7">
        <v>0.88099700000000003</v>
      </c>
      <c r="CS164" s="7">
        <v>10.058149</v>
      </c>
      <c r="CT164" s="7">
        <v>50</v>
      </c>
      <c r="CU164" s="7">
        <v>0.43260599999999999</v>
      </c>
      <c r="CV164" s="7">
        <v>36.050491999999998</v>
      </c>
      <c r="CW164" s="7">
        <v>50</v>
      </c>
      <c r="CX164" s="7">
        <v>0.88858300000000001</v>
      </c>
      <c r="CY164" s="7">
        <v>0.94</v>
      </c>
      <c r="CZ164" s="7">
        <v>5.1416999999999997E-2</v>
      </c>
      <c r="DA164" s="7">
        <v>15.389535</v>
      </c>
      <c r="DB164" s="7">
        <v>17.608319000000002</v>
      </c>
      <c r="DC164" s="7">
        <v>16.064022999999999</v>
      </c>
      <c r="DD164" s="7">
        <v>11.115401</v>
      </c>
      <c r="DE164" s="4" t="s">
        <v>124</v>
      </c>
      <c r="DF164" s="6"/>
      <c r="DG164" s="6"/>
      <c r="DH164" s="6"/>
      <c r="DI164" s="6"/>
      <c r="DJ164" s="4" t="s">
        <v>124</v>
      </c>
      <c r="DK164" s="4" t="s">
        <v>124</v>
      </c>
      <c r="DL164" s="4" t="s">
        <v>124</v>
      </c>
      <c r="DM164" s="4" t="s">
        <v>124</v>
      </c>
      <c r="DN164" s="4" t="s">
        <v>124</v>
      </c>
      <c r="DO164" s="4" t="s">
        <v>124</v>
      </c>
      <c r="DP164" s="6"/>
      <c r="DQ164" s="4" t="s">
        <v>125</v>
      </c>
    </row>
    <row r="165" spans="1:121" ht="20" customHeight="1" x14ac:dyDescent="0.15">
      <c r="A165" s="5">
        <v>2018</v>
      </c>
      <c r="B165" s="3" t="s">
        <v>288</v>
      </c>
      <c r="C165" s="4" t="str">
        <f t="shared" ref="C165:C1104" si="160">"2110012"</f>
        <v>2110012</v>
      </c>
      <c r="D165" s="4" t="s">
        <v>122</v>
      </c>
      <c r="E165" s="4" t="str">
        <f t="shared" si="1"/>
        <v>0000000</v>
      </c>
      <c r="F165" s="4" t="s">
        <v>122</v>
      </c>
      <c r="G165" s="4" t="s">
        <v>122</v>
      </c>
      <c r="H165" s="4" t="s">
        <v>122</v>
      </c>
      <c r="I165" s="6"/>
      <c r="J165" s="4" t="s">
        <v>123</v>
      </c>
      <c r="K165" s="7">
        <v>929.30106699999999</v>
      </c>
      <c r="L165" s="7">
        <v>1350</v>
      </c>
      <c r="M165" s="7">
        <v>68.837115999999995</v>
      </c>
      <c r="N165" s="4" t="s">
        <v>124</v>
      </c>
      <c r="O165" s="7">
        <v>1</v>
      </c>
      <c r="P165" s="7">
        <v>67.785780000000003</v>
      </c>
      <c r="Q165" s="7">
        <v>45.190519999999999</v>
      </c>
      <c r="R165" s="7">
        <v>50</v>
      </c>
      <c r="S165" s="7">
        <v>58.192709999999998</v>
      </c>
      <c r="T165" s="7">
        <v>75</v>
      </c>
      <c r="U165" s="7">
        <v>38.795140000000004</v>
      </c>
      <c r="V165" s="7">
        <v>50</v>
      </c>
      <c r="W165" s="7">
        <v>57.914122999999996</v>
      </c>
      <c r="X165" s="7">
        <v>38.609414999999998</v>
      </c>
      <c r="Y165" s="7">
        <v>50</v>
      </c>
      <c r="Z165" s="7">
        <v>68.003724000000005</v>
      </c>
      <c r="AA165" s="7">
        <v>46.682302</v>
      </c>
      <c r="AB165" s="7">
        <v>31.121535000000002</v>
      </c>
      <c r="AC165" s="7">
        <v>50</v>
      </c>
      <c r="AD165" s="7">
        <v>66.828322999999997</v>
      </c>
      <c r="AE165" s="7">
        <v>44.552214999999997</v>
      </c>
      <c r="AF165" s="7">
        <v>50</v>
      </c>
      <c r="AG165" s="7">
        <v>54.119667</v>
      </c>
      <c r="AH165" s="7">
        <v>75</v>
      </c>
      <c r="AI165" s="7">
        <v>36.079777999999997</v>
      </c>
      <c r="AJ165" s="7">
        <v>50</v>
      </c>
      <c r="AK165" s="7">
        <v>16.8</v>
      </c>
      <c r="AL165" s="7">
        <v>21.32</v>
      </c>
      <c r="AM165" s="7">
        <v>20.88</v>
      </c>
      <c r="AN165" s="7">
        <v>0.40505799999999997</v>
      </c>
      <c r="AO165" s="7">
        <v>40.505831999999998</v>
      </c>
      <c r="AP165" s="7">
        <v>100</v>
      </c>
      <c r="AQ165" s="7">
        <v>0.38202999999999998</v>
      </c>
      <c r="AR165" s="7">
        <v>38.203048000000003</v>
      </c>
      <c r="AS165" s="7">
        <v>100</v>
      </c>
      <c r="AT165" s="7">
        <v>0.32396200000000003</v>
      </c>
      <c r="AU165" s="7">
        <v>0.48813299999999998</v>
      </c>
      <c r="AV165" s="7">
        <v>32.396158</v>
      </c>
      <c r="AW165" s="7">
        <v>100</v>
      </c>
      <c r="AX165" s="7">
        <v>0.280831</v>
      </c>
      <c r="AY165" s="7">
        <v>0.48569800000000002</v>
      </c>
      <c r="AZ165" s="7">
        <v>28.083102</v>
      </c>
      <c r="BA165" s="7">
        <v>100</v>
      </c>
      <c r="BB165" s="4" t="s">
        <v>124</v>
      </c>
      <c r="BC165" s="4" t="s">
        <v>124</v>
      </c>
      <c r="BD165" s="4" t="s">
        <v>124</v>
      </c>
      <c r="BE165" s="4" t="s">
        <v>124</v>
      </c>
      <c r="BF165" s="4" t="s">
        <v>124</v>
      </c>
      <c r="BG165" s="4" t="s">
        <v>124</v>
      </c>
      <c r="BH165" s="7">
        <v>0</v>
      </c>
      <c r="BI165" s="7">
        <v>1</v>
      </c>
      <c r="BJ165" s="7">
        <v>1</v>
      </c>
      <c r="BK165" s="7">
        <v>1</v>
      </c>
      <c r="BL165" s="7">
        <v>1</v>
      </c>
      <c r="BM165" s="7">
        <v>1</v>
      </c>
      <c r="BN165" s="7">
        <v>1</v>
      </c>
      <c r="BO165" s="7">
        <v>1</v>
      </c>
      <c r="BP165" s="7">
        <v>1</v>
      </c>
      <c r="BQ165" s="7">
        <v>1</v>
      </c>
      <c r="BR165" s="7">
        <v>6.6372E-2</v>
      </c>
      <c r="BS165" s="7">
        <v>46.725664000000002</v>
      </c>
      <c r="BT165" s="7">
        <v>50</v>
      </c>
      <c r="BU165" s="7">
        <v>8.9286000000000004E-2</v>
      </c>
      <c r="BV165" s="7">
        <v>42.142856999999999</v>
      </c>
      <c r="BW165" s="7">
        <v>50</v>
      </c>
      <c r="BX165" s="7">
        <v>0.76388900000000004</v>
      </c>
      <c r="BY165" s="7">
        <v>50</v>
      </c>
      <c r="BZ165" s="7">
        <v>50</v>
      </c>
      <c r="CA165" s="7">
        <v>0.38888899999999998</v>
      </c>
      <c r="CB165" s="7">
        <v>25.925926</v>
      </c>
      <c r="CC165" s="7">
        <v>50</v>
      </c>
      <c r="CD165" s="7">
        <v>1</v>
      </c>
      <c r="CE165" s="7">
        <v>50</v>
      </c>
      <c r="CF165" s="7">
        <v>50</v>
      </c>
      <c r="CG165" s="7">
        <v>0.79411799999999999</v>
      </c>
      <c r="CH165" s="7">
        <v>84.480600999999993</v>
      </c>
      <c r="CI165" s="7">
        <v>100</v>
      </c>
      <c r="CJ165" s="7">
        <v>0</v>
      </c>
      <c r="CK165" s="7">
        <v>0.8</v>
      </c>
      <c r="CL165" s="7">
        <v>85.106382999999994</v>
      </c>
      <c r="CM165" s="7">
        <v>100</v>
      </c>
      <c r="CN165" s="7">
        <v>0.65400000000000003</v>
      </c>
      <c r="CO165" s="7">
        <v>87.179486999999995</v>
      </c>
      <c r="CP165" s="7">
        <v>100</v>
      </c>
      <c r="CQ165" s="7">
        <v>0.52564100000000002</v>
      </c>
      <c r="CR165" s="7">
        <v>0.98734200000000005</v>
      </c>
      <c r="CS165" s="7">
        <v>35.042735</v>
      </c>
      <c r="CT165" s="7">
        <v>50</v>
      </c>
      <c r="CU165" s="7">
        <v>0.58992800000000001</v>
      </c>
      <c r="CV165" s="7">
        <v>49.160671000000001</v>
      </c>
      <c r="CW165" s="7">
        <v>50</v>
      </c>
      <c r="CX165" s="7">
        <v>0.8</v>
      </c>
      <c r="CY165" s="4" t="s">
        <v>124</v>
      </c>
      <c r="CZ165" s="4" t="s">
        <v>124</v>
      </c>
      <c r="DA165" s="7">
        <v>15.389535</v>
      </c>
      <c r="DB165" s="7">
        <v>17.608319000000002</v>
      </c>
      <c r="DC165" s="7">
        <v>16.064022999999999</v>
      </c>
      <c r="DD165" s="7">
        <v>11.115401</v>
      </c>
      <c r="DE165" s="4" t="s">
        <v>124</v>
      </c>
      <c r="DF165" s="6"/>
      <c r="DG165" s="6"/>
      <c r="DH165" s="6"/>
      <c r="DI165" s="6"/>
      <c r="DJ165" s="4" t="s">
        <v>124</v>
      </c>
      <c r="DK165" s="4" t="s">
        <v>124</v>
      </c>
      <c r="DL165" s="4" t="s">
        <v>124</v>
      </c>
      <c r="DM165" s="4" t="s">
        <v>124</v>
      </c>
      <c r="DN165" s="4" t="s">
        <v>124</v>
      </c>
      <c r="DO165" s="4" t="s">
        <v>124</v>
      </c>
      <c r="DP165" s="6"/>
      <c r="DQ165" s="4" t="s">
        <v>125</v>
      </c>
    </row>
    <row r="166" spans="1:121" ht="20" customHeight="1" x14ac:dyDescent="0.15">
      <c r="A166" s="5">
        <v>2018</v>
      </c>
      <c r="B166" s="3" t="s">
        <v>289</v>
      </c>
      <c r="C166" s="4" t="str">
        <f t="shared" ref="C166:C1105" si="161">"2120012"</f>
        <v>2120012</v>
      </c>
      <c r="D166" s="4" t="s">
        <v>122</v>
      </c>
      <c r="E166" s="4" t="str">
        <f t="shared" si="1"/>
        <v>0000000</v>
      </c>
      <c r="F166" s="4" t="s">
        <v>122</v>
      </c>
      <c r="G166" s="4" t="s">
        <v>122</v>
      </c>
      <c r="H166" s="4" t="s">
        <v>122</v>
      </c>
      <c r="I166" s="6"/>
      <c r="J166" s="4" t="s">
        <v>123</v>
      </c>
      <c r="K166" s="7">
        <v>1032.7799749999999</v>
      </c>
      <c r="L166" s="7">
        <v>1250</v>
      </c>
      <c r="M166" s="7">
        <v>82.622398000000004</v>
      </c>
      <c r="N166" s="4" t="s">
        <v>124</v>
      </c>
      <c r="O166" s="7">
        <v>0</v>
      </c>
      <c r="P166" s="7">
        <v>77.220388999999997</v>
      </c>
      <c r="Q166" s="7">
        <v>50</v>
      </c>
      <c r="R166" s="7">
        <v>50</v>
      </c>
      <c r="S166" s="7">
        <v>68.848059000000006</v>
      </c>
      <c r="T166" s="7">
        <v>75</v>
      </c>
      <c r="U166" s="7">
        <v>45.898705999999997</v>
      </c>
      <c r="V166" s="7">
        <v>50</v>
      </c>
      <c r="W166" s="7">
        <v>73.642160000000004</v>
      </c>
      <c r="X166" s="7">
        <v>49.094773000000004</v>
      </c>
      <c r="Y166" s="7">
        <v>50</v>
      </c>
      <c r="Z166" s="7">
        <v>75</v>
      </c>
      <c r="AA166" s="7">
        <v>63.800921000000002</v>
      </c>
      <c r="AB166" s="7">
        <v>42.533946999999998</v>
      </c>
      <c r="AC166" s="7">
        <v>50</v>
      </c>
      <c r="AD166" s="7">
        <v>72.138936000000001</v>
      </c>
      <c r="AE166" s="7">
        <v>48.092624000000001</v>
      </c>
      <c r="AF166" s="7">
        <v>50</v>
      </c>
      <c r="AG166" s="7">
        <v>63.877571000000003</v>
      </c>
      <c r="AH166" s="7">
        <v>75</v>
      </c>
      <c r="AI166" s="7">
        <v>42.585048</v>
      </c>
      <c r="AJ166" s="7">
        <v>50</v>
      </c>
      <c r="AK166" s="7">
        <v>6.15</v>
      </c>
      <c r="AL166" s="7">
        <v>11.19</v>
      </c>
      <c r="AM166" s="7">
        <v>11.12</v>
      </c>
      <c r="AN166" s="7">
        <v>0.65888400000000003</v>
      </c>
      <c r="AO166" s="7">
        <v>65.888362999999998</v>
      </c>
      <c r="AP166" s="7">
        <v>100</v>
      </c>
      <c r="AQ166" s="7">
        <v>0.64971699999999999</v>
      </c>
      <c r="AR166" s="7">
        <v>64.971736000000007</v>
      </c>
      <c r="AS166" s="7">
        <v>100</v>
      </c>
      <c r="AT166" s="7">
        <v>0.61680000000000001</v>
      </c>
      <c r="AU166" s="7">
        <v>0.68276099999999995</v>
      </c>
      <c r="AV166" s="7">
        <v>61.680045</v>
      </c>
      <c r="AW166" s="7">
        <v>100</v>
      </c>
      <c r="AX166" s="7">
        <v>0.54883199999999999</v>
      </c>
      <c r="AY166" s="7">
        <v>0.70624200000000004</v>
      </c>
      <c r="AZ166" s="7">
        <v>54.883194000000003</v>
      </c>
      <c r="BA166" s="7">
        <v>100</v>
      </c>
      <c r="BB166" s="4" t="s">
        <v>124</v>
      </c>
      <c r="BC166" s="4" t="s">
        <v>124</v>
      </c>
      <c r="BD166" s="4" t="s">
        <v>124</v>
      </c>
      <c r="BE166" s="4" t="s">
        <v>124</v>
      </c>
      <c r="BF166" s="4" t="s">
        <v>124</v>
      </c>
      <c r="BG166" s="4" t="s">
        <v>124</v>
      </c>
      <c r="BH166" s="7">
        <v>0</v>
      </c>
      <c r="BI166" s="7">
        <v>0.99430200000000002</v>
      </c>
      <c r="BJ166" s="7">
        <v>0.99236599999999997</v>
      </c>
      <c r="BK166" s="7">
        <v>0.99545499999999998</v>
      </c>
      <c r="BL166" s="7">
        <v>0.99430200000000002</v>
      </c>
      <c r="BM166" s="7">
        <v>0.99236599999999997</v>
      </c>
      <c r="BN166" s="7">
        <v>0.99545499999999998</v>
      </c>
      <c r="BO166" s="7">
        <v>0.99404800000000004</v>
      </c>
      <c r="BP166" s="7">
        <v>1</v>
      </c>
      <c r="BQ166" s="7">
        <v>0.99065400000000003</v>
      </c>
      <c r="BR166" s="7">
        <v>7.7759999999999996E-2</v>
      </c>
      <c r="BS166" s="7">
        <v>44.447899999999997</v>
      </c>
      <c r="BT166" s="7">
        <v>50</v>
      </c>
      <c r="BU166" s="7">
        <v>0.13122200000000001</v>
      </c>
      <c r="BV166" s="7">
        <v>33.755656000000002</v>
      </c>
      <c r="BW166" s="7">
        <v>50</v>
      </c>
      <c r="BX166" s="7">
        <v>0.71232899999999999</v>
      </c>
      <c r="BY166" s="7">
        <v>47.488584000000003</v>
      </c>
      <c r="BZ166" s="7">
        <v>50</v>
      </c>
      <c r="CA166" s="7">
        <v>0.59589000000000003</v>
      </c>
      <c r="CB166" s="7">
        <v>39.726027000000002</v>
      </c>
      <c r="CC166" s="7">
        <v>50</v>
      </c>
      <c r="CD166" s="7">
        <v>0.97196300000000002</v>
      </c>
      <c r="CE166" s="7">
        <v>50</v>
      </c>
      <c r="CF166" s="7">
        <v>50</v>
      </c>
      <c r="CG166" s="7">
        <v>0.92307700000000004</v>
      </c>
      <c r="CH166" s="7">
        <v>98.199673000000004</v>
      </c>
      <c r="CI166" s="7">
        <v>100</v>
      </c>
      <c r="CJ166" s="7">
        <v>0</v>
      </c>
      <c r="CK166" s="4" t="s">
        <v>124</v>
      </c>
      <c r="CL166" s="4" t="s">
        <v>124</v>
      </c>
      <c r="CM166" s="4" t="s">
        <v>124</v>
      </c>
      <c r="CN166" s="7">
        <v>0.73799999999999999</v>
      </c>
      <c r="CO166" s="7">
        <v>98.360656000000006</v>
      </c>
      <c r="CP166" s="7">
        <v>100</v>
      </c>
      <c r="CQ166" s="7">
        <v>0.67759599999999998</v>
      </c>
      <c r="CR166" s="7">
        <v>0.91500000000000004</v>
      </c>
      <c r="CS166" s="7">
        <v>45.173042000000002</v>
      </c>
      <c r="CT166" s="7">
        <v>50</v>
      </c>
      <c r="CU166" s="7">
        <v>0.74717</v>
      </c>
      <c r="CV166" s="7">
        <v>50</v>
      </c>
      <c r="CW166" s="7">
        <v>50</v>
      </c>
      <c r="CX166" s="4" t="s">
        <v>124</v>
      </c>
      <c r="CY166" s="4" t="s">
        <v>124</v>
      </c>
      <c r="CZ166" s="4" t="s">
        <v>124</v>
      </c>
      <c r="DA166" s="7">
        <v>15.389535</v>
      </c>
      <c r="DB166" s="7">
        <v>17.608319000000002</v>
      </c>
      <c r="DC166" s="7">
        <v>16.064022999999999</v>
      </c>
      <c r="DD166" s="7">
        <v>11.115401</v>
      </c>
      <c r="DE166" s="4" t="s">
        <v>124</v>
      </c>
      <c r="DF166" s="6"/>
      <c r="DG166" s="6"/>
      <c r="DH166" s="6"/>
      <c r="DI166" s="6"/>
      <c r="DJ166" s="4" t="s">
        <v>124</v>
      </c>
      <c r="DK166" s="4" t="s">
        <v>124</v>
      </c>
      <c r="DL166" s="4" t="s">
        <v>124</v>
      </c>
      <c r="DM166" s="4" t="s">
        <v>124</v>
      </c>
      <c r="DN166" s="4" t="s">
        <v>124</v>
      </c>
      <c r="DO166" s="4" t="s">
        <v>124</v>
      </c>
      <c r="DP166" s="6"/>
      <c r="DQ166" s="4" t="s">
        <v>125</v>
      </c>
    </row>
    <row r="167" spans="1:121" ht="20" customHeight="1" x14ac:dyDescent="0.15">
      <c r="A167" s="5">
        <v>2018</v>
      </c>
      <c r="B167" s="3" t="s">
        <v>290</v>
      </c>
      <c r="C167" s="4" t="str">
        <f t="shared" ref="C167:C1109" si="162">"2130012"</f>
        <v>2130012</v>
      </c>
      <c r="D167" s="4" t="s">
        <v>122</v>
      </c>
      <c r="E167" s="4" t="str">
        <f t="shared" si="1"/>
        <v>0000000</v>
      </c>
      <c r="F167" s="4" t="s">
        <v>122</v>
      </c>
      <c r="G167" s="4" t="s">
        <v>122</v>
      </c>
      <c r="H167" s="4" t="s">
        <v>122</v>
      </c>
      <c r="I167" s="6"/>
      <c r="J167" s="4" t="s">
        <v>123</v>
      </c>
      <c r="K167" s="7">
        <v>1128.5375329999999</v>
      </c>
      <c r="L167" s="7">
        <v>1350</v>
      </c>
      <c r="M167" s="7">
        <v>83.595372999999995</v>
      </c>
      <c r="N167" s="4" t="s">
        <v>124</v>
      </c>
      <c r="O167" s="7">
        <v>1</v>
      </c>
      <c r="P167" s="7">
        <v>75.205781999999999</v>
      </c>
      <c r="Q167" s="7">
        <v>50</v>
      </c>
      <c r="R167" s="7">
        <v>50</v>
      </c>
      <c r="S167" s="7">
        <v>61.509264000000002</v>
      </c>
      <c r="T167" s="7">
        <v>75</v>
      </c>
      <c r="U167" s="7">
        <v>41.006176000000004</v>
      </c>
      <c r="V167" s="7">
        <v>50</v>
      </c>
      <c r="W167" s="7">
        <v>70.537657999999993</v>
      </c>
      <c r="X167" s="7">
        <v>47.025106000000001</v>
      </c>
      <c r="Y167" s="7">
        <v>50</v>
      </c>
      <c r="Z167" s="7">
        <v>75</v>
      </c>
      <c r="AA167" s="7">
        <v>56.442472000000002</v>
      </c>
      <c r="AB167" s="7">
        <v>37.628315000000001</v>
      </c>
      <c r="AC167" s="7">
        <v>50</v>
      </c>
      <c r="AD167" s="7">
        <v>73.947197000000003</v>
      </c>
      <c r="AE167" s="7">
        <v>49.298130999999998</v>
      </c>
      <c r="AF167" s="7">
        <v>50</v>
      </c>
      <c r="AG167" s="7">
        <v>62.217998000000001</v>
      </c>
      <c r="AH167" s="7">
        <v>75</v>
      </c>
      <c r="AI167" s="7">
        <v>41.478664999999999</v>
      </c>
      <c r="AJ167" s="7">
        <v>50</v>
      </c>
      <c r="AK167" s="7">
        <v>13.49</v>
      </c>
      <c r="AL167" s="7">
        <v>18.55</v>
      </c>
      <c r="AM167" s="7">
        <v>12.78</v>
      </c>
      <c r="AN167" s="7">
        <v>0.68909100000000001</v>
      </c>
      <c r="AO167" s="7">
        <v>68.909103999999999</v>
      </c>
      <c r="AP167" s="7">
        <v>100</v>
      </c>
      <c r="AQ167" s="7">
        <v>0.75296799999999997</v>
      </c>
      <c r="AR167" s="7">
        <v>75.296817000000004</v>
      </c>
      <c r="AS167" s="7">
        <v>100</v>
      </c>
      <c r="AT167" s="7">
        <v>0.58848100000000003</v>
      </c>
      <c r="AU167" s="7">
        <v>0.72909800000000002</v>
      </c>
      <c r="AV167" s="7">
        <v>58.848132</v>
      </c>
      <c r="AW167" s="7">
        <v>100</v>
      </c>
      <c r="AX167" s="7">
        <v>0.60012500000000002</v>
      </c>
      <c r="AY167" s="7">
        <v>0.81338600000000005</v>
      </c>
      <c r="AZ167" s="7">
        <v>60.012461000000002</v>
      </c>
      <c r="BA167" s="7">
        <v>100</v>
      </c>
      <c r="BB167" s="4" t="s">
        <v>124</v>
      </c>
      <c r="BC167" s="4" t="s">
        <v>124</v>
      </c>
      <c r="BD167" s="4" t="s">
        <v>124</v>
      </c>
      <c r="BE167" s="4" t="s">
        <v>124</v>
      </c>
      <c r="BF167" s="4" t="s">
        <v>124</v>
      </c>
      <c r="BG167" s="4" t="s">
        <v>124</v>
      </c>
      <c r="BH167" s="7">
        <v>0</v>
      </c>
      <c r="BI167" s="7">
        <v>0.99286600000000003</v>
      </c>
      <c r="BJ167" s="7">
        <v>0.98809499999999995</v>
      </c>
      <c r="BK167" s="7">
        <v>0.99490699999999999</v>
      </c>
      <c r="BL167" s="7">
        <v>0.99286600000000003</v>
      </c>
      <c r="BM167" s="7">
        <v>0.98809499999999995</v>
      </c>
      <c r="BN167" s="7">
        <v>0.99490699999999999</v>
      </c>
      <c r="BO167" s="7">
        <v>0.98944600000000005</v>
      </c>
      <c r="BP167" s="7">
        <v>0.99038499999999996</v>
      </c>
      <c r="BQ167" s="7">
        <v>0.98909100000000005</v>
      </c>
      <c r="BR167" s="7">
        <v>6.6794000000000006E-2</v>
      </c>
      <c r="BS167" s="7">
        <v>46.641221000000002</v>
      </c>
      <c r="BT167" s="7">
        <v>50</v>
      </c>
      <c r="BU167" s="7">
        <v>0.12815099999999999</v>
      </c>
      <c r="BV167" s="7">
        <v>34.369748000000001</v>
      </c>
      <c r="BW167" s="7">
        <v>50</v>
      </c>
      <c r="BX167" s="7">
        <v>0.95138900000000004</v>
      </c>
      <c r="BY167" s="7">
        <v>50</v>
      </c>
      <c r="BZ167" s="7">
        <v>50</v>
      </c>
      <c r="CA167" s="7">
        <v>0.49305599999999999</v>
      </c>
      <c r="CB167" s="7">
        <v>32.870370000000001</v>
      </c>
      <c r="CC167" s="7">
        <v>50</v>
      </c>
      <c r="CD167" s="7">
        <v>0.97033899999999995</v>
      </c>
      <c r="CE167" s="7">
        <v>50</v>
      </c>
      <c r="CF167" s="7">
        <v>50</v>
      </c>
      <c r="CG167" s="7">
        <v>0.932836</v>
      </c>
      <c r="CH167" s="7">
        <v>99.237853000000001</v>
      </c>
      <c r="CI167" s="7">
        <v>100</v>
      </c>
      <c r="CJ167" s="7">
        <v>0</v>
      </c>
      <c r="CK167" s="7">
        <v>0.95121999999999995</v>
      </c>
      <c r="CL167" s="7">
        <v>100</v>
      </c>
      <c r="CM167" s="7">
        <v>100</v>
      </c>
      <c r="CN167" s="7">
        <v>0.83799999999999997</v>
      </c>
      <c r="CO167" s="7">
        <v>100</v>
      </c>
      <c r="CP167" s="7">
        <v>100</v>
      </c>
      <c r="CQ167" s="7">
        <v>0.56614799999999998</v>
      </c>
      <c r="CR167" s="7">
        <v>0.96254700000000004</v>
      </c>
      <c r="CS167" s="7">
        <v>37.743191000000003</v>
      </c>
      <c r="CT167" s="7">
        <v>50</v>
      </c>
      <c r="CU167" s="7">
        <v>0.578067</v>
      </c>
      <c r="CV167" s="7">
        <v>48.172243000000002</v>
      </c>
      <c r="CW167" s="7">
        <v>50</v>
      </c>
      <c r="CX167" s="7">
        <v>0.95121999999999995</v>
      </c>
      <c r="CY167" s="7">
        <v>0.94</v>
      </c>
      <c r="CZ167" s="7">
        <v>-1.1220000000000001E-2</v>
      </c>
      <c r="DA167" s="7">
        <v>15.389535</v>
      </c>
      <c r="DB167" s="7">
        <v>17.608319000000002</v>
      </c>
      <c r="DC167" s="7">
        <v>16.064022999999999</v>
      </c>
      <c r="DD167" s="7">
        <v>11.115401</v>
      </c>
      <c r="DE167" s="4" t="s">
        <v>124</v>
      </c>
      <c r="DF167" s="6"/>
      <c r="DG167" s="6"/>
      <c r="DH167" s="6"/>
      <c r="DI167" s="6"/>
      <c r="DJ167" s="4" t="s">
        <v>124</v>
      </c>
      <c r="DK167" s="4" t="s">
        <v>124</v>
      </c>
      <c r="DL167" s="4" t="s">
        <v>124</v>
      </c>
      <c r="DM167" s="4" t="s">
        <v>124</v>
      </c>
      <c r="DN167" s="4" t="s">
        <v>124</v>
      </c>
      <c r="DO167" s="4" t="s">
        <v>124</v>
      </c>
      <c r="DP167" s="6"/>
      <c r="DQ167" s="4" t="s">
        <v>125</v>
      </c>
    </row>
    <row r="168" spans="1:121" ht="20" customHeight="1" x14ac:dyDescent="0.15">
      <c r="A168" s="5">
        <v>2018</v>
      </c>
      <c r="B168" s="3" t="s">
        <v>291</v>
      </c>
      <c r="C168" s="4" t="str">
        <f t="shared" ref="C168:C1114" si="163">"2140012"</f>
        <v>2140012</v>
      </c>
      <c r="D168" s="4" t="s">
        <v>122</v>
      </c>
      <c r="E168" s="4" t="str">
        <f t="shared" si="1"/>
        <v>0000000</v>
      </c>
      <c r="F168" s="4" t="s">
        <v>122</v>
      </c>
      <c r="G168" s="4" t="s">
        <v>122</v>
      </c>
      <c r="H168" s="4" t="s">
        <v>122</v>
      </c>
      <c r="I168" s="6"/>
      <c r="J168" s="4" t="s">
        <v>123</v>
      </c>
      <c r="K168" s="7">
        <v>1018.3070719999999</v>
      </c>
      <c r="L168" s="7">
        <v>1350</v>
      </c>
      <c r="M168" s="7">
        <v>75.430153000000004</v>
      </c>
      <c r="N168" s="4" t="s">
        <v>124</v>
      </c>
      <c r="O168" s="7">
        <v>1</v>
      </c>
      <c r="P168" s="7">
        <v>69.382475999999997</v>
      </c>
      <c r="Q168" s="7">
        <v>46.254984</v>
      </c>
      <c r="R168" s="7">
        <v>50</v>
      </c>
      <c r="S168" s="7">
        <v>59.296489000000001</v>
      </c>
      <c r="T168" s="7">
        <v>75</v>
      </c>
      <c r="U168" s="7">
        <v>39.530993000000002</v>
      </c>
      <c r="V168" s="7">
        <v>50</v>
      </c>
      <c r="W168" s="7">
        <v>63.542997999999997</v>
      </c>
      <c r="X168" s="7">
        <v>42.361998999999997</v>
      </c>
      <c r="Y168" s="7">
        <v>50</v>
      </c>
      <c r="Z168" s="7">
        <v>69.377669999999995</v>
      </c>
      <c r="AA168" s="7">
        <v>53.22484</v>
      </c>
      <c r="AB168" s="7">
        <v>35.483226999999999</v>
      </c>
      <c r="AC168" s="7">
        <v>50</v>
      </c>
      <c r="AD168" s="7">
        <v>65.119103999999993</v>
      </c>
      <c r="AE168" s="7">
        <v>43.412736000000002</v>
      </c>
      <c r="AF168" s="7">
        <v>50</v>
      </c>
      <c r="AG168" s="7">
        <v>55.671861999999997</v>
      </c>
      <c r="AH168" s="7">
        <v>70.258403000000001</v>
      </c>
      <c r="AI168" s="7">
        <v>37.114575000000002</v>
      </c>
      <c r="AJ168" s="7">
        <v>50</v>
      </c>
      <c r="AK168" s="7">
        <v>15.7</v>
      </c>
      <c r="AL168" s="7">
        <v>16.149999999999999</v>
      </c>
      <c r="AM168" s="7">
        <v>14.58</v>
      </c>
      <c r="AN168" s="7">
        <v>0.55022099999999996</v>
      </c>
      <c r="AO168" s="7">
        <v>55.022069999999999</v>
      </c>
      <c r="AP168" s="7">
        <v>100</v>
      </c>
      <c r="AQ168" s="7">
        <v>0.66401500000000002</v>
      </c>
      <c r="AR168" s="7">
        <v>66.401494</v>
      </c>
      <c r="AS168" s="7">
        <v>100</v>
      </c>
      <c r="AT168" s="7">
        <v>0.50516700000000003</v>
      </c>
      <c r="AU168" s="7">
        <v>0.57532399999999995</v>
      </c>
      <c r="AV168" s="7">
        <v>50.516731</v>
      </c>
      <c r="AW168" s="7">
        <v>100</v>
      </c>
      <c r="AX168" s="7">
        <v>0.60385699999999998</v>
      </c>
      <c r="AY168" s="7">
        <v>0.69753399999999999</v>
      </c>
      <c r="AZ168" s="7">
        <v>60.385652999999998</v>
      </c>
      <c r="BA168" s="7">
        <v>100</v>
      </c>
      <c r="BB168" s="4" t="s">
        <v>124</v>
      </c>
      <c r="BC168" s="4" t="s">
        <v>124</v>
      </c>
      <c r="BD168" s="4" t="s">
        <v>124</v>
      </c>
      <c r="BE168" s="4" t="s">
        <v>124</v>
      </c>
      <c r="BF168" s="4" t="s">
        <v>124</v>
      </c>
      <c r="BG168" s="4" t="s">
        <v>124</v>
      </c>
      <c r="BH168" s="7">
        <v>0</v>
      </c>
      <c r="BI168" s="7">
        <v>0.99007400000000001</v>
      </c>
      <c r="BJ168" s="7">
        <v>0.98639500000000002</v>
      </c>
      <c r="BK168" s="7">
        <v>0.99218799999999996</v>
      </c>
      <c r="BL168" s="7">
        <v>0.99007400000000001</v>
      </c>
      <c r="BM168" s="7">
        <v>0.98639500000000002</v>
      </c>
      <c r="BN168" s="7">
        <v>0.99218799999999996</v>
      </c>
      <c r="BO168" s="7">
        <v>0.98232299999999995</v>
      </c>
      <c r="BP168" s="7">
        <v>0.971831</v>
      </c>
      <c r="BQ168" s="7">
        <v>0.98818899999999998</v>
      </c>
      <c r="BR168" s="7">
        <v>7.9044000000000003E-2</v>
      </c>
      <c r="BS168" s="7">
        <v>44.191175999999999</v>
      </c>
      <c r="BT168" s="7">
        <v>50</v>
      </c>
      <c r="BU168" s="7">
        <v>0.15503900000000001</v>
      </c>
      <c r="BV168" s="7">
        <v>28.992248</v>
      </c>
      <c r="BW168" s="7">
        <v>50</v>
      </c>
      <c r="BX168" s="7">
        <v>0.88304099999999996</v>
      </c>
      <c r="BY168" s="7">
        <v>50</v>
      </c>
      <c r="BZ168" s="7">
        <v>50</v>
      </c>
      <c r="CA168" s="7">
        <v>0.52046800000000004</v>
      </c>
      <c r="CB168" s="7">
        <v>34.697856000000002</v>
      </c>
      <c r="CC168" s="7">
        <v>50</v>
      </c>
      <c r="CD168" s="7">
        <v>0.98954699999999995</v>
      </c>
      <c r="CE168" s="7">
        <v>50</v>
      </c>
      <c r="CF168" s="7">
        <v>50</v>
      </c>
      <c r="CG168" s="7">
        <v>0.97382199999999997</v>
      </c>
      <c r="CH168" s="7">
        <v>100</v>
      </c>
      <c r="CI168" s="7">
        <v>100</v>
      </c>
      <c r="CJ168" s="7">
        <v>0</v>
      </c>
      <c r="CK168" s="7">
        <v>0.91666700000000001</v>
      </c>
      <c r="CL168" s="7">
        <v>97.51773</v>
      </c>
      <c r="CM168" s="7">
        <v>100</v>
      </c>
      <c r="CN168" s="7">
        <v>0.78900000000000003</v>
      </c>
      <c r="CO168" s="7">
        <v>100</v>
      </c>
      <c r="CP168" s="7">
        <v>100</v>
      </c>
      <c r="CQ168" s="7">
        <v>0.46861000000000003</v>
      </c>
      <c r="CR168" s="7">
        <v>0.88316799999999995</v>
      </c>
      <c r="CS168" s="7">
        <v>15.620329</v>
      </c>
      <c r="CT168" s="7">
        <v>50</v>
      </c>
      <c r="CU168" s="7">
        <v>0.249639</v>
      </c>
      <c r="CV168" s="7">
        <v>20.803270999999999</v>
      </c>
      <c r="CW168" s="7">
        <v>50</v>
      </c>
      <c r="CX168" s="7">
        <v>0.91666700000000001</v>
      </c>
      <c r="CY168" s="7">
        <v>0.94</v>
      </c>
      <c r="CZ168" s="7">
        <v>2.3333E-2</v>
      </c>
      <c r="DA168" s="7">
        <v>15.389535</v>
      </c>
      <c r="DB168" s="7">
        <v>17.608319000000002</v>
      </c>
      <c r="DC168" s="7">
        <v>16.064022999999999</v>
      </c>
      <c r="DD168" s="7">
        <v>11.115401</v>
      </c>
      <c r="DE168" s="4" t="s">
        <v>124</v>
      </c>
      <c r="DF168" s="6"/>
      <c r="DG168" s="6"/>
      <c r="DH168" s="6"/>
      <c r="DI168" s="6"/>
      <c r="DJ168" s="4" t="s">
        <v>124</v>
      </c>
      <c r="DK168" s="4" t="s">
        <v>124</v>
      </c>
      <c r="DL168" s="4" t="s">
        <v>124</v>
      </c>
      <c r="DM168" s="4" t="s">
        <v>124</v>
      </c>
      <c r="DN168" s="4" t="s">
        <v>124</v>
      </c>
      <c r="DO168" s="4" t="s">
        <v>124</v>
      </c>
      <c r="DP168" s="6"/>
      <c r="DQ168" s="4" t="s">
        <v>125</v>
      </c>
    </row>
    <row r="169" spans="1:121" ht="20" customHeight="1" x14ac:dyDescent="0.15">
      <c r="A169" s="5">
        <v>2018</v>
      </c>
      <c r="B169" s="3" t="s">
        <v>292</v>
      </c>
      <c r="C169" s="4" t="str">
        <f t="shared" ref="C169:C1119" si="164">"2150012"</f>
        <v>2150012</v>
      </c>
      <c r="D169" s="4" t="s">
        <v>122</v>
      </c>
      <c r="E169" s="4" t="str">
        <f t="shared" si="1"/>
        <v>0000000</v>
      </c>
      <c r="F169" s="4" t="s">
        <v>122</v>
      </c>
      <c r="G169" s="4" t="s">
        <v>122</v>
      </c>
      <c r="H169" s="4" t="s">
        <v>122</v>
      </c>
      <c r="I169" s="6"/>
      <c r="J169" s="4" t="s">
        <v>123</v>
      </c>
      <c r="K169" s="7">
        <v>1213.907702</v>
      </c>
      <c r="L169" s="7">
        <v>1450</v>
      </c>
      <c r="M169" s="7">
        <v>83.717772999999994</v>
      </c>
      <c r="N169" s="4" t="s">
        <v>124</v>
      </c>
      <c r="O169" s="7">
        <v>0</v>
      </c>
      <c r="P169" s="7">
        <v>75.983647000000005</v>
      </c>
      <c r="Q169" s="7">
        <v>50</v>
      </c>
      <c r="R169" s="7">
        <v>50</v>
      </c>
      <c r="S169" s="7">
        <v>65.251956000000007</v>
      </c>
      <c r="T169" s="7">
        <v>75</v>
      </c>
      <c r="U169" s="7">
        <v>43.501303999999998</v>
      </c>
      <c r="V169" s="7">
        <v>50</v>
      </c>
      <c r="W169" s="7">
        <v>74.546899999999994</v>
      </c>
      <c r="X169" s="7">
        <v>49.697932999999999</v>
      </c>
      <c r="Y169" s="7">
        <v>50</v>
      </c>
      <c r="Z169" s="7">
        <v>75</v>
      </c>
      <c r="AA169" s="7">
        <v>62.262264999999999</v>
      </c>
      <c r="AB169" s="7">
        <v>41.508177000000003</v>
      </c>
      <c r="AC169" s="7">
        <v>50</v>
      </c>
      <c r="AD169" s="7">
        <v>72.953469999999996</v>
      </c>
      <c r="AE169" s="7">
        <v>48.635646999999999</v>
      </c>
      <c r="AF169" s="7">
        <v>50</v>
      </c>
      <c r="AG169" s="7">
        <v>62.733806999999999</v>
      </c>
      <c r="AH169" s="7">
        <v>75</v>
      </c>
      <c r="AI169" s="7">
        <v>41.822538000000002</v>
      </c>
      <c r="AJ169" s="7">
        <v>50</v>
      </c>
      <c r="AK169" s="7">
        <v>9.74</v>
      </c>
      <c r="AL169" s="7">
        <v>12.73</v>
      </c>
      <c r="AM169" s="7">
        <v>12.26</v>
      </c>
      <c r="AN169" s="7">
        <v>0.64386699999999997</v>
      </c>
      <c r="AO169" s="7">
        <v>64.38673</v>
      </c>
      <c r="AP169" s="7">
        <v>100</v>
      </c>
      <c r="AQ169" s="7">
        <v>0.69458600000000004</v>
      </c>
      <c r="AR169" s="7">
        <v>69.458601000000002</v>
      </c>
      <c r="AS169" s="7">
        <v>100</v>
      </c>
      <c r="AT169" s="7">
        <v>0.60324100000000003</v>
      </c>
      <c r="AU169" s="7">
        <v>0.65831300000000004</v>
      </c>
      <c r="AV169" s="7">
        <v>60.324145999999999</v>
      </c>
      <c r="AW169" s="7">
        <v>100</v>
      </c>
      <c r="AX169" s="7">
        <v>0.57587100000000002</v>
      </c>
      <c r="AY169" s="7">
        <v>0.73679899999999998</v>
      </c>
      <c r="AZ169" s="7">
        <v>57.587062000000003</v>
      </c>
      <c r="BA169" s="7">
        <v>100</v>
      </c>
      <c r="BB169" s="7">
        <v>0.87087199999999998</v>
      </c>
      <c r="BC169" s="7">
        <v>43.543579999999999</v>
      </c>
      <c r="BD169" s="7">
        <v>50</v>
      </c>
      <c r="BE169" s="7">
        <v>0.80697099999999999</v>
      </c>
      <c r="BF169" s="7">
        <v>40.348545000000001</v>
      </c>
      <c r="BG169" s="7">
        <v>50</v>
      </c>
      <c r="BH169" s="7">
        <v>1</v>
      </c>
      <c r="BI169" s="7">
        <v>0.98260000000000003</v>
      </c>
      <c r="BJ169" s="7">
        <v>0.96133599999999997</v>
      </c>
      <c r="BK169" s="7">
        <v>0.99133599999999999</v>
      </c>
      <c r="BL169" s="7">
        <v>0.981576</v>
      </c>
      <c r="BM169" s="7">
        <v>0.95957800000000004</v>
      </c>
      <c r="BN169" s="7">
        <v>0.99061399999999999</v>
      </c>
      <c r="BO169" s="7">
        <v>0.97760400000000003</v>
      </c>
      <c r="BP169" s="7">
        <v>0.94047599999999998</v>
      </c>
      <c r="BQ169" s="7">
        <v>0.99219999999999997</v>
      </c>
      <c r="BR169" s="7">
        <v>4.1724999999999998E-2</v>
      </c>
      <c r="BS169" s="7">
        <v>50</v>
      </c>
      <c r="BT169" s="7">
        <v>50</v>
      </c>
      <c r="BU169" s="7">
        <v>9.7280000000000005E-2</v>
      </c>
      <c r="BV169" s="7">
        <v>40.543933000000003</v>
      </c>
      <c r="BW169" s="7">
        <v>50</v>
      </c>
      <c r="BX169" s="7">
        <v>0.69860900000000004</v>
      </c>
      <c r="BY169" s="7">
        <v>46.573931000000002</v>
      </c>
      <c r="BZ169" s="7">
        <v>50</v>
      </c>
      <c r="CA169" s="7">
        <v>0.67387900000000001</v>
      </c>
      <c r="CB169" s="7">
        <v>44.925296000000003</v>
      </c>
      <c r="CC169" s="7">
        <v>50</v>
      </c>
      <c r="CD169" s="7">
        <v>0.94909699999999997</v>
      </c>
      <c r="CE169" s="7">
        <v>50</v>
      </c>
      <c r="CF169" s="7">
        <v>50</v>
      </c>
      <c r="CG169" s="7">
        <v>0.94520499999999996</v>
      </c>
      <c r="CH169" s="7">
        <v>100</v>
      </c>
      <c r="CI169" s="7">
        <v>100</v>
      </c>
      <c r="CJ169" s="7">
        <v>0</v>
      </c>
      <c r="CK169" s="7">
        <v>0.89230799999999999</v>
      </c>
      <c r="CL169" s="7">
        <v>94.926349999999999</v>
      </c>
      <c r="CM169" s="7">
        <v>100</v>
      </c>
      <c r="CN169" s="7">
        <v>0.82299999999999995</v>
      </c>
      <c r="CO169" s="7">
        <v>100</v>
      </c>
      <c r="CP169" s="7">
        <v>100</v>
      </c>
      <c r="CQ169" s="7">
        <v>0.49764399999999998</v>
      </c>
      <c r="CR169" s="7">
        <v>0.95758100000000002</v>
      </c>
      <c r="CS169" s="7">
        <v>33.176248999999999</v>
      </c>
      <c r="CT169" s="7">
        <v>50</v>
      </c>
      <c r="CU169" s="7">
        <v>0.51537200000000005</v>
      </c>
      <c r="CV169" s="7">
        <v>42.947681000000003</v>
      </c>
      <c r="CW169" s="7">
        <v>50</v>
      </c>
      <c r="CX169" s="7">
        <v>0.89230799999999999</v>
      </c>
      <c r="CY169" s="7">
        <v>0.94</v>
      </c>
      <c r="CZ169" s="7">
        <v>4.7691999999999998E-2</v>
      </c>
      <c r="DA169" s="7">
        <v>15.389535</v>
      </c>
      <c r="DB169" s="7">
        <v>17.608319000000002</v>
      </c>
      <c r="DC169" s="7">
        <v>16.064022999999999</v>
      </c>
      <c r="DD169" s="7">
        <v>11.115401</v>
      </c>
      <c r="DE169" s="4" t="s">
        <v>124</v>
      </c>
      <c r="DF169" s="6"/>
      <c r="DG169" s="6"/>
      <c r="DH169" s="6"/>
      <c r="DI169" s="6"/>
      <c r="DJ169" s="4" t="s">
        <v>124</v>
      </c>
      <c r="DK169" s="4" t="s">
        <v>124</v>
      </c>
      <c r="DL169" s="4" t="s">
        <v>124</v>
      </c>
      <c r="DM169" s="4" t="s">
        <v>124</v>
      </c>
      <c r="DN169" s="4" t="s">
        <v>124</v>
      </c>
      <c r="DO169" s="4" t="s">
        <v>124</v>
      </c>
      <c r="DP169" s="6"/>
      <c r="DQ169" s="4" t="s">
        <v>125</v>
      </c>
    </row>
    <row r="170" spans="1:121" ht="20" customHeight="1" x14ac:dyDescent="0.15">
      <c r="A170" s="5">
        <v>2018</v>
      </c>
      <c r="B170" s="3" t="s">
        <v>293</v>
      </c>
      <c r="C170" s="4" t="str">
        <f t="shared" ref="C170:C1125" si="165">"2160012"</f>
        <v>2160012</v>
      </c>
      <c r="D170" s="4" t="s">
        <v>122</v>
      </c>
      <c r="E170" s="4" t="str">
        <f t="shared" si="1"/>
        <v>0000000</v>
      </c>
      <c r="F170" s="4" t="s">
        <v>122</v>
      </c>
      <c r="G170" s="4" t="s">
        <v>122</v>
      </c>
      <c r="H170" s="4" t="s">
        <v>122</v>
      </c>
      <c r="I170" s="6"/>
      <c r="J170" s="4" t="s">
        <v>123</v>
      </c>
      <c r="K170" s="7">
        <v>1167.9519399999999</v>
      </c>
      <c r="L170" s="7">
        <v>1450</v>
      </c>
      <c r="M170" s="7">
        <v>80.548410000000004</v>
      </c>
      <c r="N170" s="4" t="s">
        <v>124</v>
      </c>
      <c r="O170" s="7">
        <v>1</v>
      </c>
      <c r="P170" s="7">
        <v>74.266540000000006</v>
      </c>
      <c r="Q170" s="7">
        <v>49.511026999999999</v>
      </c>
      <c r="R170" s="7">
        <v>50</v>
      </c>
      <c r="S170" s="7">
        <v>62.113781000000003</v>
      </c>
      <c r="T170" s="7">
        <v>75</v>
      </c>
      <c r="U170" s="7">
        <v>41.409187000000003</v>
      </c>
      <c r="V170" s="7">
        <v>50</v>
      </c>
      <c r="W170" s="7">
        <v>69.878550000000004</v>
      </c>
      <c r="X170" s="7">
        <v>46.585700000000003</v>
      </c>
      <c r="Y170" s="7">
        <v>50</v>
      </c>
      <c r="Z170" s="7">
        <v>75</v>
      </c>
      <c r="AA170" s="7">
        <v>56.557940000000002</v>
      </c>
      <c r="AB170" s="7">
        <v>37.705292999999998</v>
      </c>
      <c r="AC170" s="7">
        <v>50</v>
      </c>
      <c r="AD170" s="7">
        <v>66.558847999999998</v>
      </c>
      <c r="AE170" s="7">
        <v>44.372565000000002</v>
      </c>
      <c r="AF170" s="7">
        <v>50</v>
      </c>
      <c r="AG170" s="7">
        <v>56.837733</v>
      </c>
      <c r="AH170" s="7">
        <v>70.584210999999996</v>
      </c>
      <c r="AI170" s="7">
        <v>37.891821999999998</v>
      </c>
      <c r="AJ170" s="7">
        <v>50</v>
      </c>
      <c r="AK170" s="7">
        <v>12.88</v>
      </c>
      <c r="AL170" s="7">
        <v>18.440000000000001</v>
      </c>
      <c r="AM170" s="7">
        <v>13.74</v>
      </c>
      <c r="AN170" s="7">
        <v>0.60900399999999999</v>
      </c>
      <c r="AO170" s="7">
        <v>60.900390000000002</v>
      </c>
      <c r="AP170" s="7">
        <v>100</v>
      </c>
      <c r="AQ170" s="7">
        <v>0.62701200000000001</v>
      </c>
      <c r="AR170" s="7">
        <v>62.701180999999998</v>
      </c>
      <c r="AS170" s="7">
        <v>100</v>
      </c>
      <c r="AT170" s="7">
        <v>0.56892299999999996</v>
      </c>
      <c r="AU170" s="7">
        <v>0.62478</v>
      </c>
      <c r="AV170" s="7">
        <v>56.892325999999997</v>
      </c>
      <c r="AW170" s="7">
        <v>100</v>
      </c>
      <c r="AX170" s="7">
        <v>0.50462700000000005</v>
      </c>
      <c r="AY170" s="7">
        <v>0.67518400000000001</v>
      </c>
      <c r="AZ170" s="7">
        <v>50.462732000000003</v>
      </c>
      <c r="BA170" s="7">
        <v>100</v>
      </c>
      <c r="BB170" s="7">
        <v>0.69331100000000001</v>
      </c>
      <c r="BC170" s="7">
        <v>34.665573000000002</v>
      </c>
      <c r="BD170" s="7">
        <v>50</v>
      </c>
      <c r="BE170" s="7">
        <v>0.56937599999999999</v>
      </c>
      <c r="BF170" s="7">
        <v>28.468819</v>
      </c>
      <c r="BG170" s="7">
        <v>50</v>
      </c>
      <c r="BH170" s="7">
        <v>0</v>
      </c>
      <c r="BI170" s="7">
        <v>0.98968199999999995</v>
      </c>
      <c r="BJ170" s="7">
        <v>0.97988500000000001</v>
      </c>
      <c r="BK170" s="7">
        <v>0.993865</v>
      </c>
      <c r="BL170" s="7">
        <v>0.98969099999999999</v>
      </c>
      <c r="BM170" s="7">
        <v>0.97994300000000001</v>
      </c>
      <c r="BN170" s="7">
        <v>0.993865</v>
      </c>
      <c r="BO170" s="7">
        <v>0.99032900000000001</v>
      </c>
      <c r="BP170" s="7">
        <v>0.97499999999999998</v>
      </c>
      <c r="BQ170" s="7">
        <v>0.99719899999999995</v>
      </c>
      <c r="BR170" s="7">
        <v>3.7267000000000002E-2</v>
      </c>
      <c r="BS170" s="7">
        <v>50</v>
      </c>
      <c r="BT170" s="7">
        <v>50</v>
      </c>
      <c r="BU170" s="7">
        <v>7.6547000000000004E-2</v>
      </c>
      <c r="BV170" s="7">
        <v>44.690553999999999</v>
      </c>
      <c r="BW170" s="7">
        <v>50</v>
      </c>
      <c r="BX170" s="7">
        <v>0.74712599999999996</v>
      </c>
      <c r="BY170" s="7">
        <v>49.808428999999997</v>
      </c>
      <c r="BZ170" s="7">
        <v>50</v>
      </c>
      <c r="CA170" s="7">
        <v>0.58908000000000005</v>
      </c>
      <c r="CB170" s="7">
        <v>39.272030999999998</v>
      </c>
      <c r="CC170" s="7">
        <v>50</v>
      </c>
      <c r="CD170" s="7">
        <v>0.96587900000000004</v>
      </c>
      <c r="CE170" s="7">
        <v>50</v>
      </c>
      <c r="CF170" s="7">
        <v>50</v>
      </c>
      <c r="CG170" s="7">
        <v>0.97075999999999996</v>
      </c>
      <c r="CH170" s="7">
        <v>100</v>
      </c>
      <c r="CI170" s="7">
        <v>100</v>
      </c>
      <c r="CJ170" s="7">
        <v>0</v>
      </c>
      <c r="CK170" s="7">
        <v>0.91228100000000001</v>
      </c>
      <c r="CL170" s="7">
        <v>97.051137999999995</v>
      </c>
      <c r="CM170" s="7">
        <v>100</v>
      </c>
      <c r="CN170" s="7">
        <v>0.751</v>
      </c>
      <c r="CO170" s="7">
        <v>100</v>
      </c>
      <c r="CP170" s="7">
        <v>100</v>
      </c>
      <c r="CQ170" s="7">
        <v>0.60064399999999996</v>
      </c>
      <c r="CR170" s="7">
        <v>0.93524099999999999</v>
      </c>
      <c r="CS170" s="7">
        <v>40.042940999999999</v>
      </c>
      <c r="CT170" s="7">
        <v>50</v>
      </c>
      <c r="CU170" s="7">
        <v>0.54624300000000003</v>
      </c>
      <c r="CV170" s="7">
        <v>45.520231000000003</v>
      </c>
      <c r="CW170" s="7">
        <v>50</v>
      </c>
      <c r="CX170" s="7">
        <v>0.91228100000000001</v>
      </c>
      <c r="CY170" s="7">
        <v>0.94</v>
      </c>
      <c r="CZ170" s="7">
        <v>2.7719000000000001E-2</v>
      </c>
      <c r="DA170" s="7">
        <v>15.389535</v>
      </c>
      <c r="DB170" s="7">
        <v>17.608319000000002</v>
      </c>
      <c r="DC170" s="7">
        <v>16.064022999999999</v>
      </c>
      <c r="DD170" s="7">
        <v>11.115401</v>
      </c>
      <c r="DE170" s="4" t="s">
        <v>124</v>
      </c>
      <c r="DF170" s="6"/>
      <c r="DG170" s="6"/>
      <c r="DH170" s="6"/>
      <c r="DI170" s="6"/>
      <c r="DJ170" s="4" t="s">
        <v>124</v>
      </c>
      <c r="DK170" s="4" t="s">
        <v>124</v>
      </c>
      <c r="DL170" s="4" t="s">
        <v>124</v>
      </c>
      <c r="DM170" s="4" t="s">
        <v>124</v>
      </c>
      <c r="DN170" s="4" t="s">
        <v>124</v>
      </c>
      <c r="DO170" s="4" t="s">
        <v>124</v>
      </c>
      <c r="DP170" s="6"/>
      <c r="DQ170" s="4" t="s">
        <v>125</v>
      </c>
    </row>
    <row r="171" spans="1:121" ht="20" customHeight="1" x14ac:dyDescent="0.15">
      <c r="A171" s="5">
        <v>2018</v>
      </c>
      <c r="B171" s="3" t="s">
        <v>294</v>
      </c>
      <c r="C171" s="4" t="str">
        <f t="shared" ref="C171:C1129" si="166">"2170012"</f>
        <v>2170012</v>
      </c>
      <c r="D171" s="4" t="s">
        <v>122</v>
      </c>
      <c r="E171" s="4" t="str">
        <f t="shared" si="1"/>
        <v>0000000</v>
      </c>
      <c r="F171" s="4" t="s">
        <v>122</v>
      </c>
      <c r="G171" s="4" t="s">
        <v>122</v>
      </c>
      <c r="H171" s="4" t="s">
        <v>122</v>
      </c>
      <c r="I171" s="6"/>
      <c r="J171" s="4" t="s">
        <v>123</v>
      </c>
      <c r="K171" s="7">
        <v>1107.965776</v>
      </c>
      <c r="L171" s="7">
        <v>1350</v>
      </c>
      <c r="M171" s="7">
        <v>82.071539000000001</v>
      </c>
      <c r="N171" s="4" t="s">
        <v>124</v>
      </c>
      <c r="O171" s="7">
        <v>1</v>
      </c>
      <c r="P171" s="7">
        <v>75.048669000000004</v>
      </c>
      <c r="Q171" s="7">
        <v>50</v>
      </c>
      <c r="R171" s="7">
        <v>50</v>
      </c>
      <c r="S171" s="7">
        <v>62.743385000000004</v>
      </c>
      <c r="T171" s="7">
        <v>75</v>
      </c>
      <c r="U171" s="7">
        <v>41.828923000000003</v>
      </c>
      <c r="V171" s="7">
        <v>50</v>
      </c>
      <c r="W171" s="7">
        <v>70.170822000000001</v>
      </c>
      <c r="X171" s="7">
        <v>46.780548000000003</v>
      </c>
      <c r="Y171" s="7">
        <v>50</v>
      </c>
      <c r="Z171" s="7">
        <v>75</v>
      </c>
      <c r="AA171" s="7">
        <v>56.432780000000001</v>
      </c>
      <c r="AB171" s="7">
        <v>37.621853000000002</v>
      </c>
      <c r="AC171" s="7">
        <v>50</v>
      </c>
      <c r="AD171" s="7">
        <v>73.085130000000007</v>
      </c>
      <c r="AE171" s="7">
        <v>48.723419999999997</v>
      </c>
      <c r="AF171" s="7">
        <v>50</v>
      </c>
      <c r="AG171" s="7">
        <v>60.902465999999997</v>
      </c>
      <c r="AH171" s="7">
        <v>75</v>
      </c>
      <c r="AI171" s="7">
        <v>40.601644</v>
      </c>
      <c r="AJ171" s="7">
        <v>50</v>
      </c>
      <c r="AK171" s="7">
        <v>12.25</v>
      </c>
      <c r="AL171" s="7">
        <v>18.559999999999999</v>
      </c>
      <c r="AM171" s="7">
        <v>14.09</v>
      </c>
      <c r="AN171" s="7">
        <v>0.61708099999999999</v>
      </c>
      <c r="AO171" s="7">
        <v>61.708083999999999</v>
      </c>
      <c r="AP171" s="7">
        <v>100</v>
      </c>
      <c r="AQ171" s="7">
        <v>0.60013099999999997</v>
      </c>
      <c r="AR171" s="7">
        <v>60.013109</v>
      </c>
      <c r="AS171" s="7">
        <v>100</v>
      </c>
      <c r="AT171" s="7">
        <v>0.55594200000000005</v>
      </c>
      <c r="AU171" s="7">
        <v>0.63932299999999997</v>
      </c>
      <c r="AV171" s="7">
        <v>55.594237</v>
      </c>
      <c r="AW171" s="7">
        <v>100</v>
      </c>
      <c r="AX171" s="7">
        <v>0.45214700000000002</v>
      </c>
      <c r="AY171" s="7">
        <v>0.65354100000000004</v>
      </c>
      <c r="AZ171" s="7">
        <v>45.214668000000003</v>
      </c>
      <c r="BA171" s="7">
        <v>100</v>
      </c>
      <c r="BB171" s="4" t="s">
        <v>124</v>
      </c>
      <c r="BC171" s="4" t="s">
        <v>124</v>
      </c>
      <c r="BD171" s="4" t="s">
        <v>124</v>
      </c>
      <c r="BE171" s="4" t="s">
        <v>124</v>
      </c>
      <c r="BF171" s="4" t="s">
        <v>124</v>
      </c>
      <c r="BG171" s="4" t="s">
        <v>124</v>
      </c>
      <c r="BH171" s="7">
        <v>0</v>
      </c>
      <c r="BI171" s="7">
        <v>0.98447499999999999</v>
      </c>
      <c r="BJ171" s="7">
        <v>0.97658900000000004</v>
      </c>
      <c r="BK171" s="7">
        <v>0.98743700000000001</v>
      </c>
      <c r="BL171" s="7">
        <v>0.98264799999999997</v>
      </c>
      <c r="BM171" s="7">
        <v>0.96989999999999998</v>
      </c>
      <c r="BN171" s="7">
        <v>0.98743700000000001</v>
      </c>
      <c r="BO171" s="7">
        <v>0.99015699999999995</v>
      </c>
      <c r="BP171" s="7">
        <v>0.984962</v>
      </c>
      <c r="BQ171" s="7">
        <v>0.99199999999999999</v>
      </c>
      <c r="BR171" s="7">
        <v>4.2509999999999999E-2</v>
      </c>
      <c r="BS171" s="7">
        <v>50</v>
      </c>
      <c r="BT171" s="7">
        <v>50</v>
      </c>
      <c r="BU171" s="7">
        <v>8.9668999999999999E-2</v>
      </c>
      <c r="BV171" s="7">
        <v>42.066276999999999</v>
      </c>
      <c r="BW171" s="7">
        <v>50</v>
      </c>
      <c r="BX171" s="7">
        <v>0.91076900000000005</v>
      </c>
      <c r="BY171" s="7">
        <v>50</v>
      </c>
      <c r="BZ171" s="7">
        <v>50</v>
      </c>
      <c r="CA171" s="7">
        <v>0.584615</v>
      </c>
      <c r="CB171" s="7">
        <v>38.974359</v>
      </c>
      <c r="CC171" s="7">
        <v>50</v>
      </c>
      <c r="CD171" s="7">
        <v>0.98951</v>
      </c>
      <c r="CE171" s="7">
        <v>50</v>
      </c>
      <c r="CF171" s="7">
        <v>50</v>
      </c>
      <c r="CG171" s="7">
        <v>0.94642899999999996</v>
      </c>
      <c r="CH171" s="7">
        <v>100</v>
      </c>
      <c r="CI171" s="7">
        <v>100</v>
      </c>
      <c r="CJ171" s="7">
        <v>0</v>
      </c>
      <c r="CK171" s="7">
        <v>0.92105300000000001</v>
      </c>
      <c r="CL171" s="7">
        <v>97.984323000000003</v>
      </c>
      <c r="CM171" s="7">
        <v>100</v>
      </c>
      <c r="CN171" s="7">
        <v>0.8</v>
      </c>
      <c r="CO171" s="7">
        <v>100</v>
      </c>
      <c r="CP171" s="7">
        <v>100</v>
      </c>
      <c r="CQ171" s="7">
        <v>0.72139299999999995</v>
      </c>
      <c r="CR171" s="7">
        <v>0.91087600000000002</v>
      </c>
      <c r="CS171" s="7">
        <v>48.092869</v>
      </c>
      <c r="CT171" s="7">
        <v>50</v>
      </c>
      <c r="CU171" s="7">
        <v>0.51313799999999998</v>
      </c>
      <c r="CV171" s="7">
        <v>42.761462999999999</v>
      </c>
      <c r="CW171" s="7">
        <v>50</v>
      </c>
      <c r="CX171" s="7">
        <v>0.92105300000000001</v>
      </c>
      <c r="CY171" s="7">
        <v>0.94</v>
      </c>
      <c r="CZ171" s="7">
        <v>1.8946999999999999E-2</v>
      </c>
      <c r="DA171" s="7">
        <v>15.389535</v>
      </c>
      <c r="DB171" s="7">
        <v>17.608319000000002</v>
      </c>
      <c r="DC171" s="7">
        <v>16.064022999999999</v>
      </c>
      <c r="DD171" s="7">
        <v>11.115401</v>
      </c>
      <c r="DE171" s="4" t="s">
        <v>124</v>
      </c>
      <c r="DF171" s="6"/>
      <c r="DG171" s="6"/>
      <c r="DH171" s="6"/>
      <c r="DI171" s="6"/>
      <c r="DJ171" s="4" t="s">
        <v>124</v>
      </c>
      <c r="DK171" s="4" t="s">
        <v>124</v>
      </c>
      <c r="DL171" s="4" t="s">
        <v>124</v>
      </c>
      <c r="DM171" s="4" t="s">
        <v>124</v>
      </c>
      <c r="DN171" s="4" t="s">
        <v>124</v>
      </c>
      <c r="DO171" s="4" t="s">
        <v>124</v>
      </c>
      <c r="DP171" s="6"/>
      <c r="DQ171" s="4" t="s">
        <v>125</v>
      </c>
    </row>
    <row r="172" spans="1:121" ht="20" customHeight="1" x14ac:dyDescent="0.15">
      <c r="A172" s="5">
        <v>2018</v>
      </c>
      <c r="B172" s="3" t="s">
        <v>295</v>
      </c>
      <c r="C172" s="4" t="str">
        <f t="shared" ref="C172:C1134" si="167">"2180012"</f>
        <v>2180012</v>
      </c>
      <c r="D172" s="4" t="s">
        <v>122</v>
      </c>
      <c r="E172" s="4" t="str">
        <f t="shared" si="1"/>
        <v>0000000</v>
      </c>
      <c r="F172" s="4" t="s">
        <v>122</v>
      </c>
      <c r="G172" s="4" t="s">
        <v>122</v>
      </c>
      <c r="H172" s="4" t="s">
        <v>122</v>
      </c>
      <c r="I172" s="6"/>
      <c r="J172" s="4" t="s">
        <v>123</v>
      </c>
      <c r="K172" s="7">
        <v>1082.9327960000001</v>
      </c>
      <c r="L172" s="7">
        <v>1250</v>
      </c>
      <c r="M172" s="7">
        <v>86.634624000000002</v>
      </c>
      <c r="N172" s="4" t="s">
        <v>124</v>
      </c>
      <c r="O172" s="7">
        <v>0</v>
      </c>
      <c r="P172" s="7">
        <v>79.987701999999999</v>
      </c>
      <c r="Q172" s="7">
        <v>50</v>
      </c>
      <c r="R172" s="7">
        <v>50</v>
      </c>
      <c r="S172" s="7">
        <v>70.515998999999994</v>
      </c>
      <c r="T172" s="7">
        <v>75</v>
      </c>
      <c r="U172" s="7">
        <v>47.010666000000001</v>
      </c>
      <c r="V172" s="7">
        <v>50</v>
      </c>
      <c r="W172" s="7">
        <v>78.108698000000004</v>
      </c>
      <c r="X172" s="7">
        <v>50</v>
      </c>
      <c r="Y172" s="7">
        <v>50</v>
      </c>
      <c r="Z172" s="7">
        <v>75</v>
      </c>
      <c r="AA172" s="7">
        <v>68.612109000000004</v>
      </c>
      <c r="AB172" s="7">
        <v>45.741405999999998</v>
      </c>
      <c r="AC172" s="7">
        <v>50</v>
      </c>
      <c r="AD172" s="7">
        <v>78.096221</v>
      </c>
      <c r="AE172" s="7">
        <v>50</v>
      </c>
      <c r="AF172" s="7">
        <v>50</v>
      </c>
      <c r="AG172" s="7">
        <v>68.458046999999993</v>
      </c>
      <c r="AH172" s="7">
        <v>75</v>
      </c>
      <c r="AI172" s="7">
        <v>45.638697999999998</v>
      </c>
      <c r="AJ172" s="7">
        <v>50</v>
      </c>
      <c r="AK172" s="7">
        <v>4.4800000000000004</v>
      </c>
      <c r="AL172" s="7">
        <v>6.38</v>
      </c>
      <c r="AM172" s="7">
        <v>6.54</v>
      </c>
      <c r="AN172" s="7">
        <v>0.67359000000000002</v>
      </c>
      <c r="AO172" s="7">
        <v>67.359026999999998</v>
      </c>
      <c r="AP172" s="7">
        <v>100</v>
      </c>
      <c r="AQ172" s="7">
        <v>0.72975800000000002</v>
      </c>
      <c r="AR172" s="7">
        <v>72.975759999999994</v>
      </c>
      <c r="AS172" s="7">
        <v>100</v>
      </c>
      <c r="AT172" s="7">
        <v>0.61881799999999998</v>
      </c>
      <c r="AU172" s="7">
        <v>0.697743</v>
      </c>
      <c r="AV172" s="7">
        <v>61.881788</v>
      </c>
      <c r="AW172" s="7">
        <v>100</v>
      </c>
      <c r="AX172" s="7">
        <v>0.66983800000000004</v>
      </c>
      <c r="AY172" s="7">
        <v>0.75606399999999996</v>
      </c>
      <c r="AZ172" s="7">
        <v>66.983784</v>
      </c>
      <c r="BA172" s="7">
        <v>100</v>
      </c>
      <c r="BB172" s="4" t="s">
        <v>124</v>
      </c>
      <c r="BC172" s="4" t="s">
        <v>124</v>
      </c>
      <c r="BD172" s="4" t="s">
        <v>124</v>
      </c>
      <c r="BE172" s="4" t="s">
        <v>124</v>
      </c>
      <c r="BF172" s="4" t="s">
        <v>124</v>
      </c>
      <c r="BG172" s="4" t="s">
        <v>124</v>
      </c>
      <c r="BH172" s="7">
        <v>0</v>
      </c>
      <c r="BI172" s="7">
        <v>0.995502</v>
      </c>
      <c r="BJ172" s="7">
        <v>0.99029100000000003</v>
      </c>
      <c r="BK172" s="7">
        <v>0.99783100000000002</v>
      </c>
      <c r="BL172" s="7">
        <v>0.995502</v>
      </c>
      <c r="BM172" s="7">
        <v>0.99029100000000003</v>
      </c>
      <c r="BN172" s="7">
        <v>0.99783100000000002</v>
      </c>
      <c r="BO172" s="7">
        <v>0.99047600000000002</v>
      </c>
      <c r="BP172" s="7">
        <v>0.98780500000000004</v>
      </c>
      <c r="BQ172" s="7">
        <v>0.99141599999999996</v>
      </c>
      <c r="BR172" s="7">
        <v>5.4559999999999997E-2</v>
      </c>
      <c r="BS172" s="7">
        <v>49.087947999999997</v>
      </c>
      <c r="BT172" s="7">
        <v>50</v>
      </c>
      <c r="BU172" s="7">
        <v>9.7059000000000006E-2</v>
      </c>
      <c r="BV172" s="7">
        <v>40.588234999999997</v>
      </c>
      <c r="BW172" s="7">
        <v>50</v>
      </c>
      <c r="BX172" s="7">
        <v>0.94693899999999998</v>
      </c>
      <c r="BY172" s="7">
        <v>50</v>
      </c>
      <c r="BZ172" s="7">
        <v>50</v>
      </c>
      <c r="CA172" s="7">
        <v>0.74693900000000002</v>
      </c>
      <c r="CB172" s="7">
        <v>49.795918</v>
      </c>
      <c r="CC172" s="7">
        <v>50</v>
      </c>
      <c r="CD172" s="7">
        <v>0.96281000000000005</v>
      </c>
      <c r="CE172" s="7">
        <v>50</v>
      </c>
      <c r="CF172" s="7">
        <v>50</v>
      </c>
      <c r="CG172" s="7">
        <v>0.95762700000000001</v>
      </c>
      <c r="CH172" s="7">
        <v>100</v>
      </c>
      <c r="CI172" s="7">
        <v>100</v>
      </c>
      <c r="CJ172" s="7">
        <v>0</v>
      </c>
      <c r="CK172" s="4" t="s">
        <v>124</v>
      </c>
      <c r="CL172" s="4" t="s">
        <v>124</v>
      </c>
      <c r="CM172" s="4" t="s">
        <v>124</v>
      </c>
      <c r="CN172" s="7">
        <v>0.81899999999999995</v>
      </c>
      <c r="CO172" s="7">
        <v>100</v>
      </c>
      <c r="CP172" s="7">
        <v>100</v>
      </c>
      <c r="CQ172" s="7">
        <v>0.53804300000000005</v>
      </c>
      <c r="CR172" s="7">
        <v>0.92929300000000004</v>
      </c>
      <c r="CS172" s="7">
        <v>35.869565000000001</v>
      </c>
      <c r="CT172" s="7">
        <v>50</v>
      </c>
      <c r="CU172" s="7">
        <v>0.60950400000000005</v>
      </c>
      <c r="CV172" s="7">
        <v>50</v>
      </c>
      <c r="CW172" s="7">
        <v>50</v>
      </c>
      <c r="CX172" s="4" t="s">
        <v>124</v>
      </c>
      <c r="CY172" s="4" t="s">
        <v>124</v>
      </c>
      <c r="CZ172" s="4" t="s">
        <v>124</v>
      </c>
      <c r="DA172" s="7">
        <v>15.389535</v>
      </c>
      <c r="DB172" s="7">
        <v>17.608319000000002</v>
      </c>
      <c r="DC172" s="7">
        <v>16.064022999999999</v>
      </c>
      <c r="DD172" s="7">
        <v>11.115401</v>
      </c>
      <c r="DE172" s="4" t="s">
        <v>124</v>
      </c>
      <c r="DF172" s="6"/>
      <c r="DG172" s="6"/>
      <c r="DH172" s="6"/>
      <c r="DI172" s="6"/>
      <c r="DJ172" s="4" t="s">
        <v>124</v>
      </c>
      <c r="DK172" s="4" t="s">
        <v>124</v>
      </c>
      <c r="DL172" s="4" t="s">
        <v>124</v>
      </c>
      <c r="DM172" s="4" t="s">
        <v>124</v>
      </c>
      <c r="DN172" s="4" t="s">
        <v>124</v>
      </c>
      <c r="DO172" s="4" t="s">
        <v>124</v>
      </c>
      <c r="DP172" s="6"/>
      <c r="DQ172" s="4" t="s">
        <v>125</v>
      </c>
    </row>
    <row r="173" spans="1:121" ht="20" customHeight="1" x14ac:dyDescent="0.15">
      <c r="A173" s="5">
        <v>2018</v>
      </c>
      <c r="B173" s="3" t="s">
        <v>296</v>
      </c>
      <c r="C173" s="4" t="str">
        <f t="shared" ref="C173:C479" si="168">"0600011"</f>
        <v>0600011</v>
      </c>
      <c r="D173" s="4" t="s">
        <v>122</v>
      </c>
      <c r="E173" s="4" t="str">
        <f t="shared" si="1"/>
        <v>0000000</v>
      </c>
      <c r="F173" s="4" t="s">
        <v>122</v>
      </c>
      <c r="G173" s="4" t="s">
        <v>122</v>
      </c>
      <c r="H173" s="4" t="s">
        <v>122</v>
      </c>
      <c r="I173" s="6"/>
      <c r="J173" s="4" t="s">
        <v>123</v>
      </c>
      <c r="K173" s="7">
        <v>1223.5611039999999</v>
      </c>
      <c r="L173" s="7">
        <v>1450</v>
      </c>
      <c r="M173" s="7">
        <v>84.383523999999994</v>
      </c>
      <c r="N173" s="4" t="s">
        <v>124</v>
      </c>
      <c r="O173" s="7">
        <v>0</v>
      </c>
      <c r="P173" s="7">
        <v>79.721267999999995</v>
      </c>
      <c r="Q173" s="7">
        <v>50</v>
      </c>
      <c r="R173" s="7">
        <v>50</v>
      </c>
      <c r="S173" s="7">
        <v>65.107889999999998</v>
      </c>
      <c r="T173" s="7">
        <v>75</v>
      </c>
      <c r="U173" s="7">
        <v>43.405259999999998</v>
      </c>
      <c r="V173" s="7">
        <v>50</v>
      </c>
      <c r="W173" s="7">
        <v>77.784133999999995</v>
      </c>
      <c r="X173" s="7">
        <v>50</v>
      </c>
      <c r="Y173" s="7">
        <v>50</v>
      </c>
      <c r="Z173" s="7">
        <v>75</v>
      </c>
      <c r="AA173" s="7">
        <v>62.616522000000003</v>
      </c>
      <c r="AB173" s="7">
        <v>41.744348000000002</v>
      </c>
      <c r="AC173" s="7">
        <v>50</v>
      </c>
      <c r="AD173" s="7">
        <v>75.991141999999996</v>
      </c>
      <c r="AE173" s="7">
        <v>50</v>
      </c>
      <c r="AF173" s="7">
        <v>50</v>
      </c>
      <c r="AG173" s="7">
        <v>62.451832000000003</v>
      </c>
      <c r="AH173" s="7">
        <v>75</v>
      </c>
      <c r="AI173" s="7">
        <v>41.634554999999999</v>
      </c>
      <c r="AJ173" s="7">
        <v>50</v>
      </c>
      <c r="AK173" s="7">
        <v>9.89</v>
      </c>
      <c r="AL173" s="7">
        <v>12.38</v>
      </c>
      <c r="AM173" s="7">
        <v>12.54</v>
      </c>
      <c r="AN173" s="7">
        <v>0.66503900000000005</v>
      </c>
      <c r="AO173" s="7">
        <v>66.503945000000002</v>
      </c>
      <c r="AP173" s="7">
        <v>100</v>
      </c>
      <c r="AQ173" s="7">
        <v>0.75767300000000004</v>
      </c>
      <c r="AR173" s="7">
        <v>75.767318000000003</v>
      </c>
      <c r="AS173" s="7">
        <v>100</v>
      </c>
      <c r="AT173" s="7">
        <v>0.54138299999999995</v>
      </c>
      <c r="AU173" s="7">
        <v>0.69947199999999998</v>
      </c>
      <c r="AV173" s="7">
        <v>54.138347000000003</v>
      </c>
      <c r="AW173" s="7">
        <v>100</v>
      </c>
      <c r="AX173" s="7">
        <v>0.67375399999999996</v>
      </c>
      <c r="AY173" s="7">
        <v>0.78106500000000001</v>
      </c>
      <c r="AZ173" s="7">
        <v>67.375377</v>
      </c>
      <c r="BA173" s="7">
        <v>100</v>
      </c>
      <c r="BB173" s="7">
        <v>0.61768000000000001</v>
      </c>
      <c r="BC173" s="7">
        <v>30.884015000000002</v>
      </c>
      <c r="BD173" s="7">
        <v>50</v>
      </c>
      <c r="BE173" s="7">
        <v>0.592221</v>
      </c>
      <c r="BF173" s="7">
        <v>29.611035000000001</v>
      </c>
      <c r="BG173" s="7">
        <v>50</v>
      </c>
      <c r="BH173" s="7">
        <v>0</v>
      </c>
      <c r="BI173" s="7">
        <v>1</v>
      </c>
      <c r="BJ173" s="7">
        <v>1</v>
      </c>
      <c r="BK173" s="7">
        <v>1</v>
      </c>
      <c r="BL173" s="7">
        <v>1</v>
      </c>
      <c r="BM173" s="7">
        <v>1</v>
      </c>
      <c r="BN173" s="7">
        <v>1</v>
      </c>
      <c r="BO173" s="7">
        <v>1</v>
      </c>
      <c r="BP173" s="7">
        <v>1</v>
      </c>
      <c r="BQ173" s="7">
        <v>1</v>
      </c>
      <c r="BR173" s="7">
        <v>5.6437000000000001E-2</v>
      </c>
      <c r="BS173" s="7">
        <v>48.712629999999997</v>
      </c>
      <c r="BT173" s="7">
        <v>50</v>
      </c>
      <c r="BU173" s="7">
        <v>9.8930000000000004E-2</v>
      </c>
      <c r="BV173" s="7">
        <v>40.213903999999999</v>
      </c>
      <c r="BW173" s="7">
        <v>50</v>
      </c>
      <c r="BX173" s="7">
        <v>0.63814599999999999</v>
      </c>
      <c r="BY173" s="7">
        <v>42.543078000000001</v>
      </c>
      <c r="BZ173" s="7">
        <v>50</v>
      </c>
      <c r="CA173" s="7">
        <v>0.69696999999999998</v>
      </c>
      <c r="CB173" s="7">
        <v>46.464646000000002</v>
      </c>
      <c r="CC173" s="7">
        <v>50</v>
      </c>
      <c r="CD173" s="7">
        <v>0.94291000000000003</v>
      </c>
      <c r="CE173" s="7">
        <v>50</v>
      </c>
      <c r="CF173" s="7">
        <v>50</v>
      </c>
      <c r="CG173" s="7">
        <v>0.96969700000000003</v>
      </c>
      <c r="CH173" s="7">
        <v>100</v>
      </c>
      <c r="CI173" s="7">
        <v>100</v>
      </c>
      <c r="CJ173" s="7">
        <v>0</v>
      </c>
      <c r="CK173" s="7">
        <v>0.88888900000000004</v>
      </c>
      <c r="CL173" s="7">
        <v>94.562647999999996</v>
      </c>
      <c r="CM173" s="7">
        <v>100</v>
      </c>
      <c r="CN173" s="7">
        <v>0.79900000000000004</v>
      </c>
      <c r="CO173" s="7">
        <v>100</v>
      </c>
      <c r="CP173" s="7">
        <v>100</v>
      </c>
      <c r="CQ173" s="7">
        <v>0.75164600000000004</v>
      </c>
      <c r="CR173" s="7">
        <v>0.96812399999999998</v>
      </c>
      <c r="CS173" s="7">
        <v>50</v>
      </c>
      <c r="CT173" s="7">
        <v>50</v>
      </c>
      <c r="CU173" s="7">
        <v>0.69694199999999995</v>
      </c>
      <c r="CV173" s="7">
        <v>50</v>
      </c>
      <c r="CW173" s="7">
        <v>50</v>
      </c>
      <c r="CX173" s="7">
        <v>0.88888900000000004</v>
      </c>
      <c r="CY173" s="7">
        <v>0.94</v>
      </c>
      <c r="CZ173" s="7">
        <v>5.1110999999999997E-2</v>
      </c>
      <c r="DA173" s="7">
        <v>15.389535</v>
      </c>
      <c r="DB173" s="7">
        <v>17.608319000000002</v>
      </c>
      <c r="DC173" s="7">
        <v>16.064022999999999</v>
      </c>
      <c r="DD173" s="7">
        <v>11.115401</v>
      </c>
      <c r="DE173" s="4" t="s">
        <v>124</v>
      </c>
      <c r="DF173" s="6"/>
      <c r="DG173" s="6"/>
      <c r="DH173" s="6"/>
      <c r="DI173" s="6"/>
      <c r="DJ173" s="4" t="s">
        <v>124</v>
      </c>
      <c r="DK173" s="4" t="s">
        <v>124</v>
      </c>
      <c r="DL173" s="4" t="s">
        <v>124</v>
      </c>
      <c r="DM173" s="4" t="s">
        <v>124</v>
      </c>
      <c r="DN173" s="4" t="s">
        <v>124</v>
      </c>
      <c r="DO173" s="4" t="s">
        <v>124</v>
      </c>
      <c r="DP173" s="6"/>
      <c r="DQ173" s="4" t="s">
        <v>125</v>
      </c>
    </row>
    <row r="174" spans="1:121" ht="20" customHeight="1" x14ac:dyDescent="0.15">
      <c r="A174" s="5">
        <v>2018</v>
      </c>
      <c r="B174" s="3" t="s">
        <v>297</v>
      </c>
      <c r="C174" s="4" t="str">
        <f t="shared" ref="C174:C784" si="169">"1090011"</f>
        <v>1090011</v>
      </c>
      <c r="D174" s="4" t="s">
        <v>122</v>
      </c>
      <c r="E174" s="4" t="str">
        <f t="shared" si="1"/>
        <v>0000000</v>
      </c>
      <c r="F174" s="4" t="s">
        <v>122</v>
      </c>
      <c r="G174" s="4" t="s">
        <v>122</v>
      </c>
      <c r="H174" s="4" t="s">
        <v>122</v>
      </c>
      <c r="I174" s="6"/>
      <c r="J174" s="4" t="s">
        <v>123</v>
      </c>
      <c r="K174" s="7">
        <v>1030.0568229999999</v>
      </c>
      <c r="L174" s="7">
        <v>1450</v>
      </c>
      <c r="M174" s="7">
        <v>71.038402000000005</v>
      </c>
      <c r="N174" s="4" t="s">
        <v>124</v>
      </c>
      <c r="O174" s="7">
        <v>0</v>
      </c>
      <c r="P174" s="7">
        <v>67.374882999999997</v>
      </c>
      <c r="Q174" s="7">
        <v>44.916587999999997</v>
      </c>
      <c r="R174" s="7">
        <v>50</v>
      </c>
      <c r="S174" s="7">
        <v>63.169393999999997</v>
      </c>
      <c r="T174" s="7">
        <v>73.911242999999999</v>
      </c>
      <c r="U174" s="7">
        <v>42.112929999999999</v>
      </c>
      <c r="V174" s="7">
        <v>50</v>
      </c>
      <c r="W174" s="7">
        <v>61.175700999999997</v>
      </c>
      <c r="X174" s="7">
        <v>40.783800999999997</v>
      </c>
      <c r="Y174" s="7">
        <v>50</v>
      </c>
      <c r="Z174" s="7">
        <v>67.472667999999999</v>
      </c>
      <c r="AA174" s="7">
        <v>57.114682999999999</v>
      </c>
      <c r="AB174" s="7">
        <v>38.076455000000003</v>
      </c>
      <c r="AC174" s="7">
        <v>50</v>
      </c>
      <c r="AD174" s="7">
        <v>59.303972000000002</v>
      </c>
      <c r="AE174" s="7">
        <v>39.535981</v>
      </c>
      <c r="AF174" s="7">
        <v>50</v>
      </c>
      <c r="AG174" s="7">
        <v>56.101134999999999</v>
      </c>
      <c r="AH174" s="7">
        <v>63.395634999999999</v>
      </c>
      <c r="AI174" s="7">
        <v>37.400756000000001</v>
      </c>
      <c r="AJ174" s="7">
        <v>50</v>
      </c>
      <c r="AK174" s="7">
        <v>10.74</v>
      </c>
      <c r="AL174" s="7">
        <v>10.35</v>
      </c>
      <c r="AM174" s="7">
        <v>7.29</v>
      </c>
      <c r="AN174" s="7">
        <v>0.61463000000000001</v>
      </c>
      <c r="AO174" s="7">
        <v>61.462978</v>
      </c>
      <c r="AP174" s="7">
        <v>100</v>
      </c>
      <c r="AQ174" s="7">
        <v>0.59396199999999999</v>
      </c>
      <c r="AR174" s="7">
        <v>59.396231</v>
      </c>
      <c r="AS174" s="7">
        <v>100</v>
      </c>
      <c r="AT174" s="7">
        <v>0.61937799999999998</v>
      </c>
      <c r="AU174" s="7">
        <v>0.60763800000000001</v>
      </c>
      <c r="AV174" s="7">
        <v>61.937848000000002</v>
      </c>
      <c r="AW174" s="7">
        <v>100</v>
      </c>
      <c r="AX174" s="7">
        <v>0.564168</v>
      </c>
      <c r="AY174" s="7">
        <v>0.63768599999999998</v>
      </c>
      <c r="AZ174" s="7">
        <v>56.416843999999998</v>
      </c>
      <c r="BA174" s="7">
        <v>100</v>
      </c>
      <c r="BB174" s="7">
        <v>0.66445600000000005</v>
      </c>
      <c r="BC174" s="7">
        <v>33.222783999999997</v>
      </c>
      <c r="BD174" s="7">
        <v>50</v>
      </c>
      <c r="BE174" s="7">
        <v>0.58732899999999999</v>
      </c>
      <c r="BF174" s="7">
        <v>29.366467</v>
      </c>
      <c r="BG174" s="7">
        <v>50</v>
      </c>
      <c r="BH174" s="7">
        <v>0</v>
      </c>
      <c r="BI174" s="7">
        <v>0.97925700000000004</v>
      </c>
      <c r="BJ174" s="7">
        <v>0.96969700000000003</v>
      </c>
      <c r="BK174" s="7">
        <v>0.99536000000000002</v>
      </c>
      <c r="BL174" s="7">
        <v>0.97927500000000001</v>
      </c>
      <c r="BM174" s="7">
        <v>0.96836299999999997</v>
      </c>
      <c r="BN174" s="7">
        <v>0.99768000000000001</v>
      </c>
      <c r="BO174" s="7">
        <v>0.97455999999999998</v>
      </c>
      <c r="BP174" s="7">
        <v>0.96308700000000003</v>
      </c>
      <c r="BQ174" s="7">
        <v>0.99060999999999999</v>
      </c>
      <c r="BR174" s="7">
        <v>0.12984499999999999</v>
      </c>
      <c r="BS174" s="7">
        <v>34.031008</v>
      </c>
      <c r="BT174" s="7">
        <v>50</v>
      </c>
      <c r="BU174" s="7">
        <v>0.16731799999999999</v>
      </c>
      <c r="BV174" s="7">
        <v>26.536356999999999</v>
      </c>
      <c r="BW174" s="7">
        <v>50</v>
      </c>
      <c r="BX174" s="7">
        <v>0.716418</v>
      </c>
      <c r="BY174" s="7">
        <v>47.761194000000003</v>
      </c>
      <c r="BZ174" s="7">
        <v>50</v>
      </c>
      <c r="CA174" s="7">
        <v>0.23283599999999999</v>
      </c>
      <c r="CB174" s="7">
        <v>15.522387999999999</v>
      </c>
      <c r="CC174" s="7">
        <v>50</v>
      </c>
      <c r="CD174" s="7">
        <v>0.91872799999999999</v>
      </c>
      <c r="CE174" s="7">
        <v>48.868505999999996</v>
      </c>
      <c r="CF174" s="7">
        <v>50</v>
      </c>
      <c r="CG174" s="7">
        <v>0.84302299999999997</v>
      </c>
      <c r="CH174" s="7">
        <v>89.683324999999996</v>
      </c>
      <c r="CI174" s="7">
        <v>100</v>
      </c>
      <c r="CJ174" s="7">
        <v>1</v>
      </c>
      <c r="CK174" s="7">
        <v>0.75</v>
      </c>
      <c r="CL174" s="7">
        <v>79.787233999999998</v>
      </c>
      <c r="CM174" s="7">
        <v>100</v>
      </c>
      <c r="CN174" s="7">
        <v>0.52300000000000002</v>
      </c>
      <c r="CO174" s="7">
        <v>69.716775999999996</v>
      </c>
      <c r="CP174" s="7">
        <v>100</v>
      </c>
      <c r="CQ174" s="7">
        <v>0.467692</v>
      </c>
      <c r="CR174" s="7">
        <v>1.006192</v>
      </c>
      <c r="CS174" s="7">
        <v>31.179487000000002</v>
      </c>
      <c r="CT174" s="7">
        <v>50</v>
      </c>
      <c r="CU174" s="7">
        <v>0.50809099999999996</v>
      </c>
      <c r="CV174" s="7">
        <v>42.340885</v>
      </c>
      <c r="CW174" s="7">
        <v>50</v>
      </c>
      <c r="CX174" s="7">
        <v>0.75</v>
      </c>
      <c r="CY174" s="7">
        <v>0.94</v>
      </c>
      <c r="CZ174" s="7">
        <v>0.19</v>
      </c>
      <c r="DA174" s="7">
        <v>15.389535</v>
      </c>
      <c r="DB174" s="7">
        <v>17.608319000000002</v>
      </c>
      <c r="DC174" s="7">
        <v>16.064022999999999</v>
      </c>
      <c r="DD174" s="7">
        <v>11.115401</v>
      </c>
      <c r="DE174" s="4" t="s">
        <v>124</v>
      </c>
      <c r="DF174" s="6"/>
      <c r="DG174" s="6"/>
      <c r="DH174" s="6"/>
      <c r="DI174" s="6"/>
      <c r="DJ174" s="4" t="s">
        <v>124</v>
      </c>
      <c r="DK174" s="4" t="s">
        <v>124</v>
      </c>
      <c r="DL174" s="4" t="s">
        <v>124</v>
      </c>
      <c r="DM174" s="4" t="s">
        <v>124</v>
      </c>
      <c r="DN174" s="4" t="s">
        <v>124</v>
      </c>
      <c r="DO174" s="4" t="s">
        <v>124</v>
      </c>
      <c r="DP174" s="6"/>
      <c r="DQ174" s="4" t="s">
        <v>125</v>
      </c>
    </row>
    <row r="175" spans="1:121" ht="20" customHeight="1" x14ac:dyDescent="0.15">
      <c r="A175" s="5">
        <v>2018</v>
      </c>
      <c r="B175" s="3" t="s">
        <v>298</v>
      </c>
      <c r="C175" s="4" t="str">
        <f t="shared" ref="C175:C789" si="170">"1100011"</f>
        <v>1100011</v>
      </c>
      <c r="D175" s="4" t="s">
        <v>122</v>
      </c>
      <c r="E175" s="4" t="str">
        <f t="shared" si="1"/>
        <v>0000000</v>
      </c>
      <c r="F175" s="4" t="s">
        <v>122</v>
      </c>
      <c r="G175" s="4" t="s">
        <v>122</v>
      </c>
      <c r="H175" s="4" t="s">
        <v>122</v>
      </c>
      <c r="I175" s="6"/>
      <c r="J175" s="4" t="s">
        <v>123</v>
      </c>
      <c r="K175" s="7">
        <v>1107.9815920000001</v>
      </c>
      <c r="L175" s="7">
        <v>1450</v>
      </c>
      <c r="M175" s="7">
        <v>76.412524000000005</v>
      </c>
      <c r="N175" s="4" t="s">
        <v>124</v>
      </c>
      <c r="O175" s="7">
        <v>0</v>
      </c>
      <c r="P175" s="7">
        <v>70.425036000000006</v>
      </c>
      <c r="Q175" s="7">
        <v>46.950023999999999</v>
      </c>
      <c r="R175" s="7">
        <v>50</v>
      </c>
      <c r="S175" s="7">
        <v>64.942666000000003</v>
      </c>
      <c r="T175" s="7">
        <v>75</v>
      </c>
      <c r="U175" s="7">
        <v>43.295110999999999</v>
      </c>
      <c r="V175" s="7">
        <v>50</v>
      </c>
      <c r="W175" s="7">
        <v>65.940263999999999</v>
      </c>
      <c r="X175" s="7">
        <v>43.960175999999997</v>
      </c>
      <c r="Y175" s="7">
        <v>50</v>
      </c>
      <c r="Z175" s="7">
        <v>72.518766999999997</v>
      </c>
      <c r="AA175" s="7">
        <v>58.945546</v>
      </c>
      <c r="AB175" s="7">
        <v>39.297029999999999</v>
      </c>
      <c r="AC175" s="7">
        <v>50</v>
      </c>
      <c r="AD175" s="7">
        <v>63.984574000000002</v>
      </c>
      <c r="AE175" s="7">
        <v>42.656382999999998</v>
      </c>
      <c r="AF175" s="7">
        <v>50</v>
      </c>
      <c r="AG175" s="7">
        <v>57.550493000000003</v>
      </c>
      <c r="AH175" s="7">
        <v>69.277861000000001</v>
      </c>
      <c r="AI175" s="7">
        <v>38.366995000000003</v>
      </c>
      <c r="AJ175" s="7">
        <v>50</v>
      </c>
      <c r="AK175" s="7">
        <v>10.050000000000001</v>
      </c>
      <c r="AL175" s="7">
        <v>13.57</v>
      </c>
      <c r="AM175" s="7">
        <v>11.72</v>
      </c>
      <c r="AN175" s="7">
        <v>0.63546599999999998</v>
      </c>
      <c r="AO175" s="7">
        <v>63.546599999999998</v>
      </c>
      <c r="AP175" s="7">
        <v>100</v>
      </c>
      <c r="AQ175" s="7">
        <v>0.63576900000000003</v>
      </c>
      <c r="AR175" s="7">
        <v>63.576909000000001</v>
      </c>
      <c r="AS175" s="7">
        <v>100</v>
      </c>
      <c r="AT175" s="7">
        <v>0.61695699999999998</v>
      </c>
      <c r="AU175" s="7">
        <v>0.65146800000000005</v>
      </c>
      <c r="AV175" s="7">
        <v>61.695739000000003</v>
      </c>
      <c r="AW175" s="7">
        <v>100</v>
      </c>
      <c r="AX175" s="7">
        <v>0.56437800000000005</v>
      </c>
      <c r="AY175" s="7">
        <v>0.69749099999999997</v>
      </c>
      <c r="AZ175" s="7">
        <v>56.437842000000003</v>
      </c>
      <c r="BA175" s="7">
        <v>100</v>
      </c>
      <c r="BB175" s="7">
        <v>0.491923</v>
      </c>
      <c r="BC175" s="7">
        <v>24.596152</v>
      </c>
      <c r="BD175" s="7">
        <v>50</v>
      </c>
      <c r="BE175" s="7">
        <v>0.53036000000000005</v>
      </c>
      <c r="BF175" s="7">
        <v>26.518018000000001</v>
      </c>
      <c r="BG175" s="7">
        <v>50</v>
      </c>
      <c r="BH175" s="7">
        <v>0</v>
      </c>
      <c r="BI175" s="7">
        <v>0.99587099999999995</v>
      </c>
      <c r="BJ175" s="7">
        <v>0.99335499999999999</v>
      </c>
      <c r="BK175" s="7">
        <v>0.99835799999999997</v>
      </c>
      <c r="BL175" s="7">
        <v>0.99503299999999995</v>
      </c>
      <c r="BM175" s="7">
        <v>0.99165300000000001</v>
      </c>
      <c r="BN175" s="7">
        <v>0.99835799999999997</v>
      </c>
      <c r="BO175" s="7">
        <v>0.986792</v>
      </c>
      <c r="BP175" s="7">
        <v>0.97967499999999996</v>
      </c>
      <c r="BQ175" s="7">
        <v>0.99295800000000001</v>
      </c>
      <c r="BR175" s="7">
        <v>9.3404000000000001E-2</v>
      </c>
      <c r="BS175" s="7">
        <v>41.319167999999998</v>
      </c>
      <c r="BT175" s="7">
        <v>50</v>
      </c>
      <c r="BU175" s="7">
        <v>0.14763200000000001</v>
      </c>
      <c r="BV175" s="7">
        <v>30.473538000000001</v>
      </c>
      <c r="BW175" s="7">
        <v>50</v>
      </c>
      <c r="BX175" s="7">
        <v>0.71098300000000003</v>
      </c>
      <c r="BY175" s="7">
        <v>47.398843999999997</v>
      </c>
      <c r="BZ175" s="7">
        <v>50</v>
      </c>
      <c r="CA175" s="7">
        <v>0.42196499999999998</v>
      </c>
      <c r="CB175" s="7">
        <v>28.131021</v>
      </c>
      <c r="CC175" s="7">
        <v>50</v>
      </c>
      <c r="CD175" s="7">
        <v>0.89007999999999998</v>
      </c>
      <c r="CE175" s="7">
        <v>47.344704</v>
      </c>
      <c r="CF175" s="7">
        <v>50</v>
      </c>
      <c r="CG175" s="7">
        <v>0.89534899999999995</v>
      </c>
      <c r="CH175" s="7">
        <v>95.249876</v>
      </c>
      <c r="CI175" s="7">
        <v>100</v>
      </c>
      <c r="CJ175" s="7">
        <v>0</v>
      </c>
      <c r="CK175" s="7">
        <v>0.83561600000000003</v>
      </c>
      <c r="CL175" s="7">
        <v>88.895365999999996</v>
      </c>
      <c r="CM175" s="7">
        <v>100</v>
      </c>
      <c r="CN175" s="7">
        <v>0.67100000000000004</v>
      </c>
      <c r="CO175" s="7">
        <v>89.440994000000003</v>
      </c>
      <c r="CP175" s="7">
        <v>100</v>
      </c>
      <c r="CQ175" s="7">
        <v>0.58246699999999996</v>
      </c>
      <c r="CR175" s="7">
        <v>0.96974099999999996</v>
      </c>
      <c r="CS175" s="7">
        <v>38.831105000000001</v>
      </c>
      <c r="CT175" s="7">
        <v>50</v>
      </c>
      <c r="CU175" s="7">
        <v>0.63610699999999998</v>
      </c>
      <c r="CV175" s="7">
        <v>50</v>
      </c>
      <c r="CW175" s="7">
        <v>50</v>
      </c>
      <c r="CX175" s="7">
        <v>0.83561600000000003</v>
      </c>
      <c r="CY175" s="7">
        <v>0.94</v>
      </c>
      <c r="CZ175" s="7">
        <v>0.104384</v>
      </c>
      <c r="DA175" s="7">
        <v>15.389535</v>
      </c>
      <c r="DB175" s="7">
        <v>17.608319000000002</v>
      </c>
      <c r="DC175" s="7">
        <v>16.064022999999999</v>
      </c>
      <c r="DD175" s="7">
        <v>11.115401</v>
      </c>
      <c r="DE175" s="4" t="s">
        <v>124</v>
      </c>
      <c r="DF175" s="6"/>
      <c r="DG175" s="6"/>
      <c r="DH175" s="6"/>
      <c r="DI175" s="6"/>
      <c r="DJ175" s="4" t="s">
        <v>124</v>
      </c>
      <c r="DK175" s="4" t="s">
        <v>124</v>
      </c>
      <c r="DL175" s="4" t="s">
        <v>124</v>
      </c>
      <c r="DM175" s="4" t="s">
        <v>124</v>
      </c>
      <c r="DN175" s="4" t="s">
        <v>124</v>
      </c>
      <c r="DO175" s="4" t="s">
        <v>124</v>
      </c>
      <c r="DP175" s="6"/>
      <c r="DQ175" s="4" t="s">
        <v>125</v>
      </c>
    </row>
    <row r="176" spans="1:121" ht="20" customHeight="1" x14ac:dyDescent="0.15">
      <c r="A176" s="5">
        <v>2018</v>
      </c>
      <c r="B176" s="3" t="s">
        <v>299</v>
      </c>
      <c r="C176" s="4" t="str">
        <f t="shared" ref="C176:C794" si="171">"1110011"</f>
        <v>1110011</v>
      </c>
      <c r="D176" s="4" t="s">
        <v>122</v>
      </c>
      <c r="E176" s="4" t="str">
        <f t="shared" si="1"/>
        <v>0000000</v>
      </c>
      <c r="F176" s="4" t="s">
        <v>122</v>
      </c>
      <c r="G176" s="4" t="s">
        <v>122</v>
      </c>
      <c r="H176" s="4" t="s">
        <v>122</v>
      </c>
      <c r="I176" s="6"/>
      <c r="J176" s="4" t="s">
        <v>123</v>
      </c>
      <c r="K176" s="7">
        <v>1136.91068</v>
      </c>
      <c r="L176" s="7">
        <v>1450</v>
      </c>
      <c r="M176" s="7">
        <v>78.407633000000004</v>
      </c>
      <c r="N176" s="4" t="s">
        <v>124</v>
      </c>
      <c r="O176" s="7">
        <v>0</v>
      </c>
      <c r="P176" s="7">
        <v>69.028837999999993</v>
      </c>
      <c r="Q176" s="7">
        <v>46.019224999999999</v>
      </c>
      <c r="R176" s="7">
        <v>50</v>
      </c>
      <c r="S176" s="7">
        <v>63.608625000000004</v>
      </c>
      <c r="T176" s="7">
        <v>74.259634000000005</v>
      </c>
      <c r="U176" s="7">
        <v>42.405749999999998</v>
      </c>
      <c r="V176" s="7">
        <v>50</v>
      </c>
      <c r="W176" s="7">
        <v>66.039769000000007</v>
      </c>
      <c r="X176" s="7">
        <v>44.026513000000001</v>
      </c>
      <c r="Y176" s="7">
        <v>50</v>
      </c>
      <c r="Z176" s="7">
        <v>71.880053000000004</v>
      </c>
      <c r="AA176" s="7">
        <v>59.987997999999997</v>
      </c>
      <c r="AB176" s="7">
        <v>39.991999</v>
      </c>
      <c r="AC176" s="7">
        <v>50</v>
      </c>
      <c r="AD176" s="7">
        <v>63.605041999999997</v>
      </c>
      <c r="AE176" s="7">
        <v>42.403362000000001</v>
      </c>
      <c r="AF176" s="7">
        <v>50</v>
      </c>
      <c r="AG176" s="7">
        <v>58.240133999999998</v>
      </c>
      <c r="AH176" s="7">
        <v>68.044966000000002</v>
      </c>
      <c r="AI176" s="7">
        <v>38.826756000000003</v>
      </c>
      <c r="AJ176" s="7">
        <v>50</v>
      </c>
      <c r="AK176" s="7">
        <v>10.65</v>
      </c>
      <c r="AL176" s="7">
        <v>11.89</v>
      </c>
      <c r="AM176" s="7">
        <v>9.8000000000000007</v>
      </c>
      <c r="AN176" s="7">
        <v>0.69079000000000002</v>
      </c>
      <c r="AO176" s="7">
        <v>69.078986</v>
      </c>
      <c r="AP176" s="7">
        <v>100</v>
      </c>
      <c r="AQ176" s="7">
        <v>0.66444300000000001</v>
      </c>
      <c r="AR176" s="7">
        <v>66.444317999999996</v>
      </c>
      <c r="AS176" s="7">
        <v>100</v>
      </c>
      <c r="AT176" s="7">
        <v>0.69526699999999997</v>
      </c>
      <c r="AU176" s="7">
        <v>0.68664700000000001</v>
      </c>
      <c r="AV176" s="7">
        <v>69.526747</v>
      </c>
      <c r="AW176" s="7">
        <v>100</v>
      </c>
      <c r="AX176" s="7">
        <v>0.61292100000000005</v>
      </c>
      <c r="AY176" s="7">
        <v>0.71211500000000005</v>
      </c>
      <c r="AZ176" s="7">
        <v>61.292074</v>
      </c>
      <c r="BA176" s="7">
        <v>100</v>
      </c>
      <c r="BB176" s="7">
        <v>0.59140199999999998</v>
      </c>
      <c r="BC176" s="7">
        <v>29.570086</v>
      </c>
      <c r="BD176" s="7">
        <v>50</v>
      </c>
      <c r="BE176" s="7">
        <v>0.56804299999999996</v>
      </c>
      <c r="BF176" s="7">
        <v>28.402165</v>
      </c>
      <c r="BG176" s="7">
        <v>50</v>
      </c>
      <c r="BH176" s="7">
        <v>0</v>
      </c>
      <c r="BI176" s="7">
        <v>0.98809499999999995</v>
      </c>
      <c r="BJ176" s="7">
        <v>0.98157899999999998</v>
      </c>
      <c r="BK176" s="7">
        <v>0.99468100000000004</v>
      </c>
      <c r="BL176" s="7">
        <v>0.98809499999999995</v>
      </c>
      <c r="BM176" s="7">
        <v>0.98157899999999998</v>
      </c>
      <c r="BN176" s="7">
        <v>0.99468100000000004</v>
      </c>
      <c r="BO176" s="7">
        <v>0.98773</v>
      </c>
      <c r="BP176" s="7">
        <v>0.980132</v>
      </c>
      <c r="BQ176" s="7">
        <v>0.994286</v>
      </c>
      <c r="BR176" s="7">
        <v>8.5011000000000003E-2</v>
      </c>
      <c r="BS176" s="7">
        <v>42.997762999999999</v>
      </c>
      <c r="BT176" s="7">
        <v>50</v>
      </c>
      <c r="BU176" s="7">
        <v>0.12661900000000001</v>
      </c>
      <c r="BV176" s="7">
        <v>34.676259000000002</v>
      </c>
      <c r="BW176" s="7">
        <v>50</v>
      </c>
      <c r="BX176" s="7">
        <v>0.79820599999999997</v>
      </c>
      <c r="BY176" s="7">
        <v>50</v>
      </c>
      <c r="BZ176" s="7">
        <v>50</v>
      </c>
      <c r="CA176" s="7">
        <v>0.39013500000000001</v>
      </c>
      <c r="CB176" s="7">
        <v>26.008969</v>
      </c>
      <c r="CC176" s="7">
        <v>50</v>
      </c>
      <c r="CD176" s="7">
        <v>0.89805800000000002</v>
      </c>
      <c r="CE176" s="7">
        <v>47.769055999999999</v>
      </c>
      <c r="CF176" s="7">
        <v>50</v>
      </c>
      <c r="CG176" s="7">
        <v>0.92424200000000001</v>
      </c>
      <c r="CH176" s="7">
        <v>98.323661999999999</v>
      </c>
      <c r="CI176" s="7">
        <v>100</v>
      </c>
      <c r="CJ176" s="7">
        <v>0</v>
      </c>
      <c r="CK176" s="7">
        <v>0.90196100000000001</v>
      </c>
      <c r="CL176" s="7">
        <v>95.953275000000005</v>
      </c>
      <c r="CM176" s="7">
        <v>100</v>
      </c>
      <c r="CN176" s="7">
        <v>0.61599999999999999</v>
      </c>
      <c r="CO176" s="7">
        <v>82.133332999999993</v>
      </c>
      <c r="CP176" s="7">
        <v>100</v>
      </c>
      <c r="CQ176" s="7">
        <v>0.67282299999999995</v>
      </c>
      <c r="CR176" s="7">
        <v>0.92892200000000003</v>
      </c>
      <c r="CS176" s="7">
        <v>44.854880999999999</v>
      </c>
      <c r="CT176" s="7">
        <v>50</v>
      </c>
      <c r="CU176" s="7">
        <v>0.43446600000000002</v>
      </c>
      <c r="CV176" s="7">
        <v>36.205502000000003</v>
      </c>
      <c r="CW176" s="7">
        <v>50</v>
      </c>
      <c r="CX176" s="7">
        <v>0.90196100000000001</v>
      </c>
      <c r="CY176" s="7">
        <v>0.94</v>
      </c>
      <c r="CZ176" s="7">
        <v>3.8039000000000003E-2</v>
      </c>
      <c r="DA176" s="7">
        <v>15.389535</v>
      </c>
      <c r="DB176" s="7">
        <v>17.608319000000002</v>
      </c>
      <c r="DC176" s="7">
        <v>16.064022999999999</v>
      </c>
      <c r="DD176" s="7">
        <v>11.115401</v>
      </c>
      <c r="DE176" s="4" t="s">
        <v>124</v>
      </c>
      <c r="DF176" s="6"/>
      <c r="DG176" s="6"/>
      <c r="DH176" s="6"/>
      <c r="DI176" s="6"/>
      <c r="DJ176" s="4" t="s">
        <v>124</v>
      </c>
      <c r="DK176" s="4" t="s">
        <v>124</v>
      </c>
      <c r="DL176" s="4" t="s">
        <v>124</v>
      </c>
      <c r="DM176" s="4" t="s">
        <v>124</v>
      </c>
      <c r="DN176" s="4" t="s">
        <v>124</v>
      </c>
      <c r="DO176" s="4" t="s">
        <v>124</v>
      </c>
      <c r="DP176" s="6"/>
      <c r="DQ176" s="4" t="s">
        <v>125</v>
      </c>
    </row>
    <row r="177" spans="1:121" ht="20" customHeight="1" x14ac:dyDescent="0.15">
      <c r="A177" s="5">
        <v>2018</v>
      </c>
      <c r="B177" s="3" t="s">
        <v>300</v>
      </c>
      <c r="C177" s="4" t="str">
        <f t="shared" ref="C177:C798" si="172">"1120011"</f>
        <v>1120011</v>
      </c>
      <c r="D177" s="4" t="s">
        <v>122</v>
      </c>
      <c r="E177" s="4" t="str">
        <f t="shared" si="1"/>
        <v>0000000</v>
      </c>
      <c r="F177" s="4" t="s">
        <v>122</v>
      </c>
      <c r="G177" s="4" t="s">
        <v>122</v>
      </c>
      <c r="H177" s="4" t="s">
        <v>122</v>
      </c>
      <c r="I177" s="6"/>
      <c r="J177" s="4" t="s">
        <v>123</v>
      </c>
      <c r="K177" s="7">
        <v>695.22688400000004</v>
      </c>
      <c r="L177" s="7">
        <v>900</v>
      </c>
      <c r="M177" s="7">
        <v>77.247432000000003</v>
      </c>
      <c r="N177" s="4" t="s">
        <v>124</v>
      </c>
      <c r="O177" s="7">
        <v>0</v>
      </c>
      <c r="P177" s="7">
        <v>74.996005999999994</v>
      </c>
      <c r="Q177" s="7">
        <v>49.997337999999999</v>
      </c>
      <c r="R177" s="7">
        <v>50</v>
      </c>
      <c r="S177" s="7">
        <v>68.288494999999998</v>
      </c>
      <c r="T177" s="7">
        <v>75</v>
      </c>
      <c r="U177" s="7">
        <v>45.525663000000002</v>
      </c>
      <c r="V177" s="7">
        <v>50</v>
      </c>
      <c r="W177" s="7">
        <v>73.986571999999995</v>
      </c>
      <c r="X177" s="7">
        <v>49.324381000000002</v>
      </c>
      <c r="Y177" s="7">
        <v>50</v>
      </c>
      <c r="Z177" s="7">
        <v>75</v>
      </c>
      <c r="AA177" s="7">
        <v>66.410439999999994</v>
      </c>
      <c r="AB177" s="7">
        <v>44.273626999999998</v>
      </c>
      <c r="AC177" s="7">
        <v>50</v>
      </c>
      <c r="AD177" s="7">
        <v>71.687865000000002</v>
      </c>
      <c r="AE177" s="7">
        <v>47.791910000000001</v>
      </c>
      <c r="AF177" s="7">
        <v>50</v>
      </c>
      <c r="AG177" s="7">
        <v>69.835603000000006</v>
      </c>
      <c r="AH177" s="7">
        <v>72.400273999999996</v>
      </c>
      <c r="AI177" s="7">
        <v>46.557068000000001</v>
      </c>
      <c r="AJ177" s="7">
        <v>50</v>
      </c>
      <c r="AK177" s="7">
        <v>6.71</v>
      </c>
      <c r="AL177" s="7">
        <v>8.58</v>
      </c>
      <c r="AM177" s="7">
        <v>2.56</v>
      </c>
      <c r="AN177" s="7">
        <v>0.56247199999999997</v>
      </c>
      <c r="AO177" s="7">
        <v>56.247171999999999</v>
      </c>
      <c r="AP177" s="7">
        <v>100</v>
      </c>
      <c r="AQ177" s="7">
        <v>0.62291399999999997</v>
      </c>
      <c r="AR177" s="7">
        <v>62.291370000000001</v>
      </c>
      <c r="AS177" s="7">
        <v>100</v>
      </c>
      <c r="AT177" s="7">
        <v>0.57201599999999997</v>
      </c>
      <c r="AU177" s="7">
        <v>0.55870600000000004</v>
      </c>
      <c r="AV177" s="7">
        <v>57.201552</v>
      </c>
      <c r="AW177" s="7">
        <v>100</v>
      </c>
      <c r="AX177" s="7">
        <v>0.58338900000000005</v>
      </c>
      <c r="AY177" s="7">
        <v>0.63824000000000003</v>
      </c>
      <c r="AZ177" s="7">
        <v>58.338909000000001</v>
      </c>
      <c r="BA177" s="7">
        <v>100</v>
      </c>
      <c r="BB177" s="4" t="s">
        <v>124</v>
      </c>
      <c r="BC177" s="4" t="s">
        <v>124</v>
      </c>
      <c r="BD177" s="4" t="s">
        <v>124</v>
      </c>
      <c r="BE177" s="4" t="s">
        <v>124</v>
      </c>
      <c r="BF177" s="4" t="s">
        <v>124</v>
      </c>
      <c r="BG177" s="4" t="s">
        <v>124</v>
      </c>
      <c r="BH177" s="7">
        <v>0</v>
      </c>
      <c r="BI177" s="7">
        <v>0.99628300000000003</v>
      </c>
      <c r="BJ177" s="7">
        <v>1</v>
      </c>
      <c r="BK177" s="7">
        <v>0.99462399999999995</v>
      </c>
      <c r="BL177" s="7">
        <v>0.99256500000000003</v>
      </c>
      <c r="BM177" s="7">
        <v>0.98795200000000005</v>
      </c>
      <c r="BN177" s="7">
        <v>0.99462399999999995</v>
      </c>
      <c r="BO177" s="7">
        <v>1</v>
      </c>
      <c r="BP177" s="7">
        <v>1</v>
      </c>
      <c r="BQ177" s="7">
        <v>1</v>
      </c>
      <c r="BR177" s="7">
        <v>1.9074000000000001E-2</v>
      </c>
      <c r="BS177" s="7">
        <v>50</v>
      </c>
      <c r="BT177" s="7">
        <v>50</v>
      </c>
      <c r="BU177" s="7">
        <v>5.3096999999999998E-2</v>
      </c>
      <c r="BV177" s="7">
        <v>49.380530999999998</v>
      </c>
      <c r="BW177" s="7">
        <v>50</v>
      </c>
      <c r="BX177" s="4" t="s">
        <v>124</v>
      </c>
      <c r="BY177" s="4" t="s">
        <v>124</v>
      </c>
      <c r="BZ177" s="4" t="s">
        <v>124</v>
      </c>
      <c r="CA177" s="4" t="s">
        <v>124</v>
      </c>
      <c r="CB177" s="4" t="s">
        <v>124</v>
      </c>
      <c r="CC177" s="4" t="s">
        <v>124</v>
      </c>
      <c r="CD177" s="7">
        <v>0.97499999999999998</v>
      </c>
      <c r="CE177" s="7">
        <v>50</v>
      </c>
      <c r="CF177" s="7">
        <v>50</v>
      </c>
      <c r="CG177" s="4" t="s">
        <v>124</v>
      </c>
      <c r="CH177" s="4" t="s">
        <v>124</v>
      </c>
      <c r="CI177" s="4" t="s">
        <v>124</v>
      </c>
      <c r="CJ177" s="4" t="s">
        <v>124</v>
      </c>
      <c r="CK177" s="4" t="s">
        <v>124</v>
      </c>
      <c r="CL177" s="4" t="s">
        <v>124</v>
      </c>
      <c r="CM177" s="4" t="s">
        <v>124</v>
      </c>
      <c r="CN177" s="4" t="s">
        <v>124</v>
      </c>
      <c r="CO177" s="4" t="s">
        <v>124</v>
      </c>
      <c r="CP177" s="4" t="s">
        <v>124</v>
      </c>
      <c r="CQ177" s="7">
        <v>0.42446</v>
      </c>
      <c r="CR177" s="7">
        <v>0.97887299999999999</v>
      </c>
      <c r="CS177" s="7">
        <v>28.297362</v>
      </c>
      <c r="CT177" s="7">
        <v>50</v>
      </c>
      <c r="CU177" s="4" t="s">
        <v>124</v>
      </c>
      <c r="CV177" s="4" t="s">
        <v>124</v>
      </c>
      <c r="CW177" s="4" t="s">
        <v>124</v>
      </c>
      <c r="CX177" s="4" t="s">
        <v>124</v>
      </c>
      <c r="CY177" s="4" t="s">
        <v>124</v>
      </c>
      <c r="CZ177" s="4" t="s">
        <v>124</v>
      </c>
      <c r="DA177" s="7">
        <v>15.389535</v>
      </c>
      <c r="DB177" s="7">
        <v>17.608319000000002</v>
      </c>
      <c r="DC177" s="7">
        <v>16.064022999999999</v>
      </c>
      <c r="DD177" s="4" t="s">
        <v>124</v>
      </c>
      <c r="DE177" s="4" t="s">
        <v>124</v>
      </c>
      <c r="DF177" s="6"/>
      <c r="DG177" s="6"/>
      <c r="DH177" s="6"/>
      <c r="DI177" s="6"/>
      <c r="DJ177" s="4" t="s">
        <v>124</v>
      </c>
      <c r="DK177" s="4" t="s">
        <v>124</v>
      </c>
      <c r="DL177" s="4" t="s">
        <v>124</v>
      </c>
      <c r="DM177" s="4" t="s">
        <v>124</v>
      </c>
      <c r="DN177" s="4" t="s">
        <v>124</v>
      </c>
      <c r="DO177" s="4" t="s">
        <v>124</v>
      </c>
      <c r="DP177" s="6"/>
      <c r="DQ177" s="4" t="s">
        <v>125</v>
      </c>
    </row>
    <row r="178" spans="1:121" ht="20" customHeight="1" x14ac:dyDescent="0.15">
      <c r="A178" s="5">
        <v>2018</v>
      </c>
      <c r="B178" s="3" t="s">
        <v>301</v>
      </c>
      <c r="C178" s="4" t="str">
        <f>"1130011"</f>
        <v>1130011</v>
      </c>
      <c r="D178" s="4" t="s">
        <v>122</v>
      </c>
      <c r="E178" s="4" t="str">
        <f t="shared" si="1"/>
        <v>0000000</v>
      </c>
      <c r="F178" s="4" t="s">
        <v>122</v>
      </c>
      <c r="G178" s="4" t="s">
        <v>122</v>
      </c>
      <c r="H178" s="4" t="s">
        <v>122</v>
      </c>
      <c r="I178" s="6"/>
      <c r="J178" s="4" t="s">
        <v>123</v>
      </c>
      <c r="K178" s="7">
        <v>1146.844388</v>
      </c>
      <c r="L178" s="7">
        <v>1450</v>
      </c>
      <c r="M178" s="7">
        <v>79.092715999999996</v>
      </c>
      <c r="N178" s="4" t="s">
        <v>124</v>
      </c>
      <c r="O178" s="7">
        <v>1</v>
      </c>
      <c r="P178" s="7">
        <v>72.637210999999994</v>
      </c>
      <c r="Q178" s="7">
        <v>48.424807000000001</v>
      </c>
      <c r="R178" s="7">
        <v>50</v>
      </c>
      <c r="S178" s="7">
        <v>60.386386999999999</v>
      </c>
      <c r="T178" s="7">
        <v>75</v>
      </c>
      <c r="U178" s="7">
        <v>40.257590999999998</v>
      </c>
      <c r="V178" s="7">
        <v>50</v>
      </c>
      <c r="W178" s="7">
        <v>69.901807000000005</v>
      </c>
      <c r="X178" s="7">
        <v>46.601205</v>
      </c>
      <c r="Y178" s="7">
        <v>50</v>
      </c>
      <c r="Z178" s="7">
        <v>75</v>
      </c>
      <c r="AA178" s="7">
        <v>56.388815999999998</v>
      </c>
      <c r="AB178" s="7">
        <v>37.592543999999997</v>
      </c>
      <c r="AC178" s="7">
        <v>50</v>
      </c>
      <c r="AD178" s="7">
        <v>69.871089999999995</v>
      </c>
      <c r="AE178" s="7">
        <v>46.580727000000003</v>
      </c>
      <c r="AF178" s="7">
        <v>50</v>
      </c>
      <c r="AG178" s="7">
        <v>59.415726999999997</v>
      </c>
      <c r="AH178" s="7">
        <v>75</v>
      </c>
      <c r="AI178" s="7">
        <v>39.610484999999997</v>
      </c>
      <c r="AJ178" s="7">
        <v>50</v>
      </c>
      <c r="AK178" s="7">
        <v>14.61</v>
      </c>
      <c r="AL178" s="7">
        <v>18.61</v>
      </c>
      <c r="AM178" s="7">
        <v>15.58</v>
      </c>
      <c r="AN178" s="7">
        <v>0.57378300000000004</v>
      </c>
      <c r="AO178" s="7">
        <v>57.378332</v>
      </c>
      <c r="AP178" s="7">
        <v>100</v>
      </c>
      <c r="AQ178" s="7">
        <v>0.68869199999999997</v>
      </c>
      <c r="AR178" s="7">
        <v>68.869247999999999</v>
      </c>
      <c r="AS178" s="7">
        <v>100</v>
      </c>
      <c r="AT178" s="7">
        <v>0.46260200000000001</v>
      </c>
      <c r="AU178" s="7">
        <v>0.63097199999999998</v>
      </c>
      <c r="AV178" s="7">
        <v>46.260213</v>
      </c>
      <c r="AW178" s="7">
        <v>100</v>
      </c>
      <c r="AX178" s="7">
        <v>0.61536400000000002</v>
      </c>
      <c r="AY178" s="7">
        <v>0.72617699999999996</v>
      </c>
      <c r="AZ178" s="7">
        <v>61.536360000000002</v>
      </c>
      <c r="BA178" s="7">
        <v>100</v>
      </c>
      <c r="BB178" s="7">
        <v>0.47548400000000002</v>
      </c>
      <c r="BC178" s="7">
        <v>23.774218000000001</v>
      </c>
      <c r="BD178" s="7">
        <v>50</v>
      </c>
      <c r="BE178" s="7">
        <v>0.329511</v>
      </c>
      <c r="BF178" s="7">
        <v>16.475560999999999</v>
      </c>
      <c r="BG178" s="7">
        <v>50</v>
      </c>
      <c r="BH178" s="7">
        <v>0</v>
      </c>
      <c r="BI178" s="7">
        <v>0.98016999999999999</v>
      </c>
      <c r="BJ178" s="7">
        <v>0.98795200000000005</v>
      </c>
      <c r="BK178" s="7">
        <v>0.97592999999999996</v>
      </c>
      <c r="BL178" s="7">
        <v>0.97875400000000001</v>
      </c>
      <c r="BM178" s="7">
        <v>0.98393600000000003</v>
      </c>
      <c r="BN178" s="7">
        <v>0.97592999999999996</v>
      </c>
      <c r="BO178" s="7">
        <v>0.98705500000000002</v>
      </c>
      <c r="BP178" s="7">
        <v>0.981132</v>
      </c>
      <c r="BQ178" s="7">
        <v>0.99014800000000003</v>
      </c>
      <c r="BR178" s="7">
        <v>6.9369E-2</v>
      </c>
      <c r="BS178" s="7">
        <v>46.126266999999999</v>
      </c>
      <c r="BT178" s="7">
        <v>50</v>
      </c>
      <c r="BU178" s="7">
        <v>6.4132999999999996E-2</v>
      </c>
      <c r="BV178" s="7">
        <v>47.173397000000001</v>
      </c>
      <c r="BW178" s="7">
        <v>50</v>
      </c>
      <c r="BX178" s="7">
        <v>0.868421</v>
      </c>
      <c r="BY178" s="7">
        <v>50</v>
      </c>
      <c r="BZ178" s="7">
        <v>50</v>
      </c>
      <c r="CA178" s="7">
        <v>0.54210499999999995</v>
      </c>
      <c r="CB178" s="7">
        <v>36.140351000000003</v>
      </c>
      <c r="CC178" s="7">
        <v>50</v>
      </c>
      <c r="CD178" s="7">
        <v>0.93596100000000004</v>
      </c>
      <c r="CE178" s="7">
        <v>49.785138000000003</v>
      </c>
      <c r="CF178" s="7">
        <v>50</v>
      </c>
      <c r="CG178" s="7">
        <v>0.91764699999999999</v>
      </c>
      <c r="CH178" s="7">
        <v>97.622028</v>
      </c>
      <c r="CI178" s="7">
        <v>100</v>
      </c>
      <c r="CJ178" s="7">
        <v>0</v>
      </c>
      <c r="CK178" s="7">
        <v>0.92</v>
      </c>
      <c r="CL178" s="7">
        <v>97.872339999999994</v>
      </c>
      <c r="CM178" s="7">
        <v>100</v>
      </c>
      <c r="CN178" s="7">
        <v>0.81</v>
      </c>
      <c r="CO178" s="7">
        <v>100</v>
      </c>
      <c r="CP178" s="7">
        <v>100</v>
      </c>
      <c r="CQ178" s="7">
        <v>0.58145400000000003</v>
      </c>
      <c r="CR178" s="7">
        <v>0.96144600000000002</v>
      </c>
      <c r="CS178" s="7">
        <v>38.763576</v>
      </c>
      <c r="CT178" s="7">
        <v>50</v>
      </c>
      <c r="CU178" s="7">
        <v>0.80462699999999998</v>
      </c>
      <c r="CV178" s="7">
        <v>50</v>
      </c>
      <c r="CW178" s="7">
        <v>50</v>
      </c>
      <c r="CX178" s="7">
        <v>0.92</v>
      </c>
      <c r="CY178" s="7">
        <v>0.94</v>
      </c>
      <c r="CZ178" s="7">
        <v>0.02</v>
      </c>
      <c r="DA178" s="7">
        <v>15.389535</v>
      </c>
      <c r="DB178" s="7">
        <v>17.608319000000002</v>
      </c>
      <c r="DC178" s="7">
        <v>16.064022999999999</v>
      </c>
      <c r="DD178" s="7">
        <v>11.115401</v>
      </c>
      <c r="DE178" s="4" t="s">
        <v>124</v>
      </c>
      <c r="DF178" s="6"/>
      <c r="DG178" s="6"/>
      <c r="DH178" s="6"/>
      <c r="DI178" s="6"/>
      <c r="DJ178" s="4" t="s">
        <v>124</v>
      </c>
      <c r="DK178" s="4" t="s">
        <v>124</v>
      </c>
      <c r="DL178" s="4" t="s">
        <v>124</v>
      </c>
      <c r="DM178" s="4" t="s">
        <v>124</v>
      </c>
      <c r="DN178" s="4" t="s">
        <v>124</v>
      </c>
      <c r="DO178" s="4" t="s">
        <v>124</v>
      </c>
      <c r="DP178" s="6"/>
      <c r="DQ178" s="4" t="s">
        <v>125</v>
      </c>
    </row>
    <row r="179" spans="1:121" ht="20" customHeight="1" x14ac:dyDescent="0.15">
      <c r="A179" s="5">
        <v>2018</v>
      </c>
      <c r="B179" s="3" t="s">
        <v>302</v>
      </c>
      <c r="C179" s="4" t="str">
        <f t="shared" ref="C179:C804" si="173">"1140011"</f>
        <v>1140011</v>
      </c>
      <c r="D179" s="4" t="s">
        <v>122</v>
      </c>
      <c r="E179" s="4" t="str">
        <f>"0000000"</f>
        <v>0000000</v>
      </c>
      <c r="F179" s="4" t="s">
        <v>122</v>
      </c>
      <c r="G179" s="4" t="s">
        <v>122</v>
      </c>
      <c r="H179" s="4" t="s">
        <v>122</v>
      </c>
      <c r="I179" s="6"/>
      <c r="J179" s="4" t="s">
        <v>123</v>
      </c>
      <c r="K179" s="7">
        <v>658.05540699999995</v>
      </c>
      <c r="L179" s="7">
        <v>900</v>
      </c>
      <c r="M179" s="7">
        <v>73.117266999999998</v>
      </c>
      <c r="N179" s="4" t="s">
        <v>124</v>
      </c>
      <c r="O179" s="7">
        <v>0</v>
      </c>
      <c r="P179" s="7">
        <v>71.010463999999999</v>
      </c>
      <c r="Q179" s="7">
        <v>47.340308999999998</v>
      </c>
      <c r="R179" s="7">
        <v>50</v>
      </c>
      <c r="S179" s="7">
        <v>63.464860999999999</v>
      </c>
      <c r="T179" s="7">
        <v>75</v>
      </c>
      <c r="U179" s="7">
        <v>42.309907000000003</v>
      </c>
      <c r="V179" s="7">
        <v>50</v>
      </c>
      <c r="W179" s="7">
        <v>66.001907000000003</v>
      </c>
      <c r="X179" s="7">
        <v>44.001271000000003</v>
      </c>
      <c r="Y179" s="7">
        <v>50</v>
      </c>
      <c r="Z179" s="7">
        <v>71.862826999999996</v>
      </c>
      <c r="AA179" s="7">
        <v>58.102404999999997</v>
      </c>
      <c r="AB179" s="7">
        <v>38.734937000000002</v>
      </c>
      <c r="AC179" s="7">
        <v>50</v>
      </c>
      <c r="AD179" s="7">
        <v>63.954115999999999</v>
      </c>
      <c r="AE179" s="7">
        <v>42.636077</v>
      </c>
      <c r="AF179" s="7">
        <v>50</v>
      </c>
      <c r="AG179" s="7">
        <v>57.89761</v>
      </c>
      <c r="AH179" s="7">
        <v>68.468965999999995</v>
      </c>
      <c r="AI179" s="7">
        <v>38.598407000000002</v>
      </c>
      <c r="AJ179" s="7">
        <v>50</v>
      </c>
      <c r="AK179" s="7">
        <v>11.53</v>
      </c>
      <c r="AL179" s="7">
        <v>13.76</v>
      </c>
      <c r="AM179" s="7">
        <v>10.57</v>
      </c>
      <c r="AN179" s="7">
        <v>0.60147300000000004</v>
      </c>
      <c r="AO179" s="7">
        <v>60.147271000000003</v>
      </c>
      <c r="AP179" s="7">
        <v>100</v>
      </c>
      <c r="AQ179" s="7">
        <v>0.63587000000000005</v>
      </c>
      <c r="AR179" s="7">
        <v>63.587001000000001</v>
      </c>
      <c r="AS179" s="7">
        <v>100</v>
      </c>
      <c r="AT179" s="7">
        <v>0.55004900000000001</v>
      </c>
      <c r="AU179" s="7">
        <v>0.63808600000000004</v>
      </c>
      <c r="AV179" s="7">
        <v>55.004944000000002</v>
      </c>
      <c r="AW179" s="7">
        <v>100</v>
      </c>
      <c r="AX179" s="7">
        <v>0.54902300000000004</v>
      </c>
      <c r="AY179" s="7">
        <v>0.69770500000000002</v>
      </c>
      <c r="AZ179" s="7">
        <v>54.902301999999999</v>
      </c>
      <c r="BA179" s="7">
        <v>100</v>
      </c>
      <c r="BB179" s="4" t="s">
        <v>124</v>
      </c>
      <c r="BC179" s="4" t="s">
        <v>124</v>
      </c>
      <c r="BD179" s="4" t="s">
        <v>124</v>
      </c>
      <c r="BE179" s="4" t="s">
        <v>124</v>
      </c>
      <c r="BF179" s="4" t="s">
        <v>124</v>
      </c>
      <c r="BG179" s="4" t="s">
        <v>124</v>
      </c>
      <c r="BH179" s="7">
        <v>0</v>
      </c>
      <c r="BI179" s="7">
        <v>0.99642900000000001</v>
      </c>
      <c r="BJ179" s="7">
        <v>1</v>
      </c>
      <c r="BK179" s="7">
        <v>0.99367099999999997</v>
      </c>
      <c r="BL179" s="7">
        <v>0.99642900000000001</v>
      </c>
      <c r="BM179" s="7">
        <v>1</v>
      </c>
      <c r="BN179" s="7">
        <v>0.99367099999999997</v>
      </c>
      <c r="BO179" s="7">
        <v>1</v>
      </c>
      <c r="BP179" s="7">
        <v>1</v>
      </c>
      <c r="BQ179" s="7">
        <v>1</v>
      </c>
      <c r="BR179" s="7">
        <v>5.7971000000000002E-2</v>
      </c>
      <c r="BS179" s="7">
        <v>48.405797</v>
      </c>
      <c r="BT179" s="7">
        <v>50</v>
      </c>
      <c r="BU179" s="7">
        <v>8.1966999999999998E-2</v>
      </c>
      <c r="BV179" s="7">
        <v>43.606557000000002</v>
      </c>
      <c r="BW179" s="7">
        <v>50</v>
      </c>
      <c r="BX179" s="4" t="s">
        <v>124</v>
      </c>
      <c r="BY179" s="4" t="s">
        <v>124</v>
      </c>
      <c r="BZ179" s="4" t="s">
        <v>124</v>
      </c>
      <c r="CA179" s="4" t="s">
        <v>124</v>
      </c>
      <c r="CB179" s="4" t="s">
        <v>124</v>
      </c>
      <c r="CC179" s="4" t="s">
        <v>124</v>
      </c>
      <c r="CD179" s="7">
        <v>0.91891900000000004</v>
      </c>
      <c r="CE179" s="7">
        <v>48.878666000000003</v>
      </c>
      <c r="CF179" s="7">
        <v>50</v>
      </c>
      <c r="CG179" s="4" t="s">
        <v>124</v>
      </c>
      <c r="CH179" s="4" t="s">
        <v>124</v>
      </c>
      <c r="CI179" s="4" t="s">
        <v>124</v>
      </c>
      <c r="CJ179" s="4" t="s">
        <v>124</v>
      </c>
      <c r="CK179" s="4" t="s">
        <v>124</v>
      </c>
      <c r="CL179" s="4" t="s">
        <v>124</v>
      </c>
      <c r="CM179" s="4" t="s">
        <v>124</v>
      </c>
      <c r="CN179" s="4" t="s">
        <v>124</v>
      </c>
      <c r="CO179" s="4" t="s">
        <v>124</v>
      </c>
      <c r="CP179" s="4" t="s">
        <v>124</v>
      </c>
      <c r="CQ179" s="7">
        <v>0.44852900000000001</v>
      </c>
      <c r="CR179" s="7">
        <v>0.95104900000000003</v>
      </c>
      <c r="CS179" s="7">
        <v>29.901961</v>
      </c>
      <c r="CT179" s="7">
        <v>50</v>
      </c>
      <c r="CU179" s="4" t="s">
        <v>124</v>
      </c>
      <c r="CV179" s="4" t="s">
        <v>124</v>
      </c>
      <c r="CW179" s="4" t="s">
        <v>124</v>
      </c>
      <c r="CX179" s="4" t="s">
        <v>124</v>
      </c>
      <c r="CY179" s="4" t="s">
        <v>124</v>
      </c>
      <c r="CZ179" s="4" t="s">
        <v>124</v>
      </c>
      <c r="DA179" s="7">
        <v>15.389535</v>
      </c>
      <c r="DB179" s="7">
        <v>17.608319000000002</v>
      </c>
      <c r="DC179" s="7">
        <v>16.064022999999999</v>
      </c>
      <c r="DD179" s="4" t="s">
        <v>124</v>
      </c>
      <c r="DE179" s="4" t="s">
        <v>124</v>
      </c>
      <c r="DF179" s="6"/>
      <c r="DG179" s="6"/>
      <c r="DH179" s="6"/>
      <c r="DI179" s="6"/>
      <c r="DJ179" s="4" t="s">
        <v>124</v>
      </c>
      <c r="DK179" s="4" t="s">
        <v>124</v>
      </c>
      <c r="DL179" s="4" t="s">
        <v>124</v>
      </c>
      <c r="DM179" s="4" t="s">
        <v>124</v>
      </c>
      <c r="DN179" s="4" t="s">
        <v>124</v>
      </c>
      <c r="DO179" s="4" t="s">
        <v>124</v>
      </c>
      <c r="DP179" s="6"/>
      <c r="DQ179" s="4" t="s">
        <v>125</v>
      </c>
    </row>
    <row r="180" spans="1:121" ht="20" customHeight="1" x14ac:dyDescent="0.15">
      <c r="A180" s="5">
        <v>2018</v>
      </c>
      <c r="B180" s="3" t="s">
        <v>303</v>
      </c>
      <c r="C180" s="4" t="str">
        <f t="shared" ref="C180:C806" si="174">"1160011"</f>
        <v>1160011</v>
      </c>
      <c r="D180" s="4" t="s">
        <v>122</v>
      </c>
      <c r="E180" s="4" t="str">
        <f t="shared" si="1"/>
        <v>0000000</v>
      </c>
      <c r="F180" s="4" t="s">
        <v>122</v>
      </c>
      <c r="G180" s="4" t="s">
        <v>122</v>
      </c>
      <c r="H180" s="4" t="s">
        <v>122</v>
      </c>
      <c r="I180" s="6"/>
      <c r="J180" s="4" t="s">
        <v>123</v>
      </c>
      <c r="K180" s="7">
        <v>1024.4249689999999</v>
      </c>
      <c r="L180" s="7">
        <v>1450</v>
      </c>
      <c r="M180" s="7">
        <v>70.649997999999997</v>
      </c>
      <c r="N180" s="4" t="s">
        <v>124</v>
      </c>
      <c r="O180" s="7">
        <v>0</v>
      </c>
      <c r="P180" s="7">
        <v>65.236813999999995</v>
      </c>
      <c r="Q180" s="7">
        <v>43.491208999999998</v>
      </c>
      <c r="R180" s="7">
        <v>50</v>
      </c>
      <c r="S180" s="7">
        <v>61.001134</v>
      </c>
      <c r="T180" s="7">
        <v>74.249398999999997</v>
      </c>
      <c r="U180" s="7">
        <v>40.667422999999999</v>
      </c>
      <c r="V180" s="7">
        <v>50</v>
      </c>
      <c r="W180" s="7">
        <v>57.963205000000002</v>
      </c>
      <c r="X180" s="7">
        <v>38.642136999999998</v>
      </c>
      <c r="Y180" s="7">
        <v>50</v>
      </c>
      <c r="Z180" s="7">
        <v>67.126137999999997</v>
      </c>
      <c r="AA180" s="7">
        <v>53.645592999999998</v>
      </c>
      <c r="AB180" s="7">
        <v>35.763728999999998</v>
      </c>
      <c r="AC180" s="7">
        <v>50</v>
      </c>
      <c r="AD180" s="7">
        <v>61.214078999999998</v>
      </c>
      <c r="AE180" s="7">
        <v>40.809386000000003</v>
      </c>
      <c r="AF180" s="7">
        <v>50</v>
      </c>
      <c r="AG180" s="7">
        <v>56.100572999999997</v>
      </c>
      <c r="AH180" s="7">
        <v>71.749133</v>
      </c>
      <c r="AI180" s="7">
        <v>37.400382</v>
      </c>
      <c r="AJ180" s="7">
        <v>50</v>
      </c>
      <c r="AK180" s="7">
        <v>13.24</v>
      </c>
      <c r="AL180" s="7">
        <v>13.48</v>
      </c>
      <c r="AM180" s="7">
        <v>15.64</v>
      </c>
      <c r="AN180" s="7">
        <v>0.51211399999999996</v>
      </c>
      <c r="AO180" s="7">
        <v>51.211433999999997</v>
      </c>
      <c r="AP180" s="7">
        <v>100</v>
      </c>
      <c r="AQ180" s="7">
        <v>0.49401800000000001</v>
      </c>
      <c r="AR180" s="7">
        <v>49.401795999999997</v>
      </c>
      <c r="AS180" s="7">
        <v>100</v>
      </c>
      <c r="AT180" s="7">
        <v>0.51565000000000005</v>
      </c>
      <c r="AU180" s="7">
        <v>0.504467</v>
      </c>
      <c r="AV180" s="7">
        <v>51.565038999999999</v>
      </c>
      <c r="AW180" s="7">
        <v>100</v>
      </c>
      <c r="AX180" s="7">
        <v>0.46574700000000002</v>
      </c>
      <c r="AY180" s="7">
        <v>0.554504</v>
      </c>
      <c r="AZ180" s="7">
        <v>46.574711000000001</v>
      </c>
      <c r="BA180" s="7">
        <v>100</v>
      </c>
      <c r="BB180" s="7">
        <v>0.70530899999999996</v>
      </c>
      <c r="BC180" s="7">
        <v>35.265450999999999</v>
      </c>
      <c r="BD180" s="7">
        <v>50</v>
      </c>
      <c r="BE180" s="7">
        <v>0.66998199999999997</v>
      </c>
      <c r="BF180" s="7">
        <v>33.499111999999997</v>
      </c>
      <c r="BG180" s="7">
        <v>50</v>
      </c>
      <c r="BH180" s="7">
        <v>0</v>
      </c>
      <c r="BI180" s="7">
        <v>0.98509899999999995</v>
      </c>
      <c r="BJ180" s="7">
        <v>0.97820799999999997</v>
      </c>
      <c r="BK180" s="7">
        <v>1</v>
      </c>
      <c r="BL180" s="7">
        <v>0.98344399999999998</v>
      </c>
      <c r="BM180" s="7">
        <v>0.97578699999999996</v>
      </c>
      <c r="BN180" s="7">
        <v>1</v>
      </c>
      <c r="BO180" s="7">
        <v>0.97058800000000001</v>
      </c>
      <c r="BP180" s="7">
        <v>0.95698899999999998</v>
      </c>
      <c r="BQ180" s="7">
        <v>1</v>
      </c>
      <c r="BR180" s="7">
        <v>0.110108</v>
      </c>
      <c r="BS180" s="7">
        <v>37.978338999999998</v>
      </c>
      <c r="BT180" s="7">
        <v>50</v>
      </c>
      <c r="BU180" s="7">
        <v>0.14709900000000001</v>
      </c>
      <c r="BV180" s="7">
        <v>30.580297000000002</v>
      </c>
      <c r="BW180" s="7">
        <v>50</v>
      </c>
      <c r="BX180" s="7">
        <v>0.70253200000000005</v>
      </c>
      <c r="BY180" s="7">
        <v>46.835442999999998</v>
      </c>
      <c r="BZ180" s="7">
        <v>50</v>
      </c>
      <c r="CA180" s="7">
        <v>0.17721500000000001</v>
      </c>
      <c r="CB180" s="7">
        <v>11.814346</v>
      </c>
      <c r="CC180" s="7">
        <v>50</v>
      </c>
      <c r="CD180" s="7">
        <v>0.89583299999999999</v>
      </c>
      <c r="CE180" s="7">
        <v>47.650708999999999</v>
      </c>
      <c r="CF180" s="7">
        <v>50</v>
      </c>
      <c r="CG180" s="7">
        <v>0.887324</v>
      </c>
      <c r="CH180" s="7">
        <v>94.396163999999999</v>
      </c>
      <c r="CI180" s="7">
        <v>100</v>
      </c>
      <c r="CJ180" s="7">
        <v>0</v>
      </c>
      <c r="CK180" s="7">
        <v>0.92592600000000003</v>
      </c>
      <c r="CL180" s="7">
        <v>98.502758</v>
      </c>
      <c r="CM180" s="7">
        <v>100</v>
      </c>
      <c r="CN180" s="7">
        <v>0.56100000000000005</v>
      </c>
      <c r="CO180" s="7">
        <v>74.747474999999994</v>
      </c>
      <c r="CP180" s="7">
        <v>100</v>
      </c>
      <c r="CQ180" s="7">
        <v>0.414414</v>
      </c>
      <c r="CR180" s="7">
        <v>0.99700599999999995</v>
      </c>
      <c r="CS180" s="7">
        <v>27.627628000000001</v>
      </c>
      <c r="CT180" s="7">
        <v>50</v>
      </c>
      <c r="CU180" s="7">
        <v>0.68421100000000001</v>
      </c>
      <c r="CV180" s="7">
        <v>50</v>
      </c>
      <c r="CW180" s="7">
        <v>50</v>
      </c>
      <c r="CX180" s="7">
        <v>0.92592600000000003</v>
      </c>
      <c r="CY180" s="4" t="s">
        <v>124</v>
      </c>
      <c r="CZ180" s="4" t="s">
        <v>124</v>
      </c>
      <c r="DA180" s="7">
        <v>15.389535</v>
      </c>
      <c r="DB180" s="7">
        <v>17.608319000000002</v>
      </c>
      <c r="DC180" s="7">
        <v>16.064022999999999</v>
      </c>
      <c r="DD180" s="7">
        <v>11.115401</v>
      </c>
      <c r="DE180" s="4" t="s">
        <v>124</v>
      </c>
      <c r="DF180" s="6"/>
      <c r="DG180" s="6"/>
      <c r="DH180" s="6"/>
      <c r="DI180" s="6"/>
      <c r="DJ180" s="4" t="s">
        <v>124</v>
      </c>
      <c r="DK180" s="4" t="s">
        <v>124</v>
      </c>
      <c r="DL180" s="4" t="s">
        <v>124</v>
      </c>
      <c r="DM180" s="4" t="s">
        <v>124</v>
      </c>
      <c r="DN180" s="4" t="s">
        <v>124</v>
      </c>
      <c r="DO180" s="4" t="s">
        <v>124</v>
      </c>
      <c r="DP180" s="6"/>
      <c r="DQ180" s="4" t="s">
        <v>125</v>
      </c>
    </row>
    <row r="181" spans="1:121" ht="20" customHeight="1" x14ac:dyDescent="0.15">
      <c r="A181" s="5">
        <v>2018</v>
      </c>
      <c r="B181" s="3" t="s">
        <v>304</v>
      </c>
      <c r="C181" s="4" t="str">
        <f t="shared" ref="C181:C1201" si="175">"3470015"</f>
        <v>3470015</v>
      </c>
      <c r="D181" s="4" t="s">
        <v>122</v>
      </c>
      <c r="E181" s="4" t="str">
        <f t="shared" si="1"/>
        <v>0000000</v>
      </c>
      <c r="F181" s="4" t="s">
        <v>122</v>
      </c>
      <c r="G181" s="4" t="s">
        <v>122</v>
      </c>
      <c r="H181" s="4" t="s">
        <v>122</v>
      </c>
      <c r="I181" s="6"/>
      <c r="J181" s="4" t="s">
        <v>123</v>
      </c>
      <c r="K181" s="7">
        <v>159.08962</v>
      </c>
      <c r="L181" s="7">
        <v>450</v>
      </c>
      <c r="M181" s="7">
        <v>35.353248999999998</v>
      </c>
      <c r="N181" s="4" t="s">
        <v>124</v>
      </c>
      <c r="O181" s="4" t="s">
        <v>124</v>
      </c>
      <c r="P181" s="4" t="s">
        <v>124</v>
      </c>
      <c r="Q181" s="4" t="s">
        <v>124</v>
      </c>
      <c r="R181" s="4" t="s">
        <v>124</v>
      </c>
      <c r="S181" s="4" t="s">
        <v>124</v>
      </c>
      <c r="T181" s="4" t="s">
        <v>124</v>
      </c>
      <c r="U181" s="4" t="s">
        <v>124</v>
      </c>
      <c r="V181" s="4" t="s">
        <v>124</v>
      </c>
      <c r="W181" s="4" t="s">
        <v>124</v>
      </c>
      <c r="X181" s="4" t="s">
        <v>124</v>
      </c>
      <c r="Y181" s="4" t="s">
        <v>124</v>
      </c>
      <c r="Z181" s="4" t="s">
        <v>124</v>
      </c>
      <c r="AA181" s="4" t="s">
        <v>124</v>
      </c>
      <c r="AB181" s="4" t="s">
        <v>124</v>
      </c>
      <c r="AC181" s="4" t="s">
        <v>124</v>
      </c>
      <c r="AD181" s="4" t="s">
        <v>124</v>
      </c>
      <c r="AE181" s="4" t="s">
        <v>124</v>
      </c>
      <c r="AF181" s="4" t="s">
        <v>124</v>
      </c>
      <c r="AG181" s="4" t="s">
        <v>124</v>
      </c>
      <c r="AH181" s="4" t="s">
        <v>124</v>
      </c>
      <c r="AI181" s="4" t="s">
        <v>124</v>
      </c>
      <c r="AJ181" s="4" t="s">
        <v>124</v>
      </c>
      <c r="AK181" s="4" t="s">
        <v>124</v>
      </c>
      <c r="AL181" s="4" t="s">
        <v>124</v>
      </c>
      <c r="AM181" s="4" t="s">
        <v>124</v>
      </c>
      <c r="AN181" s="4" t="s">
        <v>124</v>
      </c>
      <c r="AO181" s="4" t="s">
        <v>124</v>
      </c>
      <c r="AP181" s="4" t="s">
        <v>124</v>
      </c>
      <c r="AQ181" s="4" t="s">
        <v>124</v>
      </c>
      <c r="AR181" s="4" t="s">
        <v>124</v>
      </c>
      <c r="AS181" s="4" t="s">
        <v>124</v>
      </c>
      <c r="AT181" s="4" t="s">
        <v>124</v>
      </c>
      <c r="AU181" s="4" t="s">
        <v>124</v>
      </c>
      <c r="AV181" s="4" t="s">
        <v>124</v>
      </c>
      <c r="AW181" s="4" t="s">
        <v>124</v>
      </c>
      <c r="AX181" s="4" t="s">
        <v>124</v>
      </c>
      <c r="AY181" s="4" t="s">
        <v>124</v>
      </c>
      <c r="AZ181" s="4" t="s">
        <v>124</v>
      </c>
      <c r="BA181" s="4" t="s">
        <v>124</v>
      </c>
      <c r="BB181" s="4" t="s">
        <v>124</v>
      </c>
      <c r="BC181" s="4" t="s">
        <v>124</v>
      </c>
      <c r="BD181" s="4" t="s">
        <v>124</v>
      </c>
      <c r="BE181" s="4" t="s">
        <v>124</v>
      </c>
      <c r="BF181" s="4" t="s">
        <v>124</v>
      </c>
      <c r="BG181" s="4" t="s">
        <v>124</v>
      </c>
      <c r="BH181" s="7">
        <v>1</v>
      </c>
      <c r="BI181" s="7">
        <v>0.92982500000000001</v>
      </c>
      <c r="BJ181" s="7">
        <v>0.92982500000000001</v>
      </c>
      <c r="BK181" s="4" t="s">
        <v>124</v>
      </c>
      <c r="BL181" s="7">
        <v>0.91666700000000001</v>
      </c>
      <c r="BM181" s="7">
        <v>0.91666700000000001</v>
      </c>
      <c r="BN181" s="4" t="s">
        <v>124</v>
      </c>
      <c r="BO181" s="7">
        <v>0.94871799999999995</v>
      </c>
      <c r="BP181" s="7">
        <v>0.94871799999999995</v>
      </c>
      <c r="BQ181" s="4" t="s">
        <v>124</v>
      </c>
      <c r="BR181" s="7">
        <v>0.21782199999999999</v>
      </c>
      <c r="BS181" s="7">
        <v>16.435644</v>
      </c>
      <c r="BT181" s="7">
        <v>50</v>
      </c>
      <c r="BU181" s="7">
        <v>0.21782199999999999</v>
      </c>
      <c r="BV181" s="7">
        <v>16.435644</v>
      </c>
      <c r="BW181" s="7">
        <v>50</v>
      </c>
      <c r="BX181" s="4" t="s">
        <v>124</v>
      </c>
      <c r="BY181" s="4" t="s">
        <v>124</v>
      </c>
      <c r="BZ181" s="4" t="s">
        <v>124</v>
      </c>
      <c r="CA181" s="4" t="s">
        <v>124</v>
      </c>
      <c r="CB181" s="4" t="s">
        <v>124</v>
      </c>
      <c r="CC181" s="4" t="s">
        <v>124</v>
      </c>
      <c r="CD181" s="7">
        <v>0.36363600000000001</v>
      </c>
      <c r="CE181" s="7">
        <v>19.342359999999999</v>
      </c>
      <c r="CF181" s="7">
        <v>50</v>
      </c>
      <c r="CG181" s="7">
        <v>0.12</v>
      </c>
      <c r="CH181" s="7">
        <v>12.765957</v>
      </c>
      <c r="CI181" s="7">
        <v>100</v>
      </c>
      <c r="CJ181" s="7">
        <v>0</v>
      </c>
      <c r="CK181" s="7">
        <v>0.414634</v>
      </c>
      <c r="CL181" s="7">
        <v>44.110016000000002</v>
      </c>
      <c r="CM181" s="7">
        <v>100</v>
      </c>
      <c r="CN181" s="4" t="s">
        <v>124</v>
      </c>
      <c r="CO181" s="4" t="s">
        <v>124</v>
      </c>
      <c r="CP181" s="4" t="s">
        <v>124</v>
      </c>
      <c r="CQ181" s="4" t="s">
        <v>124</v>
      </c>
      <c r="CR181" s="4" t="s">
        <v>124</v>
      </c>
      <c r="CS181" s="7">
        <v>0</v>
      </c>
      <c r="CT181" s="7">
        <v>50</v>
      </c>
      <c r="CU181" s="7">
        <v>0.77049199999999995</v>
      </c>
      <c r="CV181" s="7">
        <v>50</v>
      </c>
      <c r="CW181" s="7">
        <v>50</v>
      </c>
      <c r="CX181" s="7">
        <v>0.414634</v>
      </c>
      <c r="CY181" s="4" t="s">
        <v>124</v>
      </c>
      <c r="CZ181" s="4" t="s">
        <v>124</v>
      </c>
      <c r="DA181" s="4" t="s">
        <v>124</v>
      </c>
      <c r="DB181" s="4" t="s">
        <v>124</v>
      </c>
      <c r="DC181" s="4" t="s">
        <v>124</v>
      </c>
      <c r="DD181" s="7">
        <v>11.115401</v>
      </c>
      <c r="DE181" s="4" t="s">
        <v>124</v>
      </c>
      <c r="DF181" s="6"/>
      <c r="DG181" s="6"/>
      <c r="DH181" s="6"/>
      <c r="DI181" s="6"/>
      <c r="DJ181" s="4" t="s">
        <v>124</v>
      </c>
      <c r="DK181" s="4" t="s">
        <v>124</v>
      </c>
      <c r="DL181" s="4" t="s">
        <v>124</v>
      </c>
      <c r="DM181" s="4" t="s">
        <v>124</v>
      </c>
      <c r="DN181" s="4" t="s">
        <v>124</v>
      </c>
      <c r="DO181" s="4" t="s">
        <v>124</v>
      </c>
      <c r="DP181" s="6"/>
      <c r="DQ181" s="4" t="s">
        <v>125</v>
      </c>
    </row>
    <row r="182" spans="1:121" ht="20" customHeight="1" x14ac:dyDescent="0.15">
      <c r="A182" s="5">
        <v>2018</v>
      </c>
      <c r="B182" s="3" t="s">
        <v>305</v>
      </c>
      <c r="C182" s="4" t="str">
        <f>"9000016"</f>
        <v>9000016</v>
      </c>
      <c r="D182" s="4" t="s">
        <v>122</v>
      </c>
      <c r="E182" s="4" t="str">
        <f t="shared" si="1"/>
        <v>0000000</v>
      </c>
      <c r="F182" s="4" t="s">
        <v>122</v>
      </c>
      <c r="G182" s="4" t="s">
        <v>122</v>
      </c>
      <c r="H182" s="4" t="s">
        <v>122</v>
      </c>
      <c r="I182" s="6"/>
      <c r="J182" s="4" t="s">
        <v>123</v>
      </c>
      <c r="K182" s="7">
        <v>1049.1361710000001</v>
      </c>
      <c r="L182" s="7">
        <v>1550</v>
      </c>
      <c r="M182" s="7">
        <v>67.686205000000001</v>
      </c>
      <c r="N182" s="4" t="s">
        <v>124</v>
      </c>
      <c r="O182" s="7">
        <v>0</v>
      </c>
      <c r="P182" s="7">
        <v>46.510852999999997</v>
      </c>
      <c r="Q182" s="7">
        <v>93.021705999999995</v>
      </c>
      <c r="R182" s="7">
        <v>150</v>
      </c>
      <c r="S182" s="7">
        <v>44.119512999999998</v>
      </c>
      <c r="T182" s="7">
        <v>50.693652999999998</v>
      </c>
      <c r="U182" s="7">
        <v>88.239026999999993</v>
      </c>
      <c r="V182" s="7">
        <v>150</v>
      </c>
      <c r="W182" s="7">
        <v>42.850270000000002</v>
      </c>
      <c r="X182" s="7">
        <v>85.700539000000006</v>
      </c>
      <c r="Y182" s="7">
        <v>150</v>
      </c>
      <c r="Z182" s="7">
        <v>46.690421999999998</v>
      </c>
      <c r="AA182" s="7">
        <v>40.654823999999998</v>
      </c>
      <c r="AB182" s="7">
        <v>81.309647999999996</v>
      </c>
      <c r="AC182" s="7">
        <v>150</v>
      </c>
      <c r="AD182" s="7">
        <v>50.140346999999998</v>
      </c>
      <c r="AE182" s="7">
        <v>66.853796000000003</v>
      </c>
      <c r="AF182" s="7">
        <v>100</v>
      </c>
      <c r="AG182" s="7">
        <v>47.056356000000001</v>
      </c>
      <c r="AH182" s="7">
        <v>55.531148000000002</v>
      </c>
      <c r="AI182" s="7">
        <v>62.741809000000003</v>
      </c>
      <c r="AJ182" s="7">
        <v>100</v>
      </c>
      <c r="AK182" s="7">
        <v>6.57</v>
      </c>
      <c r="AL182" s="7">
        <v>6.03</v>
      </c>
      <c r="AM182" s="7">
        <v>8.4700000000000006</v>
      </c>
      <c r="AN182" s="4" t="s">
        <v>124</v>
      </c>
      <c r="AO182" s="4" t="s">
        <v>124</v>
      </c>
      <c r="AP182" s="4" t="s">
        <v>124</v>
      </c>
      <c r="AQ182" s="4" t="s">
        <v>124</v>
      </c>
      <c r="AR182" s="4" t="s">
        <v>124</v>
      </c>
      <c r="AS182" s="4" t="s">
        <v>124</v>
      </c>
      <c r="AT182" s="4" t="s">
        <v>124</v>
      </c>
      <c r="AU182" s="4" t="s">
        <v>124</v>
      </c>
      <c r="AV182" s="4" t="s">
        <v>124</v>
      </c>
      <c r="AW182" s="4" t="s">
        <v>124</v>
      </c>
      <c r="AX182" s="4" t="s">
        <v>124</v>
      </c>
      <c r="AY182" s="4" t="s">
        <v>124</v>
      </c>
      <c r="AZ182" s="4" t="s">
        <v>124</v>
      </c>
      <c r="BA182" s="4" t="s">
        <v>124</v>
      </c>
      <c r="BB182" s="7">
        <v>0.41923199999999999</v>
      </c>
      <c r="BC182" s="7">
        <v>20.961576999999998</v>
      </c>
      <c r="BD182" s="7">
        <v>50</v>
      </c>
      <c r="BE182" s="7">
        <v>0.55657000000000001</v>
      </c>
      <c r="BF182" s="7">
        <v>27.828519</v>
      </c>
      <c r="BG182" s="7">
        <v>50</v>
      </c>
      <c r="BH182" s="7">
        <v>0</v>
      </c>
      <c r="BI182" s="7">
        <v>0.99505999999999994</v>
      </c>
      <c r="BJ182" s="7">
        <v>0.99224800000000002</v>
      </c>
      <c r="BK182" s="7">
        <v>1</v>
      </c>
      <c r="BL182" s="7">
        <v>0.99505999999999994</v>
      </c>
      <c r="BM182" s="7">
        <v>0.99224800000000002</v>
      </c>
      <c r="BN182" s="7">
        <v>1</v>
      </c>
      <c r="BO182" s="7">
        <v>0.99132900000000002</v>
      </c>
      <c r="BP182" s="7">
        <v>0.98963699999999999</v>
      </c>
      <c r="BQ182" s="7">
        <v>0.99430499999999999</v>
      </c>
      <c r="BR182" s="7">
        <v>9.8913000000000001E-2</v>
      </c>
      <c r="BS182" s="7">
        <v>40.217453999999996</v>
      </c>
      <c r="BT182" s="7">
        <v>50</v>
      </c>
      <c r="BU182" s="7">
        <v>0.121603</v>
      </c>
      <c r="BV182" s="7">
        <v>35.679409999999997</v>
      </c>
      <c r="BW182" s="7">
        <v>50</v>
      </c>
      <c r="BX182" s="7">
        <v>0.99851500000000004</v>
      </c>
      <c r="BY182" s="7">
        <v>50</v>
      </c>
      <c r="BZ182" s="7">
        <v>50</v>
      </c>
      <c r="CA182" s="7">
        <v>0.11858299999999999</v>
      </c>
      <c r="CB182" s="7">
        <v>7.9055299999999997</v>
      </c>
      <c r="CC182" s="7">
        <v>50</v>
      </c>
      <c r="CD182" s="7">
        <v>0.98563100000000003</v>
      </c>
      <c r="CE182" s="7">
        <v>50</v>
      </c>
      <c r="CF182" s="7">
        <v>50</v>
      </c>
      <c r="CG182" s="7">
        <v>0.97027300000000005</v>
      </c>
      <c r="CH182" s="7">
        <v>100</v>
      </c>
      <c r="CI182" s="7">
        <v>100</v>
      </c>
      <c r="CJ182" s="7">
        <v>0</v>
      </c>
      <c r="CK182" s="7">
        <v>0.97292299999999998</v>
      </c>
      <c r="CL182" s="7">
        <v>100</v>
      </c>
      <c r="CM182" s="7">
        <v>100</v>
      </c>
      <c r="CN182" s="7">
        <v>0.44600000000000001</v>
      </c>
      <c r="CO182" s="7">
        <v>59.447265000000002</v>
      </c>
      <c r="CP182" s="7">
        <v>100</v>
      </c>
      <c r="CQ182" s="7">
        <v>0.44383699999999998</v>
      </c>
      <c r="CR182" s="7">
        <v>0.99492000000000003</v>
      </c>
      <c r="CS182" s="7">
        <v>29.589108</v>
      </c>
      <c r="CT182" s="7">
        <v>50</v>
      </c>
      <c r="CU182" s="7">
        <v>0.59568900000000002</v>
      </c>
      <c r="CV182" s="7">
        <v>49.640783999999996</v>
      </c>
      <c r="CW182" s="7">
        <v>50</v>
      </c>
      <c r="CX182" s="7">
        <v>0.97292299999999998</v>
      </c>
      <c r="CY182" s="7">
        <v>0.94</v>
      </c>
      <c r="CZ182" s="7">
        <v>-3.2923000000000001E-2</v>
      </c>
      <c r="DA182" s="7">
        <v>15.389535</v>
      </c>
      <c r="DB182" s="7">
        <v>17.608319000000002</v>
      </c>
      <c r="DC182" s="7">
        <v>16.064022999999999</v>
      </c>
      <c r="DD182" s="7">
        <v>11.115401</v>
      </c>
      <c r="DE182" s="4" t="s">
        <v>124</v>
      </c>
      <c r="DF182" s="6"/>
      <c r="DG182" s="6"/>
      <c r="DH182" s="6"/>
      <c r="DI182" s="6"/>
      <c r="DJ182" s="4" t="s">
        <v>124</v>
      </c>
      <c r="DK182" s="4" t="s">
        <v>124</v>
      </c>
      <c r="DL182" s="4" t="s">
        <v>124</v>
      </c>
      <c r="DM182" s="4" t="s">
        <v>124</v>
      </c>
      <c r="DN182" s="4" t="s">
        <v>124</v>
      </c>
      <c r="DO182" s="4" t="s">
        <v>124</v>
      </c>
      <c r="DP182" s="6"/>
      <c r="DQ182" s="4" t="s">
        <v>125</v>
      </c>
    </row>
    <row r="183" spans="1:121" ht="20" customHeight="1" x14ac:dyDescent="0.15">
      <c r="A183" s="5">
        <v>2018</v>
      </c>
      <c r="B183" s="3" t="s">
        <v>306</v>
      </c>
      <c r="C183" s="4" t="str">
        <f t="shared" ref="C183:C541" si="176">"0670011"</f>
        <v>0670011</v>
      </c>
      <c r="D183" s="4" t="s">
        <v>122</v>
      </c>
      <c r="E183" s="4" t="str">
        <f t="shared" si="1"/>
        <v>0000000</v>
      </c>
      <c r="F183" s="4" t="s">
        <v>122</v>
      </c>
      <c r="G183" s="4" t="s">
        <v>122</v>
      </c>
      <c r="H183" s="4" t="s">
        <v>122</v>
      </c>
      <c r="I183" s="6"/>
      <c r="J183" s="4" t="s">
        <v>123</v>
      </c>
      <c r="K183" s="7">
        <v>622.48799599999995</v>
      </c>
      <c r="L183" s="7">
        <v>850</v>
      </c>
      <c r="M183" s="7">
        <v>73.233881999999994</v>
      </c>
      <c r="N183" s="4" t="s">
        <v>124</v>
      </c>
      <c r="O183" s="7">
        <v>0</v>
      </c>
      <c r="P183" s="7">
        <v>74.062211000000005</v>
      </c>
      <c r="Q183" s="7">
        <v>49.374806999999997</v>
      </c>
      <c r="R183" s="7">
        <v>50</v>
      </c>
      <c r="S183" s="7">
        <v>62.397460000000002</v>
      </c>
      <c r="T183" s="7">
        <v>75</v>
      </c>
      <c r="U183" s="7">
        <v>41.598306000000001</v>
      </c>
      <c r="V183" s="7">
        <v>50</v>
      </c>
      <c r="W183" s="7">
        <v>72.819040999999999</v>
      </c>
      <c r="X183" s="7">
        <v>48.546028</v>
      </c>
      <c r="Y183" s="7">
        <v>50</v>
      </c>
      <c r="Z183" s="7">
        <v>75</v>
      </c>
      <c r="AA183" s="7">
        <v>59.698532999999998</v>
      </c>
      <c r="AB183" s="7">
        <v>39.799022000000001</v>
      </c>
      <c r="AC183" s="7">
        <v>50</v>
      </c>
      <c r="AD183" s="7">
        <v>72.586444</v>
      </c>
      <c r="AE183" s="7">
        <v>48.390962999999999</v>
      </c>
      <c r="AF183" s="7">
        <v>50</v>
      </c>
      <c r="AG183" s="7">
        <v>63</v>
      </c>
      <c r="AH183" s="7">
        <v>75</v>
      </c>
      <c r="AI183" s="7">
        <v>42</v>
      </c>
      <c r="AJ183" s="7">
        <v>50</v>
      </c>
      <c r="AK183" s="7">
        <v>12.6</v>
      </c>
      <c r="AL183" s="7">
        <v>15.3</v>
      </c>
      <c r="AM183" s="7">
        <v>12</v>
      </c>
      <c r="AN183" s="7">
        <v>0.59662800000000005</v>
      </c>
      <c r="AO183" s="7">
        <v>59.662818000000001</v>
      </c>
      <c r="AP183" s="7">
        <v>100</v>
      </c>
      <c r="AQ183" s="7">
        <v>0.66219399999999995</v>
      </c>
      <c r="AR183" s="7">
        <v>66.219419000000002</v>
      </c>
      <c r="AS183" s="7">
        <v>100</v>
      </c>
      <c r="AT183" s="7">
        <v>0.44948199999999999</v>
      </c>
      <c r="AU183" s="7">
        <v>0.66147199999999995</v>
      </c>
      <c r="AV183" s="7">
        <v>44.948163999999998</v>
      </c>
      <c r="AW183" s="7">
        <v>100</v>
      </c>
      <c r="AX183" s="7">
        <v>0.575299</v>
      </c>
      <c r="AY183" s="7">
        <v>0.70048699999999997</v>
      </c>
      <c r="AZ183" s="7">
        <v>57.529864000000003</v>
      </c>
      <c r="BA183" s="7">
        <v>100</v>
      </c>
      <c r="BB183" s="4" t="s">
        <v>124</v>
      </c>
      <c r="BC183" s="4" t="s">
        <v>124</v>
      </c>
      <c r="BD183" s="4" t="s">
        <v>124</v>
      </c>
      <c r="BE183" s="4" t="s">
        <v>124</v>
      </c>
      <c r="BF183" s="4" t="s">
        <v>124</v>
      </c>
      <c r="BG183" s="4" t="s">
        <v>124</v>
      </c>
      <c r="BH183" s="7">
        <v>0</v>
      </c>
      <c r="BI183" s="7">
        <v>1</v>
      </c>
      <c r="BJ183" s="7">
        <v>1</v>
      </c>
      <c r="BK183" s="7">
        <v>1</v>
      </c>
      <c r="BL183" s="7">
        <v>1</v>
      </c>
      <c r="BM183" s="7">
        <v>1</v>
      </c>
      <c r="BN183" s="7">
        <v>1</v>
      </c>
      <c r="BO183" s="7">
        <v>1</v>
      </c>
      <c r="BP183" s="7">
        <v>1</v>
      </c>
      <c r="BQ183" s="7">
        <v>1</v>
      </c>
      <c r="BR183" s="7">
        <v>1.8707000000000001E-2</v>
      </c>
      <c r="BS183" s="7">
        <v>50</v>
      </c>
      <c r="BT183" s="7">
        <v>50</v>
      </c>
      <c r="BU183" s="7">
        <v>3.2258000000000002E-2</v>
      </c>
      <c r="BV183" s="7">
        <v>50</v>
      </c>
      <c r="BW183" s="7">
        <v>50</v>
      </c>
      <c r="BX183" s="4" t="s">
        <v>124</v>
      </c>
      <c r="BY183" s="4" t="s">
        <v>124</v>
      </c>
      <c r="BZ183" s="4" t="s">
        <v>124</v>
      </c>
      <c r="CA183" s="4" t="s">
        <v>124</v>
      </c>
      <c r="CB183" s="4" t="s">
        <v>124</v>
      </c>
      <c r="CC183" s="4" t="s">
        <v>124</v>
      </c>
      <c r="CD183" s="4" t="s">
        <v>124</v>
      </c>
      <c r="CE183" s="4" t="s">
        <v>124</v>
      </c>
      <c r="CF183" s="4" t="s">
        <v>124</v>
      </c>
      <c r="CG183" s="4" t="s">
        <v>124</v>
      </c>
      <c r="CH183" s="4" t="s">
        <v>124</v>
      </c>
      <c r="CI183" s="4" t="s">
        <v>124</v>
      </c>
      <c r="CJ183" s="4" t="s">
        <v>124</v>
      </c>
      <c r="CK183" s="4" t="s">
        <v>124</v>
      </c>
      <c r="CL183" s="4" t="s">
        <v>124</v>
      </c>
      <c r="CM183" s="4" t="s">
        <v>124</v>
      </c>
      <c r="CN183" s="4" t="s">
        <v>124</v>
      </c>
      <c r="CO183" s="4" t="s">
        <v>124</v>
      </c>
      <c r="CP183" s="4" t="s">
        <v>124</v>
      </c>
      <c r="CQ183" s="7">
        <v>0.36627900000000002</v>
      </c>
      <c r="CR183" s="7">
        <v>1.011765</v>
      </c>
      <c r="CS183" s="7">
        <v>24.418604999999999</v>
      </c>
      <c r="CT183" s="7">
        <v>50</v>
      </c>
      <c r="CU183" s="4" t="s">
        <v>124</v>
      </c>
      <c r="CV183" s="4" t="s">
        <v>124</v>
      </c>
      <c r="CW183" s="4" t="s">
        <v>124</v>
      </c>
      <c r="CX183" s="4" t="s">
        <v>124</v>
      </c>
      <c r="CY183" s="4" t="s">
        <v>124</v>
      </c>
      <c r="CZ183" s="4" t="s">
        <v>124</v>
      </c>
      <c r="DA183" s="7">
        <v>15.389535</v>
      </c>
      <c r="DB183" s="7">
        <v>17.608319000000002</v>
      </c>
      <c r="DC183" s="7">
        <v>16.064022999999999</v>
      </c>
      <c r="DD183" s="4" t="s">
        <v>124</v>
      </c>
      <c r="DE183" s="4" t="s">
        <v>124</v>
      </c>
      <c r="DF183" s="6"/>
      <c r="DG183" s="6"/>
      <c r="DH183" s="6"/>
      <c r="DI183" s="6"/>
      <c r="DJ183" s="4" t="s">
        <v>124</v>
      </c>
      <c r="DK183" s="4" t="s">
        <v>124</v>
      </c>
      <c r="DL183" s="4" t="s">
        <v>124</v>
      </c>
      <c r="DM183" s="4" t="s">
        <v>124</v>
      </c>
      <c r="DN183" s="4" t="s">
        <v>124</v>
      </c>
      <c r="DO183" s="4" t="s">
        <v>124</v>
      </c>
      <c r="DP183" s="6"/>
      <c r="DQ183" s="4" t="s">
        <v>125</v>
      </c>
    </row>
    <row r="184" spans="1:121" ht="20" customHeight="1" x14ac:dyDescent="0.15">
      <c r="A184" s="5">
        <v>2018</v>
      </c>
      <c r="B184" s="3" t="s">
        <v>307</v>
      </c>
      <c r="C184" s="4" t="str">
        <f>"0680011"</f>
        <v>0680011</v>
      </c>
      <c r="D184" s="4" t="s">
        <v>122</v>
      </c>
      <c r="E184" s="4" t="str">
        <f t="shared" si="1"/>
        <v>0000000</v>
      </c>
      <c r="F184" s="4" t="s">
        <v>122</v>
      </c>
      <c r="G184" s="4" t="s">
        <v>122</v>
      </c>
      <c r="H184" s="4" t="s">
        <v>122</v>
      </c>
      <c r="I184" s="6"/>
      <c r="J184" s="4" t="s">
        <v>123</v>
      </c>
      <c r="K184" s="7">
        <v>639.53706</v>
      </c>
      <c r="L184" s="7">
        <v>800</v>
      </c>
      <c r="M184" s="7">
        <v>79.942132000000001</v>
      </c>
      <c r="N184" s="4" t="s">
        <v>124</v>
      </c>
      <c r="O184" s="7">
        <v>0</v>
      </c>
      <c r="P184" s="7">
        <v>85.088340000000002</v>
      </c>
      <c r="Q184" s="7">
        <v>50</v>
      </c>
      <c r="R184" s="7">
        <v>50</v>
      </c>
      <c r="S184" s="7">
        <v>72.490071</v>
      </c>
      <c r="T184" s="7">
        <v>75</v>
      </c>
      <c r="U184" s="7">
        <v>48.326714000000003</v>
      </c>
      <c r="V184" s="7">
        <v>50</v>
      </c>
      <c r="W184" s="7">
        <v>76.283510000000007</v>
      </c>
      <c r="X184" s="7">
        <v>50</v>
      </c>
      <c r="Y184" s="7">
        <v>50</v>
      </c>
      <c r="Z184" s="7">
        <v>75</v>
      </c>
      <c r="AA184" s="7">
        <v>66.952200000000005</v>
      </c>
      <c r="AB184" s="7">
        <v>44.634799999999998</v>
      </c>
      <c r="AC184" s="7">
        <v>50</v>
      </c>
      <c r="AD184" s="7">
        <v>83.709816000000004</v>
      </c>
      <c r="AE184" s="7">
        <v>50</v>
      </c>
      <c r="AF184" s="7">
        <v>50</v>
      </c>
      <c r="AG184" s="4" t="s">
        <v>124</v>
      </c>
      <c r="AH184" s="7">
        <v>75</v>
      </c>
      <c r="AI184" s="4" t="s">
        <v>124</v>
      </c>
      <c r="AJ184" s="4" t="s">
        <v>124</v>
      </c>
      <c r="AK184" s="7">
        <v>2.5</v>
      </c>
      <c r="AL184" s="7">
        <v>8.0399999999999991</v>
      </c>
      <c r="AM184" s="4" t="s">
        <v>124</v>
      </c>
      <c r="AN184" s="7">
        <v>0.72571399999999997</v>
      </c>
      <c r="AO184" s="7">
        <v>72.571365</v>
      </c>
      <c r="AP184" s="7">
        <v>100</v>
      </c>
      <c r="AQ184" s="7">
        <v>0.68511900000000003</v>
      </c>
      <c r="AR184" s="7">
        <v>68.511893999999998</v>
      </c>
      <c r="AS184" s="7">
        <v>100</v>
      </c>
      <c r="AT184" s="7">
        <v>0.55296000000000001</v>
      </c>
      <c r="AU184" s="7">
        <v>0.79907499999999998</v>
      </c>
      <c r="AV184" s="7">
        <v>55.296028999999997</v>
      </c>
      <c r="AW184" s="7">
        <v>100</v>
      </c>
      <c r="AX184" s="7">
        <v>0.62822500000000003</v>
      </c>
      <c r="AY184" s="7">
        <v>0.70927899999999999</v>
      </c>
      <c r="AZ184" s="7">
        <v>62.822519999999997</v>
      </c>
      <c r="BA184" s="7">
        <v>100</v>
      </c>
      <c r="BB184" s="4" t="s">
        <v>124</v>
      </c>
      <c r="BC184" s="4" t="s">
        <v>124</v>
      </c>
      <c r="BD184" s="4" t="s">
        <v>124</v>
      </c>
      <c r="BE184" s="4" t="s">
        <v>124</v>
      </c>
      <c r="BF184" s="4" t="s">
        <v>124</v>
      </c>
      <c r="BG184" s="4" t="s">
        <v>124</v>
      </c>
      <c r="BH184" s="7">
        <v>0</v>
      </c>
      <c r="BI184" s="7">
        <v>0.97080299999999997</v>
      </c>
      <c r="BJ184" s="7">
        <v>0.95121999999999995</v>
      </c>
      <c r="BK184" s="7">
        <v>0.97916700000000001</v>
      </c>
      <c r="BL184" s="7">
        <v>0.97080299999999997</v>
      </c>
      <c r="BM184" s="7">
        <v>0.95121999999999995</v>
      </c>
      <c r="BN184" s="7">
        <v>0.97916700000000001</v>
      </c>
      <c r="BO184" s="7">
        <v>0.98</v>
      </c>
      <c r="BP184" s="4" t="s">
        <v>124</v>
      </c>
      <c r="BQ184" s="7">
        <v>0.97297299999999998</v>
      </c>
      <c r="BR184" s="7">
        <v>2.6041999999999999E-2</v>
      </c>
      <c r="BS184" s="7">
        <v>50</v>
      </c>
      <c r="BT184" s="7">
        <v>50</v>
      </c>
      <c r="BU184" s="7">
        <v>3.5088000000000001E-2</v>
      </c>
      <c r="BV184" s="7">
        <v>50</v>
      </c>
      <c r="BW184" s="7">
        <v>50</v>
      </c>
      <c r="BX184" s="4" t="s">
        <v>124</v>
      </c>
      <c r="BY184" s="4" t="s">
        <v>124</v>
      </c>
      <c r="BZ184" s="4" t="s">
        <v>124</v>
      </c>
      <c r="CA184" s="4" t="s">
        <v>124</v>
      </c>
      <c r="CB184" s="4" t="s">
        <v>124</v>
      </c>
      <c r="CC184" s="4" t="s">
        <v>124</v>
      </c>
      <c r="CD184" s="4" t="s">
        <v>124</v>
      </c>
      <c r="CE184" s="4" t="s">
        <v>124</v>
      </c>
      <c r="CF184" s="4" t="s">
        <v>124</v>
      </c>
      <c r="CG184" s="4" t="s">
        <v>124</v>
      </c>
      <c r="CH184" s="4" t="s">
        <v>124</v>
      </c>
      <c r="CI184" s="4" t="s">
        <v>124</v>
      </c>
      <c r="CJ184" s="4" t="s">
        <v>124</v>
      </c>
      <c r="CK184" s="4" t="s">
        <v>124</v>
      </c>
      <c r="CL184" s="4" t="s">
        <v>124</v>
      </c>
      <c r="CM184" s="4" t="s">
        <v>124</v>
      </c>
      <c r="CN184" s="4" t="s">
        <v>124</v>
      </c>
      <c r="CO184" s="4" t="s">
        <v>124</v>
      </c>
      <c r="CP184" s="4" t="s">
        <v>124</v>
      </c>
      <c r="CQ184" s="7">
        <v>0.56060600000000005</v>
      </c>
      <c r="CR184" s="7">
        <v>0.97058800000000001</v>
      </c>
      <c r="CS184" s="7">
        <v>37.373736999999998</v>
      </c>
      <c r="CT184" s="7">
        <v>50</v>
      </c>
      <c r="CU184" s="4" t="s">
        <v>124</v>
      </c>
      <c r="CV184" s="4" t="s">
        <v>124</v>
      </c>
      <c r="CW184" s="4" t="s">
        <v>124</v>
      </c>
      <c r="CX184" s="4" t="s">
        <v>124</v>
      </c>
      <c r="CY184" s="4" t="s">
        <v>124</v>
      </c>
      <c r="CZ184" s="4" t="s">
        <v>124</v>
      </c>
      <c r="DA184" s="7">
        <v>15.389535</v>
      </c>
      <c r="DB184" s="7">
        <v>17.608319000000002</v>
      </c>
      <c r="DC184" s="7">
        <v>16.064022999999999</v>
      </c>
      <c r="DD184" s="4" t="s">
        <v>124</v>
      </c>
      <c r="DE184" s="4" t="s">
        <v>124</v>
      </c>
      <c r="DF184" s="6"/>
      <c r="DG184" s="6"/>
      <c r="DH184" s="6"/>
      <c r="DI184" s="6"/>
      <c r="DJ184" s="4" t="s">
        <v>124</v>
      </c>
      <c r="DK184" s="4" t="s">
        <v>124</v>
      </c>
      <c r="DL184" s="4" t="s">
        <v>124</v>
      </c>
      <c r="DM184" s="4" t="s">
        <v>124</v>
      </c>
      <c r="DN184" s="4" t="s">
        <v>124</v>
      </c>
      <c r="DO184" s="4" t="s">
        <v>124</v>
      </c>
      <c r="DP184" s="6"/>
      <c r="DQ184" s="4" t="s">
        <v>125</v>
      </c>
    </row>
    <row r="185" spans="1:121" ht="20" customHeight="1" x14ac:dyDescent="0.15">
      <c r="A185" s="5">
        <v>2018</v>
      </c>
      <c r="B185" s="3" t="s">
        <v>308</v>
      </c>
      <c r="C185" s="4" t="str">
        <f t="shared" ref="C185:C895" si="177">"1360011"</f>
        <v>1360011</v>
      </c>
      <c r="D185" s="4" t="s">
        <v>122</v>
      </c>
      <c r="E185" s="4" t="str">
        <f t="shared" si="1"/>
        <v>0000000</v>
      </c>
      <c r="F185" s="4" t="s">
        <v>122</v>
      </c>
      <c r="G185" s="4" t="s">
        <v>122</v>
      </c>
      <c r="H185" s="4" t="s">
        <v>122</v>
      </c>
      <c r="I185" s="6"/>
      <c r="J185" s="4" t="s">
        <v>123</v>
      </c>
      <c r="K185" s="7">
        <v>550.22136899999998</v>
      </c>
      <c r="L185" s="7">
        <v>900</v>
      </c>
      <c r="M185" s="7">
        <v>61.135708000000001</v>
      </c>
      <c r="N185" s="4" t="s">
        <v>124</v>
      </c>
      <c r="O185" s="7">
        <v>0</v>
      </c>
      <c r="P185" s="7">
        <v>63.533504000000001</v>
      </c>
      <c r="Q185" s="7">
        <v>42.355668999999999</v>
      </c>
      <c r="R185" s="7">
        <v>50</v>
      </c>
      <c r="S185" s="7">
        <v>54.960464000000002</v>
      </c>
      <c r="T185" s="7">
        <v>70.301693</v>
      </c>
      <c r="U185" s="7">
        <v>36.640309999999999</v>
      </c>
      <c r="V185" s="7">
        <v>50</v>
      </c>
      <c r="W185" s="7">
        <v>56.225143000000003</v>
      </c>
      <c r="X185" s="7">
        <v>37.483429000000001</v>
      </c>
      <c r="Y185" s="7">
        <v>50</v>
      </c>
      <c r="Z185" s="7">
        <v>63.859209999999997</v>
      </c>
      <c r="AA185" s="7">
        <v>46.628030000000003</v>
      </c>
      <c r="AB185" s="7">
        <v>31.085353000000001</v>
      </c>
      <c r="AC185" s="7">
        <v>50</v>
      </c>
      <c r="AD185" s="7">
        <v>62.642724999999999</v>
      </c>
      <c r="AE185" s="7">
        <v>41.761816000000003</v>
      </c>
      <c r="AF185" s="7">
        <v>50</v>
      </c>
      <c r="AG185" s="7">
        <v>54.690505999999999</v>
      </c>
      <c r="AH185" s="7">
        <v>68.050234000000003</v>
      </c>
      <c r="AI185" s="7">
        <v>36.460337000000003</v>
      </c>
      <c r="AJ185" s="7">
        <v>50</v>
      </c>
      <c r="AK185" s="7">
        <v>15.34</v>
      </c>
      <c r="AL185" s="7">
        <v>17.23</v>
      </c>
      <c r="AM185" s="7">
        <v>13.35</v>
      </c>
      <c r="AN185" s="7">
        <v>0.44156699999999999</v>
      </c>
      <c r="AO185" s="7">
        <v>44.156668000000003</v>
      </c>
      <c r="AP185" s="7">
        <v>100</v>
      </c>
      <c r="AQ185" s="7">
        <v>0.474721</v>
      </c>
      <c r="AR185" s="7">
        <v>47.472110000000001</v>
      </c>
      <c r="AS185" s="7">
        <v>100</v>
      </c>
      <c r="AT185" s="7">
        <v>0.38084800000000002</v>
      </c>
      <c r="AU185" s="7">
        <v>0.488985</v>
      </c>
      <c r="AV185" s="7">
        <v>38.084788000000003</v>
      </c>
      <c r="AW185" s="7">
        <v>100</v>
      </c>
      <c r="AX185" s="7">
        <v>0.42437599999999998</v>
      </c>
      <c r="AY185" s="7">
        <v>0.51441599999999998</v>
      </c>
      <c r="AZ185" s="7">
        <v>42.437573</v>
      </c>
      <c r="BA185" s="7">
        <v>100</v>
      </c>
      <c r="BB185" s="4" t="s">
        <v>124</v>
      </c>
      <c r="BC185" s="4" t="s">
        <v>124</v>
      </c>
      <c r="BD185" s="4" t="s">
        <v>124</v>
      </c>
      <c r="BE185" s="4" t="s">
        <v>124</v>
      </c>
      <c r="BF185" s="4" t="s">
        <v>124</v>
      </c>
      <c r="BG185" s="4" t="s">
        <v>124</v>
      </c>
      <c r="BH185" s="7">
        <v>0</v>
      </c>
      <c r="BI185" s="7">
        <v>0.98387100000000005</v>
      </c>
      <c r="BJ185" s="7">
        <v>0.97247700000000004</v>
      </c>
      <c r="BK185" s="7">
        <v>0.99280599999999997</v>
      </c>
      <c r="BL185" s="7">
        <v>0.98387100000000005</v>
      </c>
      <c r="BM185" s="7">
        <v>0.97247700000000004</v>
      </c>
      <c r="BN185" s="7">
        <v>0.99280599999999997</v>
      </c>
      <c r="BO185" s="7">
        <v>0.98876399999999998</v>
      </c>
      <c r="BP185" s="7">
        <v>1</v>
      </c>
      <c r="BQ185" s="7">
        <v>0.98148100000000005</v>
      </c>
      <c r="BR185" s="7">
        <v>8.2596000000000003E-2</v>
      </c>
      <c r="BS185" s="7">
        <v>43.480826</v>
      </c>
      <c r="BT185" s="7">
        <v>50</v>
      </c>
      <c r="BU185" s="7">
        <v>0.13333300000000001</v>
      </c>
      <c r="BV185" s="7">
        <v>33.333333000000003</v>
      </c>
      <c r="BW185" s="7">
        <v>50</v>
      </c>
      <c r="BX185" s="4" t="s">
        <v>124</v>
      </c>
      <c r="BY185" s="4" t="s">
        <v>124</v>
      </c>
      <c r="BZ185" s="4" t="s">
        <v>124</v>
      </c>
      <c r="CA185" s="4" t="s">
        <v>124</v>
      </c>
      <c r="CB185" s="4" t="s">
        <v>124</v>
      </c>
      <c r="CC185" s="4" t="s">
        <v>124</v>
      </c>
      <c r="CD185" s="7">
        <v>0.93023299999999998</v>
      </c>
      <c r="CE185" s="7">
        <v>49.480454999999999</v>
      </c>
      <c r="CF185" s="7">
        <v>50</v>
      </c>
      <c r="CG185" s="4" t="s">
        <v>124</v>
      </c>
      <c r="CH185" s="4" t="s">
        <v>124</v>
      </c>
      <c r="CI185" s="4" t="s">
        <v>124</v>
      </c>
      <c r="CJ185" s="4" t="s">
        <v>124</v>
      </c>
      <c r="CK185" s="4" t="s">
        <v>124</v>
      </c>
      <c r="CL185" s="4" t="s">
        <v>124</v>
      </c>
      <c r="CM185" s="4" t="s">
        <v>124</v>
      </c>
      <c r="CN185" s="4" t="s">
        <v>124</v>
      </c>
      <c r="CO185" s="4" t="s">
        <v>124</v>
      </c>
      <c r="CP185" s="4" t="s">
        <v>124</v>
      </c>
      <c r="CQ185" s="7">
        <v>0.38983099999999998</v>
      </c>
      <c r="CR185" s="7">
        <v>0.94399999999999995</v>
      </c>
      <c r="CS185" s="7">
        <v>25.988700999999999</v>
      </c>
      <c r="CT185" s="7">
        <v>50</v>
      </c>
      <c r="CU185" s="4" t="s">
        <v>124</v>
      </c>
      <c r="CV185" s="4" t="s">
        <v>124</v>
      </c>
      <c r="CW185" s="4" t="s">
        <v>124</v>
      </c>
      <c r="CX185" s="4" t="s">
        <v>124</v>
      </c>
      <c r="CY185" s="4" t="s">
        <v>124</v>
      </c>
      <c r="CZ185" s="4" t="s">
        <v>124</v>
      </c>
      <c r="DA185" s="7">
        <v>15.389535</v>
      </c>
      <c r="DB185" s="7">
        <v>17.608319000000002</v>
      </c>
      <c r="DC185" s="7">
        <v>16.064022999999999</v>
      </c>
      <c r="DD185" s="4" t="s">
        <v>124</v>
      </c>
      <c r="DE185" s="4" t="s">
        <v>124</v>
      </c>
      <c r="DF185" s="6"/>
      <c r="DG185" s="6"/>
      <c r="DH185" s="6"/>
      <c r="DI185" s="6"/>
      <c r="DJ185" s="4" t="s">
        <v>124</v>
      </c>
      <c r="DK185" s="4" t="s">
        <v>124</v>
      </c>
      <c r="DL185" s="4" t="s">
        <v>124</v>
      </c>
      <c r="DM185" s="4" t="s">
        <v>124</v>
      </c>
      <c r="DN185" s="4" t="s">
        <v>124</v>
      </c>
      <c r="DO185" s="4" t="s">
        <v>124</v>
      </c>
      <c r="DP185" s="6"/>
      <c r="DQ185" s="4" t="s">
        <v>125</v>
      </c>
    </row>
    <row r="186" spans="1:121" ht="20" customHeight="1" x14ac:dyDescent="0.15">
      <c r="A186" s="5">
        <v>2018</v>
      </c>
      <c r="B186" s="3" t="s">
        <v>309</v>
      </c>
      <c r="C186" s="4" t="str">
        <f t="shared" ref="C186:C896" si="178">"1370011"</f>
        <v>1370011</v>
      </c>
      <c r="D186" s="4" t="s">
        <v>122</v>
      </c>
      <c r="E186" s="4" t="str">
        <f t="shared" si="1"/>
        <v>0000000</v>
      </c>
      <c r="F186" s="4" t="s">
        <v>122</v>
      </c>
      <c r="G186" s="4" t="s">
        <v>122</v>
      </c>
      <c r="H186" s="4" t="s">
        <v>122</v>
      </c>
      <c r="I186" s="6"/>
      <c r="J186" s="4" t="s">
        <v>123</v>
      </c>
      <c r="K186" s="7">
        <v>1105.715091</v>
      </c>
      <c r="L186" s="7">
        <v>1350</v>
      </c>
      <c r="M186" s="7">
        <v>81.904821999999996</v>
      </c>
      <c r="N186" s="4" t="s">
        <v>124</v>
      </c>
      <c r="O186" s="7">
        <v>0</v>
      </c>
      <c r="P186" s="7">
        <v>76.991533000000004</v>
      </c>
      <c r="Q186" s="7">
        <v>50</v>
      </c>
      <c r="R186" s="7">
        <v>50</v>
      </c>
      <c r="S186" s="7">
        <v>68.398919000000006</v>
      </c>
      <c r="T186" s="7">
        <v>75</v>
      </c>
      <c r="U186" s="7">
        <v>45.599279000000003</v>
      </c>
      <c r="V186" s="7">
        <v>50</v>
      </c>
      <c r="W186" s="7">
        <v>71.633154000000005</v>
      </c>
      <c r="X186" s="7">
        <v>47.755436000000003</v>
      </c>
      <c r="Y186" s="7">
        <v>50</v>
      </c>
      <c r="Z186" s="7">
        <v>75</v>
      </c>
      <c r="AA186" s="7">
        <v>61.708060000000003</v>
      </c>
      <c r="AB186" s="7">
        <v>41.138706999999997</v>
      </c>
      <c r="AC186" s="7">
        <v>50</v>
      </c>
      <c r="AD186" s="7">
        <v>72.191805000000002</v>
      </c>
      <c r="AE186" s="7">
        <v>48.127870000000001</v>
      </c>
      <c r="AF186" s="7">
        <v>50</v>
      </c>
      <c r="AG186" s="7">
        <v>64.201787999999993</v>
      </c>
      <c r="AH186" s="7">
        <v>75</v>
      </c>
      <c r="AI186" s="7">
        <v>42.801192</v>
      </c>
      <c r="AJ186" s="7">
        <v>50</v>
      </c>
      <c r="AK186" s="7">
        <v>6.6</v>
      </c>
      <c r="AL186" s="7">
        <v>13.29</v>
      </c>
      <c r="AM186" s="7">
        <v>10.79</v>
      </c>
      <c r="AN186" s="7">
        <v>0.67186000000000001</v>
      </c>
      <c r="AO186" s="7">
        <v>67.185975999999997</v>
      </c>
      <c r="AP186" s="7">
        <v>100</v>
      </c>
      <c r="AQ186" s="7">
        <v>0.69663399999999998</v>
      </c>
      <c r="AR186" s="7">
        <v>69.663357000000005</v>
      </c>
      <c r="AS186" s="7">
        <v>100</v>
      </c>
      <c r="AT186" s="7">
        <v>0.62031999999999998</v>
      </c>
      <c r="AU186" s="7">
        <v>0.70201800000000003</v>
      </c>
      <c r="AV186" s="7">
        <v>62.032001000000001</v>
      </c>
      <c r="AW186" s="7">
        <v>100</v>
      </c>
      <c r="AX186" s="7">
        <v>0.61253800000000003</v>
      </c>
      <c r="AY186" s="7">
        <v>0.74565899999999996</v>
      </c>
      <c r="AZ186" s="7">
        <v>61.253753000000003</v>
      </c>
      <c r="BA186" s="7">
        <v>100</v>
      </c>
      <c r="BB186" s="4" t="s">
        <v>124</v>
      </c>
      <c r="BC186" s="4" t="s">
        <v>124</v>
      </c>
      <c r="BD186" s="4" t="s">
        <v>124</v>
      </c>
      <c r="BE186" s="4" t="s">
        <v>124</v>
      </c>
      <c r="BF186" s="4" t="s">
        <v>124</v>
      </c>
      <c r="BG186" s="4" t="s">
        <v>124</v>
      </c>
      <c r="BH186" s="7">
        <v>0</v>
      </c>
      <c r="BI186" s="7">
        <v>0.99347600000000003</v>
      </c>
      <c r="BJ186" s="7">
        <v>0.98288500000000001</v>
      </c>
      <c r="BK186" s="7">
        <v>1</v>
      </c>
      <c r="BL186" s="7">
        <v>0.99254399999999998</v>
      </c>
      <c r="BM186" s="7">
        <v>0.98043999999999998</v>
      </c>
      <c r="BN186" s="7">
        <v>1</v>
      </c>
      <c r="BO186" s="7">
        <v>0.99147099999999999</v>
      </c>
      <c r="BP186" s="7">
        <v>0.97499999999999998</v>
      </c>
      <c r="BQ186" s="7">
        <v>1</v>
      </c>
      <c r="BR186" s="7">
        <v>9.2424000000000006E-2</v>
      </c>
      <c r="BS186" s="7">
        <v>41.515152</v>
      </c>
      <c r="BT186" s="7">
        <v>50</v>
      </c>
      <c r="BU186" s="7">
        <v>0.15909100000000001</v>
      </c>
      <c r="BV186" s="7">
        <v>28.181818</v>
      </c>
      <c r="BW186" s="7">
        <v>50</v>
      </c>
      <c r="BX186" s="7">
        <v>0.793605</v>
      </c>
      <c r="BY186" s="7">
        <v>50</v>
      </c>
      <c r="BZ186" s="7">
        <v>50</v>
      </c>
      <c r="CA186" s="7">
        <v>0.57267400000000002</v>
      </c>
      <c r="CB186" s="7">
        <v>38.178294999999999</v>
      </c>
      <c r="CC186" s="7">
        <v>50</v>
      </c>
      <c r="CD186" s="7">
        <v>0.98717900000000003</v>
      </c>
      <c r="CE186" s="7">
        <v>50</v>
      </c>
      <c r="CF186" s="7">
        <v>50</v>
      </c>
      <c r="CG186" s="7">
        <v>0.93820199999999998</v>
      </c>
      <c r="CH186" s="7">
        <v>99.808750000000003</v>
      </c>
      <c r="CI186" s="7">
        <v>100</v>
      </c>
      <c r="CJ186" s="7">
        <v>0</v>
      </c>
      <c r="CK186" s="7">
        <v>0.88461500000000004</v>
      </c>
      <c r="CL186" s="7">
        <v>94.108019999999996</v>
      </c>
      <c r="CM186" s="7">
        <v>100</v>
      </c>
      <c r="CN186" s="7">
        <v>0.78100000000000003</v>
      </c>
      <c r="CO186" s="7">
        <v>100</v>
      </c>
      <c r="CP186" s="7">
        <v>100</v>
      </c>
      <c r="CQ186" s="7">
        <v>0.710758</v>
      </c>
      <c r="CR186" s="7">
        <v>0.87096799999999996</v>
      </c>
      <c r="CS186" s="7">
        <v>23.691946000000002</v>
      </c>
      <c r="CT186" s="7">
        <v>50</v>
      </c>
      <c r="CU186" s="7">
        <v>0.53608199999999995</v>
      </c>
      <c r="CV186" s="7">
        <v>44.673540000000003</v>
      </c>
      <c r="CW186" s="7">
        <v>50</v>
      </c>
      <c r="CX186" s="7">
        <v>0.88461500000000004</v>
      </c>
      <c r="CY186" s="7">
        <v>0.94</v>
      </c>
      <c r="CZ186" s="7">
        <v>5.5384999999999997E-2</v>
      </c>
      <c r="DA186" s="7">
        <v>15.389535</v>
      </c>
      <c r="DB186" s="7">
        <v>17.608319000000002</v>
      </c>
      <c r="DC186" s="7">
        <v>16.064022999999999</v>
      </c>
      <c r="DD186" s="7">
        <v>11.115401</v>
      </c>
      <c r="DE186" s="4" t="s">
        <v>124</v>
      </c>
      <c r="DF186" s="6"/>
      <c r="DG186" s="6"/>
      <c r="DH186" s="6"/>
      <c r="DI186" s="6"/>
      <c r="DJ186" s="4" t="s">
        <v>124</v>
      </c>
      <c r="DK186" s="4" t="s">
        <v>124</v>
      </c>
      <c r="DL186" s="4" t="s">
        <v>124</v>
      </c>
      <c r="DM186" s="4" t="s">
        <v>124</v>
      </c>
      <c r="DN186" s="4" t="s">
        <v>124</v>
      </c>
      <c r="DO186" s="4" t="s">
        <v>124</v>
      </c>
      <c r="DP186" s="6"/>
      <c r="DQ186" s="4" t="s">
        <v>125</v>
      </c>
    </row>
    <row r="187" spans="1:121" ht="20" customHeight="1" x14ac:dyDescent="0.15">
      <c r="A187" s="5">
        <v>2018</v>
      </c>
      <c r="B187" s="3" t="s">
        <v>310</v>
      </c>
      <c r="C187" s="4" t="str">
        <f t="shared" ref="C187:C1175" si="179">"2780013"</f>
        <v>2780013</v>
      </c>
      <c r="D187" s="4" t="s">
        <v>122</v>
      </c>
      <c r="E187" s="4" t="str">
        <f t="shared" si="1"/>
        <v>0000000</v>
      </c>
      <c r="F187" s="4" t="s">
        <v>122</v>
      </c>
      <c r="G187" s="4" t="s">
        <v>122</v>
      </c>
      <c r="H187" s="4" t="s">
        <v>122</v>
      </c>
      <c r="I187" s="6"/>
      <c r="J187" s="4" t="s">
        <v>123</v>
      </c>
      <c r="K187" s="7">
        <v>516.61743100000001</v>
      </c>
      <c r="L187" s="7">
        <v>900</v>
      </c>
      <c r="M187" s="7">
        <v>57.401936999999997</v>
      </c>
      <c r="N187" s="4" t="s">
        <v>124</v>
      </c>
      <c r="O187" s="7">
        <v>0</v>
      </c>
      <c r="P187" s="7">
        <v>49.265135000000001</v>
      </c>
      <c r="Q187" s="7">
        <v>32.843423999999999</v>
      </c>
      <c r="R187" s="7">
        <v>50</v>
      </c>
      <c r="S187" s="7">
        <v>48.409213999999999</v>
      </c>
      <c r="T187" s="7">
        <v>52.346454000000001</v>
      </c>
      <c r="U187" s="7">
        <v>32.272809000000002</v>
      </c>
      <c r="V187" s="7">
        <v>50</v>
      </c>
      <c r="W187" s="7">
        <v>35.727752000000002</v>
      </c>
      <c r="X187" s="7">
        <v>23.818501000000001</v>
      </c>
      <c r="Y187" s="7">
        <v>50</v>
      </c>
      <c r="Z187" s="7">
        <v>37.896659</v>
      </c>
      <c r="AA187" s="7">
        <v>35.125278000000002</v>
      </c>
      <c r="AB187" s="7">
        <v>23.416851999999999</v>
      </c>
      <c r="AC187" s="7">
        <v>50</v>
      </c>
      <c r="AD187" s="7">
        <v>43.364398999999999</v>
      </c>
      <c r="AE187" s="7">
        <v>28.909599</v>
      </c>
      <c r="AF187" s="7">
        <v>50</v>
      </c>
      <c r="AG187" s="7">
        <v>43.241379000000002</v>
      </c>
      <c r="AH187" s="4" t="s">
        <v>124</v>
      </c>
      <c r="AI187" s="7">
        <v>28.827586</v>
      </c>
      <c r="AJ187" s="7">
        <v>50</v>
      </c>
      <c r="AK187" s="7">
        <v>3.93</v>
      </c>
      <c r="AL187" s="7">
        <v>2.77</v>
      </c>
      <c r="AM187" s="4" t="s">
        <v>124</v>
      </c>
      <c r="AN187" s="7">
        <v>0.537968</v>
      </c>
      <c r="AO187" s="7">
        <v>53.796807999999999</v>
      </c>
      <c r="AP187" s="7">
        <v>100</v>
      </c>
      <c r="AQ187" s="7">
        <v>0.37008200000000002</v>
      </c>
      <c r="AR187" s="7">
        <v>37.008159999999997</v>
      </c>
      <c r="AS187" s="7">
        <v>100</v>
      </c>
      <c r="AT187" s="7">
        <v>0.56554300000000002</v>
      </c>
      <c r="AU187" s="7">
        <v>0.446052</v>
      </c>
      <c r="AV187" s="7">
        <v>56.554301000000002</v>
      </c>
      <c r="AW187" s="7">
        <v>100</v>
      </c>
      <c r="AX187" s="7">
        <v>0.415491</v>
      </c>
      <c r="AY187" s="7">
        <v>0.218718</v>
      </c>
      <c r="AZ187" s="7">
        <v>41.549081000000001</v>
      </c>
      <c r="BA187" s="7">
        <v>100</v>
      </c>
      <c r="BB187" s="4" t="s">
        <v>124</v>
      </c>
      <c r="BC187" s="4" t="s">
        <v>124</v>
      </c>
      <c r="BD187" s="4" t="s">
        <v>124</v>
      </c>
      <c r="BE187" s="4" t="s">
        <v>124</v>
      </c>
      <c r="BF187" s="4" t="s">
        <v>124</v>
      </c>
      <c r="BG187" s="4" t="s">
        <v>124</v>
      </c>
      <c r="BH187" s="7">
        <v>1</v>
      </c>
      <c r="BI187" s="7">
        <v>0.97637799999999997</v>
      </c>
      <c r="BJ187" s="7">
        <v>1</v>
      </c>
      <c r="BK187" s="7">
        <v>0.89655200000000002</v>
      </c>
      <c r="BL187" s="7">
        <v>0.96850400000000003</v>
      </c>
      <c r="BM187" s="7">
        <v>0.98979600000000001</v>
      </c>
      <c r="BN187" s="7">
        <v>0.89655200000000002</v>
      </c>
      <c r="BO187" s="7">
        <v>0.90909099999999998</v>
      </c>
      <c r="BP187" s="7">
        <v>0.87878800000000001</v>
      </c>
      <c r="BQ187" s="4" t="s">
        <v>124</v>
      </c>
      <c r="BR187" s="7">
        <v>3.1746000000000003E-2</v>
      </c>
      <c r="BS187" s="7">
        <v>50</v>
      </c>
      <c r="BT187" s="7">
        <v>50</v>
      </c>
      <c r="BU187" s="7">
        <v>3.2786999999999997E-2</v>
      </c>
      <c r="BV187" s="7">
        <v>50</v>
      </c>
      <c r="BW187" s="7">
        <v>50</v>
      </c>
      <c r="BX187" s="4" t="s">
        <v>124</v>
      </c>
      <c r="BY187" s="4" t="s">
        <v>124</v>
      </c>
      <c r="BZ187" s="4" t="s">
        <v>124</v>
      </c>
      <c r="CA187" s="4" t="s">
        <v>124</v>
      </c>
      <c r="CB187" s="4" t="s">
        <v>124</v>
      </c>
      <c r="CC187" s="4" t="s">
        <v>124</v>
      </c>
      <c r="CD187" s="7">
        <v>0.56521699999999997</v>
      </c>
      <c r="CE187" s="7">
        <v>30.064755000000002</v>
      </c>
      <c r="CF187" s="7">
        <v>50</v>
      </c>
      <c r="CG187" s="4" t="s">
        <v>124</v>
      </c>
      <c r="CH187" s="4" t="s">
        <v>124</v>
      </c>
      <c r="CI187" s="4" t="s">
        <v>124</v>
      </c>
      <c r="CJ187" s="4" t="s">
        <v>124</v>
      </c>
      <c r="CK187" s="4" t="s">
        <v>124</v>
      </c>
      <c r="CL187" s="4" t="s">
        <v>124</v>
      </c>
      <c r="CM187" s="4" t="s">
        <v>124</v>
      </c>
      <c r="CN187" s="4" t="s">
        <v>124</v>
      </c>
      <c r="CO187" s="4" t="s">
        <v>124</v>
      </c>
      <c r="CP187" s="4" t="s">
        <v>124</v>
      </c>
      <c r="CQ187" s="7">
        <v>0.41333300000000001</v>
      </c>
      <c r="CR187" s="7">
        <v>0.91463399999999995</v>
      </c>
      <c r="CS187" s="7">
        <v>27.555555999999999</v>
      </c>
      <c r="CT187" s="7">
        <v>50</v>
      </c>
      <c r="CU187" s="4" t="s">
        <v>124</v>
      </c>
      <c r="CV187" s="4" t="s">
        <v>124</v>
      </c>
      <c r="CW187" s="4" t="s">
        <v>124</v>
      </c>
      <c r="CX187" s="4" t="s">
        <v>124</v>
      </c>
      <c r="CY187" s="4" t="s">
        <v>124</v>
      </c>
      <c r="CZ187" s="4" t="s">
        <v>124</v>
      </c>
      <c r="DA187" s="7">
        <v>15.389535</v>
      </c>
      <c r="DB187" s="7">
        <v>17.608319000000002</v>
      </c>
      <c r="DC187" s="7">
        <v>16.064022999999999</v>
      </c>
      <c r="DD187" s="4" t="s">
        <v>124</v>
      </c>
      <c r="DE187" s="4" t="s">
        <v>124</v>
      </c>
      <c r="DF187" s="6"/>
      <c r="DG187" s="6"/>
      <c r="DH187" s="6"/>
      <c r="DI187" s="6"/>
      <c r="DJ187" s="4" t="s">
        <v>124</v>
      </c>
      <c r="DK187" s="4" t="s">
        <v>124</v>
      </c>
      <c r="DL187" s="4" t="s">
        <v>124</v>
      </c>
      <c r="DM187" s="4" t="s">
        <v>124</v>
      </c>
      <c r="DN187" s="4" t="s">
        <v>124</v>
      </c>
      <c r="DO187" s="4" t="s">
        <v>124</v>
      </c>
      <c r="DP187" s="6"/>
      <c r="DQ187" s="4" t="s">
        <v>125</v>
      </c>
    </row>
    <row r="188" spans="1:121" ht="20" customHeight="1" x14ac:dyDescent="0.15">
      <c r="A188" s="5">
        <v>2018</v>
      </c>
      <c r="B188" s="3" t="s">
        <v>311</v>
      </c>
      <c r="C188" s="4" t="str">
        <f>"2790013"</f>
        <v>2790013</v>
      </c>
      <c r="D188" s="4" t="s">
        <v>122</v>
      </c>
      <c r="E188" s="4" t="str">
        <f t="shared" si="1"/>
        <v>0000000</v>
      </c>
      <c r="F188" s="4" t="s">
        <v>122</v>
      </c>
      <c r="G188" s="4" t="s">
        <v>122</v>
      </c>
      <c r="H188" s="4" t="s">
        <v>122</v>
      </c>
      <c r="I188" s="6"/>
      <c r="J188" s="4" t="s">
        <v>123</v>
      </c>
      <c r="K188" s="7">
        <v>1158.9113890000001</v>
      </c>
      <c r="L188" s="7">
        <v>1450</v>
      </c>
      <c r="M188" s="7">
        <v>79.924923000000007</v>
      </c>
      <c r="N188" s="4" t="s">
        <v>124</v>
      </c>
      <c r="O188" s="7">
        <v>0</v>
      </c>
      <c r="P188" s="7">
        <v>66.904189000000002</v>
      </c>
      <c r="Q188" s="7">
        <v>44.602792999999998</v>
      </c>
      <c r="R188" s="7">
        <v>50</v>
      </c>
      <c r="S188" s="7">
        <v>66.904189000000002</v>
      </c>
      <c r="T188" s="4" t="s">
        <v>124</v>
      </c>
      <c r="U188" s="7">
        <v>44.602792999999998</v>
      </c>
      <c r="V188" s="7">
        <v>50</v>
      </c>
      <c r="W188" s="7">
        <v>63.654426000000001</v>
      </c>
      <c r="X188" s="7">
        <v>42.436284000000001</v>
      </c>
      <c r="Y188" s="7">
        <v>50</v>
      </c>
      <c r="Z188" s="4" t="s">
        <v>124</v>
      </c>
      <c r="AA188" s="7">
        <v>63.654426000000001</v>
      </c>
      <c r="AB188" s="7">
        <v>42.436284000000001</v>
      </c>
      <c r="AC188" s="7">
        <v>50</v>
      </c>
      <c r="AD188" s="7">
        <v>58.209553</v>
      </c>
      <c r="AE188" s="7">
        <v>38.806368999999997</v>
      </c>
      <c r="AF188" s="7">
        <v>50</v>
      </c>
      <c r="AG188" s="7">
        <v>58.209553</v>
      </c>
      <c r="AH188" s="4" t="s">
        <v>124</v>
      </c>
      <c r="AI188" s="7">
        <v>38.806368999999997</v>
      </c>
      <c r="AJ188" s="7">
        <v>50</v>
      </c>
      <c r="AK188" s="4" t="s">
        <v>124</v>
      </c>
      <c r="AL188" s="4" t="s">
        <v>124</v>
      </c>
      <c r="AM188" s="4" t="s">
        <v>124</v>
      </c>
      <c r="AN188" s="7">
        <v>0.63679600000000003</v>
      </c>
      <c r="AO188" s="7">
        <v>63.679642999999999</v>
      </c>
      <c r="AP188" s="7">
        <v>100</v>
      </c>
      <c r="AQ188" s="7">
        <v>0.64774699999999996</v>
      </c>
      <c r="AR188" s="7">
        <v>64.774736000000004</v>
      </c>
      <c r="AS188" s="7">
        <v>100</v>
      </c>
      <c r="AT188" s="7">
        <v>0.63679600000000003</v>
      </c>
      <c r="AU188" s="4" t="s">
        <v>124</v>
      </c>
      <c r="AV188" s="7">
        <v>63.679642999999999</v>
      </c>
      <c r="AW188" s="7">
        <v>100</v>
      </c>
      <c r="AX188" s="7">
        <v>0.64774699999999996</v>
      </c>
      <c r="AY188" s="4" t="s">
        <v>124</v>
      </c>
      <c r="AZ188" s="7">
        <v>64.774736000000004</v>
      </c>
      <c r="BA188" s="7">
        <v>100</v>
      </c>
      <c r="BB188" s="7">
        <v>0.52819499999999997</v>
      </c>
      <c r="BC188" s="7">
        <v>26.409754</v>
      </c>
      <c r="BD188" s="7">
        <v>50</v>
      </c>
      <c r="BE188" s="7">
        <v>0.62043599999999999</v>
      </c>
      <c r="BF188" s="7">
        <v>31.021809000000001</v>
      </c>
      <c r="BG188" s="7">
        <v>50</v>
      </c>
      <c r="BH188" s="7">
        <v>0</v>
      </c>
      <c r="BI188" s="7">
        <v>0.99310299999999996</v>
      </c>
      <c r="BJ188" s="7">
        <v>0.99310299999999996</v>
      </c>
      <c r="BK188" s="4" t="s">
        <v>124</v>
      </c>
      <c r="BL188" s="7">
        <v>0.99137900000000001</v>
      </c>
      <c r="BM188" s="7">
        <v>0.99137900000000001</v>
      </c>
      <c r="BN188" s="4" t="s">
        <v>124</v>
      </c>
      <c r="BO188" s="7">
        <v>0.96943199999999996</v>
      </c>
      <c r="BP188" s="7">
        <v>0.96943199999999996</v>
      </c>
      <c r="BQ188" s="4" t="s">
        <v>124</v>
      </c>
      <c r="BR188" s="7">
        <v>7.1084999999999995E-2</v>
      </c>
      <c r="BS188" s="7">
        <v>45.782901000000003</v>
      </c>
      <c r="BT188" s="7">
        <v>50</v>
      </c>
      <c r="BU188" s="7">
        <v>6.4802999999999999E-2</v>
      </c>
      <c r="BV188" s="7">
        <v>47.039389999999997</v>
      </c>
      <c r="BW188" s="7">
        <v>50</v>
      </c>
      <c r="BX188" s="7">
        <v>1</v>
      </c>
      <c r="BY188" s="7">
        <v>50</v>
      </c>
      <c r="BZ188" s="7">
        <v>50</v>
      </c>
      <c r="CA188" s="7">
        <v>0.524752</v>
      </c>
      <c r="CB188" s="7">
        <v>34.983497999999997</v>
      </c>
      <c r="CC188" s="7">
        <v>50</v>
      </c>
      <c r="CD188" s="7">
        <v>0.944828</v>
      </c>
      <c r="CE188" s="7">
        <v>50</v>
      </c>
      <c r="CF188" s="7">
        <v>50</v>
      </c>
      <c r="CG188" s="7">
        <v>0.95454499999999998</v>
      </c>
      <c r="CH188" s="7">
        <v>100</v>
      </c>
      <c r="CI188" s="7">
        <v>100</v>
      </c>
      <c r="CJ188" s="7">
        <v>0</v>
      </c>
      <c r="CK188" s="7">
        <v>0.96428599999999998</v>
      </c>
      <c r="CL188" s="7">
        <v>100</v>
      </c>
      <c r="CM188" s="7">
        <v>100</v>
      </c>
      <c r="CN188" s="7">
        <v>0.91100000000000003</v>
      </c>
      <c r="CO188" s="7">
        <v>100</v>
      </c>
      <c r="CP188" s="7">
        <v>100</v>
      </c>
      <c r="CQ188" s="7">
        <v>0.27652700000000002</v>
      </c>
      <c r="CR188" s="7">
        <v>0.94528900000000005</v>
      </c>
      <c r="CS188" s="7">
        <v>18.435155000000002</v>
      </c>
      <c r="CT188" s="7">
        <v>50</v>
      </c>
      <c r="CU188" s="7">
        <v>0.55967100000000003</v>
      </c>
      <c r="CV188" s="7">
        <v>46.639232</v>
      </c>
      <c r="CW188" s="7">
        <v>50</v>
      </c>
      <c r="CX188" s="7">
        <v>0.96428599999999998</v>
      </c>
      <c r="CY188" s="4" t="s">
        <v>124</v>
      </c>
      <c r="CZ188" s="4" t="s">
        <v>124</v>
      </c>
      <c r="DA188" s="7">
        <v>15.389535</v>
      </c>
      <c r="DB188" s="7">
        <v>17.608319000000002</v>
      </c>
      <c r="DC188" s="7">
        <v>16.064022999999999</v>
      </c>
      <c r="DD188" s="7">
        <v>11.115401</v>
      </c>
      <c r="DE188" s="4" t="s">
        <v>124</v>
      </c>
      <c r="DF188" s="6"/>
      <c r="DG188" s="6"/>
      <c r="DH188" s="6"/>
      <c r="DI188" s="6"/>
      <c r="DJ188" s="4" t="s">
        <v>124</v>
      </c>
      <c r="DK188" s="4" t="s">
        <v>124</v>
      </c>
      <c r="DL188" s="4" t="s">
        <v>124</v>
      </c>
      <c r="DM188" s="4" t="s">
        <v>124</v>
      </c>
      <c r="DN188" s="4" t="s">
        <v>124</v>
      </c>
      <c r="DO188" s="4" t="s">
        <v>124</v>
      </c>
      <c r="DP188" s="6"/>
      <c r="DQ188" s="4" t="s">
        <v>125</v>
      </c>
    </row>
    <row r="189" spans="1:121" ht="20" customHeight="1" x14ac:dyDescent="0.15">
      <c r="A189" s="5">
        <v>2018</v>
      </c>
      <c r="B189" s="3" t="s">
        <v>312</v>
      </c>
      <c r="C189" s="4" t="str">
        <f>"2800013"</f>
        <v>2800013</v>
      </c>
      <c r="D189" s="4" t="s">
        <v>122</v>
      </c>
      <c r="E189" s="4" t="str">
        <f t="shared" si="1"/>
        <v>0000000</v>
      </c>
      <c r="F189" s="4" t="s">
        <v>122</v>
      </c>
      <c r="G189" s="4" t="s">
        <v>122</v>
      </c>
      <c r="H189" s="4" t="s">
        <v>122</v>
      </c>
      <c r="I189" s="6"/>
      <c r="J189" s="4" t="s">
        <v>123</v>
      </c>
      <c r="K189" s="7">
        <v>604.93026799999996</v>
      </c>
      <c r="L189" s="7">
        <v>900</v>
      </c>
      <c r="M189" s="7">
        <v>67.214473999999996</v>
      </c>
      <c r="N189" s="4" t="s">
        <v>124</v>
      </c>
      <c r="O189" s="7">
        <v>0</v>
      </c>
      <c r="P189" s="7">
        <v>59.334319999999998</v>
      </c>
      <c r="Q189" s="7">
        <v>39.556213</v>
      </c>
      <c r="R189" s="7">
        <v>50</v>
      </c>
      <c r="S189" s="7">
        <v>58.805492000000001</v>
      </c>
      <c r="T189" s="7">
        <v>63.640495000000001</v>
      </c>
      <c r="U189" s="7">
        <v>39.203660999999997</v>
      </c>
      <c r="V189" s="7">
        <v>50</v>
      </c>
      <c r="W189" s="7">
        <v>51.125101999999998</v>
      </c>
      <c r="X189" s="7">
        <v>34.083401000000002</v>
      </c>
      <c r="Y189" s="7">
        <v>50</v>
      </c>
      <c r="Z189" s="7">
        <v>55.469557000000002</v>
      </c>
      <c r="AA189" s="7">
        <v>50.591571999999999</v>
      </c>
      <c r="AB189" s="7">
        <v>33.727715000000003</v>
      </c>
      <c r="AC189" s="7">
        <v>50</v>
      </c>
      <c r="AD189" s="7">
        <v>55.260351</v>
      </c>
      <c r="AE189" s="7">
        <v>36.840234000000002</v>
      </c>
      <c r="AF189" s="7">
        <v>50</v>
      </c>
      <c r="AG189" s="7">
        <v>54.319876999999998</v>
      </c>
      <c r="AH189" s="4" t="s">
        <v>124</v>
      </c>
      <c r="AI189" s="7">
        <v>36.213251</v>
      </c>
      <c r="AJ189" s="7">
        <v>50</v>
      </c>
      <c r="AK189" s="7">
        <v>4.83</v>
      </c>
      <c r="AL189" s="7">
        <v>4.87</v>
      </c>
      <c r="AM189" s="4" t="s">
        <v>124</v>
      </c>
      <c r="AN189" s="7">
        <v>0.62781299999999995</v>
      </c>
      <c r="AO189" s="7">
        <v>62.781300000000002</v>
      </c>
      <c r="AP189" s="7">
        <v>100</v>
      </c>
      <c r="AQ189" s="7">
        <v>0.72543500000000005</v>
      </c>
      <c r="AR189" s="7">
        <v>72.543451000000005</v>
      </c>
      <c r="AS189" s="7">
        <v>100</v>
      </c>
      <c r="AT189" s="7">
        <v>0.622556</v>
      </c>
      <c r="AU189" s="4" t="s">
        <v>124</v>
      </c>
      <c r="AV189" s="7">
        <v>62.255588000000003</v>
      </c>
      <c r="AW189" s="7">
        <v>100</v>
      </c>
      <c r="AX189" s="7">
        <v>0.72268100000000002</v>
      </c>
      <c r="AY189" s="4" t="s">
        <v>124</v>
      </c>
      <c r="AZ189" s="7">
        <v>72.268130999999997</v>
      </c>
      <c r="BA189" s="7">
        <v>100</v>
      </c>
      <c r="BB189" s="4" t="s">
        <v>124</v>
      </c>
      <c r="BC189" s="4" t="s">
        <v>124</v>
      </c>
      <c r="BD189" s="4" t="s">
        <v>124</v>
      </c>
      <c r="BE189" s="4" t="s">
        <v>124</v>
      </c>
      <c r="BF189" s="4" t="s">
        <v>124</v>
      </c>
      <c r="BG189" s="4" t="s">
        <v>124</v>
      </c>
      <c r="BH189" s="7">
        <v>0</v>
      </c>
      <c r="BI189" s="7">
        <v>1</v>
      </c>
      <c r="BJ189" s="7">
        <v>1</v>
      </c>
      <c r="BK189" s="7">
        <v>1</v>
      </c>
      <c r="BL189" s="7">
        <v>1</v>
      </c>
      <c r="BM189" s="7">
        <v>1</v>
      </c>
      <c r="BN189" s="7">
        <v>1</v>
      </c>
      <c r="BO189" s="7">
        <v>1</v>
      </c>
      <c r="BP189" s="7">
        <v>1</v>
      </c>
      <c r="BQ189" s="4" t="s">
        <v>124</v>
      </c>
      <c r="BR189" s="7">
        <v>0.12230199999999999</v>
      </c>
      <c r="BS189" s="7">
        <v>35.539568000000003</v>
      </c>
      <c r="BT189" s="7">
        <v>50</v>
      </c>
      <c r="BU189" s="7">
        <v>0.13445399999999999</v>
      </c>
      <c r="BV189" s="7">
        <v>33.109243999999997</v>
      </c>
      <c r="BW189" s="7">
        <v>50</v>
      </c>
      <c r="BX189" s="4" t="s">
        <v>124</v>
      </c>
      <c r="BY189" s="4" t="s">
        <v>124</v>
      </c>
      <c r="BZ189" s="4" t="s">
        <v>124</v>
      </c>
      <c r="CA189" s="4" t="s">
        <v>124</v>
      </c>
      <c r="CB189" s="4" t="s">
        <v>124</v>
      </c>
      <c r="CC189" s="4" t="s">
        <v>124</v>
      </c>
      <c r="CD189" s="7">
        <v>0.88</v>
      </c>
      <c r="CE189" s="7">
        <v>46.808511000000003</v>
      </c>
      <c r="CF189" s="7">
        <v>50</v>
      </c>
      <c r="CG189" s="4" t="s">
        <v>124</v>
      </c>
      <c r="CH189" s="4" t="s">
        <v>124</v>
      </c>
      <c r="CI189" s="4" t="s">
        <v>124</v>
      </c>
      <c r="CJ189" s="4" t="s">
        <v>124</v>
      </c>
      <c r="CK189" s="4" t="s">
        <v>124</v>
      </c>
      <c r="CL189" s="4" t="s">
        <v>124</v>
      </c>
      <c r="CM189" s="4" t="s">
        <v>124</v>
      </c>
      <c r="CN189" s="4" t="s">
        <v>124</v>
      </c>
      <c r="CO189" s="4" t="s">
        <v>124</v>
      </c>
      <c r="CP189" s="4" t="s">
        <v>124</v>
      </c>
      <c r="CQ189" s="4" t="s">
        <v>124</v>
      </c>
      <c r="CR189" s="7">
        <v>0</v>
      </c>
      <c r="CS189" s="7">
        <v>0</v>
      </c>
      <c r="CT189" s="7">
        <v>50</v>
      </c>
      <c r="CU189" s="4" t="s">
        <v>124</v>
      </c>
      <c r="CV189" s="4" t="s">
        <v>124</v>
      </c>
      <c r="CW189" s="4" t="s">
        <v>124</v>
      </c>
      <c r="CX189" s="4" t="s">
        <v>124</v>
      </c>
      <c r="CY189" s="4" t="s">
        <v>124</v>
      </c>
      <c r="CZ189" s="4" t="s">
        <v>124</v>
      </c>
      <c r="DA189" s="7">
        <v>15.389535</v>
      </c>
      <c r="DB189" s="7">
        <v>17.608319000000002</v>
      </c>
      <c r="DC189" s="7">
        <v>16.064022999999999</v>
      </c>
      <c r="DD189" s="4" t="s">
        <v>124</v>
      </c>
      <c r="DE189" s="4" t="s">
        <v>124</v>
      </c>
      <c r="DF189" s="6"/>
      <c r="DG189" s="6"/>
      <c r="DH189" s="6"/>
      <c r="DI189" s="6"/>
      <c r="DJ189" s="4" t="s">
        <v>124</v>
      </c>
      <c r="DK189" s="4" t="s">
        <v>124</v>
      </c>
      <c r="DL189" s="4" t="s">
        <v>124</v>
      </c>
      <c r="DM189" s="4" t="s">
        <v>124</v>
      </c>
      <c r="DN189" s="4" t="s">
        <v>124</v>
      </c>
      <c r="DO189" s="4" t="s">
        <v>124</v>
      </c>
      <c r="DP189" s="6"/>
      <c r="DQ189" s="4" t="s">
        <v>125</v>
      </c>
    </row>
    <row r="190" spans="1:121" ht="20" customHeight="1" x14ac:dyDescent="0.15">
      <c r="A190" s="5">
        <v>2018</v>
      </c>
      <c r="B190" s="3" t="s">
        <v>313</v>
      </c>
      <c r="C190" s="4" t="str">
        <f t="shared" ref="C190:C1178" si="180">"2820013"</f>
        <v>2820013</v>
      </c>
      <c r="D190" s="4" t="s">
        <v>122</v>
      </c>
      <c r="E190" s="4" t="str">
        <f t="shared" si="1"/>
        <v>0000000</v>
      </c>
      <c r="F190" s="4" t="s">
        <v>122</v>
      </c>
      <c r="G190" s="4" t="s">
        <v>122</v>
      </c>
      <c r="H190" s="4" t="s">
        <v>122</v>
      </c>
      <c r="I190" s="6"/>
      <c r="J190" s="4" t="s">
        <v>123</v>
      </c>
      <c r="K190" s="7">
        <v>435.348927</v>
      </c>
      <c r="L190" s="7">
        <v>1250</v>
      </c>
      <c r="M190" s="7">
        <v>34.827914</v>
      </c>
      <c r="N190" s="4" t="s">
        <v>124</v>
      </c>
      <c r="O190" s="7">
        <v>0</v>
      </c>
      <c r="P190" s="7">
        <v>33.637681000000001</v>
      </c>
      <c r="Q190" s="7">
        <v>67.275362000000001</v>
      </c>
      <c r="R190" s="7">
        <v>150</v>
      </c>
      <c r="S190" s="7">
        <v>33.637681000000001</v>
      </c>
      <c r="T190" s="4" t="s">
        <v>124</v>
      </c>
      <c r="U190" s="7">
        <v>67.275362000000001</v>
      </c>
      <c r="V190" s="7">
        <v>150</v>
      </c>
      <c r="W190" s="7">
        <v>29.173912999999999</v>
      </c>
      <c r="X190" s="7">
        <v>58.347825999999998</v>
      </c>
      <c r="Y190" s="7">
        <v>150</v>
      </c>
      <c r="Z190" s="4" t="s">
        <v>124</v>
      </c>
      <c r="AA190" s="7">
        <v>29.173912999999999</v>
      </c>
      <c r="AB190" s="7">
        <v>58.347825999999998</v>
      </c>
      <c r="AC190" s="7">
        <v>150</v>
      </c>
      <c r="AD190" s="4" t="s">
        <v>124</v>
      </c>
      <c r="AE190" s="4" t="s">
        <v>124</v>
      </c>
      <c r="AF190" s="4" t="s">
        <v>124</v>
      </c>
      <c r="AG190" s="4" t="s">
        <v>124</v>
      </c>
      <c r="AH190" s="4" t="s">
        <v>124</v>
      </c>
      <c r="AI190" s="4" t="s">
        <v>124</v>
      </c>
      <c r="AJ190" s="4" t="s">
        <v>124</v>
      </c>
      <c r="AK190" s="4" t="s">
        <v>124</v>
      </c>
      <c r="AL190" s="4" t="s">
        <v>124</v>
      </c>
      <c r="AM190" s="4" t="s">
        <v>124</v>
      </c>
      <c r="AN190" s="4" t="s">
        <v>124</v>
      </c>
      <c r="AO190" s="4" t="s">
        <v>124</v>
      </c>
      <c r="AP190" s="4" t="s">
        <v>124</v>
      </c>
      <c r="AQ190" s="4" t="s">
        <v>124</v>
      </c>
      <c r="AR190" s="4" t="s">
        <v>124</v>
      </c>
      <c r="AS190" s="4" t="s">
        <v>124</v>
      </c>
      <c r="AT190" s="4" t="s">
        <v>124</v>
      </c>
      <c r="AU190" s="4" t="s">
        <v>124</v>
      </c>
      <c r="AV190" s="4" t="s">
        <v>124</v>
      </c>
      <c r="AW190" s="4" t="s">
        <v>124</v>
      </c>
      <c r="AX190" s="4" t="s">
        <v>124</v>
      </c>
      <c r="AY190" s="4" t="s">
        <v>124</v>
      </c>
      <c r="AZ190" s="4" t="s">
        <v>124</v>
      </c>
      <c r="BA190" s="4" t="s">
        <v>124</v>
      </c>
      <c r="BB190" s="4" t="s">
        <v>124</v>
      </c>
      <c r="BC190" s="4" t="s">
        <v>124</v>
      </c>
      <c r="BD190" s="4" t="s">
        <v>124</v>
      </c>
      <c r="BE190" s="4" t="s">
        <v>124</v>
      </c>
      <c r="BF190" s="4" t="s">
        <v>124</v>
      </c>
      <c r="BG190" s="4" t="s">
        <v>124</v>
      </c>
      <c r="BH190" s="7">
        <v>1</v>
      </c>
      <c r="BI190" s="7">
        <v>0.763158</v>
      </c>
      <c r="BJ190" s="7">
        <v>0.763158</v>
      </c>
      <c r="BK190" s="4" t="s">
        <v>124</v>
      </c>
      <c r="BL190" s="7">
        <v>0.763158</v>
      </c>
      <c r="BM190" s="7">
        <v>0.763158</v>
      </c>
      <c r="BN190" s="4" t="s">
        <v>124</v>
      </c>
      <c r="BO190" s="7">
        <v>0.62162200000000001</v>
      </c>
      <c r="BP190" s="7">
        <v>0.62162200000000001</v>
      </c>
      <c r="BQ190" s="4" t="s">
        <v>124</v>
      </c>
      <c r="BR190" s="7">
        <v>0.73333300000000001</v>
      </c>
      <c r="BS190" s="7">
        <v>0</v>
      </c>
      <c r="BT190" s="7">
        <v>50</v>
      </c>
      <c r="BU190" s="7">
        <v>0.72580599999999995</v>
      </c>
      <c r="BV190" s="7">
        <v>0</v>
      </c>
      <c r="BW190" s="7">
        <v>50</v>
      </c>
      <c r="BX190" s="7">
        <v>0</v>
      </c>
      <c r="BY190" s="7">
        <v>0</v>
      </c>
      <c r="BZ190" s="7">
        <v>50</v>
      </c>
      <c r="CA190" s="4" t="s">
        <v>124</v>
      </c>
      <c r="CB190" s="4" t="s">
        <v>124</v>
      </c>
      <c r="CC190" s="7">
        <v>50</v>
      </c>
      <c r="CD190" s="7">
        <v>0.17499999999999999</v>
      </c>
      <c r="CE190" s="7">
        <v>9.3085109999999993</v>
      </c>
      <c r="CF190" s="7">
        <v>50</v>
      </c>
      <c r="CG190" s="7">
        <v>0.45454499999999998</v>
      </c>
      <c r="CH190" s="7">
        <v>48.355899000000001</v>
      </c>
      <c r="CI190" s="7">
        <v>100</v>
      </c>
      <c r="CJ190" s="7">
        <v>0</v>
      </c>
      <c r="CK190" s="7">
        <v>0.44</v>
      </c>
      <c r="CL190" s="7">
        <v>46.808511000000003</v>
      </c>
      <c r="CM190" s="7">
        <v>100</v>
      </c>
      <c r="CN190" s="7">
        <v>0.16700000000000001</v>
      </c>
      <c r="CO190" s="7">
        <v>22.222221999999999</v>
      </c>
      <c r="CP190" s="7">
        <v>100</v>
      </c>
      <c r="CQ190" s="7">
        <v>0.111111</v>
      </c>
      <c r="CR190" s="7">
        <v>1.5</v>
      </c>
      <c r="CS190" s="7">
        <v>7.4074070000000001</v>
      </c>
      <c r="CT190" s="7">
        <v>50</v>
      </c>
      <c r="CU190" s="7">
        <v>0.73333300000000001</v>
      </c>
      <c r="CV190" s="7">
        <v>50</v>
      </c>
      <c r="CW190" s="7">
        <v>50</v>
      </c>
      <c r="CX190" s="7">
        <v>0.44</v>
      </c>
      <c r="CY190" s="4" t="s">
        <v>124</v>
      </c>
      <c r="CZ190" s="4" t="s">
        <v>124</v>
      </c>
      <c r="DA190" s="7">
        <v>15.389535</v>
      </c>
      <c r="DB190" s="7">
        <v>17.608319000000002</v>
      </c>
      <c r="DC190" s="7">
        <v>16.064022999999999</v>
      </c>
      <c r="DD190" s="7">
        <v>11.115401</v>
      </c>
      <c r="DE190" s="4" t="s">
        <v>124</v>
      </c>
      <c r="DF190" s="6"/>
      <c r="DG190" s="6"/>
      <c r="DH190" s="6"/>
      <c r="DI190" s="6"/>
      <c r="DJ190" s="4" t="s">
        <v>124</v>
      </c>
      <c r="DK190" s="4" t="s">
        <v>124</v>
      </c>
      <c r="DL190" s="4" t="s">
        <v>124</v>
      </c>
      <c r="DM190" s="4" t="s">
        <v>124</v>
      </c>
      <c r="DN190" s="4" t="s">
        <v>124</v>
      </c>
      <c r="DO190" s="4" t="s">
        <v>124</v>
      </c>
      <c r="DP190" s="6"/>
      <c r="DQ190" s="4" t="s">
        <v>125</v>
      </c>
    </row>
    <row r="191" spans="1:121" ht="20" customHeight="1" x14ac:dyDescent="0.15">
      <c r="A191" s="5">
        <v>2018</v>
      </c>
      <c r="B191" s="3" t="s">
        <v>314</v>
      </c>
      <c r="C191" s="4" t="str">
        <f t="shared" ref="C191:C1179" si="181">"2830013"</f>
        <v>2830013</v>
      </c>
      <c r="D191" s="4" t="s">
        <v>122</v>
      </c>
      <c r="E191" s="4" t="str">
        <f t="shared" si="1"/>
        <v>0000000</v>
      </c>
      <c r="F191" s="4" t="s">
        <v>122</v>
      </c>
      <c r="G191" s="4" t="s">
        <v>122</v>
      </c>
      <c r="H191" s="4" t="s">
        <v>122</v>
      </c>
      <c r="I191" s="6"/>
      <c r="J191" s="4" t="s">
        <v>123</v>
      </c>
      <c r="K191" s="7">
        <v>770.79726500000004</v>
      </c>
      <c r="L191" s="7">
        <v>1000</v>
      </c>
      <c r="M191" s="7">
        <v>77.079727000000005</v>
      </c>
      <c r="N191" s="4" t="s">
        <v>124</v>
      </c>
      <c r="O191" s="7">
        <v>0</v>
      </c>
      <c r="P191" s="7">
        <v>65.141030000000001</v>
      </c>
      <c r="Q191" s="7">
        <v>43.427354000000001</v>
      </c>
      <c r="R191" s="7">
        <v>50</v>
      </c>
      <c r="S191" s="7">
        <v>63.915284999999997</v>
      </c>
      <c r="T191" s="7">
        <v>72.670608000000001</v>
      </c>
      <c r="U191" s="7">
        <v>42.610190000000003</v>
      </c>
      <c r="V191" s="7">
        <v>50</v>
      </c>
      <c r="W191" s="7">
        <v>58.415045999999997</v>
      </c>
      <c r="X191" s="7">
        <v>38.943364000000003</v>
      </c>
      <c r="Y191" s="7">
        <v>50</v>
      </c>
      <c r="Z191" s="7">
        <v>64.457650000000001</v>
      </c>
      <c r="AA191" s="7">
        <v>57.414749999999998</v>
      </c>
      <c r="AB191" s="7">
        <v>38.276499999999999</v>
      </c>
      <c r="AC191" s="7">
        <v>50</v>
      </c>
      <c r="AD191" s="7">
        <v>63.744953000000002</v>
      </c>
      <c r="AE191" s="7">
        <v>42.496634999999998</v>
      </c>
      <c r="AF191" s="7">
        <v>50</v>
      </c>
      <c r="AG191" s="7">
        <v>63.20147</v>
      </c>
      <c r="AH191" s="7">
        <v>66.838623999999996</v>
      </c>
      <c r="AI191" s="7">
        <v>42.134312999999999</v>
      </c>
      <c r="AJ191" s="7">
        <v>50</v>
      </c>
      <c r="AK191" s="7">
        <v>8.75</v>
      </c>
      <c r="AL191" s="7">
        <v>7.04</v>
      </c>
      <c r="AM191" s="7">
        <v>3.63</v>
      </c>
      <c r="AN191" s="7">
        <v>0.75438099999999997</v>
      </c>
      <c r="AO191" s="7">
        <v>75.438101000000003</v>
      </c>
      <c r="AP191" s="7">
        <v>100</v>
      </c>
      <c r="AQ191" s="7">
        <v>0.81030899999999995</v>
      </c>
      <c r="AR191" s="7">
        <v>81.030890999999997</v>
      </c>
      <c r="AS191" s="7">
        <v>100</v>
      </c>
      <c r="AT191" s="7">
        <v>0.75942500000000002</v>
      </c>
      <c r="AU191" s="7">
        <v>0.72306400000000004</v>
      </c>
      <c r="AV191" s="7">
        <v>75.942536000000004</v>
      </c>
      <c r="AW191" s="7">
        <v>100</v>
      </c>
      <c r="AX191" s="7">
        <v>0.78960600000000003</v>
      </c>
      <c r="AY191" s="7">
        <v>0.93668200000000001</v>
      </c>
      <c r="AZ191" s="7">
        <v>78.960622000000001</v>
      </c>
      <c r="BA191" s="7">
        <v>100</v>
      </c>
      <c r="BB191" s="7">
        <v>0.56246700000000005</v>
      </c>
      <c r="BC191" s="7">
        <v>28.123346000000002</v>
      </c>
      <c r="BD191" s="7">
        <v>50</v>
      </c>
      <c r="BE191" s="7">
        <v>0.69819799999999999</v>
      </c>
      <c r="BF191" s="7">
        <v>34.90992</v>
      </c>
      <c r="BG191" s="7">
        <v>50</v>
      </c>
      <c r="BH191" s="7">
        <v>0</v>
      </c>
      <c r="BI191" s="7">
        <v>1</v>
      </c>
      <c r="BJ191" s="7">
        <v>1</v>
      </c>
      <c r="BK191" s="7">
        <v>1</v>
      </c>
      <c r="BL191" s="7">
        <v>0.98853899999999995</v>
      </c>
      <c r="BM191" s="7">
        <v>0.98666699999999996</v>
      </c>
      <c r="BN191" s="7">
        <v>1</v>
      </c>
      <c r="BO191" s="7">
        <v>1</v>
      </c>
      <c r="BP191" s="7">
        <v>1</v>
      </c>
      <c r="BQ191" s="7">
        <v>1</v>
      </c>
      <c r="BR191" s="7">
        <v>3.7248999999999997E-2</v>
      </c>
      <c r="BS191" s="7">
        <v>50</v>
      </c>
      <c r="BT191" s="7">
        <v>50</v>
      </c>
      <c r="BU191" s="7">
        <v>0.04</v>
      </c>
      <c r="BV191" s="7">
        <v>50</v>
      </c>
      <c r="BW191" s="7">
        <v>50</v>
      </c>
      <c r="BX191" s="4" t="s">
        <v>124</v>
      </c>
      <c r="BY191" s="4" t="s">
        <v>124</v>
      </c>
      <c r="BZ191" s="4" t="s">
        <v>124</v>
      </c>
      <c r="CA191" s="4" t="s">
        <v>124</v>
      </c>
      <c r="CB191" s="4" t="s">
        <v>124</v>
      </c>
      <c r="CC191" s="4" t="s">
        <v>124</v>
      </c>
      <c r="CD191" s="7">
        <v>0.836364</v>
      </c>
      <c r="CE191" s="7">
        <v>44.487426999999997</v>
      </c>
      <c r="CF191" s="7">
        <v>50</v>
      </c>
      <c r="CG191" s="4" t="s">
        <v>124</v>
      </c>
      <c r="CH191" s="4" t="s">
        <v>124</v>
      </c>
      <c r="CI191" s="4" t="s">
        <v>124</v>
      </c>
      <c r="CJ191" s="4" t="s">
        <v>124</v>
      </c>
      <c r="CK191" s="4" t="s">
        <v>124</v>
      </c>
      <c r="CL191" s="4" t="s">
        <v>124</v>
      </c>
      <c r="CM191" s="4" t="s">
        <v>124</v>
      </c>
      <c r="CN191" s="4" t="s">
        <v>124</v>
      </c>
      <c r="CO191" s="4" t="s">
        <v>124</v>
      </c>
      <c r="CP191" s="4" t="s">
        <v>124</v>
      </c>
      <c r="CQ191" s="7">
        <v>6.0241000000000003E-2</v>
      </c>
      <c r="CR191" s="7">
        <v>1</v>
      </c>
      <c r="CS191" s="7">
        <v>4.0160640000000001</v>
      </c>
      <c r="CT191" s="7">
        <v>50</v>
      </c>
      <c r="CU191" s="4" t="s">
        <v>124</v>
      </c>
      <c r="CV191" s="4" t="s">
        <v>124</v>
      </c>
      <c r="CW191" s="4" t="s">
        <v>124</v>
      </c>
      <c r="CX191" s="4" t="s">
        <v>124</v>
      </c>
      <c r="CY191" s="4" t="s">
        <v>124</v>
      </c>
      <c r="CZ191" s="4" t="s">
        <v>124</v>
      </c>
      <c r="DA191" s="7">
        <v>15.389535</v>
      </c>
      <c r="DB191" s="7">
        <v>17.608319000000002</v>
      </c>
      <c r="DC191" s="7">
        <v>16.064022999999999</v>
      </c>
      <c r="DD191" s="4" t="s">
        <v>124</v>
      </c>
      <c r="DE191" s="4" t="s">
        <v>124</v>
      </c>
      <c r="DF191" s="6"/>
      <c r="DG191" s="6"/>
      <c r="DH191" s="6"/>
      <c r="DI191" s="6"/>
      <c r="DJ191" s="4" t="s">
        <v>124</v>
      </c>
      <c r="DK191" s="4" t="s">
        <v>124</v>
      </c>
      <c r="DL191" s="4" t="s">
        <v>124</v>
      </c>
      <c r="DM191" s="4" t="s">
        <v>124</v>
      </c>
      <c r="DN191" s="4" t="s">
        <v>124</v>
      </c>
      <c r="DO191" s="4" t="s">
        <v>124</v>
      </c>
      <c r="DP191" s="6"/>
      <c r="DQ191" s="4" t="s">
        <v>125</v>
      </c>
    </row>
    <row r="192" spans="1:121" ht="20" customHeight="1" x14ac:dyDescent="0.15">
      <c r="A192" s="5">
        <v>2018</v>
      </c>
      <c r="B192" s="3" t="s">
        <v>315</v>
      </c>
      <c r="C192" s="4" t="str">
        <f>"2850013"</f>
        <v>2850013</v>
      </c>
      <c r="D192" s="4" t="s">
        <v>122</v>
      </c>
      <c r="E192" s="4" t="str">
        <f t="shared" si="1"/>
        <v>0000000</v>
      </c>
      <c r="F192" s="4" t="s">
        <v>122</v>
      </c>
      <c r="G192" s="4" t="s">
        <v>122</v>
      </c>
      <c r="H192" s="4" t="s">
        <v>122</v>
      </c>
      <c r="I192" s="6"/>
      <c r="J192" s="4" t="s">
        <v>123</v>
      </c>
      <c r="K192" s="7">
        <v>1172.4080509999999</v>
      </c>
      <c r="L192" s="7">
        <v>1450</v>
      </c>
      <c r="M192" s="7">
        <v>80.855727999999999</v>
      </c>
      <c r="N192" s="4" t="s">
        <v>124</v>
      </c>
      <c r="O192" s="7">
        <v>0</v>
      </c>
      <c r="P192" s="7">
        <v>72.170604999999995</v>
      </c>
      <c r="Q192" s="7">
        <v>48.113736000000003</v>
      </c>
      <c r="R192" s="7">
        <v>50</v>
      </c>
      <c r="S192" s="7">
        <v>72.264791000000002</v>
      </c>
      <c r="T192" s="4" t="s">
        <v>124</v>
      </c>
      <c r="U192" s="7">
        <v>48.176527</v>
      </c>
      <c r="V192" s="7">
        <v>50</v>
      </c>
      <c r="W192" s="7">
        <v>66.127139999999997</v>
      </c>
      <c r="X192" s="7">
        <v>44.084760000000003</v>
      </c>
      <c r="Y192" s="7">
        <v>50</v>
      </c>
      <c r="Z192" s="4" t="s">
        <v>124</v>
      </c>
      <c r="AA192" s="7">
        <v>66.207729999999998</v>
      </c>
      <c r="AB192" s="7">
        <v>44.138486999999998</v>
      </c>
      <c r="AC192" s="7">
        <v>50</v>
      </c>
      <c r="AD192" s="7">
        <v>64.022942999999998</v>
      </c>
      <c r="AE192" s="7">
        <v>42.681961999999999</v>
      </c>
      <c r="AF192" s="7">
        <v>50</v>
      </c>
      <c r="AG192" s="7">
        <v>64.037760000000006</v>
      </c>
      <c r="AH192" s="4" t="s">
        <v>124</v>
      </c>
      <c r="AI192" s="7">
        <v>42.691839999999999</v>
      </c>
      <c r="AJ192" s="7">
        <v>50</v>
      </c>
      <c r="AK192" s="4" t="s">
        <v>124</v>
      </c>
      <c r="AL192" s="4" t="s">
        <v>124</v>
      </c>
      <c r="AM192" s="4" t="s">
        <v>124</v>
      </c>
      <c r="AN192" s="7">
        <v>0.70649700000000004</v>
      </c>
      <c r="AO192" s="7">
        <v>70.649707000000006</v>
      </c>
      <c r="AP192" s="7">
        <v>100</v>
      </c>
      <c r="AQ192" s="7">
        <v>0.61767099999999997</v>
      </c>
      <c r="AR192" s="7">
        <v>61.767100999999997</v>
      </c>
      <c r="AS192" s="7">
        <v>100</v>
      </c>
      <c r="AT192" s="7">
        <v>0.70445599999999997</v>
      </c>
      <c r="AU192" s="4" t="s">
        <v>124</v>
      </c>
      <c r="AV192" s="7">
        <v>70.445586000000006</v>
      </c>
      <c r="AW192" s="7">
        <v>100</v>
      </c>
      <c r="AX192" s="7">
        <v>0.61461699999999997</v>
      </c>
      <c r="AY192" s="4" t="s">
        <v>124</v>
      </c>
      <c r="AZ192" s="7">
        <v>61.461682000000003</v>
      </c>
      <c r="BA192" s="7">
        <v>100</v>
      </c>
      <c r="BB192" s="7">
        <v>0.56917499999999999</v>
      </c>
      <c r="BC192" s="7">
        <v>28.458735999999998</v>
      </c>
      <c r="BD192" s="7">
        <v>50</v>
      </c>
      <c r="BE192" s="7">
        <v>0.49007899999999999</v>
      </c>
      <c r="BF192" s="7">
        <v>24.503962999999999</v>
      </c>
      <c r="BG192" s="7">
        <v>50</v>
      </c>
      <c r="BH192" s="7">
        <v>0</v>
      </c>
      <c r="BI192" s="7">
        <v>0.993344</v>
      </c>
      <c r="BJ192" s="7">
        <v>0.99328899999999998</v>
      </c>
      <c r="BK192" s="4" t="s">
        <v>124</v>
      </c>
      <c r="BL192" s="7">
        <v>0.99333300000000002</v>
      </c>
      <c r="BM192" s="7">
        <v>0.99327699999999997</v>
      </c>
      <c r="BN192" s="4" t="s">
        <v>124</v>
      </c>
      <c r="BO192" s="7">
        <v>0.96982800000000002</v>
      </c>
      <c r="BP192" s="7">
        <v>0.96956500000000001</v>
      </c>
      <c r="BQ192" s="4" t="s">
        <v>124</v>
      </c>
      <c r="BR192" s="7">
        <v>5.7438999999999997E-2</v>
      </c>
      <c r="BS192" s="7">
        <v>48.512241000000003</v>
      </c>
      <c r="BT192" s="7">
        <v>50</v>
      </c>
      <c r="BU192" s="7">
        <v>6.1303000000000003E-2</v>
      </c>
      <c r="BV192" s="7">
        <v>47.739463999999998</v>
      </c>
      <c r="BW192" s="7">
        <v>50</v>
      </c>
      <c r="BX192" s="7">
        <v>1</v>
      </c>
      <c r="BY192" s="7">
        <v>50</v>
      </c>
      <c r="BZ192" s="7">
        <v>50</v>
      </c>
      <c r="CA192" s="7">
        <v>0.51578900000000005</v>
      </c>
      <c r="CB192" s="7">
        <v>34.385964999999999</v>
      </c>
      <c r="CC192" s="7">
        <v>50</v>
      </c>
      <c r="CD192" s="7">
        <v>0.88050300000000004</v>
      </c>
      <c r="CE192" s="7">
        <v>46.835273999999998</v>
      </c>
      <c r="CF192" s="7">
        <v>50</v>
      </c>
      <c r="CG192" s="7">
        <v>0.73333300000000001</v>
      </c>
      <c r="CH192" s="7">
        <v>78.014184</v>
      </c>
      <c r="CI192" s="7">
        <v>100</v>
      </c>
      <c r="CJ192" s="7">
        <v>0</v>
      </c>
      <c r="CK192" s="7">
        <v>0.96428599999999998</v>
      </c>
      <c r="CL192" s="7">
        <v>100</v>
      </c>
      <c r="CM192" s="7">
        <v>100</v>
      </c>
      <c r="CN192" s="7">
        <v>0.89300000000000002</v>
      </c>
      <c r="CO192" s="7">
        <v>100</v>
      </c>
      <c r="CP192" s="7">
        <v>100</v>
      </c>
      <c r="CQ192" s="7">
        <v>0.5</v>
      </c>
      <c r="CR192" s="7">
        <v>1.1858409999999999</v>
      </c>
      <c r="CS192" s="7">
        <v>33.333333000000003</v>
      </c>
      <c r="CT192" s="7">
        <v>50</v>
      </c>
      <c r="CU192" s="7">
        <v>0.55696199999999996</v>
      </c>
      <c r="CV192" s="7">
        <v>46.413502000000001</v>
      </c>
      <c r="CW192" s="7">
        <v>50</v>
      </c>
      <c r="CX192" s="7">
        <v>0.96428599999999998</v>
      </c>
      <c r="CY192" s="4" t="s">
        <v>124</v>
      </c>
      <c r="CZ192" s="4" t="s">
        <v>124</v>
      </c>
      <c r="DA192" s="7">
        <v>15.389535</v>
      </c>
      <c r="DB192" s="7">
        <v>17.608319000000002</v>
      </c>
      <c r="DC192" s="7">
        <v>16.064022999999999</v>
      </c>
      <c r="DD192" s="7">
        <v>11.115401</v>
      </c>
      <c r="DE192" s="4" t="s">
        <v>124</v>
      </c>
      <c r="DF192" s="6"/>
      <c r="DG192" s="6"/>
      <c r="DH192" s="6"/>
      <c r="DI192" s="6"/>
      <c r="DJ192" s="4" t="s">
        <v>124</v>
      </c>
      <c r="DK192" s="4" t="s">
        <v>124</v>
      </c>
      <c r="DL192" s="4" t="s">
        <v>124</v>
      </c>
      <c r="DM192" s="4" t="s">
        <v>124</v>
      </c>
      <c r="DN192" s="4" t="s">
        <v>124</v>
      </c>
      <c r="DO192" s="4" t="s">
        <v>124</v>
      </c>
      <c r="DP192" s="6"/>
      <c r="DQ192" s="4" t="s">
        <v>125</v>
      </c>
    </row>
    <row r="193" spans="1:121" ht="20" customHeight="1" x14ac:dyDescent="0.15">
      <c r="A193" s="5">
        <v>2018</v>
      </c>
      <c r="B193" s="3" t="s">
        <v>316</v>
      </c>
      <c r="C193" s="4" t="str">
        <f t="shared" ref="C193:C1181" si="182">"2860013"</f>
        <v>2860013</v>
      </c>
      <c r="D193" s="4" t="s">
        <v>122</v>
      </c>
      <c r="E193" s="4" t="str">
        <f t="shared" si="1"/>
        <v>0000000</v>
      </c>
      <c r="F193" s="4" t="s">
        <v>122</v>
      </c>
      <c r="G193" s="4" t="s">
        <v>122</v>
      </c>
      <c r="H193" s="4" t="s">
        <v>122</v>
      </c>
      <c r="I193" s="6"/>
      <c r="J193" s="4" t="s">
        <v>123</v>
      </c>
      <c r="K193" s="7">
        <v>908.82007599999997</v>
      </c>
      <c r="L193" s="7">
        <v>1250</v>
      </c>
      <c r="M193" s="7">
        <v>72.705606000000003</v>
      </c>
      <c r="N193" s="4" t="s">
        <v>124</v>
      </c>
      <c r="O193" s="7">
        <v>0</v>
      </c>
      <c r="P193" s="7">
        <v>59.033707999999997</v>
      </c>
      <c r="Q193" s="7">
        <v>39.355804999999997</v>
      </c>
      <c r="R193" s="7">
        <v>50</v>
      </c>
      <c r="S193" s="7">
        <v>57.495038000000001</v>
      </c>
      <c r="T193" s="7">
        <v>65.225021999999996</v>
      </c>
      <c r="U193" s="7">
        <v>38.330024999999999</v>
      </c>
      <c r="V193" s="7">
        <v>50</v>
      </c>
      <c r="W193" s="7">
        <v>50.367431000000003</v>
      </c>
      <c r="X193" s="7">
        <v>33.578287000000003</v>
      </c>
      <c r="Y193" s="7">
        <v>50</v>
      </c>
      <c r="Z193" s="7">
        <v>56.426958999999997</v>
      </c>
      <c r="AA193" s="7">
        <v>48.861511999999998</v>
      </c>
      <c r="AB193" s="7">
        <v>32.574342000000001</v>
      </c>
      <c r="AC193" s="7">
        <v>50</v>
      </c>
      <c r="AD193" s="7">
        <v>52.623086000000001</v>
      </c>
      <c r="AE193" s="7">
        <v>35.082056999999999</v>
      </c>
      <c r="AF193" s="7">
        <v>50</v>
      </c>
      <c r="AG193" s="7">
        <v>51.524884999999998</v>
      </c>
      <c r="AH193" s="4" t="s">
        <v>124</v>
      </c>
      <c r="AI193" s="7">
        <v>34.349922999999997</v>
      </c>
      <c r="AJ193" s="7">
        <v>50</v>
      </c>
      <c r="AK193" s="7">
        <v>7.72</v>
      </c>
      <c r="AL193" s="7">
        <v>7.56</v>
      </c>
      <c r="AM193" s="4" t="s">
        <v>124</v>
      </c>
      <c r="AN193" s="7">
        <v>0.55426299999999995</v>
      </c>
      <c r="AO193" s="7">
        <v>55.426260999999997</v>
      </c>
      <c r="AP193" s="7">
        <v>100</v>
      </c>
      <c r="AQ193" s="7">
        <v>0.55017000000000005</v>
      </c>
      <c r="AR193" s="7">
        <v>55.016997000000003</v>
      </c>
      <c r="AS193" s="7">
        <v>100</v>
      </c>
      <c r="AT193" s="7">
        <v>0.56563200000000002</v>
      </c>
      <c r="AU193" s="7">
        <v>0.50988599999999995</v>
      </c>
      <c r="AV193" s="7">
        <v>56.563187999999997</v>
      </c>
      <c r="AW193" s="7">
        <v>100</v>
      </c>
      <c r="AX193" s="7">
        <v>0.55130599999999996</v>
      </c>
      <c r="AY193" s="7">
        <v>0.54573499999999997</v>
      </c>
      <c r="AZ193" s="7">
        <v>55.130628999999999</v>
      </c>
      <c r="BA193" s="7">
        <v>100</v>
      </c>
      <c r="BB193" s="4" t="s">
        <v>124</v>
      </c>
      <c r="BC193" s="4" t="s">
        <v>124</v>
      </c>
      <c r="BD193" s="4" t="s">
        <v>124</v>
      </c>
      <c r="BE193" s="4" t="s">
        <v>124</v>
      </c>
      <c r="BF193" s="4" t="s">
        <v>124</v>
      </c>
      <c r="BG193" s="4" t="s">
        <v>124</v>
      </c>
      <c r="BH193" s="7">
        <v>0</v>
      </c>
      <c r="BI193" s="7">
        <v>0.995305</v>
      </c>
      <c r="BJ193" s="7">
        <v>0.99411799999999995</v>
      </c>
      <c r="BK193" s="7">
        <v>1</v>
      </c>
      <c r="BL193" s="7">
        <v>0.995305</v>
      </c>
      <c r="BM193" s="7">
        <v>0.99411799999999995</v>
      </c>
      <c r="BN193" s="7">
        <v>1</v>
      </c>
      <c r="BO193" s="7">
        <v>0.97402599999999995</v>
      </c>
      <c r="BP193" s="7">
        <v>0.96825399999999995</v>
      </c>
      <c r="BQ193" s="4" t="s">
        <v>124</v>
      </c>
      <c r="BR193" s="7">
        <v>9.0666999999999998E-2</v>
      </c>
      <c r="BS193" s="7">
        <v>41.866667</v>
      </c>
      <c r="BT193" s="7">
        <v>50</v>
      </c>
      <c r="BU193" s="7">
        <v>0.10689700000000001</v>
      </c>
      <c r="BV193" s="7">
        <v>38.620690000000003</v>
      </c>
      <c r="BW193" s="7">
        <v>50</v>
      </c>
      <c r="BX193" s="7">
        <v>0.81481499999999996</v>
      </c>
      <c r="BY193" s="7">
        <v>50</v>
      </c>
      <c r="BZ193" s="7">
        <v>50</v>
      </c>
      <c r="CA193" s="7">
        <v>7.4074000000000001E-2</v>
      </c>
      <c r="CB193" s="7">
        <v>4.9382720000000004</v>
      </c>
      <c r="CC193" s="7">
        <v>50</v>
      </c>
      <c r="CD193" s="7">
        <v>0.93333299999999997</v>
      </c>
      <c r="CE193" s="7">
        <v>49.645389999999999</v>
      </c>
      <c r="CF193" s="7">
        <v>50</v>
      </c>
      <c r="CG193" s="7">
        <v>1</v>
      </c>
      <c r="CH193" s="7">
        <v>100</v>
      </c>
      <c r="CI193" s="7">
        <v>100</v>
      </c>
      <c r="CJ193" s="4" t="s">
        <v>124</v>
      </c>
      <c r="CK193" s="4" t="s">
        <v>124</v>
      </c>
      <c r="CL193" s="4" t="s">
        <v>124</v>
      </c>
      <c r="CM193" s="4" t="s">
        <v>124</v>
      </c>
      <c r="CN193" s="7">
        <v>0.71399999999999997</v>
      </c>
      <c r="CO193" s="7">
        <v>95.238095000000001</v>
      </c>
      <c r="CP193" s="7">
        <v>100</v>
      </c>
      <c r="CQ193" s="7">
        <v>0.77391299999999996</v>
      </c>
      <c r="CR193" s="7">
        <v>0.98290599999999995</v>
      </c>
      <c r="CS193" s="7">
        <v>50</v>
      </c>
      <c r="CT193" s="7">
        <v>50</v>
      </c>
      <c r="CU193" s="7">
        <v>0.51724099999999995</v>
      </c>
      <c r="CV193" s="7">
        <v>43.103448</v>
      </c>
      <c r="CW193" s="7">
        <v>50</v>
      </c>
      <c r="CX193" s="4" t="s">
        <v>124</v>
      </c>
      <c r="CY193" s="4" t="s">
        <v>124</v>
      </c>
      <c r="CZ193" s="4" t="s">
        <v>124</v>
      </c>
      <c r="DA193" s="7">
        <v>15.389535</v>
      </c>
      <c r="DB193" s="7">
        <v>17.608319000000002</v>
      </c>
      <c r="DC193" s="7">
        <v>16.064022999999999</v>
      </c>
      <c r="DD193" s="4" t="s">
        <v>124</v>
      </c>
      <c r="DE193" s="4" t="s">
        <v>124</v>
      </c>
      <c r="DF193" s="6"/>
      <c r="DG193" s="6"/>
      <c r="DH193" s="6"/>
      <c r="DI193" s="6"/>
      <c r="DJ193" s="4" t="s">
        <v>124</v>
      </c>
      <c r="DK193" s="4" t="s">
        <v>124</v>
      </c>
      <c r="DL193" s="4" t="s">
        <v>124</v>
      </c>
      <c r="DM193" s="4" t="s">
        <v>124</v>
      </c>
      <c r="DN193" s="4" t="s">
        <v>124</v>
      </c>
      <c r="DO193" s="4" t="s">
        <v>124</v>
      </c>
      <c r="DP193" s="6"/>
      <c r="DQ193" s="4" t="s">
        <v>125</v>
      </c>
    </row>
    <row r="194" spans="1:121" ht="20" customHeight="1" x14ac:dyDescent="0.15">
      <c r="A194" s="5">
        <v>2018</v>
      </c>
      <c r="B194" s="3" t="s">
        <v>317</v>
      </c>
      <c r="C194" s="4" t="str">
        <f t="shared" ref="C194:C1182" si="183">"2880013"</f>
        <v>2880013</v>
      </c>
      <c r="D194" s="4" t="s">
        <v>122</v>
      </c>
      <c r="E194" s="4" t="str">
        <f t="shared" si="1"/>
        <v>0000000</v>
      </c>
      <c r="F194" s="4" t="s">
        <v>122</v>
      </c>
      <c r="G194" s="4" t="s">
        <v>122</v>
      </c>
      <c r="H194" s="4" t="s">
        <v>122</v>
      </c>
      <c r="I194" s="6"/>
      <c r="J194" s="4" t="s">
        <v>123</v>
      </c>
      <c r="K194" s="7">
        <v>1084.670881</v>
      </c>
      <c r="L194" s="7">
        <v>1450</v>
      </c>
      <c r="M194" s="7">
        <v>74.804888000000005</v>
      </c>
      <c r="N194" s="4" t="s">
        <v>124</v>
      </c>
      <c r="O194" s="7">
        <v>0</v>
      </c>
      <c r="P194" s="7">
        <v>68.906041000000002</v>
      </c>
      <c r="Q194" s="7">
        <v>45.937361000000003</v>
      </c>
      <c r="R194" s="7">
        <v>50</v>
      </c>
      <c r="S194" s="7">
        <v>68.886385000000004</v>
      </c>
      <c r="T194" s="4" t="s">
        <v>124</v>
      </c>
      <c r="U194" s="7">
        <v>45.924256999999997</v>
      </c>
      <c r="V194" s="7">
        <v>50</v>
      </c>
      <c r="W194" s="7">
        <v>65.083838999999998</v>
      </c>
      <c r="X194" s="7">
        <v>43.389226000000001</v>
      </c>
      <c r="Y194" s="7">
        <v>50</v>
      </c>
      <c r="Z194" s="4" t="s">
        <v>124</v>
      </c>
      <c r="AA194" s="7">
        <v>65.075581999999997</v>
      </c>
      <c r="AB194" s="7">
        <v>43.383721000000001</v>
      </c>
      <c r="AC194" s="7">
        <v>50</v>
      </c>
      <c r="AD194" s="7">
        <v>56.779539</v>
      </c>
      <c r="AE194" s="7">
        <v>37.853026</v>
      </c>
      <c r="AF194" s="7">
        <v>50</v>
      </c>
      <c r="AG194" s="7">
        <v>56.779539</v>
      </c>
      <c r="AH194" s="4" t="s">
        <v>124</v>
      </c>
      <c r="AI194" s="7">
        <v>37.853026</v>
      </c>
      <c r="AJ194" s="7">
        <v>50</v>
      </c>
      <c r="AK194" s="4" t="s">
        <v>124</v>
      </c>
      <c r="AL194" s="4" t="s">
        <v>124</v>
      </c>
      <c r="AM194" s="4" t="s">
        <v>124</v>
      </c>
      <c r="AN194" s="7">
        <v>0.60180999999999996</v>
      </c>
      <c r="AO194" s="7">
        <v>60.180979000000001</v>
      </c>
      <c r="AP194" s="7">
        <v>100</v>
      </c>
      <c r="AQ194" s="7">
        <v>0.57427700000000004</v>
      </c>
      <c r="AR194" s="7">
        <v>57.427740999999997</v>
      </c>
      <c r="AS194" s="7">
        <v>100</v>
      </c>
      <c r="AT194" s="7">
        <v>0.60180999999999996</v>
      </c>
      <c r="AU194" s="4" t="s">
        <v>124</v>
      </c>
      <c r="AV194" s="7">
        <v>60.180979000000001</v>
      </c>
      <c r="AW194" s="7">
        <v>100</v>
      </c>
      <c r="AX194" s="7">
        <v>0.57427700000000004</v>
      </c>
      <c r="AY194" s="4" t="s">
        <v>124</v>
      </c>
      <c r="AZ194" s="7">
        <v>57.427740999999997</v>
      </c>
      <c r="BA194" s="7">
        <v>100</v>
      </c>
      <c r="BB194" s="7">
        <v>0.42502800000000002</v>
      </c>
      <c r="BC194" s="7">
        <v>21.251407</v>
      </c>
      <c r="BD194" s="7">
        <v>50</v>
      </c>
      <c r="BE194" s="7">
        <v>0.32444000000000001</v>
      </c>
      <c r="BF194" s="7">
        <v>16.222003000000001</v>
      </c>
      <c r="BG194" s="7">
        <v>50</v>
      </c>
      <c r="BH194" s="7">
        <v>0</v>
      </c>
      <c r="BI194" s="7">
        <v>0.99689399999999995</v>
      </c>
      <c r="BJ194" s="7">
        <v>0.99688500000000002</v>
      </c>
      <c r="BK194" s="4" t="s">
        <v>124</v>
      </c>
      <c r="BL194" s="7">
        <v>0.99534199999999995</v>
      </c>
      <c r="BM194" s="7">
        <v>0.99532699999999996</v>
      </c>
      <c r="BN194" s="4" t="s">
        <v>124</v>
      </c>
      <c r="BO194" s="7">
        <v>1</v>
      </c>
      <c r="BP194" s="7">
        <v>1</v>
      </c>
      <c r="BQ194" s="4" t="s">
        <v>124</v>
      </c>
      <c r="BR194" s="7">
        <v>6.5298999999999996E-2</v>
      </c>
      <c r="BS194" s="7">
        <v>46.940299000000003</v>
      </c>
      <c r="BT194" s="7">
        <v>50</v>
      </c>
      <c r="BU194" s="7">
        <v>6.2717999999999996E-2</v>
      </c>
      <c r="BV194" s="7">
        <v>47.456446</v>
      </c>
      <c r="BW194" s="7">
        <v>50</v>
      </c>
      <c r="BX194" s="7">
        <v>1</v>
      </c>
      <c r="BY194" s="7">
        <v>50</v>
      </c>
      <c r="BZ194" s="7">
        <v>50</v>
      </c>
      <c r="CA194" s="7">
        <v>0.51351400000000003</v>
      </c>
      <c r="CB194" s="7">
        <v>34.234234000000001</v>
      </c>
      <c r="CC194" s="7">
        <v>50</v>
      </c>
      <c r="CD194" s="7">
        <v>0.84506999999999999</v>
      </c>
      <c r="CE194" s="7">
        <v>44.950553999999997</v>
      </c>
      <c r="CF194" s="7">
        <v>50</v>
      </c>
      <c r="CG194" s="7">
        <v>0.885714</v>
      </c>
      <c r="CH194" s="7">
        <v>94.224924000000001</v>
      </c>
      <c r="CI194" s="7">
        <v>100</v>
      </c>
      <c r="CJ194" s="7">
        <v>0</v>
      </c>
      <c r="CK194" s="7">
        <v>0.97142899999999999</v>
      </c>
      <c r="CL194" s="7">
        <v>100</v>
      </c>
      <c r="CM194" s="7">
        <v>100</v>
      </c>
      <c r="CN194" s="7">
        <v>0.76500000000000001</v>
      </c>
      <c r="CO194" s="7">
        <v>100</v>
      </c>
      <c r="CP194" s="7">
        <v>100</v>
      </c>
      <c r="CQ194" s="7">
        <v>0.19658100000000001</v>
      </c>
      <c r="CR194" s="7">
        <v>0.65363099999999996</v>
      </c>
      <c r="CS194" s="7">
        <v>3.2763529999999998</v>
      </c>
      <c r="CT194" s="7">
        <v>50</v>
      </c>
      <c r="CU194" s="7">
        <v>0.43867899999999999</v>
      </c>
      <c r="CV194" s="7">
        <v>36.556604</v>
      </c>
      <c r="CW194" s="7">
        <v>50</v>
      </c>
      <c r="CX194" s="7">
        <v>0.97142899999999999</v>
      </c>
      <c r="CY194" s="4" t="s">
        <v>124</v>
      </c>
      <c r="CZ194" s="4" t="s">
        <v>124</v>
      </c>
      <c r="DA194" s="7">
        <v>15.389535</v>
      </c>
      <c r="DB194" s="7">
        <v>17.608319000000002</v>
      </c>
      <c r="DC194" s="7">
        <v>16.064022999999999</v>
      </c>
      <c r="DD194" s="7">
        <v>11.115401</v>
      </c>
      <c r="DE194" s="4" t="s">
        <v>124</v>
      </c>
      <c r="DF194" s="6"/>
      <c r="DG194" s="6"/>
      <c r="DH194" s="6"/>
      <c r="DI194" s="6"/>
      <c r="DJ194" s="4" t="s">
        <v>124</v>
      </c>
      <c r="DK194" s="4" t="s">
        <v>124</v>
      </c>
      <c r="DL194" s="4" t="s">
        <v>124</v>
      </c>
      <c r="DM194" s="4" t="s">
        <v>124</v>
      </c>
      <c r="DN194" s="4" t="s">
        <v>124</v>
      </c>
      <c r="DO194" s="4" t="s">
        <v>124</v>
      </c>
      <c r="DP194" s="6"/>
      <c r="DQ194" s="4" t="s">
        <v>125</v>
      </c>
    </row>
    <row r="195" spans="1:121" ht="20" customHeight="1" x14ac:dyDescent="0.15">
      <c r="A195" s="5">
        <v>2018</v>
      </c>
      <c r="B195" s="3" t="s">
        <v>318</v>
      </c>
      <c r="C195" s="4" t="str">
        <f>"2890013"</f>
        <v>2890013</v>
      </c>
      <c r="D195" s="4" t="s">
        <v>122</v>
      </c>
      <c r="E195" s="4" t="str">
        <f>"0000000"</f>
        <v>0000000</v>
      </c>
      <c r="F195" s="4" t="s">
        <v>122</v>
      </c>
      <c r="G195" s="4" t="s">
        <v>122</v>
      </c>
      <c r="H195" s="4" t="s">
        <v>122</v>
      </c>
      <c r="I195" s="6"/>
      <c r="J195" s="4" t="s">
        <v>123</v>
      </c>
      <c r="K195" s="7">
        <v>1027.2138689999999</v>
      </c>
      <c r="L195" s="7">
        <v>1350</v>
      </c>
      <c r="M195" s="7">
        <v>76.089916000000002</v>
      </c>
      <c r="N195" s="4" t="s">
        <v>124</v>
      </c>
      <c r="O195" s="7">
        <v>0</v>
      </c>
      <c r="P195" s="7">
        <v>68.201100999999994</v>
      </c>
      <c r="Q195" s="7">
        <v>45.467399999999998</v>
      </c>
      <c r="R195" s="7">
        <v>50</v>
      </c>
      <c r="S195" s="7">
        <v>68.160968999999994</v>
      </c>
      <c r="T195" s="4" t="s">
        <v>124</v>
      </c>
      <c r="U195" s="7">
        <v>45.440646000000001</v>
      </c>
      <c r="V195" s="7">
        <v>50</v>
      </c>
      <c r="W195" s="7">
        <v>64.464442000000005</v>
      </c>
      <c r="X195" s="7">
        <v>42.976294000000003</v>
      </c>
      <c r="Y195" s="7">
        <v>50</v>
      </c>
      <c r="Z195" s="4" t="s">
        <v>124</v>
      </c>
      <c r="AA195" s="7">
        <v>64.486881999999994</v>
      </c>
      <c r="AB195" s="7">
        <v>42.991255000000002</v>
      </c>
      <c r="AC195" s="7">
        <v>50</v>
      </c>
      <c r="AD195" s="7">
        <v>58.242457000000002</v>
      </c>
      <c r="AE195" s="7">
        <v>38.828305</v>
      </c>
      <c r="AF195" s="7">
        <v>50</v>
      </c>
      <c r="AG195" s="7">
        <v>58.242457000000002</v>
      </c>
      <c r="AH195" s="4" t="s">
        <v>124</v>
      </c>
      <c r="AI195" s="7">
        <v>38.828305</v>
      </c>
      <c r="AJ195" s="7">
        <v>50</v>
      </c>
      <c r="AK195" s="4" t="s">
        <v>124</v>
      </c>
      <c r="AL195" s="4" t="s">
        <v>124</v>
      </c>
      <c r="AM195" s="4" t="s">
        <v>124</v>
      </c>
      <c r="AN195" s="7">
        <v>0.64899899999999999</v>
      </c>
      <c r="AO195" s="7">
        <v>64.899941999999996</v>
      </c>
      <c r="AP195" s="7">
        <v>100</v>
      </c>
      <c r="AQ195" s="7">
        <v>0.61199899999999996</v>
      </c>
      <c r="AR195" s="7">
        <v>61.199862000000003</v>
      </c>
      <c r="AS195" s="7">
        <v>100</v>
      </c>
      <c r="AT195" s="7">
        <v>0.64747100000000002</v>
      </c>
      <c r="AU195" s="4" t="s">
        <v>124</v>
      </c>
      <c r="AV195" s="7">
        <v>64.747060000000005</v>
      </c>
      <c r="AW195" s="7">
        <v>100</v>
      </c>
      <c r="AX195" s="7">
        <v>0.610344</v>
      </c>
      <c r="AY195" s="4" t="s">
        <v>124</v>
      </c>
      <c r="AZ195" s="7">
        <v>61.034438000000002</v>
      </c>
      <c r="BA195" s="7">
        <v>100</v>
      </c>
      <c r="BB195" s="7">
        <v>0.35378399999999999</v>
      </c>
      <c r="BC195" s="7">
        <v>17.689178999999999</v>
      </c>
      <c r="BD195" s="7">
        <v>50</v>
      </c>
      <c r="BE195" s="7">
        <v>0.44099100000000002</v>
      </c>
      <c r="BF195" s="7">
        <v>22.049569000000002</v>
      </c>
      <c r="BG195" s="7">
        <v>50</v>
      </c>
      <c r="BH195" s="7">
        <v>0</v>
      </c>
      <c r="BI195" s="7">
        <v>0.98607900000000004</v>
      </c>
      <c r="BJ195" s="7">
        <v>0.985981</v>
      </c>
      <c r="BK195" s="4" t="s">
        <v>124</v>
      </c>
      <c r="BL195" s="7">
        <v>0.98607900000000004</v>
      </c>
      <c r="BM195" s="7">
        <v>0.985981</v>
      </c>
      <c r="BN195" s="4" t="s">
        <v>124</v>
      </c>
      <c r="BO195" s="7">
        <v>0.95428599999999997</v>
      </c>
      <c r="BP195" s="7">
        <v>0.95428599999999997</v>
      </c>
      <c r="BQ195" s="4" t="s">
        <v>124</v>
      </c>
      <c r="BR195" s="7">
        <v>9.0909000000000004E-2</v>
      </c>
      <c r="BS195" s="7">
        <v>41.818182</v>
      </c>
      <c r="BT195" s="7">
        <v>50</v>
      </c>
      <c r="BU195" s="7">
        <v>9.8720000000000002E-2</v>
      </c>
      <c r="BV195" s="7">
        <v>40.255941</v>
      </c>
      <c r="BW195" s="7">
        <v>50</v>
      </c>
      <c r="BX195" s="7">
        <v>1</v>
      </c>
      <c r="BY195" s="7">
        <v>50</v>
      </c>
      <c r="BZ195" s="7">
        <v>50</v>
      </c>
      <c r="CA195" s="7">
        <v>0.52702700000000002</v>
      </c>
      <c r="CB195" s="7">
        <v>35.135134999999998</v>
      </c>
      <c r="CC195" s="7">
        <v>50</v>
      </c>
      <c r="CD195" s="7">
        <v>0.90816300000000005</v>
      </c>
      <c r="CE195" s="7">
        <v>48.306556999999998</v>
      </c>
      <c r="CF195" s="7">
        <v>50</v>
      </c>
      <c r="CG195" s="7">
        <v>0.961538</v>
      </c>
      <c r="CH195" s="7">
        <v>100</v>
      </c>
      <c r="CI195" s="7">
        <v>100</v>
      </c>
      <c r="CJ195" s="4" t="s">
        <v>124</v>
      </c>
      <c r="CK195" s="4" t="s">
        <v>124</v>
      </c>
      <c r="CL195" s="4" t="s">
        <v>124</v>
      </c>
      <c r="CM195" s="4" t="s">
        <v>124</v>
      </c>
      <c r="CN195" s="7">
        <v>0.86199999999999999</v>
      </c>
      <c r="CO195" s="7">
        <v>100</v>
      </c>
      <c r="CP195" s="7">
        <v>100</v>
      </c>
      <c r="CQ195" s="7">
        <v>0.36206899999999997</v>
      </c>
      <c r="CR195" s="7">
        <v>0.98305100000000001</v>
      </c>
      <c r="CS195" s="7">
        <v>24.137930999999998</v>
      </c>
      <c r="CT195" s="7">
        <v>50</v>
      </c>
      <c r="CU195" s="7">
        <v>0.496894</v>
      </c>
      <c r="CV195" s="7">
        <v>41.407867000000003</v>
      </c>
      <c r="CW195" s="7">
        <v>50</v>
      </c>
      <c r="CX195" s="4" t="s">
        <v>124</v>
      </c>
      <c r="CY195" s="4" t="s">
        <v>124</v>
      </c>
      <c r="CZ195" s="4" t="s">
        <v>124</v>
      </c>
      <c r="DA195" s="7">
        <v>15.389535</v>
      </c>
      <c r="DB195" s="7">
        <v>17.608319000000002</v>
      </c>
      <c r="DC195" s="7">
        <v>16.064022999999999</v>
      </c>
      <c r="DD195" s="4" t="s">
        <v>124</v>
      </c>
      <c r="DE195" s="4" t="s">
        <v>124</v>
      </c>
      <c r="DF195" s="6"/>
      <c r="DG195" s="6"/>
      <c r="DH195" s="6"/>
      <c r="DI195" s="6"/>
      <c r="DJ195" s="4" t="s">
        <v>124</v>
      </c>
      <c r="DK195" s="4" t="s">
        <v>124</v>
      </c>
      <c r="DL195" s="4" t="s">
        <v>124</v>
      </c>
      <c r="DM195" s="4" t="s">
        <v>124</v>
      </c>
      <c r="DN195" s="4" t="s">
        <v>124</v>
      </c>
      <c r="DO195" s="4" t="s">
        <v>124</v>
      </c>
      <c r="DP195" s="6"/>
      <c r="DQ195" s="4" t="s">
        <v>125</v>
      </c>
    </row>
    <row r="196" spans="1:121" ht="20" customHeight="1" x14ac:dyDescent="0.15">
      <c r="A196" s="5">
        <v>2018</v>
      </c>
      <c r="B196" s="3" t="s">
        <v>319</v>
      </c>
      <c r="C196" s="4" t="str">
        <f>"2900013"</f>
        <v>2900013</v>
      </c>
      <c r="D196" s="4" t="s">
        <v>122</v>
      </c>
      <c r="E196" s="4" t="str">
        <f t="shared" si="1"/>
        <v>0000000</v>
      </c>
      <c r="F196" s="4" t="s">
        <v>122</v>
      </c>
      <c r="G196" s="4" t="s">
        <v>122</v>
      </c>
      <c r="H196" s="4" t="s">
        <v>122</v>
      </c>
      <c r="I196" s="6"/>
      <c r="J196" s="4" t="s">
        <v>123</v>
      </c>
      <c r="K196" s="7">
        <v>590.90684699999997</v>
      </c>
      <c r="L196" s="7">
        <v>850</v>
      </c>
      <c r="M196" s="7">
        <v>69.518452999999994</v>
      </c>
      <c r="N196" s="4" t="s">
        <v>124</v>
      </c>
      <c r="O196" s="7">
        <v>0</v>
      </c>
      <c r="P196" s="7">
        <v>71.601861999999997</v>
      </c>
      <c r="Q196" s="7">
        <v>47.734574000000002</v>
      </c>
      <c r="R196" s="7">
        <v>50</v>
      </c>
      <c r="S196" s="7">
        <v>68.785413000000005</v>
      </c>
      <c r="T196" s="7">
        <v>75</v>
      </c>
      <c r="U196" s="7">
        <v>45.856941999999997</v>
      </c>
      <c r="V196" s="7">
        <v>50</v>
      </c>
      <c r="W196" s="7">
        <v>66.716514000000004</v>
      </c>
      <c r="X196" s="7">
        <v>44.477676000000002</v>
      </c>
      <c r="Y196" s="7">
        <v>50</v>
      </c>
      <c r="Z196" s="7">
        <v>73.548327999999998</v>
      </c>
      <c r="AA196" s="7">
        <v>64.025193000000002</v>
      </c>
      <c r="AB196" s="7">
        <v>42.683461999999999</v>
      </c>
      <c r="AC196" s="7">
        <v>50</v>
      </c>
      <c r="AD196" s="7">
        <v>78.131048000000007</v>
      </c>
      <c r="AE196" s="7">
        <v>50</v>
      </c>
      <c r="AF196" s="7">
        <v>50</v>
      </c>
      <c r="AG196" s="7">
        <v>76.467742000000001</v>
      </c>
      <c r="AH196" s="4" t="s">
        <v>124</v>
      </c>
      <c r="AI196" s="7">
        <v>50</v>
      </c>
      <c r="AJ196" s="7">
        <v>50</v>
      </c>
      <c r="AK196" s="7">
        <v>6.21</v>
      </c>
      <c r="AL196" s="7">
        <v>9.52</v>
      </c>
      <c r="AM196" s="4" t="s">
        <v>124</v>
      </c>
      <c r="AN196" s="7">
        <v>0.50933099999999998</v>
      </c>
      <c r="AO196" s="7">
        <v>50.933101000000001</v>
      </c>
      <c r="AP196" s="7">
        <v>100</v>
      </c>
      <c r="AQ196" s="7">
        <v>0.52999300000000005</v>
      </c>
      <c r="AR196" s="7">
        <v>52.999324000000001</v>
      </c>
      <c r="AS196" s="7">
        <v>100</v>
      </c>
      <c r="AT196" s="7">
        <v>0.51198299999999997</v>
      </c>
      <c r="AU196" s="7">
        <v>0.50369600000000003</v>
      </c>
      <c r="AV196" s="7">
        <v>51.198278999999999</v>
      </c>
      <c r="AW196" s="7">
        <v>100</v>
      </c>
      <c r="AX196" s="7">
        <v>0.48871399999999998</v>
      </c>
      <c r="AY196" s="7">
        <v>0.61771200000000004</v>
      </c>
      <c r="AZ196" s="7">
        <v>48.871388000000003</v>
      </c>
      <c r="BA196" s="7">
        <v>100</v>
      </c>
      <c r="BB196" s="4" t="s">
        <v>124</v>
      </c>
      <c r="BC196" s="4" t="s">
        <v>124</v>
      </c>
      <c r="BD196" s="4" t="s">
        <v>124</v>
      </c>
      <c r="BE196" s="4" t="s">
        <v>124</v>
      </c>
      <c r="BF196" s="4" t="s">
        <v>124</v>
      </c>
      <c r="BG196" s="4" t="s">
        <v>124</v>
      </c>
      <c r="BH196" s="7">
        <v>0</v>
      </c>
      <c r="BI196" s="7">
        <v>1</v>
      </c>
      <c r="BJ196" s="7">
        <v>1</v>
      </c>
      <c r="BK196" s="7">
        <v>1</v>
      </c>
      <c r="BL196" s="7">
        <v>1</v>
      </c>
      <c r="BM196" s="7">
        <v>1</v>
      </c>
      <c r="BN196" s="7">
        <v>1</v>
      </c>
      <c r="BO196" s="7">
        <v>1</v>
      </c>
      <c r="BP196" s="7">
        <v>1</v>
      </c>
      <c r="BQ196" s="4" t="s">
        <v>124</v>
      </c>
      <c r="BR196" s="7">
        <v>8.7649000000000005E-2</v>
      </c>
      <c r="BS196" s="7">
        <v>42.470120000000001</v>
      </c>
      <c r="BT196" s="7">
        <v>50</v>
      </c>
      <c r="BU196" s="7">
        <v>0.112903</v>
      </c>
      <c r="BV196" s="7">
        <v>37.419355000000003</v>
      </c>
      <c r="BW196" s="7">
        <v>50</v>
      </c>
      <c r="BX196" s="4" t="s">
        <v>124</v>
      </c>
      <c r="BY196" s="4" t="s">
        <v>124</v>
      </c>
      <c r="BZ196" s="4" t="s">
        <v>124</v>
      </c>
      <c r="CA196" s="4" t="s">
        <v>124</v>
      </c>
      <c r="CB196" s="4" t="s">
        <v>124</v>
      </c>
      <c r="CC196" s="4" t="s">
        <v>124</v>
      </c>
      <c r="CD196" s="4" t="s">
        <v>124</v>
      </c>
      <c r="CE196" s="4" t="s">
        <v>124</v>
      </c>
      <c r="CF196" s="4" t="s">
        <v>124</v>
      </c>
      <c r="CG196" s="4" t="s">
        <v>124</v>
      </c>
      <c r="CH196" s="4" t="s">
        <v>124</v>
      </c>
      <c r="CI196" s="4" t="s">
        <v>124</v>
      </c>
      <c r="CJ196" s="4" t="s">
        <v>124</v>
      </c>
      <c r="CK196" s="4" t="s">
        <v>124</v>
      </c>
      <c r="CL196" s="4" t="s">
        <v>124</v>
      </c>
      <c r="CM196" s="4" t="s">
        <v>124</v>
      </c>
      <c r="CN196" s="4" t="s">
        <v>124</v>
      </c>
      <c r="CO196" s="4" t="s">
        <v>124</v>
      </c>
      <c r="CP196" s="4" t="s">
        <v>124</v>
      </c>
      <c r="CQ196" s="7">
        <v>0.39393899999999998</v>
      </c>
      <c r="CR196" s="7">
        <v>0.90410999999999997</v>
      </c>
      <c r="CS196" s="7">
        <v>26.262626000000001</v>
      </c>
      <c r="CT196" s="7">
        <v>50</v>
      </c>
      <c r="CU196" s="4" t="s">
        <v>124</v>
      </c>
      <c r="CV196" s="4" t="s">
        <v>124</v>
      </c>
      <c r="CW196" s="4" t="s">
        <v>124</v>
      </c>
      <c r="CX196" s="4" t="s">
        <v>124</v>
      </c>
      <c r="CY196" s="4" t="s">
        <v>124</v>
      </c>
      <c r="CZ196" s="4" t="s">
        <v>124</v>
      </c>
      <c r="DA196" s="7">
        <v>15.389535</v>
      </c>
      <c r="DB196" s="7">
        <v>17.608319000000002</v>
      </c>
      <c r="DC196" s="7">
        <v>16.064022999999999</v>
      </c>
      <c r="DD196" s="4" t="s">
        <v>124</v>
      </c>
      <c r="DE196" s="4" t="s">
        <v>124</v>
      </c>
      <c r="DF196" s="6"/>
      <c r="DG196" s="6"/>
      <c r="DH196" s="6"/>
      <c r="DI196" s="6"/>
      <c r="DJ196" s="4" t="s">
        <v>124</v>
      </c>
      <c r="DK196" s="4" t="s">
        <v>124</v>
      </c>
      <c r="DL196" s="4" t="s">
        <v>124</v>
      </c>
      <c r="DM196" s="4" t="s">
        <v>124</v>
      </c>
      <c r="DN196" s="4" t="s">
        <v>124</v>
      </c>
      <c r="DO196" s="4" t="s">
        <v>124</v>
      </c>
      <c r="DP196" s="6"/>
      <c r="DQ196" s="4" t="s">
        <v>125</v>
      </c>
    </row>
    <row r="197" spans="1:121" ht="20" customHeight="1" x14ac:dyDescent="0.15">
      <c r="A197" s="5">
        <v>2018</v>
      </c>
      <c r="B197" s="3" t="s">
        <v>320</v>
      </c>
      <c r="C197" s="4" t="str">
        <f t="shared" ref="C197:C1185" si="184">"2910013"</f>
        <v>2910013</v>
      </c>
      <c r="D197" s="4" t="s">
        <v>122</v>
      </c>
      <c r="E197" s="4" t="str">
        <f t="shared" si="1"/>
        <v>0000000</v>
      </c>
      <c r="F197" s="4" t="s">
        <v>122</v>
      </c>
      <c r="G197" s="4" t="s">
        <v>122</v>
      </c>
      <c r="H197" s="4" t="s">
        <v>122</v>
      </c>
      <c r="I197" s="6"/>
      <c r="J197" s="4" t="s">
        <v>123</v>
      </c>
      <c r="K197" s="7">
        <v>240.90757199999999</v>
      </c>
      <c r="L197" s="7">
        <v>300</v>
      </c>
      <c r="M197" s="7">
        <v>80.302524000000005</v>
      </c>
      <c r="N197" s="4" t="s">
        <v>124</v>
      </c>
      <c r="O197" s="7">
        <v>0</v>
      </c>
      <c r="P197" s="7">
        <v>64.032691999999997</v>
      </c>
      <c r="Q197" s="7">
        <v>85.376923000000005</v>
      </c>
      <c r="R197" s="7">
        <v>100</v>
      </c>
      <c r="S197" s="4" t="s">
        <v>124</v>
      </c>
      <c r="T197" s="7">
        <v>68.166610000000006</v>
      </c>
      <c r="U197" s="4" t="s">
        <v>124</v>
      </c>
      <c r="V197" s="4" t="s">
        <v>124</v>
      </c>
      <c r="W197" s="7">
        <v>53.220514999999999</v>
      </c>
      <c r="X197" s="7">
        <v>70.960686999999993</v>
      </c>
      <c r="Y197" s="7">
        <v>100</v>
      </c>
      <c r="Z197" s="7">
        <v>56.931038999999998</v>
      </c>
      <c r="AA197" s="4" t="s">
        <v>124</v>
      </c>
      <c r="AB197" s="4" t="s">
        <v>124</v>
      </c>
      <c r="AC197" s="4" t="s">
        <v>124</v>
      </c>
      <c r="AD197" s="4" t="s">
        <v>124</v>
      </c>
      <c r="AE197" s="4" t="s">
        <v>124</v>
      </c>
      <c r="AF197" s="4" t="s">
        <v>124</v>
      </c>
      <c r="AG197" s="4" t="s">
        <v>124</v>
      </c>
      <c r="AH197" s="4" t="s">
        <v>124</v>
      </c>
      <c r="AI197" s="4" t="s">
        <v>124</v>
      </c>
      <c r="AJ197" s="4" t="s">
        <v>124</v>
      </c>
      <c r="AK197" s="4" t="s">
        <v>124</v>
      </c>
      <c r="AL197" s="4" t="s">
        <v>124</v>
      </c>
      <c r="AM197" s="4" t="s">
        <v>124</v>
      </c>
      <c r="AN197" s="4" t="s">
        <v>124</v>
      </c>
      <c r="AO197" s="4" t="s">
        <v>124</v>
      </c>
      <c r="AP197" s="4" t="s">
        <v>124</v>
      </c>
      <c r="AQ197" s="4" t="s">
        <v>124</v>
      </c>
      <c r="AR197" s="4" t="s">
        <v>124</v>
      </c>
      <c r="AS197" s="4" t="s">
        <v>124</v>
      </c>
      <c r="AT197" s="4" t="s">
        <v>124</v>
      </c>
      <c r="AU197" s="4" t="s">
        <v>124</v>
      </c>
      <c r="AV197" s="4" t="s">
        <v>124</v>
      </c>
      <c r="AW197" s="4" t="s">
        <v>124</v>
      </c>
      <c r="AX197" s="4" t="s">
        <v>124</v>
      </c>
      <c r="AY197" s="4" t="s">
        <v>124</v>
      </c>
      <c r="AZ197" s="4" t="s">
        <v>124</v>
      </c>
      <c r="BA197" s="4" t="s">
        <v>124</v>
      </c>
      <c r="BB197" s="4" t="s">
        <v>124</v>
      </c>
      <c r="BC197" s="4" t="s">
        <v>124</v>
      </c>
      <c r="BD197" s="4" t="s">
        <v>124</v>
      </c>
      <c r="BE197" s="4" t="s">
        <v>124</v>
      </c>
      <c r="BF197" s="4" t="s">
        <v>124</v>
      </c>
      <c r="BG197" s="4" t="s">
        <v>124</v>
      </c>
      <c r="BH197" s="7">
        <v>0</v>
      </c>
      <c r="BI197" s="7">
        <v>1</v>
      </c>
      <c r="BJ197" s="4" t="s">
        <v>124</v>
      </c>
      <c r="BK197" s="7">
        <v>1</v>
      </c>
      <c r="BL197" s="7">
        <v>1</v>
      </c>
      <c r="BM197" s="4" t="s">
        <v>124</v>
      </c>
      <c r="BN197" s="7">
        <v>1</v>
      </c>
      <c r="BO197" s="4" t="s">
        <v>124</v>
      </c>
      <c r="BP197" s="4" t="s">
        <v>124</v>
      </c>
      <c r="BQ197" s="4" t="s">
        <v>124</v>
      </c>
      <c r="BR197" s="7">
        <v>8.9430999999999997E-2</v>
      </c>
      <c r="BS197" s="7">
        <v>42.113821000000002</v>
      </c>
      <c r="BT197" s="7">
        <v>50</v>
      </c>
      <c r="BU197" s="7">
        <v>8.7719000000000005E-2</v>
      </c>
      <c r="BV197" s="7">
        <v>42.456139999999998</v>
      </c>
      <c r="BW197" s="7">
        <v>50</v>
      </c>
      <c r="BX197" s="4" t="s">
        <v>124</v>
      </c>
      <c r="BY197" s="4" t="s">
        <v>124</v>
      </c>
      <c r="BZ197" s="4" t="s">
        <v>124</v>
      </c>
      <c r="CA197" s="4" t="s">
        <v>124</v>
      </c>
      <c r="CB197" s="4" t="s">
        <v>124</v>
      </c>
      <c r="CC197" s="4" t="s">
        <v>124</v>
      </c>
      <c r="CD197" s="4" t="s">
        <v>124</v>
      </c>
      <c r="CE197" s="4" t="s">
        <v>124</v>
      </c>
      <c r="CF197" s="4" t="s">
        <v>124</v>
      </c>
      <c r="CG197" s="4" t="s">
        <v>124</v>
      </c>
      <c r="CH197" s="4" t="s">
        <v>124</v>
      </c>
      <c r="CI197" s="4" t="s">
        <v>124</v>
      </c>
      <c r="CJ197" s="4" t="s">
        <v>124</v>
      </c>
      <c r="CK197" s="4" t="s">
        <v>124</v>
      </c>
      <c r="CL197" s="4" t="s">
        <v>124</v>
      </c>
      <c r="CM197" s="4" t="s">
        <v>124</v>
      </c>
      <c r="CN197" s="4" t="s">
        <v>124</v>
      </c>
      <c r="CO197" s="4" t="s">
        <v>124</v>
      </c>
      <c r="CP197" s="4" t="s">
        <v>124</v>
      </c>
      <c r="CQ197" s="4" t="s">
        <v>124</v>
      </c>
      <c r="CR197" s="4" t="s">
        <v>124</v>
      </c>
      <c r="CS197" s="4" t="s">
        <v>124</v>
      </c>
      <c r="CT197" s="4" t="s">
        <v>124</v>
      </c>
      <c r="CU197" s="4" t="s">
        <v>124</v>
      </c>
      <c r="CV197" s="4" t="s">
        <v>124</v>
      </c>
      <c r="CW197" s="4" t="s">
        <v>124</v>
      </c>
      <c r="CX197" s="4" t="s">
        <v>124</v>
      </c>
      <c r="CY197" s="4" t="s">
        <v>124</v>
      </c>
      <c r="CZ197" s="4" t="s">
        <v>124</v>
      </c>
      <c r="DA197" s="7">
        <v>15.389535</v>
      </c>
      <c r="DB197" s="7">
        <v>17.608319000000002</v>
      </c>
      <c r="DC197" s="7">
        <v>16.064022999999999</v>
      </c>
      <c r="DD197" s="4" t="s">
        <v>124</v>
      </c>
      <c r="DE197" s="4" t="s">
        <v>124</v>
      </c>
      <c r="DF197" s="6"/>
      <c r="DG197" s="6"/>
      <c r="DH197" s="6"/>
      <c r="DI197" s="6"/>
      <c r="DJ197" s="4" t="s">
        <v>124</v>
      </c>
      <c r="DK197" s="4" t="s">
        <v>124</v>
      </c>
      <c r="DL197" s="4" t="s">
        <v>124</v>
      </c>
      <c r="DM197" s="4" t="s">
        <v>124</v>
      </c>
      <c r="DN197" s="4" t="s">
        <v>124</v>
      </c>
      <c r="DO197" s="4" t="s">
        <v>124</v>
      </c>
      <c r="DP197" s="6"/>
      <c r="DQ197" s="4" t="s">
        <v>125</v>
      </c>
    </row>
    <row r="198" spans="1:121" ht="20" customHeight="1" x14ac:dyDescent="0.15">
      <c r="A198" s="5">
        <v>2018</v>
      </c>
      <c r="B198" s="3" t="s">
        <v>321</v>
      </c>
      <c r="C198" s="4" t="str">
        <f>"2940013"</f>
        <v>2940013</v>
      </c>
      <c r="D198" s="4" t="s">
        <v>122</v>
      </c>
      <c r="E198" s="4" t="str">
        <f t="shared" si="1"/>
        <v>0000000</v>
      </c>
      <c r="F198" s="4" t="s">
        <v>122</v>
      </c>
      <c r="G198" s="4" t="s">
        <v>122</v>
      </c>
      <c r="H198" s="4" t="s">
        <v>122</v>
      </c>
      <c r="I198" s="6"/>
      <c r="J198" s="4" t="s">
        <v>123</v>
      </c>
      <c r="K198" s="7">
        <v>506.40380699999997</v>
      </c>
      <c r="L198" s="7">
        <v>1050</v>
      </c>
      <c r="M198" s="7">
        <v>48.228934000000002</v>
      </c>
      <c r="N198" s="4" t="s">
        <v>124</v>
      </c>
      <c r="O198" s="7">
        <v>0</v>
      </c>
      <c r="P198" s="7">
        <v>52.266235000000002</v>
      </c>
      <c r="Q198" s="7">
        <v>34.844157000000003</v>
      </c>
      <c r="R198" s="7">
        <v>50</v>
      </c>
      <c r="S198" s="7">
        <v>50.670878999999999</v>
      </c>
      <c r="T198" s="7">
        <v>60.211111000000002</v>
      </c>
      <c r="U198" s="7">
        <v>33.780586</v>
      </c>
      <c r="V198" s="7">
        <v>50</v>
      </c>
      <c r="W198" s="7">
        <v>43.126134</v>
      </c>
      <c r="X198" s="7">
        <v>28.750755999999999</v>
      </c>
      <c r="Y198" s="7">
        <v>50</v>
      </c>
      <c r="Z198" s="7">
        <v>52.912014999999997</v>
      </c>
      <c r="AA198" s="7">
        <v>41.161098000000003</v>
      </c>
      <c r="AB198" s="7">
        <v>27.440732000000001</v>
      </c>
      <c r="AC198" s="7">
        <v>50</v>
      </c>
      <c r="AD198" s="7">
        <v>52.082521</v>
      </c>
      <c r="AE198" s="7">
        <v>34.721680999999997</v>
      </c>
      <c r="AF198" s="7">
        <v>50</v>
      </c>
      <c r="AG198" s="7">
        <v>51.426907</v>
      </c>
      <c r="AH198" s="4" t="s">
        <v>124</v>
      </c>
      <c r="AI198" s="7">
        <v>34.284604000000002</v>
      </c>
      <c r="AJ198" s="7">
        <v>50</v>
      </c>
      <c r="AK198" s="7">
        <v>9.5399999999999991</v>
      </c>
      <c r="AL198" s="7">
        <v>11.75</v>
      </c>
      <c r="AM198" s="4" t="s">
        <v>124</v>
      </c>
      <c r="AN198" s="7">
        <v>0.58294100000000004</v>
      </c>
      <c r="AO198" s="7">
        <v>58.294097999999998</v>
      </c>
      <c r="AP198" s="7">
        <v>100</v>
      </c>
      <c r="AQ198" s="7">
        <v>0.405061</v>
      </c>
      <c r="AR198" s="7">
        <v>40.506138</v>
      </c>
      <c r="AS198" s="7">
        <v>100</v>
      </c>
      <c r="AT198" s="7">
        <v>0.55626299999999995</v>
      </c>
      <c r="AU198" s="7">
        <v>0.712924</v>
      </c>
      <c r="AV198" s="7">
        <v>55.626330000000003</v>
      </c>
      <c r="AW198" s="7">
        <v>100</v>
      </c>
      <c r="AX198" s="7">
        <v>0.38648100000000002</v>
      </c>
      <c r="AY198" s="7">
        <v>0.49409399999999998</v>
      </c>
      <c r="AZ198" s="7">
        <v>38.648063</v>
      </c>
      <c r="BA198" s="7">
        <v>100</v>
      </c>
      <c r="BB198" s="7">
        <v>0.52063300000000001</v>
      </c>
      <c r="BC198" s="7">
        <v>26.031665</v>
      </c>
      <c r="BD198" s="7">
        <v>50</v>
      </c>
      <c r="BE198" s="7">
        <v>0.32341700000000001</v>
      </c>
      <c r="BF198" s="7">
        <v>16.170852</v>
      </c>
      <c r="BG198" s="7">
        <v>50</v>
      </c>
      <c r="BH198" s="7">
        <v>0</v>
      </c>
      <c r="BI198" s="7">
        <v>0.98697100000000004</v>
      </c>
      <c r="BJ198" s="7">
        <v>0.98828099999999997</v>
      </c>
      <c r="BK198" s="7">
        <v>0.98039200000000004</v>
      </c>
      <c r="BL198" s="7">
        <v>0.98697100000000004</v>
      </c>
      <c r="BM198" s="7">
        <v>0.98828099999999997</v>
      </c>
      <c r="BN198" s="7">
        <v>0.98039200000000004</v>
      </c>
      <c r="BO198" s="7">
        <v>0.98912999999999995</v>
      </c>
      <c r="BP198" s="7">
        <v>0.98648599999999997</v>
      </c>
      <c r="BQ198" s="4" t="s">
        <v>124</v>
      </c>
      <c r="BR198" s="7">
        <v>0.234043</v>
      </c>
      <c r="BS198" s="7">
        <v>13.191489000000001</v>
      </c>
      <c r="BT198" s="7">
        <v>50</v>
      </c>
      <c r="BU198" s="7">
        <v>0.24712600000000001</v>
      </c>
      <c r="BV198" s="7">
        <v>10.574712999999999</v>
      </c>
      <c r="BW198" s="7">
        <v>50</v>
      </c>
      <c r="BX198" s="4" t="s">
        <v>124</v>
      </c>
      <c r="BY198" s="4" t="s">
        <v>124</v>
      </c>
      <c r="BZ198" s="4" t="s">
        <v>124</v>
      </c>
      <c r="CA198" s="4" t="s">
        <v>124</v>
      </c>
      <c r="CB198" s="4" t="s">
        <v>124</v>
      </c>
      <c r="CC198" s="4" t="s">
        <v>124</v>
      </c>
      <c r="CD198" s="7">
        <v>0.24427499999999999</v>
      </c>
      <c r="CE198" s="7">
        <v>12.993340999999999</v>
      </c>
      <c r="CF198" s="7">
        <v>50</v>
      </c>
      <c r="CG198" s="4" t="s">
        <v>124</v>
      </c>
      <c r="CH198" s="4" t="s">
        <v>124</v>
      </c>
      <c r="CI198" s="4" t="s">
        <v>124</v>
      </c>
      <c r="CJ198" s="4" t="s">
        <v>124</v>
      </c>
      <c r="CK198" s="4" t="s">
        <v>124</v>
      </c>
      <c r="CL198" s="4" t="s">
        <v>124</v>
      </c>
      <c r="CM198" s="4" t="s">
        <v>124</v>
      </c>
      <c r="CN198" s="4" t="s">
        <v>124</v>
      </c>
      <c r="CO198" s="4" t="s">
        <v>124</v>
      </c>
      <c r="CP198" s="4" t="s">
        <v>124</v>
      </c>
      <c r="CQ198" s="7">
        <v>0.13147400000000001</v>
      </c>
      <c r="CR198" s="7">
        <v>0.97286799999999996</v>
      </c>
      <c r="CS198" s="7">
        <v>8.7649399999999993</v>
      </c>
      <c r="CT198" s="7">
        <v>50</v>
      </c>
      <c r="CU198" s="7">
        <v>0.38135599999999997</v>
      </c>
      <c r="CV198" s="7">
        <v>31.779661000000001</v>
      </c>
      <c r="CW198" s="7">
        <v>50</v>
      </c>
      <c r="CX198" s="4" t="s">
        <v>124</v>
      </c>
      <c r="CY198" s="4" t="s">
        <v>124</v>
      </c>
      <c r="CZ198" s="4" t="s">
        <v>124</v>
      </c>
      <c r="DA198" s="7">
        <v>15.389535</v>
      </c>
      <c r="DB198" s="7">
        <v>17.608319000000002</v>
      </c>
      <c r="DC198" s="7">
        <v>16.064022999999999</v>
      </c>
      <c r="DD198" s="4" t="s">
        <v>124</v>
      </c>
      <c r="DE198" s="4" t="s">
        <v>124</v>
      </c>
      <c r="DF198" s="6"/>
      <c r="DG198" s="6"/>
      <c r="DH198" s="6"/>
      <c r="DI198" s="6"/>
      <c r="DJ198" s="4" t="s">
        <v>124</v>
      </c>
      <c r="DK198" s="4" t="s">
        <v>124</v>
      </c>
      <c r="DL198" s="4" t="s">
        <v>124</v>
      </c>
      <c r="DM198" s="4" t="s">
        <v>124</v>
      </c>
      <c r="DN198" s="4" t="s">
        <v>124</v>
      </c>
      <c r="DO198" s="4" t="s">
        <v>124</v>
      </c>
      <c r="DP198" s="6"/>
      <c r="DQ198" s="4" t="s">
        <v>125</v>
      </c>
    </row>
    <row r="199" spans="1:121" ht="20" customHeight="1" x14ac:dyDescent="0.15">
      <c r="A199" s="5">
        <v>2018</v>
      </c>
      <c r="B199" s="3" t="s">
        <v>322</v>
      </c>
      <c r="C199" s="4" t="str">
        <f>"2950013"</f>
        <v>2950013</v>
      </c>
      <c r="D199" s="4" t="s">
        <v>122</v>
      </c>
      <c r="E199" s="4" t="str">
        <f t="shared" si="1"/>
        <v>0000000</v>
      </c>
      <c r="F199" s="4" t="s">
        <v>122</v>
      </c>
      <c r="G199" s="4" t="s">
        <v>122</v>
      </c>
      <c r="H199" s="4" t="s">
        <v>122</v>
      </c>
      <c r="I199" s="6"/>
      <c r="J199" s="4" t="s">
        <v>123</v>
      </c>
      <c r="K199" s="7">
        <v>525.14587500000005</v>
      </c>
      <c r="L199" s="7">
        <v>850</v>
      </c>
      <c r="M199" s="7">
        <v>61.781868000000003</v>
      </c>
      <c r="N199" s="4" t="s">
        <v>124</v>
      </c>
      <c r="O199" s="7">
        <v>0</v>
      </c>
      <c r="P199" s="7">
        <v>66.593853999999993</v>
      </c>
      <c r="Q199" s="7">
        <v>44.395902</v>
      </c>
      <c r="R199" s="7">
        <v>50</v>
      </c>
      <c r="S199" s="7">
        <v>64.704437999999996</v>
      </c>
      <c r="T199" s="4" t="s">
        <v>124</v>
      </c>
      <c r="U199" s="7">
        <v>43.136291999999997</v>
      </c>
      <c r="V199" s="7">
        <v>50</v>
      </c>
      <c r="W199" s="7">
        <v>64.060057999999998</v>
      </c>
      <c r="X199" s="7">
        <v>42.706704999999999</v>
      </c>
      <c r="Y199" s="7">
        <v>50</v>
      </c>
      <c r="Z199" s="4" t="s">
        <v>124</v>
      </c>
      <c r="AA199" s="7">
        <v>62.409542000000002</v>
      </c>
      <c r="AB199" s="7">
        <v>41.606361</v>
      </c>
      <c r="AC199" s="7">
        <v>50</v>
      </c>
      <c r="AD199" s="7">
        <v>61.344515999999999</v>
      </c>
      <c r="AE199" s="7">
        <v>40.896343999999999</v>
      </c>
      <c r="AF199" s="7">
        <v>50</v>
      </c>
      <c r="AG199" s="7">
        <v>59.612903000000003</v>
      </c>
      <c r="AH199" s="4" t="s">
        <v>124</v>
      </c>
      <c r="AI199" s="7">
        <v>39.741934999999998</v>
      </c>
      <c r="AJ199" s="7">
        <v>50</v>
      </c>
      <c r="AK199" s="4" t="s">
        <v>124</v>
      </c>
      <c r="AL199" s="4" t="s">
        <v>124</v>
      </c>
      <c r="AM199" s="4" t="s">
        <v>124</v>
      </c>
      <c r="AN199" s="7">
        <v>0.42341800000000002</v>
      </c>
      <c r="AO199" s="7">
        <v>42.341779000000002</v>
      </c>
      <c r="AP199" s="7">
        <v>100</v>
      </c>
      <c r="AQ199" s="7">
        <v>0.41669699999999998</v>
      </c>
      <c r="AR199" s="7">
        <v>41.669651999999999</v>
      </c>
      <c r="AS199" s="7">
        <v>100</v>
      </c>
      <c r="AT199" s="7">
        <v>0.42871399999999998</v>
      </c>
      <c r="AU199" s="4" t="s">
        <v>124</v>
      </c>
      <c r="AV199" s="7">
        <v>42.871388000000003</v>
      </c>
      <c r="AW199" s="7">
        <v>100</v>
      </c>
      <c r="AX199" s="7">
        <v>0.40751199999999999</v>
      </c>
      <c r="AY199" s="4" t="s">
        <v>124</v>
      </c>
      <c r="AZ199" s="7">
        <v>40.751195000000003</v>
      </c>
      <c r="BA199" s="7">
        <v>100</v>
      </c>
      <c r="BB199" s="4" t="s">
        <v>124</v>
      </c>
      <c r="BC199" s="4" t="s">
        <v>124</v>
      </c>
      <c r="BD199" s="4" t="s">
        <v>124</v>
      </c>
      <c r="BE199" s="4" t="s">
        <v>124</v>
      </c>
      <c r="BF199" s="4" t="s">
        <v>124</v>
      </c>
      <c r="BG199" s="4" t="s">
        <v>124</v>
      </c>
      <c r="BH199" s="7">
        <v>0</v>
      </c>
      <c r="BI199" s="7">
        <v>1</v>
      </c>
      <c r="BJ199" s="7">
        <v>1</v>
      </c>
      <c r="BK199" s="4" t="s">
        <v>124</v>
      </c>
      <c r="BL199" s="7">
        <v>1</v>
      </c>
      <c r="BM199" s="7">
        <v>1</v>
      </c>
      <c r="BN199" s="4" t="s">
        <v>124</v>
      </c>
      <c r="BO199" s="7">
        <v>1</v>
      </c>
      <c r="BP199" s="7">
        <v>1</v>
      </c>
      <c r="BQ199" s="4" t="s">
        <v>124</v>
      </c>
      <c r="BR199" s="7">
        <v>0.12209299999999999</v>
      </c>
      <c r="BS199" s="7">
        <v>35.581395000000001</v>
      </c>
      <c r="BT199" s="7">
        <v>50</v>
      </c>
      <c r="BU199" s="7">
        <v>0.14788699999999999</v>
      </c>
      <c r="BV199" s="7">
        <v>30.422535</v>
      </c>
      <c r="BW199" s="7">
        <v>50</v>
      </c>
      <c r="BX199" s="4" t="s">
        <v>124</v>
      </c>
      <c r="BY199" s="4" t="s">
        <v>124</v>
      </c>
      <c r="BZ199" s="4" t="s">
        <v>124</v>
      </c>
      <c r="CA199" s="4" t="s">
        <v>124</v>
      </c>
      <c r="CB199" s="4" t="s">
        <v>124</v>
      </c>
      <c r="CC199" s="4" t="s">
        <v>124</v>
      </c>
      <c r="CD199" s="4" t="s">
        <v>124</v>
      </c>
      <c r="CE199" s="4" t="s">
        <v>124</v>
      </c>
      <c r="CF199" s="4" t="s">
        <v>124</v>
      </c>
      <c r="CG199" s="4" t="s">
        <v>124</v>
      </c>
      <c r="CH199" s="4" t="s">
        <v>124</v>
      </c>
      <c r="CI199" s="4" t="s">
        <v>124</v>
      </c>
      <c r="CJ199" s="4" t="s">
        <v>124</v>
      </c>
      <c r="CK199" s="4" t="s">
        <v>124</v>
      </c>
      <c r="CL199" s="4" t="s">
        <v>124</v>
      </c>
      <c r="CM199" s="4" t="s">
        <v>124</v>
      </c>
      <c r="CN199" s="4" t="s">
        <v>124</v>
      </c>
      <c r="CO199" s="4" t="s">
        <v>124</v>
      </c>
      <c r="CP199" s="4" t="s">
        <v>124</v>
      </c>
      <c r="CQ199" s="7">
        <v>0.58536600000000005</v>
      </c>
      <c r="CR199" s="7">
        <v>1</v>
      </c>
      <c r="CS199" s="7">
        <v>39.024389999999997</v>
      </c>
      <c r="CT199" s="7">
        <v>50</v>
      </c>
      <c r="CU199" s="4" t="s">
        <v>124</v>
      </c>
      <c r="CV199" s="4" t="s">
        <v>124</v>
      </c>
      <c r="CW199" s="4" t="s">
        <v>124</v>
      </c>
      <c r="CX199" s="4" t="s">
        <v>124</v>
      </c>
      <c r="CY199" s="4" t="s">
        <v>124</v>
      </c>
      <c r="CZ199" s="4" t="s">
        <v>124</v>
      </c>
      <c r="DA199" s="7">
        <v>15.389535</v>
      </c>
      <c r="DB199" s="7">
        <v>17.608319000000002</v>
      </c>
      <c r="DC199" s="7">
        <v>16.064022999999999</v>
      </c>
      <c r="DD199" s="4" t="s">
        <v>124</v>
      </c>
      <c r="DE199" s="4" t="s">
        <v>124</v>
      </c>
      <c r="DF199" s="6"/>
      <c r="DG199" s="6"/>
      <c r="DH199" s="6"/>
      <c r="DI199" s="6"/>
      <c r="DJ199" s="4" t="s">
        <v>124</v>
      </c>
      <c r="DK199" s="4" t="s">
        <v>124</v>
      </c>
      <c r="DL199" s="4" t="s">
        <v>124</v>
      </c>
      <c r="DM199" s="4" t="s">
        <v>124</v>
      </c>
      <c r="DN199" s="4" t="s">
        <v>124</v>
      </c>
      <c r="DO199" s="4" t="s">
        <v>124</v>
      </c>
      <c r="DP199" s="6"/>
      <c r="DQ199" s="4" t="s">
        <v>125</v>
      </c>
    </row>
    <row r="200" spans="1:121" ht="20" customHeight="1" x14ac:dyDescent="0.15">
      <c r="A200" s="5">
        <v>2018</v>
      </c>
      <c r="B200" s="3" t="s">
        <v>323</v>
      </c>
      <c r="C200" s="4" t="str">
        <f t="shared" ref="C200:C1188" si="185">"2960013"</f>
        <v>2960013</v>
      </c>
      <c r="D200" s="4" t="s">
        <v>122</v>
      </c>
      <c r="E200" s="4" t="str">
        <f t="shared" si="1"/>
        <v>0000000</v>
      </c>
      <c r="F200" s="4" t="s">
        <v>122</v>
      </c>
      <c r="G200" s="4" t="s">
        <v>122</v>
      </c>
      <c r="H200" s="4" t="s">
        <v>122</v>
      </c>
      <c r="I200" s="6"/>
      <c r="J200" s="4" t="s">
        <v>123</v>
      </c>
      <c r="K200" s="7">
        <v>628.23225600000001</v>
      </c>
      <c r="L200" s="7">
        <v>750</v>
      </c>
      <c r="M200" s="7">
        <v>83.764301000000003</v>
      </c>
      <c r="N200" s="4" t="s">
        <v>124</v>
      </c>
      <c r="O200" s="7">
        <v>0</v>
      </c>
      <c r="P200" s="7">
        <v>86.921521999999996</v>
      </c>
      <c r="Q200" s="7">
        <v>50</v>
      </c>
      <c r="R200" s="7">
        <v>50</v>
      </c>
      <c r="S200" s="7">
        <v>84.965452999999997</v>
      </c>
      <c r="T200" s="7">
        <v>75</v>
      </c>
      <c r="U200" s="7">
        <v>50</v>
      </c>
      <c r="V200" s="7">
        <v>50</v>
      </c>
      <c r="W200" s="7">
        <v>86.071667000000005</v>
      </c>
      <c r="X200" s="7">
        <v>50</v>
      </c>
      <c r="Y200" s="7">
        <v>50</v>
      </c>
      <c r="Z200" s="7">
        <v>75</v>
      </c>
      <c r="AA200" s="7">
        <v>83.683981000000003</v>
      </c>
      <c r="AB200" s="7">
        <v>50</v>
      </c>
      <c r="AC200" s="7">
        <v>50</v>
      </c>
      <c r="AD200" s="4" t="s">
        <v>124</v>
      </c>
      <c r="AE200" s="4" t="s">
        <v>124</v>
      </c>
      <c r="AF200" s="4" t="s">
        <v>124</v>
      </c>
      <c r="AG200" s="4" t="s">
        <v>124</v>
      </c>
      <c r="AH200" s="4" t="s">
        <v>124</v>
      </c>
      <c r="AI200" s="4" t="s">
        <v>124</v>
      </c>
      <c r="AJ200" s="4" t="s">
        <v>124</v>
      </c>
      <c r="AK200" s="7">
        <v>-9.9600000000000009</v>
      </c>
      <c r="AL200" s="7">
        <v>-8.68</v>
      </c>
      <c r="AM200" s="4" t="s">
        <v>124</v>
      </c>
      <c r="AN200" s="7">
        <v>0.89843700000000004</v>
      </c>
      <c r="AO200" s="7">
        <v>89.843736000000007</v>
      </c>
      <c r="AP200" s="7">
        <v>100</v>
      </c>
      <c r="AQ200" s="7">
        <v>0.74051500000000003</v>
      </c>
      <c r="AR200" s="7">
        <v>74.051452999999995</v>
      </c>
      <c r="AS200" s="7">
        <v>100</v>
      </c>
      <c r="AT200" s="7">
        <v>0.82647000000000004</v>
      </c>
      <c r="AU200" s="4" t="s">
        <v>124</v>
      </c>
      <c r="AV200" s="7">
        <v>82.646975999999995</v>
      </c>
      <c r="AW200" s="7">
        <v>100</v>
      </c>
      <c r="AX200" s="7">
        <v>0.65598400000000001</v>
      </c>
      <c r="AY200" s="4" t="s">
        <v>124</v>
      </c>
      <c r="AZ200" s="7">
        <v>65.598352000000006</v>
      </c>
      <c r="BA200" s="7">
        <v>100</v>
      </c>
      <c r="BB200" s="4" t="s">
        <v>124</v>
      </c>
      <c r="BC200" s="4" t="s">
        <v>124</v>
      </c>
      <c r="BD200" s="4" t="s">
        <v>124</v>
      </c>
      <c r="BE200" s="4" t="s">
        <v>124</v>
      </c>
      <c r="BF200" s="4" t="s">
        <v>124</v>
      </c>
      <c r="BG200" s="4" t="s">
        <v>124</v>
      </c>
      <c r="BH200" s="7">
        <v>0</v>
      </c>
      <c r="BI200" s="7">
        <v>1</v>
      </c>
      <c r="BJ200" s="7">
        <v>1</v>
      </c>
      <c r="BK200" s="7">
        <v>1</v>
      </c>
      <c r="BL200" s="7">
        <v>1</v>
      </c>
      <c r="BM200" s="7">
        <v>1</v>
      </c>
      <c r="BN200" s="7">
        <v>1</v>
      </c>
      <c r="BO200" s="4" t="s">
        <v>124</v>
      </c>
      <c r="BP200" s="4" t="s">
        <v>124</v>
      </c>
      <c r="BQ200" s="4" t="s">
        <v>124</v>
      </c>
      <c r="BR200" s="7">
        <v>9.5784999999999995E-2</v>
      </c>
      <c r="BS200" s="7">
        <v>40.842911999999998</v>
      </c>
      <c r="BT200" s="7">
        <v>50</v>
      </c>
      <c r="BU200" s="7">
        <v>7.0422999999999999E-2</v>
      </c>
      <c r="BV200" s="7">
        <v>45.915492999999998</v>
      </c>
      <c r="BW200" s="7">
        <v>50</v>
      </c>
      <c r="BX200" s="4" t="s">
        <v>124</v>
      </c>
      <c r="BY200" s="4" t="s">
        <v>124</v>
      </c>
      <c r="BZ200" s="4" t="s">
        <v>124</v>
      </c>
      <c r="CA200" s="4" t="s">
        <v>124</v>
      </c>
      <c r="CB200" s="4" t="s">
        <v>124</v>
      </c>
      <c r="CC200" s="4" t="s">
        <v>124</v>
      </c>
      <c r="CD200" s="4" t="s">
        <v>124</v>
      </c>
      <c r="CE200" s="4" t="s">
        <v>124</v>
      </c>
      <c r="CF200" s="4" t="s">
        <v>124</v>
      </c>
      <c r="CG200" s="4" t="s">
        <v>124</v>
      </c>
      <c r="CH200" s="4" t="s">
        <v>124</v>
      </c>
      <c r="CI200" s="4" t="s">
        <v>124</v>
      </c>
      <c r="CJ200" s="4" t="s">
        <v>124</v>
      </c>
      <c r="CK200" s="4" t="s">
        <v>124</v>
      </c>
      <c r="CL200" s="4" t="s">
        <v>124</v>
      </c>
      <c r="CM200" s="4" t="s">
        <v>124</v>
      </c>
      <c r="CN200" s="4" t="s">
        <v>124</v>
      </c>
      <c r="CO200" s="4" t="s">
        <v>124</v>
      </c>
      <c r="CP200" s="4" t="s">
        <v>124</v>
      </c>
      <c r="CQ200" s="7">
        <v>0.44</v>
      </c>
      <c r="CR200" s="7">
        <v>0.98039200000000004</v>
      </c>
      <c r="CS200" s="7">
        <v>29.333333</v>
      </c>
      <c r="CT200" s="7">
        <v>50</v>
      </c>
      <c r="CU200" s="4" t="s">
        <v>124</v>
      </c>
      <c r="CV200" s="4" t="s">
        <v>124</v>
      </c>
      <c r="CW200" s="4" t="s">
        <v>124</v>
      </c>
      <c r="CX200" s="4" t="s">
        <v>124</v>
      </c>
      <c r="CY200" s="4" t="s">
        <v>124</v>
      </c>
      <c r="CZ200" s="4" t="s">
        <v>124</v>
      </c>
      <c r="DA200" s="7">
        <v>15.389535</v>
      </c>
      <c r="DB200" s="7">
        <v>17.608319000000002</v>
      </c>
      <c r="DC200" s="7">
        <v>16.064022999999999</v>
      </c>
      <c r="DD200" s="4" t="s">
        <v>124</v>
      </c>
      <c r="DE200" s="4" t="s">
        <v>124</v>
      </c>
      <c r="DF200" s="6"/>
      <c r="DG200" s="6"/>
      <c r="DH200" s="6"/>
      <c r="DI200" s="6"/>
      <c r="DJ200" s="4" t="s">
        <v>124</v>
      </c>
      <c r="DK200" s="4" t="s">
        <v>124</v>
      </c>
      <c r="DL200" s="4" t="s">
        <v>124</v>
      </c>
      <c r="DM200" s="4" t="s">
        <v>124</v>
      </c>
      <c r="DN200" s="4" t="s">
        <v>124</v>
      </c>
      <c r="DO200" s="4" t="s">
        <v>124</v>
      </c>
      <c r="DP200" s="6"/>
      <c r="DQ200" s="4" t="s">
        <v>125</v>
      </c>
    </row>
    <row r="201" spans="1:121" ht="20" customHeight="1" x14ac:dyDescent="0.15">
      <c r="A201" s="5">
        <v>2018</v>
      </c>
      <c r="B201" s="3" t="s">
        <v>324</v>
      </c>
      <c r="C201" s="4" t="str">
        <f t="shared" ref="C201:C1189" si="186">"2970013"</f>
        <v>2970013</v>
      </c>
      <c r="D201" s="4" t="s">
        <v>122</v>
      </c>
      <c r="E201" s="4" t="str">
        <f t="shared" si="1"/>
        <v>0000000</v>
      </c>
      <c r="F201" s="4" t="s">
        <v>122</v>
      </c>
      <c r="G201" s="4" t="s">
        <v>122</v>
      </c>
      <c r="H201" s="4" t="s">
        <v>122</v>
      </c>
      <c r="I201" s="6"/>
      <c r="J201" s="4" t="s">
        <v>123</v>
      </c>
      <c r="K201" s="7">
        <v>761.48371399999996</v>
      </c>
      <c r="L201" s="7">
        <v>1250</v>
      </c>
      <c r="M201" s="7">
        <v>60.918697000000002</v>
      </c>
      <c r="N201" s="4" t="s">
        <v>124</v>
      </c>
      <c r="O201" s="7">
        <v>0</v>
      </c>
      <c r="P201" s="7">
        <v>57.136149000000003</v>
      </c>
      <c r="Q201" s="7">
        <v>38.090766000000002</v>
      </c>
      <c r="R201" s="7">
        <v>50</v>
      </c>
      <c r="S201" s="7">
        <v>56.295921</v>
      </c>
      <c r="T201" s="7">
        <v>60.902687999999998</v>
      </c>
      <c r="U201" s="7">
        <v>37.530614</v>
      </c>
      <c r="V201" s="7">
        <v>50</v>
      </c>
      <c r="W201" s="7">
        <v>51.671360999999997</v>
      </c>
      <c r="X201" s="7">
        <v>34.447574000000003</v>
      </c>
      <c r="Y201" s="7">
        <v>50</v>
      </c>
      <c r="Z201" s="7">
        <v>54.993409999999997</v>
      </c>
      <c r="AA201" s="7">
        <v>50.943064999999997</v>
      </c>
      <c r="AB201" s="7">
        <v>33.962043000000001</v>
      </c>
      <c r="AC201" s="7">
        <v>50</v>
      </c>
      <c r="AD201" s="7">
        <v>53.19623</v>
      </c>
      <c r="AE201" s="7">
        <v>35.464153000000003</v>
      </c>
      <c r="AF201" s="7">
        <v>50</v>
      </c>
      <c r="AG201" s="7">
        <v>51.997228999999997</v>
      </c>
      <c r="AH201" s="7">
        <v>57.692484999999998</v>
      </c>
      <c r="AI201" s="7">
        <v>34.664819000000001</v>
      </c>
      <c r="AJ201" s="7">
        <v>50</v>
      </c>
      <c r="AK201" s="7">
        <v>4.5999999999999996</v>
      </c>
      <c r="AL201" s="7">
        <v>4.05</v>
      </c>
      <c r="AM201" s="7">
        <v>5.69</v>
      </c>
      <c r="AN201" s="7">
        <v>0.51252399999999998</v>
      </c>
      <c r="AO201" s="7">
        <v>51.252378</v>
      </c>
      <c r="AP201" s="7">
        <v>100</v>
      </c>
      <c r="AQ201" s="7">
        <v>0.64471500000000004</v>
      </c>
      <c r="AR201" s="7">
        <v>64.471486999999996</v>
      </c>
      <c r="AS201" s="7">
        <v>100</v>
      </c>
      <c r="AT201" s="7">
        <v>0.51894899999999999</v>
      </c>
      <c r="AU201" s="7">
        <v>0.48286800000000002</v>
      </c>
      <c r="AV201" s="7">
        <v>51.894928999999998</v>
      </c>
      <c r="AW201" s="7">
        <v>100</v>
      </c>
      <c r="AX201" s="7">
        <v>0.640733</v>
      </c>
      <c r="AY201" s="7">
        <v>0.66357600000000005</v>
      </c>
      <c r="AZ201" s="7">
        <v>64.073316000000005</v>
      </c>
      <c r="BA201" s="7">
        <v>100</v>
      </c>
      <c r="BB201" s="4" t="s">
        <v>124</v>
      </c>
      <c r="BC201" s="4" t="s">
        <v>124</v>
      </c>
      <c r="BD201" s="4" t="s">
        <v>124</v>
      </c>
      <c r="BE201" s="4" t="s">
        <v>124</v>
      </c>
      <c r="BF201" s="4" t="s">
        <v>124</v>
      </c>
      <c r="BG201" s="4" t="s">
        <v>124</v>
      </c>
      <c r="BH201" s="7">
        <v>0</v>
      </c>
      <c r="BI201" s="7">
        <v>1</v>
      </c>
      <c r="BJ201" s="7">
        <v>1</v>
      </c>
      <c r="BK201" s="7">
        <v>1</v>
      </c>
      <c r="BL201" s="7">
        <v>1</v>
      </c>
      <c r="BM201" s="7">
        <v>1</v>
      </c>
      <c r="BN201" s="7">
        <v>1</v>
      </c>
      <c r="BO201" s="7">
        <v>0.99280599999999997</v>
      </c>
      <c r="BP201" s="7">
        <v>0.99056599999999995</v>
      </c>
      <c r="BQ201" s="7">
        <v>1</v>
      </c>
      <c r="BR201" s="7">
        <v>0.111481</v>
      </c>
      <c r="BS201" s="7">
        <v>37.703826999999997</v>
      </c>
      <c r="BT201" s="7">
        <v>50</v>
      </c>
      <c r="BU201" s="7">
        <v>0.124736</v>
      </c>
      <c r="BV201" s="7">
        <v>35.052854000000004</v>
      </c>
      <c r="BW201" s="7">
        <v>50</v>
      </c>
      <c r="BX201" s="7">
        <v>0.169014</v>
      </c>
      <c r="BY201" s="7">
        <v>11.267606000000001</v>
      </c>
      <c r="BZ201" s="7">
        <v>50</v>
      </c>
      <c r="CA201" s="7">
        <v>0.140845</v>
      </c>
      <c r="CB201" s="7">
        <v>9.3896709999999999</v>
      </c>
      <c r="CC201" s="7">
        <v>50</v>
      </c>
      <c r="CD201" s="7">
        <v>0.91176500000000005</v>
      </c>
      <c r="CE201" s="7">
        <v>48.498123</v>
      </c>
      <c r="CF201" s="7">
        <v>50</v>
      </c>
      <c r="CG201" s="7">
        <v>0.5625</v>
      </c>
      <c r="CH201" s="7">
        <v>59.840426000000001</v>
      </c>
      <c r="CI201" s="7">
        <v>100</v>
      </c>
      <c r="CJ201" s="4" t="s">
        <v>124</v>
      </c>
      <c r="CK201" s="4" t="s">
        <v>124</v>
      </c>
      <c r="CL201" s="4" t="s">
        <v>124</v>
      </c>
      <c r="CM201" s="4" t="s">
        <v>124</v>
      </c>
      <c r="CN201" s="7">
        <v>0.76</v>
      </c>
      <c r="CO201" s="7">
        <v>100</v>
      </c>
      <c r="CP201" s="7">
        <v>100</v>
      </c>
      <c r="CQ201" s="7">
        <v>0.40112999999999999</v>
      </c>
      <c r="CR201" s="7">
        <v>0.89393900000000004</v>
      </c>
      <c r="CS201" s="7">
        <v>13.370998</v>
      </c>
      <c r="CT201" s="7">
        <v>50</v>
      </c>
      <c r="CU201" s="7">
        <v>6.0980000000000001E-3</v>
      </c>
      <c r="CV201" s="7">
        <v>0.50812999999999997</v>
      </c>
      <c r="CW201" s="7">
        <v>50</v>
      </c>
      <c r="CX201" s="4" t="s">
        <v>124</v>
      </c>
      <c r="CY201" s="4" t="s">
        <v>124</v>
      </c>
      <c r="CZ201" s="4" t="s">
        <v>124</v>
      </c>
      <c r="DA201" s="7">
        <v>15.389535</v>
      </c>
      <c r="DB201" s="7">
        <v>17.608319000000002</v>
      </c>
      <c r="DC201" s="7">
        <v>16.064022999999999</v>
      </c>
      <c r="DD201" s="4" t="s">
        <v>124</v>
      </c>
      <c r="DE201" s="4" t="s">
        <v>124</v>
      </c>
      <c r="DF201" s="6"/>
      <c r="DG201" s="6"/>
      <c r="DH201" s="6"/>
      <c r="DI201" s="6"/>
      <c r="DJ201" s="4" t="s">
        <v>124</v>
      </c>
      <c r="DK201" s="4" t="s">
        <v>124</v>
      </c>
      <c r="DL201" s="4" t="s">
        <v>124</v>
      </c>
      <c r="DM201" s="4" t="s">
        <v>124</v>
      </c>
      <c r="DN201" s="4" t="s">
        <v>124</v>
      </c>
      <c r="DO201" s="4" t="s">
        <v>124</v>
      </c>
      <c r="DP201" s="6"/>
      <c r="DQ201" s="4" t="s">
        <v>125</v>
      </c>
    </row>
    <row r="202" spans="1:121" ht="20" customHeight="1" x14ac:dyDescent="0.15">
      <c r="A202" s="5">
        <v>2018</v>
      </c>
      <c r="B202" s="3" t="s">
        <v>325</v>
      </c>
      <c r="C202" s="4" t="str">
        <f t="shared" ref="C202:C1190" si="187">"3360015"</f>
        <v>3360015</v>
      </c>
      <c r="D202" s="4" t="s">
        <v>122</v>
      </c>
      <c r="E202" s="4" t="str">
        <f t="shared" si="1"/>
        <v>0000000</v>
      </c>
      <c r="F202" s="4" t="s">
        <v>122</v>
      </c>
      <c r="G202" s="4" t="s">
        <v>122</v>
      </c>
      <c r="H202" s="4" t="s">
        <v>122</v>
      </c>
      <c r="I202" s="6"/>
      <c r="J202" s="4" t="s">
        <v>123</v>
      </c>
      <c r="K202" s="7">
        <v>91.946134000000001</v>
      </c>
      <c r="L202" s="7">
        <v>550</v>
      </c>
      <c r="M202" s="7">
        <v>16.717479000000001</v>
      </c>
      <c r="N202" s="4" t="s">
        <v>124</v>
      </c>
      <c r="O202" s="4" t="s">
        <v>124</v>
      </c>
      <c r="P202" s="4" t="s">
        <v>124</v>
      </c>
      <c r="Q202" s="4" t="s">
        <v>124</v>
      </c>
      <c r="R202" s="4" t="s">
        <v>124</v>
      </c>
      <c r="S202" s="4" t="s">
        <v>124</v>
      </c>
      <c r="T202" s="4" t="s">
        <v>124</v>
      </c>
      <c r="U202" s="4" t="s">
        <v>124</v>
      </c>
      <c r="V202" s="4" t="s">
        <v>124</v>
      </c>
      <c r="W202" s="4" t="s">
        <v>124</v>
      </c>
      <c r="X202" s="4" t="s">
        <v>124</v>
      </c>
      <c r="Y202" s="4" t="s">
        <v>124</v>
      </c>
      <c r="Z202" s="4" t="s">
        <v>124</v>
      </c>
      <c r="AA202" s="4" t="s">
        <v>124</v>
      </c>
      <c r="AB202" s="4" t="s">
        <v>124</v>
      </c>
      <c r="AC202" s="4" t="s">
        <v>124</v>
      </c>
      <c r="AD202" s="4" t="s">
        <v>124</v>
      </c>
      <c r="AE202" s="4" t="s">
        <v>124</v>
      </c>
      <c r="AF202" s="4" t="s">
        <v>124</v>
      </c>
      <c r="AG202" s="4" t="s">
        <v>124</v>
      </c>
      <c r="AH202" s="4" t="s">
        <v>124</v>
      </c>
      <c r="AI202" s="4" t="s">
        <v>124</v>
      </c>
      <c r="AJ202" s="4" t="s">
        <v>124</v>
      </c>
      <c r="AK202" s="4" t="s">
        <v>124</v>
      </c>
      <c r="AL202" s="4" t="s">
        <v>124</v>
      </c>
      <c r="AM202" s="4" t="s">
        <v>124</v>
      </c>
      <c r="AN202" s="4" t="s">
        <v>124</v>
      </c>
      <c r="AO202" s="4" t="s">
        <v>124</v>
      </c>
      <c r="AP202" s="4" t="s">
        <v>124</v>
      </c>
      <c r="AQ202" s="4" t="s">
        <v>124</v>
      </c>
      <c r="AR202" s="4" t="s">
        <v>124</v>
      </c>
      <c r="AS202" s="4" t="s">
        <v>124</v>
      </c>
      <c r="AT202" s="4" t="s">
        <v>124</v>
      </c>
      <c r="AU202" s="4" t="s">
        <v>124</v>
      </c>
      <c r="AV202" s="4" t="s">
        <v>124</v>
      </c>
      <c r="AW202" s="4" t="s">
        <v>124</v>
      </c>
      <c r="AX202" s="4" t="s">
        <v>124</v>
      </c>
      <c r="AY202" s="4" t="s">
        <v>124</v>
      </c>
      <c r="AZ202" s="4" t="s">
        <v>124</v>
      </c>
      <c r="BA202" s="4" t="s">
        <v>124</v>
      </c>
      <c r="BB202" s="4" t="s">
        <v>124</v>
      </c>
      <c r="BC202" s="4" t="s">
        <v>124</v>
      </c>
      <c r="BD202" s="4" t="s">
        <v>124</v>
      </c>
      <c r="BE202" s="4" t="s">
        <v>124</v>
      </c>
      <c r="BF202" s="4" t="s">
        <v>124</v>
      </c>
      <c r="BG202" s="4" t="s">
        <v>124</v>
      </c>
      <c r="BH202" s="4" t="s">
        <v>124</v>
      </c>
      <c r="BI202" s="4" t="s">
        <v>124</v>
      </c>
      <c r="BJ202" s="4" t="s">
        <v>124</v>
      </c>
      <c r="BK202" s="4" t="s">
        <v>124</v>
      </c>
      <c r="BL202" s="4" t="s">
        <v>124</v>
      </c>
      <c r="BM202" s="4" t="s">
        <v>124</v>
      </c>
      <c r="BN202" s="4" t="s">
        <v>124</v>
      </c>
      <c r="BO202" s="4" t="s">
        <v>124</v>
      </c>
      <c r="BP202" s="4" t="s">
        <v>124</v>
      </c>
      <c r="BQ202" s="4" t="s">
        <v>124</v>
      </c>
      <c r="BR202" s="7">
        <v>8.7248000000000006E-2</v>
      </c>
      <c r="BS202" s="7">
        <v>42.550336000000001</v>
      </c>
      <c r="BT202" s="7">
        <v>50</v>
      </c>
      <c r="BU202" s="7">
        <v>8.7248000000000006E-2</v>
      </c>
      <c r="BV202" s="7">
        <v>42.550336000000001</v>
      </c>
      <c r="BW202" s="7">
        <v>50</v>
      </c>
      <c r="BX202" s="7">
        <v>0</v>
      </c>
      <c r="BY202" s="7">
        <v>0</v>
      </c>
      <c r="BZ202" s="7">
        <v>50</v>
      </c>
      <c r="CA202" s="4" t="s">
        <v>124</v>
      </c>
      <c r="CB202" s="4" t="s">
        <v>124</v>
      </c>
      <c r="CC202" s="7">
        <v>50</v>
      </c>
      <c r="CD202" s="7">
        <v>1.5873000000000002E-2</v>
      </c>
      <c r="CE202" s="7">
        <v>0.84430899999999998</v>
      </c>
      <c r="CF202" s="7">
        <v>50</v>
      </c>
      <c r="CG202" s="7">
        <v>1.8475999999999999E-2</v>
      </c>
      <c r="CH202" s="7">
        <v>1.9655050000000001</v>
      </c>
      <c r="CI202" s="7">
        <v>100</v>
      </c>
      <c r="CJ202" s="7">
        <v>0</v>
      </c>
      <c r="CK202" s="7">
        <v>3.1863000000000002E-2</v>
      </c>
      <c r="CL202" s="7">
        <v>3.3896540000000002</v>
      </c>
      <c r="CM202" s="7">
        <v>100</v>
      </c>
      <c r="CN202" s="4" t="s">
        <v>124</v>
      </c>
      <c r="CO202" s="4" t="s">
        <v>124</v>
      </c>
      <c r="CP202" s="4" t="s">
        <v>124</v>
      </c>
      <c r="CQ202" s="4" t="s">
        <v>124</v>
      </c>
      <c r="CR202" s="4" t="s">
        <v>124</v>
      </c>
      <c r="CS202" s="7">
        <v>0</v>
      </c>
      <c r="CT202" s="7">
        <v>50</v>
      </c>
      <c r="CU202" s="7">
        <v>7.7520000000000002E-3</v>
      </c>
      <c r="CV202" s="7">
        <v>0.64599499999999999</v>
      </c>
      <c r="CW202" s="7">
        <v>50</v>
      </c>
      <c r="CX202" s="7">
        <v>3.1863000000000002E-2</v>
      </c>
      <c r="CY202" s="4" t="s">
        <v>124</v>
      </c>
      <c r="CZ202" s="4" t="s">
        <v>124</v>
      </c>
      <c r="DA202" s="4" t="s">
        <v>124</v>
      </c>
      <c r="DB202" s="4" t="s">
        <v>124</v>
      </c>
      <c r="DC202" s="4" t="s">
        <v>124</v>
      </c>
      <c r="DD202" s="7">
        <v>11.115401</v>
      </c>
      <c r="DE202" s="4" t="s">
        <v>124</v>
      </c>
      <c r="DF202" s="6"/>
      <c r="DG202" s="6"/>
      <c r="DH202" s="6"/>
      <c r="DI202" s="6"/>
      <c r="DJ202" s="4" t="s">
        <v>124</v>
      </c>
      <c r="DK202" s="4" t="s">
        <v>124</v>
      </c>
      <c r="DL202" s="4" t="s">
        <v>124</v>
      </c>
      <c r="DM202" s="4" t="s">
        <v>124</v>
      </c>
      <c r="DN202" s="4" t="s">
        <v>124</v>
      </c>
      <c r="DO202" s="4" t="s">
        <v>124</v>
      </c>
      <c r="DP202" s="6"/>
      <c r="DQ202" s="4" t="s">
        <v>125</v>
      </c>
    </row>
    <row r="203" spans="1:121" ht="20" customHeight="1" x14ac:dyDescent="0.15">
      <c r="A203" s="5">
        <v>2018</v>
      </c>
      <c r="B203" s="3" t="s">
        <v>231</v>
      </c>
      <c r="C203" s="4" t="str">
        <f t="shared" si="106"/>
        <v>0010011</v>
      </c>
      <c r="D203" s="4" t="s">
        <v>326</v>
      </c>
      <c r="E203" s="4" t="str">
        <f>"0010111"</f>
        <v>0010111</v>
      </c>
      <c r="F203" s="4" t="s">
        <v>327</v>
      </c>
      <c r="G203" s="4" t="s">
        <v>328</v>
      </c>
      <c r="H203" s="7">
        <v>6</v>
      </c>
      <c r="I203" s="4" t="s">
        <v>329</v>
      </c>
      <c r="J203" s="4" t="s">
        <v>330</v>
      </c>
      <c r="K203" s="7">
        <v>547.29150100000004</v>
      </c>
      <c r="L203" s="7">
        <v>600</v>
      </c>
      <c r="M203" s="7">
        <v>91.215249999999997</v>
      </c>
      <c r="N203" s="7">
        <v>1</v>
      </c>
      <c r="O203" s="7">
        <v>0</v>
      </c>
      <c r="P203" s="7">
        <v>80.988783999999995</v>
      </c>
      <c r="Q203" s="7">
        <v>50</v>
      </c>
      <c r="R203" s="7">
        <v>50</v>
      </c>
      <c r="S203" s="7">
        <v>75.642657</v>
      </c>
      <c r="T203" s="7">
        <v>75</v>
      </c>
      <c r="U203" s="7">
        <v>50</v>
      </c>
      <c r="V203" s="7">
        <v>50</v>
      </c>
      <c r="W203" s="7">
        <v>76.521275000000003</v>
      </c>
      <c r="X203" s="7">
        <v>50</v>
      </c>
      <c r="Y203" s="7">
        <v>50</v>
      </c>
      <c r="Z203" s="7">
        <v>75</v>
      </c>
      <c r="AA203" s="7">
        <v>76.488281000000001</v>
      </c>
      <c r="AB203" s="7">
        <v>50</v>
      </c>
      <c r="AC203" s="7">
        <v>50</v>
      </c>
      <c r="AD203" s="7">
        <v>79.152361999999997</v>
      </c>
      <c r="AE203" s="7">
        <v>50</v>
      </c>
      <c r="AF203" s="7">
        <v>50</v>
      </c>
      <c r="AG203" s="4" t="s">
        <v>124</v>
      </c>
      <c r="AH203" s="4" t="s">
        <v>124</v>
      </c>
      <c r="AI203" s="4" t="s">
        <v>124</v>
      </c>
      <c r="AJ203" s="4" t="s">
        <v>124</v>
      </c>
      <c r="AK203" s="7">
        <v>-0.64</v>
      </c>
      <c r="AL203" s="7">
        <v>-1.48</v>
      </c>
      <c r="AM203" s="4" t="s">
        <v>124</v>
      </c>
      <c r="AN203" s="7">
        <v>0.74586699999999995</v>
      </c>
      <c r="AO203" s="7">
        <v>74.586729000000005</v>
      </c>
      <c r="AP203" s="7">
        <v>100</v>
      </c>
      <c r="AQ203" s="7">
        <v>0.73725200000000002</v>
      </c>
      <c r="AR203" s="7">
        <v>73.725178999999997</v>
      </c>
      <c r="AS203" s="7">
        <v>100</v>
      </c>
      <c r="AT203" s="4" t="s">
        <v>124</v>
      </c>
      <c r="AU203" s="7">
        <v>0.79736200000000002</v>
      </c>
      <c r="AV203" s="4" t="s">
        <v>124</v>
      </c>
      <c r="AW203" s="4" t="s">
        <v>124</v>
      </c>
      <c r="AX203" s="4" t="s">
        <v>124</v>
      </c>
      <c r="AY203" s="7">
        <v>0.74237399999999998</v>
      </c>
      <c r="AZ203" s="4" t="s">
        <v>124</v>
      </c>
      <c r="BA203" s="4" t="s">
        <v>124</v>
      </c>
      <c r="BB203" s="4" t="s">
        <v>124</v>
      </c>
      <c r="BC203" s="4" t="s">
        <v>124</v>
      </c>
      <c r="BD203" s="4" t="s">
        <v>124</v>
      </c>
      <c r="BE203" s="4" t="s">
        <v>124</v>
      </c>
      <c r="BF203" s="4" t="s">
        <v>124</v>
      </c>
      <c r="BG203" s="4" t="s">
        <v>124</v>
      </c>
      <c r="BH203" s="7">
        <v>0</v>
      </c>
      <c r="BI203" s="7">
        <v>1</v>
      </c>
      <c r="BJ203" s="7">
        <v>1</v>
      </c>
      <c r="BK203" s="7">
        <v>1</v>
      </c>
      <c r="BL203" s="7">
        <v>1</v>
      </c>
      <c r="BM203" s="7">
        <v>1</v>
      </c>
      <c r="BN203" s="7">
        <v>1</v>
      </c>
      <c r="BO203" s="7">
        <v>1</v>
      </c>
      <c r="BP203" s="4" t="s">
        <v>124</v>
      </c>
      <c r="BQ203" s="4" t="s">
        <v>124</v>
      </c>
      <c r="BR203" s="7">
        <v>1.2739E-2</v>
      </c>
      <c r="BS203" s="7">
        <v>50</v>
      </c>
      <c r="BT203" s="7">
        <v>50</v>
      </c>
      <c r="BU203" s="7">
        <v>2.3810000000000001E-2</v>
      </c>
      <c r="BV203" s="7">
        <v>50</v>
      </c>
      <c r="BW203" s="7">
        <v>50</v>
      </c>
      <c r="BX203" s="4" t="s">
        <v>124</v>
      </c>
      <c r="BY203" s="4" t="s">
        <v>124</v>
      </c>
      <c r="BZ203" s="4" t="s">
        <v>124</v>
      </c>
      <c r="CA203" s="4" t="s">
        <v>124</v>
      </c>
      <c r="CB203" s="4" t="s">
        <v>124</v>
      </c>
      <c r="CC203" s="4" t="s">
        <v>124</v>
      </c>
      <c r="CD203" s="4" t="s">
        <v>124</v>
      </c>
      <c r="CE203" s="4" t="s">
        <v>124</v>
      </c>
      <c r="CF203" s="4" t="s">
        <v>124</v>
      </c>
      <c r="CG203" s="4" t="s">
        <v>124</v>
      </c>
      <c r="CH203" s="4" t="s">
        <v>124</v>
      </c>
      <c r="CI203" s="4" t="s">
        <v>124</v>
      </c>
      <c r="CJ203" s="4" t="s">
        <v>124</v>
      </c>
      <c r="CK203" s="4" t="s">
        <v>124</v>
      </c>
      <c r="CL203" s="4" t="s">
        <v>124</v>
      </c>
      <c r="CM203" s="4" t="s">
        <v>124</v>
      </c>
      <c r="CN203" s="4" t="s">
        <v>124</v>
      </c>
      <c r="CO203" s="4" t="s">
        <v>124</v>
      </c>
      <c r="CP203" s="4" t="s">
        <v>124</v>
      </c>
      <c r="CQ203" s="7">
        <v>0.73469399999999996</v>
      </c>
      <c r="CR203" s="7">
        <v>1</v>
      </c>
      <c r="CS203" s="7">
        <v>48.979591999999997</v>
      </c>
      <c r="CT203" s="7">
        <v>50</v>
      </c>
      <c r="CU203" s="4" t="s">
        <v>124</v>
      </c>
      <c r="CV203" s="4" t="s">
        <v>124</v>
      </c>
      <c r="CW203" s="4" t="s">
        <v>124</v>
      </c>
      <c r="CX203" s="4" t="s">
        <v>124</v>
      </c>
      <c r="CY203" s="4" t="s">
        <v>124</v>
      </c>
      <c r="CZ203" s="4" t="s">
        <v>124</v>
      </c>
      <c r="DA203" s="7">
        <v>15.314097</v>
      </c>
      <c r="DB203" s="7">
        <v>17.400950000000002</v>
      </c>
      <c r="DC203" s="7">
        <v>16.332519999999999</v>
      </c>
      <c r="DD203" s="4" t="s">
        <v>124</v>
      </c>
      <c r="DE203" s="7">
        <v>0</v>
      </c>
      <c r="DF203" s="6"/>
      <c r="DG203" s="6"/>
      <c r="DH203" s="4" t="s">
        <v>331</v>
      </c>
      <c r="DI203" s="4" t="s">
        <v>332</v>
      </c>
      <c r="DJ203" s="7">
        <v>1</v>
      </c>
      <c r="DK203" s="7">
        <v>0</v>
      </c>
      <c r="DL203" s="7">
        <v>0</v>
      </c>
      <c r="DM203" s="7">
        <v>0</v>
      </c>
      <c r="DN203" s="7">
        <v>0</v>
      </c>
      <c r="DO203" s="7">
        <v>0</v>
      </c>
      <c r="DP203" s="6"/>
      <c r="DQ203" s="4" t="s">
        <v>125</v>
      </c>
    </row>
    <row r="204" spans="1:121" ht="20" customHeight="1" x14ac:dyDescent="0.15">
      <c r="A204" s="5">
        <v>2018</v>
      </c>
      <c r="B204" s="3" t="s">
        <v>232</v>
      </c>
      <c r="C204" s="4" t="str">
        <f t="shared" si="107"/>
        <v>0020011</v>
      </c>
      <c r="D204" s="4" t="s">
        <v>333</v>
      </c>
      <c r="E204" s="4" t="str">
        <f>"0026111"</f>
        <v>0026111</v>
      </c>
      <c r="F204" s="4" t="s">
        <v>327</v>
      </c>
      <c r="G204" s="7">
        <v>9</v>
      </c>
      <c r="H204" s="7">
        <v>12</v>
      </c>
      <c r="I204" s="6"/>
      <c r="J204" s="4" t="s">
        <v>330</v>
      </c>
      <c r="K204" s="7">
        <v>953.56332399999997</v>
      </c>
      <c r="L204" s="7">
        <v>1450</v>
      </c>
      <c r="M204" s="7">
        <v>65.762988000000007</v>
      </c>
      <c r="N204" s="7">
        <v>3</v>
      </c>
      <c r="O204" s="7">
        <v>0</v>
      </c>
      <c r="P204" s="7">
        <v>49.567402000000001</v>
      </c>
      <c r="Q204" s="7">
        <v>99.134804000000003</v>
      </c>
      <c r="R204" s="7">
        <v>150</v>
      </c>
      <c r="S204" s="7">
        <v>46.231884000000001</v>
      </c>
      <c r="T204" s="7">
        <v>56.541666999999997</v>
      </c>
      <c r="U204" s="7">
        <v>92.463768000000002</v>
      </c>
      <c r="V204" s="7">
        <v>150</v>
      </c>
      <c r="W204" s="7">
        <v>44.674019999999999</v>
      </c>
      <c r="X204" s="7">
        <v>89.348039</v>
      </c>
      <c r="Y204" s="7">
        <v>150</v>
      </c>
      <c r="Z204" s="7">
        <v>49.583333000000003</v>
      </c>
      <c r="AA204" s="7">
        <v>42.326087000000001</v>
      </c>
      <c r="AB204" s="7">
        <v>84.652174000000002</v>
      </c>
      <c r="AC204" s="7">
        <v>150</v>
      </c>
      <c r="AD204" s="7">
        <v>52.262887999999997</v>
      </c>
      <c r="AE204" s="7">
        <v>69.683850000000007</v>
      </c>
      <c r="AF204" s="7">
        <v>100</v>
      </c>
      <c r="AG204" s="7">
        <v>50.052495999999998</v>
      </c>
      <c r="AH204" s="7">
        <v>56.884614999999997</v>
      </c>
      <c r="AI204" s="7">
        <v>66.736661999999995</v>
      </c>
      <c r="AJ204" s="7">
        <v>100</v>
      </c>
      <c r="AK204" s="7">
        <v>10.3</v>
      </c>
      <c r="AL204" s="7">
        <v>7.25</v>
      </c>
      <c r="AM204" s="7">
        <v>6.83</v>
      </c>
      <c r="AN204" s="4" t="s">
        <v>124</v>
      </c>
      <c r="AO204" s="4" t="s">
        <v>124</v>
      </c>
      <c r="AP204" s="4" t="s">
        <v>124</v>
      </c>
      <c r="AQ204" s="4" t="s">
        <v>124</v>
      </c>
      <c r="AR204" s="4" t="s">
        <v>124</v>
      </c>
      <c r="AS204" s="4" t="s">
        <v>124</v>
      </c>
      <c r="AT204" s="4" t="s">
        <v>124</v>
      </c>
      <c r="AU204" s="4" t="s">
        <v>124</v>
      </c>
      <c r="AV204" s="4" t="s">
        <v>124</v>
      </c>
      <c r="AW204" s="4" t="s">
        <v>124</v>
      </c>
      <c r="AX204" s="4" t="s">
        <v>124</v>
      </c>
      <c r="AY204" s="4" t="s">
        <v>124</v>
      </c>
      <c r="AZ204" s="4" t="s">
        <v>124</v>
      </c>
      <c r="BA204" s="4" t="s">
        <v>124</v>
      </c>
      <c r="BB204" s="4" t="s">
        <v>124</v>
      </c>
      <c r="BC204" s="4" t="s">
        <v>124</v>
      </c>
      <c r="BD204" s="4" t="s">
        <v>124</v>
      </c>
      <c r="BE204" s="4" t="s">
        <v>124</v>
      </c>
      <c r="BF204" s="4" t="s">
        <v>124</v>
      </c>
      <c r="BG204" s="4" t="s">
        <v>124</v>
      </c>
      <c r="BH204" s="7">
        <v>0</v>
      </c>
      <c r="BI204" s="7">
        <v>0.98620699999999994</v>
      </c>
      <c r="BJ204" s="7">
        <v>0.97979799999999995</v>
      </c>
      <c r="BK204" s="7">
        <v>1</v>
      </c>
      <c r="BL204" s="7">
        <v>0.98620699999999994</v>
      </c>
      <c r="BM204" s="7">
        <v>0.97979799999999995</v>
      </c>
      <c r="BN204" s="7">
        <v>1</v>
      </c>
      <c r="BO204" s="7">
        <v>0.99315100000000001</v>
      </c>
      <c r="BP204" s="7">
        <v>0.99</v>
      </c>
      <c r="BQ204" s="7">
        <v>1</v>
      </c>
      <c r="BR204" s="7">
        <v>0.25673200000000002</v>
      </c>
      <c r="BS204" s="7">
        <v>8.6535010000000003</v>
      </c>
      <c r="BT204" s="7">
        <v>50</v>
      </c>
      <c r="BU204" s="7">
        <v>0.32394400000000001</v>
      </c>
      <c r="BV204" s="7">
        <v>0</v>
      </c>
      <c r="BW204" s="7">
        <v>50</v>
      </c>
      <c r="BX204" s="7">
        <v>0.76351400000000003</v>
      </c>
      <c r="BY204" s="7">
        <v>50</v>
      </c>
      <c r="BZ204" s="7">
        <v>50</v>
      </c>
      <c r="CA204" s="7">
        <v>0.23986499999999999</v>
      </c>
      <c r="CB204" s="7">
        <v>15.990990999999999</v>
      </c>
      <c r="CC204" s="7">
        <v>50</v>
      </c>
      <c r="CD204" s="7">
        <v>0.92500000000000004</v>
      </c>
      <c r="CE204" s="7">
        <v>49.202128000000002</v>
      </c>
      <c r="CF204" s="7">
        <v>50</v>
      </c>
      <c r="CG204" s="7">
        <v>0.93616999999999995</v>
      </c>
      <c r="CH204" s="7">
        <v>99.592575999999994</v>
      </c>
      <c r="CI204" s="7">
        <v>100</v>
      </c>
      <c r="CJ204" s="7">
        <v>0</v>
      </c>
      <c r="CK204" s="7">
        <v>0.91764699999999999</v>
      </c>
      <c r="CL204" s="7">
        <v>97.622028</v>
      </c>
      <c r="CM204" s="7">
        <v>100</v>
      </c>
      <c r="CN204" s="7">
        <v>0.492647</v>
      </c>
      <c r="CO204" s="7">
        <v>65.686274999999995</v>
      </c>
      <c r="CP204" s="7">
        <v>100</v>
      </c>
      <c r="CQ204" s="7">
        <v>0.80208299999999999</v>
      </c>
      <c r="CR204" s="7">
        <v>0.88888900000000004</v>
      </c>
      <c r="CS204" s="7">
        <v>25</v>
      </c>
      <c r="CT204" s="7">
        <v>50</v>
      </c>
      <c r="CU204" s="7">
        <v>0.47755799999999998</v>
      </c>
      <c r="CV204" s="7">
        <v>39.796529</v>
      </c>
      <c r="CW204" s="7">
        <v>50</v>
      </c>
      <c r="CX204" s="7">
        <v>0.91764699999999999</v>
      </c>
      <c r="CY204" s="7">
        <v>0.94</v>
      </c>
      <c r="CZ204" s="7">
        <v>2.2353000000000001E-2</v>
      </c>
      <c r="DA204" s="7">
        <v>15.314097</v>
      </c>
      <c r="DB204" s="7">
        <v>17.400950000000002</v>
      </c>
      <c r="DC204" s="7">
        <v>16.332519999999999</v>
      </c>
      <c r="DD204" s="7">
        <v>7.9891730000000001</v>
      </c>
      <c r="DE204" s="7">
        <v>0</v>
      </c>
      <c r="DF204" s="6"/>
      <c r="DG204" s="6"/>
      <c r="DH204" s="6"/>
      <c r="DI204" s="6"/>
      <c r="DJ204" s="7">
        <v>0</v>
      </c>
      <c r="DK204" s="7">
        <v>0</v>
      </c>
      <c r="DL204" s="7">
        <v>0</v>
      </c>
      <c r="DM204" s="7">
        <v>0</v>
      </c>
      <c r="DN204" s="7">
        <v>0</v>
      </c>
      <c r="DO204" s="7">
        <v>0</v>
      </c>
      <c r="DP204" s="6"/>
      <c r="DQ204" s="4" t="s">
        <v>125</v>
      </c>
    </row>
    <row r="205" spans="1:121" ht="20" customHeight="1" x14ac:dyDescent="0.15">
      <c r="A205" s="5">
        <v>2018</v>
      </c>
      <c r="B205" s="3" t="s">
        <v>232</v>
      </c>
      <c r="C205" s="4" t="str">
        <f t="shared" si="107"/>
        <v>0020011</v>
      </c>
      <c r="D205" s="4" t="s">
        <v>334</v>
      </c>
      <c r="E205" s="4" t="str">
        <f>"0025111"</f>
        <v>0025111</v>
      </c>
      <c r="F205" s="4" t="s">
        <v>327</v>
      </c>
      <c r="G205" s="7">
        <v>7</v>
      </c>
      <c r="H205" s="7">
        <v>8</v>
      </c>
      <c r="I205" s="4" t="s">
        <v>335</v>
      </c>
      <c r="J205" s="4" t="s">
        <v>330</v>
      </c>
      <c r="K205" s="7">
        <v>532.29016899999999</v>
      </c>
      <c r="L205" s="7">
        <v>900</v>
      </c>
      <c r="M205" s="7">
        <v>59.143352</v>
      </c>
      <c r="N205" s="7">
        <v>3</v>
      </c>
      <c r="O205" s="7">
        <v>0</v>
      </c>
      <c r="P205" s="7">
        <v>57.663502999999999</v>
      </c>
      <c r="Q205" s="7">
        <v>38.442335</v>
      </c>
      <c r="R205" s="7">
        <v>50</v>
      </c>
      <c r="S205" s="7">
        <v>53.833694999999999</v>
      </c>
      <c r="T205" s="7">
        <v>67.535898000000003</v>
      </c>
      <c r="U205" s="7">
        <v>35.889130000000002</v>
      </c>
      <c r="V205" s="7">
        <v>50</v>
      </c>
      <c r="W205" s="7">
        <v>49.324263999999999</v>
      </c>
      <c r="X205" s="7">
        <v>32.882843000000001</v>
      </c>
      <c r="Y205" s="7">
        <v>50</v>
      </c>
      <c r="Z205" s="7">
        <v>59.076273</v>
      </c>
      <c r="AA205" s="7">
        <v>45.50826</v>
      </c>
      <c r="AB205" s="7">
        <v>30.338840000000001</v>
      </c>
      <c r="AC205" s="7">
        <v>50</v>
      </c>
      <c r="AD205" s="7">
        <v>53.055548999999999</v>
      </c>
      <c r="AE205" s="7">
        <v>35.370365999999997</v>
      </c>
      <c r="AF205" s="7">
        <v>50</v>
      </c>
      <c r="AG205" s="7">
        <v>49.534027999999999</v>
      </c>
      <c r="AH205" s="7">
        <v>61.629685000000002</v>
      </c>
      <c r="AI205" s="7">
        <v>33.022686</v>
      </c>
      <c r="AJ205" s="7">
        <v>50</v>
      </c>
      <c r="AK205" s="7">
        <v>13.7</v>
      </c>
      <c r="AL205" s="7">
        <v>13.56</v>
      </c>
      <c r="AM205" s="7">
        <v>12.09</v>
      </c>
      <c r="AN205" s="7">
        <v>0.52972900000000001</v>
      </c>
      <c r="AO205" s="7">
        <v>52.972890999999997</v>
      </c>
      <c r="AP205" s="7">
        <v>100</v>
      </c>
      <c r="AQ205" s="7">
        <v>0.37503199999999998</v>
      </c>
      <c r="AR205" s="7">
        <v>37.503203999999997</v>
      </c>
      <c r="AS205" s="7">
        <v>100</v>
      </c>
      <c r="AT205" s="7">
        <v>0.50098900000000002</v>
      </c>
      <c r="AU205" s="7">
        <v>0.60141699999999998</v>
      </c>
      <c r="AV205" s="7">
        <v>50.098896000000003</v>
      </c>
      <c r="AW205" s="7">
        <v>100</v>
      </c>
      <c r="AX205" s="7">
        <v>0.338167</v>
      </c>
      <c r="AY205" s="7">
        <v>0.46657399999999999</v>
      </c>
      <c r="AZ205" s="7">
        <v>33.816676999999999</v>
      </c>
      <c r="BA205" s="7">
        <v>100</v>
      </c>
      <c r="BB205" s="4" t="s">
        <v>124</v>
      </c>
      <c r="BC205" s="4" t="s">
        <v>124</v>
      </c>
      <c r="BD205" s="4" t="s">
        <v>124</v>
      </c>
      <c r="BE205" s="4" t="s">
        <v>124</v>
      </c>
      <c r="BF205" s="4" t="s">
        <v>124</v>
      </c>
      <c r="BG205" s="4" t="s">
        <v>124</v>
      </c>
      <c r="BH205" s="7">
        <v>0</v>
      </c>
      <c r="BI205" s="7">
        <v>0.98843899999999996</v>
      </c>
      <c r="BJ205" s="7">
        <v>0.98425200000000002</v>
      </c>
      <c r="BK205" s="7">
        <v>1</v>
      </c>
      <c r="BL205" s="7">
        <v>0.98265899999999995</v>
      </c>
      <c r="BM205" s="7">
        <v>0.97637799999999997</v>
      </c>
      <c r="BN205" s="7">
        <v>1</v>
      </c>
      <c r="BO205" s="7">
        <v>0.96531800000000001</v>
      </c>
      <c r="BP205" s="7">
        <v>0.96</v>
      </c>
      <c r="BQ205" s="7">
        <v>0.97916700000000001</v>
      </c>
      <c r="BR205" s="7">
        <v>0.150725</v>
      </c>
      <c r="BS205" s="7">
        <v>29.855072</v>
      </c>
      <c r="BT205" s="7">
        <v>50</v>
      </c>
      <c r="BU205" s="7">
        <v>0.18577099999999999</v>
      </c>
      <c r="BV205" s="7">
        <v>22.845849999999999</v>
      </c>
      <c r="BW205" s="7">
        <v>50</v>
      </c>
      <c r="BX205" s="4" t="s">
        <v>124</v>
      </c>
      <c r="BY205" s="4" t="s">
        <v>124</v>
      </c>
      <c r="BZ205" s="4" t="s">
        <v>124</v>
      </c>
      <c r="CA205" s="4" t="s">
        <v>124</v>
      </c>
      <c r="CB205" s="4" t="s">
        <v>124</v>
      </c>
      <c r="CC205" s="4" t="s">
        <v>124</v>
      </c>
      <c r="CD205" s="7">
        <v>0.92592600000000003</v>
      </c>
      <c r="CE205" s="7">
        <v>49.251379</v>
      </c>
      <c r="CF205" s="7">
        <v>50</v>
      </c>
      <c r="CG205" s="4" t="s">
        <v>124</v>
      </c>
      <c r="CH205" s="4" t="s">
        <v>124</v>
      </c>
      <c r="CI205" s="4" t="s">
        <v>124</v>
      </c>
      <c r="CJ205" s="4" t="s">
        <v>124</v>
      </c>
      <c r="CK205" s="4" t="s">
        <v>124</v>
      </c>
      <c r="CL205" s="4" t="s">
        <v>124</v>
      </c>
      <c r="CM205" s="4" t="s">
        <v>124</v>
      </c>
      <c r="CN205" s="4" t="s">
        <v>124</v>
      </c>
      <c r="CO205" s="4" t="s">
        <v>124</v>
      </c>
      <c r="CP205" s="4" t="s">
        <v>124</v>
      </c>
      <c r="CQ205" s="7">
        <v>0.75739599999999996</v>
      </c>
      <c r="CR205" s="7">
        <v>0.97687900000000005</v>
      </c>
      <c r="CS205" s="7">
        <v>50</v>
      </c>
      <c r="CT205" s="7">
        <v>50</v>
      </c>
      <c r="CU205" s="4" t="s">
        <v>124</v>
      </c>
      <c r="CV205" s="4" t="s">
        <v>124</v>
      </c>
      <c r="CW205" s="4" t="s">
        <v>124</v>
      </c>
      <c r="CX205" s="4" t="s">
        <v>124</v>
      </c>
      <c r="CY205" s="4" t="s">
        <v>124</v>
      </c>
      <c r="CZ205" s="4" t="s">
        <v>124</v>
      </c>
      <c r="DA205" s="7">
        <v>15.314097</v>
      </c>
      <c r="DB205" s="7">
        <v>17.400950000000002</v>
      </c>
      <c r="DC205" s="7">
        <v>16.332519999999999</v>
      </c>
      <c r="DD205" s="4" t="s">
        <v>124</v>
      </c>
      <c r="DE205" s="7">
        <v>0</v>
      </c>
      <c r="DF205" s="6"/>
      <c r="DG205" s="6"/>
      <c r="DH205" s="6"/>
      <c r="DI205" s="6"/>
      <c r="DJ205" s="7">
        <v>0</v>
      </c>
      <c r="DK205" s="7">
        <v>0</v>
      </c>
      <c r="DL205" s="7">
        <v>0</v>
      </c>
      <c r="DM205" s="7">
        <v>0</v>
      </c>
      <c r="DN205" s="7">
        <v>0</v>
      </c>
      <c r="DO205" s="7">
        <v>0</v>
      </c>
      <c r="DP205" s="6"/>
      <c r="DQ205" s="4" t="s">
        <v>125</v>
      </c>
    </row>
    <row r="206" spans="1:121" ht="20" customHeight="1" x14ac:dyDescent="0.15">
      <c r="A206" s="5">
        <v>2018</v>
      </c>
      <c r="B206" s="3" t="s">
        <v>232</v>
      </c>
      <c r="C206" s="4" t="str">
        <f t="shared" si="107"/>
        <v>0020011</v>
      </c>
      <c r="D206" s="4" t="s">
        <v>336</v>
      </c>
      <c r="E206" s="4" t="str">
        <f>"0020311"</f>
        <v>0020311</v>
      </c>
      <c r="F206" s="4" t="s">
        <v>327</v>
      </c>
      <c r="G206" s="4" t="s">
        <v>328</v>
      </c>
      <c r="H206" s="7">
        <v>6</v>
      </c>
      <c r="I206" s="4" t="s">
        <v>335</v>
      </c>
      <c r="J206" s="4" t="s">
        <v>330</v>
      </c>
      <c r="K206" s="7">
        <v>578.61442899999997</v>
      </c>
      <c r="L206" s="7">
        <v>950</v>
      </c>
      <c r="M206" s="7">
        <v>60.906782</v>
      </c>
      <c r="N206" s="7">
        <v>3</v>
      </c>
      <c r="O206" s="7">
        <v>0</v>
      </c>
      <c r="P206" s="7">
        <v>60.452772000000003</v>
      </c>
      <c r="Q206" s="7">
        <v>40.301848</v>
      </c>
      <c r="R206" s="7">
        <v>50</v>
      </c>
      <c r="S206" s="7">
        <v>57.881348000000003</v>
      </c>
      <c r="T206" s="7">
        <v>69.161330000000007</v>
      </c>
      <c r="U206" s="7">
        <v>38.587564999999998</v>
      </c>
      <c r="V206" s="7">
        <v>50</v>
      </c>
      <c r="W206" s="7">
        <v>56.103389999999997</v>
      </c>
      <c r="X206" s="7">
        <v>37.402259999999998</v>
      </c>
      <c r="Y206" s="7">
        <v>50</v>
      </c>
      <c r="Z206" s="7">
        <v>65.594441000000003</v>
      </c>
      <c r="AA206" s="7">
        <v>53.300913999999999</v>
      </c>
      <c r="AB206" s="7">
        <v>35.533943000000001</v>
      </c>
      <c r="AC206" s="7">
        <v>50</v>
      </c>
      <c r="AD206" s="7">
        <v>57.070131000000003</v>
      </c>
      <c r="AE206" s="7">
        <v>38.046754</v>
      </c>
      <c r="AF206" s="7">
        <v>50</v>
      </c>
      <c r="AG206" s="7">
        <v>54.782257999999999</v>
      </c>
      <c r="AH206" s="4" t="s">
        <v>124</v>
      </c>
      <c r="AI206" s="7">
        <v>36.521504999999998</v>
      </c>
      <c r="AJ206" s="7">
        <v>50</v>
      </c>
      <c r="AK206" s="7">
        <v>11.27</v>
      </c>
      <c r="AL206" s="7">
        <v>12.29</v>
      </c>
      <c r="AM206" s="4" t="s">
        <v>124</v>
      </c>
      <c r="AN206" s="7">
        <v>0.40052700000000002</v>
      </c>
      <c r="AO206" s="7">
        <v>40.052697000000002</v>
      </c>
      <c r="AP206" s="7">
        <v>100</v>
      </c>
      <c r="AQ206" s="7">
        <v>0.397285</v>
      </c>
      <c r="AR206" s="7">
        <v>39.728471999999996</v>
      </c>
      <c r="AS206" s="7">
        <v>100</v>
      </c>
      <c r="AT206" s="7">
        <v>0.39560899999999999</v>
      </c>
      <c r="AU206" s="7">
        <v>0.41520000000000001</v>
      </c>
      <c r="AV206" s="7">
        <v>39.560851999999997</v>
      </c>
      <c r="AW206" s="7">
        <v>100</v>
      </c>
      <c r="AX206" s="7">
        <v>0.39197399999999999</v>
      </c>
      <c r="AY206" s="7">
        <v>0.41312900000000002</v>
      </c>
      <c r="AZ206" s="7">
        <v>39.197383000000002</v>
      </c>
      <c r="BA206" s="7">
        <v>100</v>
      </c>
      <c r="BB206" s="7">
        <v>0.79703599999999997</v>
      </c>
      <c r="BC206" s="7">
        <v>39.851779000000001</v>
      </c>
      <c r="BD206" s="7">
        <v>50</v>
      </c>
      <c r="BE206" s="7">
        <v>0.68109799999999998</v>
      </c>
      <c r="BF206" s="7">
        <v>34.054918000000001</v>
      </c>
      <c r="BG206" s="7">
        <v>50</v>
      </c>
      <c r="BH206" s="7">
        <v>0</v>
      </c>
      <c r="BI206" s="7">
        <v>0.99719100000000005</v>
      </c>
      <c r="BJ206" s="7">
        <v>0.99640300000000004</v>
      </c>
      <c r="BK206" s="7">
        <v>1</v>
      </c>
      <c r="BL206" s="7">
        <v>0.99719100000000005</v>
      </c>
      <c r="BM206" s="7">
        <v>0.99640300000000004</v>
      </c>
      <c r="BN206" s="7">
        <v>1</v>
      </c>
      <c r="BO206" s="7">
        <v>0.98863599999999996</v>
      </c>
      <c r="BP206" s="7">
        <v>0.98666699999999996</v>
      </c>
      <c r="BQ206" s="4" t="s">
        <v>124</v>
      </c>
      <c r="BR206" s="7">
        <v>0.10673199999999999</v>
      </c>
      <c r="BS206" s="7">
        <v>38.653530000000003</v>
      </c>
      <c r="BT206" s="7">
        <v>50</v>
      </c>
      <c r="BU206" s="7">
        <v>0.12903200000000001</v>
      </c>
      <c r="BV206" s="7">
        <v>34.193548</v>
      </c>
      <c r="BW206" s="7">
        <v>50</v>
      </c>
      <c r="BX206" s="4" t="s">
        <v>124</v>
      </c>
      <c r="BY206" s="4" t="s">
        <v>124</v>
      </c>
      <c r="BZ206" s="4" t="s">
        <v>124</v>
      </c>
      <c r="CA206" s="4" t="s">
        <v>124</v>
      </c>
      <c r="CB206" s="4" t="s">
        <v>124</v>
      </c>
      <c r="CC206" s="4" t="s">
        <v>124</v>
      </c>
      <c r="CD206" s="4" t="s">
        <v>124</v>
      </c>
      <c r="CE206" s="4" t="s">
        <v>124</v>
      </c>
      <c r="CF206" s="4" t="s">
        <v>124</v>
      </c>
      <c r="CG206" s="4" t="s">
        <v>124</v>
      </c>
      <c r="CH206" s="4" t="s">
        <v>124</v>
      </c>
      <c r="CI206" s="4" t="s">
        <v>124</v>
      </c>
      <c r="CJ206" s="4" t="s">
        <v>124</v>
      </c>
      <c r="CK206" s="4" t="s">
        <v>124</v>
      </c>
      <c r="CL206" s="4" t="s">
        <v>124</v>
      </c>
      <c r="CM206" s="4" t="s">
        <v>124</v>
      </c>
      <c r="CN206" s="4" t="s">
        <v>124</v>
      </c>
      <c r="CO206" s="4" t="s">
        <v>124</v>
      </c>
      <c r="CP206" s="4" t="s">
        <v>124</v>
      </c>
      <c r="CQ206" s="7">
        <v>0.70391099999999995</v>
      </c>
      <c r="CR206" s="7">
        <v>0.95721900000000004</v>
      </c>
      <c r="CS206" s="7">
        <v>46.927374</v>
      </c>
      <c r="CT206" s="7">
        <v>50</v>
      </c>
      <c r="CU206" s="4" t="s">
        <v>124</v>
      </c>
      <c r="CV206" s="4" t="s">
        <v>124</v>
      </c>
      <c r="CW206" s="4" t="s">
        <v>124</v>
      </c>
      <c r="CX206" s="4" t="s">
        <v>124</v>
      </c>
      <c r="CY206" s="4" t="s">
        <v>124</v>
      </c>
      <c r="CZ206" s="4" t="s">
        <v>124</v>
      </c>
      <c r="DA206" s="7">
        <v>15.314097</v>
      </c>
      <c r="DB206" s="7">
        <v>17.400950000000002</v>
      </c>
      <c r="DC206" s="7">
        <v>16.332519999999999</v>
      </c>
      <c r="DD206" s="4" t="s">
        <v>124</v>
      </c>
      <c r="DE206" s="7">
        <v>0</v>
      </c>
      <c r="DF206" s="6"/>
      <c r="DG206" s="6"/>
      <c r="DH206" s="6"/>
      <c r="DI206" s="6"/>
      <c r="DJ206" s="7">
        <v>0</v>
      </c>
      <c r="DK206" s="7">
        <v>0</v>
      </c>
      <c r="DL206" s="7">
        <v>0</v>
      </c>
      <c r="DM206" s="7">
        <v>0</v>
      </c>
      <c r="DN206" s="7">
        <v>0</v>
      </c>
      <c r="DO206" s="7">
        <v>0</v>
      </c>
      <c r="DP206" s="6"/>
      <c r="DQ206" s="4" t="s">
        <v>125</v>
      </c>
    </row>
    <row r="207" spans="1:121" ht="20" customHeight="1" x14ac:dyDescent="0.15">
      <c r="A207" s="5">
        <v>2018</v>
      </c>
      <c r="B207" s="3" t="s">
        <v>232</v>
      </c>
      <c r="C207" s="4" t="str">
        <f t="shared" si="107"/>
        <v>0020011</v>
      </c>
      <c r="D207" s="4" t="s">
        <v>337</v>
      </c>
      <c r="E207" s="4" t="str">
        <f>"0020811"</f>
        <v>0020811</v>
      </c>
      <c r="F207" s="4" t="s">
        <v>327</v>
      </c>
      <c r="G207" s="4" t="s">
        <v>338</v>
      </c>
      <c r="H207" s="7">
        <v>6</v>
      </c>
      <c r="I207" s="4" t="s">
        <v>335</v>
      </c>
      <c r="J207" s="4" t="s">
        <v>330</v>
      </c>
      <c r="K207" s="7">
        <v>661.29720399999997</v>
      </c>
      <c r="L207" s="7">
        <v>950</v>
      </c>
      <c r="M207" s="7">
        <v>69.610231999999996</v>
      </c>
      <c r="N207" s="7">
        <v>3</v>
      </c>
      <c r="O207" s="7">
        <v>0</v>
      </c>
      <c r="P207" s="7">
        <v>63.208072999999999</v>
      </c>
      <c r="Q207" s="7">
        <v>42.138714999999998</v>
      </c>
      <c r="R207" s="7">
        <v>50</v>
      </c>
      <c r="S207" s="7">
        <v>60.526783000000002</v>
      </c>
      <c r="T207" s="7">
        <v>69.369883999999999</v>
      </c>
      <c r="U207" s="7">
        <v>40.351188999999998</v>
      </c>
      <c r="V207" s="7">
        <v>50</v>
      </c>
      <c r="W207" s="7">
        <v>59.572268000000001</v>
      </c>
      <c r="X207" s="7">
        <v>39.714844999999997</v>
      </c>
      <c r="Y207" s="7">
        <v>50</v>
      </c>
      <c r="Z207" s="7">
        <v>65.885542000000001</v>
      </c>
      <c r="AA207" s="7">
        <v>56.813526000000003</v>
      </c>
      <c r="AB207" s="7">
        <v>37.875684</v>
      </c>
      <c r="AC207" s="7">
        <v>50</v>
      </c>
      <c r="AD207" s="7">
        <v>53.086463999999999</v>
      </c>
      <c r="AE207" s="7">
        <v>35.390976000000002</v>
      </c>
      <c r="AF207" s="7">
        <v>50</v>
      </c>
      <c r="AG207" s="7">
        <v>49.823013000000003</v>
      </c>
      <c r="AH207" s="7">
        <v>61.032257999999999</v>
      </c>
      <c r="AI207" s="7">
        <v>33.215342</v>
      </c>
      <c r="AJ207" s="7">
        <v>50</v>
      </c>
      <c r="AK207" s="7">
        <v>8.84</v>
      </c>
      <c r="AL207" s="7">
        <v>9.07</v>
      </c>
      <c r="AM207" s="7">
        <v>11.2</v>
      </c>
      <c r="AN207" s="7">
        <v>0.47684500000000002</v>
      </c>
      <c r="AO207" s="7">
        <v>47.684548999999997</v>
      </c>
      <c r="AP207" s="7">
        <v>100</v>
      </c>
      <c r="AQ207" s="7">
        <v>0.61233400000000004</v>
      </c>
      <c r="AR207" s="7">
        <v>61.233392000000002</v>
      </c>
      <c r="AS207" s="7">
        <v>100</v>
      </c>
      <c r="AT207" s="7">
        <v>0.47221400000000002</v>
      </c>
      <c r="AU207" s="7">
        <v>0.485516</v>
      </c>
      <c r="AV207" s="7">
        <v>47.221392000000002</v>
      </c>
      <c r="AW207" s="7">
        <v>100</v>
      </c>
      <c r="AX207" s="7">
        <v>0.59484899999999996</v>
      </c>
      <c r="AY207" s="7">
        <v>0.64506799999999997</v>
      </c>
      <c r="AZ207" s="7">
        <v>59.484879999999997</v>
      </c>
      <c r="BA207" s="7">
        <v>100</v>
      </c>
      <c r="BB207" s="7">
        <v>0.68609600000000004</v>
      </c>
      <c r="BC207" s="7">
        <v>34.304794999999999</v>
      </c>
      <c r="BD207" s="7">
        <v>50</v>
      </c>
      <c r="BE207" s="7">
        <v>0.71759600000000001</v>
      </c>
      <c r="BF207" s="7">
        <v>35.879779999999997</v>
      </c>
      <c r="BG207" s="7">
        <v>50</v>
      </c>
      <c r="BH207" s="7">
        <v>0</v>
      </c>
      <c r="BI207" s="7">
        <v>0.98611099999999996</v>
      </c>
      <c r="BJ207" s="7">
        <v>0.98809499999999995</v>
      </c>
      <c r="BK207" s="7">
        <v>0.98148100000000005</v>
      </c>
      <c r="BL207" s="7">
        <v>0.98333300000000001</v>
      </c>
      <c r="BM207" s="7">
        <v>0.98412699999999997</v>
      </c>
      <c r="BN207" s="7">
        <v>0.98148100000000005</v>
      </c>
      <c r="BO207" s="7">
        <v>0.95402299999999995</v>
      </c>
      <c r="BP207" s="7">
        <v>0.96721299999999999</v>
      </c>
      <c r="BQ207" s="7">
        <v>0.92307700000000004</v>
      </c>
      <c r="BR207" s="7">
        <v>0.05</v>
      </c>
      <c r="BS207" s="7">
        <v>50</v>
      </c>
      <c r="BT207" s="7">
        <v>50</v>
      </c>
      <c r="BU207" s="7">
        <v>6.5075999999999995E-2</v>
      </c>
      <c r="BV207" s="7">
        <v>46.984816000000002</v>
      </c>
      <c r="BW207" s="7">
        <v>50</v>
      </c>
      <c r="BX207" s="4" t="s">
        <v>124</v>
      </c>
      <c r="BY207" s="4" t="s">
        <v>124</v>
      </c>
      <c r="BZ207" s="4" t="s">
        <v>124</v>
      </c>
      <c r="CA207" s="4" t="s">
        <v>124</v>
      </c>
      <c r="CB207" s="4" t="s">
        <v>124</v>
      </c>
      <c r="CC207" s="4" t="s">
        <v>124</v>
      </c>
      <c r="CD207" s="4" t="s">
        <v>124</v>
      </c>
      <c r="CE207" s="4" t="s">
        <v>124</v>
      </c>
      <c r="CF207" s="4" t="s">
        <v>124</v>
      </c>
      <c r="CG207" s="4" t="s">
        <v>124</v>
      </c>
      <c r="CH207" s="4" t="s">
        <v>124</v>
      </c>
      <c r="CI207" s="4" t="s">
        <v>124</v>
      </c>
      <c r="CJ207" s="4" t="s">
        <v>124</v>
      </c>
      <c r="CK207" s="4" t="s">
        <v>124</v>
      </c>
      <c r="CL207" s="4" t="s">
        <v>124</v>
      </c>
      <c r="CM207" s="4" t="s">
        <v>124</v>
      </c>
      <c r="CN207" s="4" t="s">
        <v>124</v>
      </c>
      <c r="CO207" s="4" t="s">
        <v>124</v>
      </c>
      <c r="CP207" s="4" t="s">
        <v>124</v>
      </c>
      <c r="CQ207" s="7">
        <v>0.74725299999999995</v>
      </c>
      <c r="CR207" s="7">
        <v>1</v>
      </c>
      <c r="CS207" s="7">
        <v>49.816850000000002</v>
      </c>
      <c r="CT207" s="7">
        <v>50</v>
      </c>
      <c r="CU207" s="4" t="s">
        <v>124</v>
      </c>
      <c r="CV207" s="4" t="s">
        <v>124</v>
      </c>
      <c r="CW207" s="4" t="s">
        <v>124</v>
      </c>
      <c r="CX207" s="4" t="s">
        <v>124</v>
      </c>
      <c r="CY207" s="4" t="s">
        <v>124</v>
      </c>
      <c r="CZ207" s="4" t="s">
        <v>124</v>
      </c>
      <c r="DA207" s="7">
        <v>15.314097</v>
      </c>
      <c r="DB207" s="7">
        <v>17.400950000000002</v>
      </c>
      <c r="DC207" s="7">
        <v>16.332519999999999</v>
      </c>
      <c r="DD207" s="4" t="s">
        <v>124</v>
      </c>
      <c r="DE207" s="7">
        <v>0</v>
      </c>
      <c r="DF207" s="6"/>
      <c r="DG207" s="6"/>
      <c r="DH207" s="6"/>
      <c r="DI207" s="6"/>
      <c r="DJ207" s="7">
        <v>0</v>
      </c>
      <c r="DK207" s="7">
        <v>0</v>
      </c>
      <c r="DL207" s="7">
        <v>0</v>
      </c>
      <c r="DM207" s="7">
        <v>0</v>
      </c>
      <c r="DN207" s="7">
        <v>0</v>
      </c>
      <c r="DO207" s="7">
        <v>0</v>
      </c>
      <c r="DP207" s="6"/>
      <c r="DQ207" s="4" t="s">
        <v>125</v>
      </c>
    </row>
    <row r="208" spans="1:121" ht="20" customHeight="1" x14ac:dyDescent="0.15">
      <c r="A208" s="5">
        <v>2018</v>
      </c>
      <c r="B208" s="3" t="s">
        <v>233</v>
      </c>
      <c r="C208" s="4" t="str">
        <f t="shared" si="108"/>
        <v>0030011</v>
      </c>
      <c r="D208" s="4" t="s">
        <v>339</v>
      </c>
      <c r="E208" s="4" t="str">
        <f>"0030111"</f>
        <v>0030111</v>
      </c>
      <c r="F208" s="4" t="s">
        <v>327</v>
      </c>
      <c r="G208" s="4" t="s">
        <v>328</v>
      </c>
      <c r="H208" s="7">
        <v>8</v>
      </c>
      <c r="I208" s="4" t="s">
        <v>329</v>
      </c>
      <c r="J208" s="4" t="s">
        <v>330</v>
      </c>
      <c r="K208" s="7">
        <v>643.31109800000002</v>
      </c>
      <c r="L208" s="7">
        <v>900</v>
      </c>
      <c r="M208" s="7">
        <v>71.479011</v>
      </c>
      <c r="N208" s="7">
        <v>2</v>
      </c>
      <c r="O208" s="7">
        <v>0</v>
      </c>
      <c r="P208" s="7">
        <v>70.490697999999995</v>
      </c>
      <c r="Q208" s="7">
        <v>46.993797999999998</v>
      </c>
      <c r="R208" s="7">
        <v>50</v>
      </c>
      <c r="S208" s="7">
        <v>62.772872</v>
      </c>
      <c r="T208" s="7">
        <v>75</v>
      </c>
      <c r="U208" s="7">
        <v>41.848581000000003</v>
      </c>
      <c r="V208" s="7">
        <v>50</v>
      </c>
      <c r="W208" s="7">
        <v>63.057729999999999</v>
      </c>
      <c r="X208" s="7">
        <v>42.038487000000003</v>
      </c>
      <c r="Y208" s="7">
        <v>50</v>
      </c>
      <c r="Z208" s="7">
        <v>69.046662999999995</v>
      </c>
      <c r="AA208" s="7">
        <v>56.600098000000003</v>
      </c>
      <c r="AB208" s="7">
        <v>37.733398999999999</v>
      </c>
      <c r="AC208" s="7">
        <v>50</v>
      </c>
      <c r="AD208" s="7">
        <v>73.848771999999997</v>
      </c>
      <c r="AE208" s="7">
        <v>49.232514999999999</v>
      </c>
      <c r="AF208" s="7">
        <v>50</v>
      </c>
      <c r="AG208" s="7">
        <v>69.779966999999999</v>
      </c>
      <c r="AH208" s="7">
        <v>75</v>
      </c>
      <c r="AI208" s="7">
        <v>46.519978000000002</v>
      </c>
      <c r="AJ208" s="7">
        <v>50</v>
      </c>
      <c r="AK208" s="7">
        <v>12.22</v>
      </c>
      <c r="AL208" s="7">
        <v>12.44</v>
      </c>
      <c r="AM208" s="7">
        <v>5.22</v>
      </c>
      <c r="AN208" s="7">
        <v>0.55646899999999999</v>
      </c>
      <c r="AO208" s="7">
        <v>55.646889999999999</v>
      </c>
      <c r="AP208" s="7">
        <v>100</v>
      </c>
      <c r="AQ208" s="7">
        <v>0.53276599999999996</v>
      </c>
      <c r="AR208" s="7">
        <v>53.276600999999999</v>
      </c>
      <c r="AS208" s="7">
        <v>100</v>
      </c>
      <c r="AT208" s="7">
        <v>0.52040299999999995</v>
      </c>
      <c r="AU208" s="7">
        <v>0.58995799999999998</v>
      </c>
      <c r="AV208" s="7">
        <v>52.040345000000002</v>
      </c>
      <c r="AW208" s="7">
        <v>100</v>
      </c>
      <c r="AX208" s="7">
        <v>0.48583599999999999</v>
      </c>
      <c r="AY208" s="7">
        <v>0.57586499999999996</v>
      </c>
      <c r="AZ208" s="7">
        <v>48.583557999999996</v>
      </c>
      <c r="BA208" s="7">
        <v>100</v>
      </c>
      <c r="BB208" s="4" t="s">
        <v>124</v>
      </c>
      <c r="BC208" s="4" t="s">
        <v>124</v>
      </c>
      <c r="BD208" s="4" t="s">
        <v>124</v>
      </c>
      <c r="BE208" s="4" t="s">
        <v>124</v>
      </c>
      <c r="BF208" s="4" t="s">
        <v>124</v>
      </c>
      <c r="BG208" s="4" t="s">
        <v>124</v>
      </c>
      <c r="BH208" s="7">
        <v>0</v>
      </c>
      <c r="BI208" s="7">
        <v>0.98790299999999998</v>
      </c>
      <c r="BJ208" s="7">
        <v>0.98333300000000001</v>
      </c>
      <c r="BK208" s="7">
        <v>0.99218799999999996</v>
      </c>
      <c r="BL208" s="7">
        <v>0.97580599999999995</v>
      </c>
      <c r="BM208" s="7">
        <v>0.97499999999999998</v>
      </c>
      <c r="BN208" s="7">
        <v>0.97656299999999996</v>
      </c>
      <c r="BO208" s="7">
        <v>0.97777800000000004</v>
      </c>
      <c r="BP208" s="7">
        <v>0.95555599999999996</v>
      </c>
      <c r="BQ208" s="7">
        <v>1</v>
      </c>
      <c r="BR208" s="7">
        <v>5.5095999999999999E-2</v>
      </c>
      <c r="BS208" s="7">
        <v>48.980716000000001</v>
      </c>
      <c r="BT208" s="7">
        <v>50</v>
      </c>
      <c r="BU208" s="7">
        <v>7.6923000000000005E-2</v>
      </c>
      <c r="BV208" s="7">
        <v>44.615385000000003</v>
      </c>
      <c r="BW208" s="7">
        <v>50</v>
      </c>
      <c r="BX208" s="4" t="s">
        <v>124</v>
      </c>
      <c r="BY208" s="4" t="s">
        <v>124</v>
      </c>
      <c r="BZ208" s="4" t="s">
        <v>124</v>
      </c>
      <c r="CA208" s="4" t="s">
        <v>124</v>
      </c>
      <c r="CB208" s="4" t="s">
        <v>124</v>
      </c>
      <c r="CC208" s="4" t="s">
        <v>124</v>
      </c>
      <c r="CD208" s="7">
        <v>0.83720899999999998</v>
      </c>
      <c r="CE208" s="7">
        <v>44.532409999999999</v>
      </c>
      <c r="CF208" s="7">
        <v>50</v>
      </c>
      <c r="CG208" s="4" t="s">
        <v>124</v>
      </c>
      <c r="CH208" s="4" t="s">
        <v>124</v>
      </c>
      <c r="CI208" s="4" t="s">
        <v>124</v>
      </c>
      <c r="CJ208" s="4" t="s">
        <v>124</v>
      </c>
      <c r="CK208" s="4" t="s">
        <v>124</v>
      </c>
      <c r="CL208" s="4" t="s">
        <v>124</v>
      </c>
      <c r="CM208" s="4" t="s">
        <v>124</v>
      </c>
      <c r="CN208" s="4" t="s">
        <v>124</v>
      </c>
      <c r="CO208" s="4" t="s">
        <v>124</v>
      </c>
      <c r="CP208" s="4" t="s">
        <v>124</v>
      </c>
      <c r="CQ208" s="7">
        <v>0.46902700000000003</v>
      </c>
      <c r="CR208" s="7">
        <v>0.97413799999999995</v>
      </c>
      <c r="CS208" s="7">
        <v>31.268436999999999</v>
      </c>
      <c r="CT208" s="7">
        <v>50</v>
      </c>
      <c r="CU208" s="4" t="s">
        <v>124</v>
      </c>
      <c r="CV208" s="4" t="s">
        <v>124</v>
      </c>
      <c r="CW208" s="4" t="s">
        <v>124</v>
      </c>
      <c r="CX208" s="4" t="s">
        <v>124</v>
      </c>
      <c r="CY208" s="4" t="s">
        <v>124</v>
      </c>
      <c r="CZ208" s="4" t="s">
        <v>124</v>
      </c>
      <c r="DA208" s="7">
        <v>15.314097</v>
      </c>
      <c r="DB208" s="7">
        <v>17.400950000000002</v>
      </c>
      <c r="DC208" s="7">
        <v>16.332519999999999</v>
      </c>
      <c r="DD208" s="4" t="s">
        <v>124</v>
      </c>
      <c r="DE208" s="7">
        <v>0</v>
      </c>
      <c r="DF208" s="6"/>
      <c r="DG208" s="6"/>
      <c r="DH208" s="6"/>
      <c r="DI208" s="6"/>
      <c r="DJ208" s="7">
        <v>0</v>
      </c>
      <c r="DK208" s="7">
        <v>0</v>
      </c>
      <c r="DL208" s="7">
        <v>0</v>
      </c>
      <c r="DM208" s="7">
        <v>0</v>
      </c>
      <c r="DN208" s="7">
        <v>0</v>
      </c>
      <c r="DO208" s="7">
        <v>0</v>
      </c>
      <c r="DP208" s="6"/>
      <c r="DQ208" s="4" t="s">
        <v>125</v>
      </c>
    </row>
    <row r="209" spans="1:121" ht="20" customHeight="1" x14ac:dyDescent="0.15">
      <c r="A209" s="5">
        <v>2018</v>
      </c>
      <c r="B209" s="3" t="s">
        <v>234</v>
      </c>
      <c r="C209" s="4" t="str">
        <f t="shared" si="109"/>
        <v>0040011</v>
      </c>
      <c r="D209" s="4" t="s">
        <v>340</v>
      </c>
      <c r="E209" s="4" t="str">
        <f>"0046111"</f>
        <v>0046111</v>
      </c>
      <c r="F209" s="4" t="s">
        <v>327</v>
      </c>
      <c r="G209" s="7">
        <v>9</v>
      </c>
      <c r="H209" s="7">
        <v>12</v>
      </c>
      <c r="I209" s="6"/>
      <c r="J209" s="4" t="s">
        <v>330</v>
      </c>
      <c r="K209" s="7">
        <v>1306.530213</v>
      </c>
      <c r="L209" s="7">
        <v>1450</v>
      </c>
      <c r="M209" s="7">
        <v>90.105531999999997</v>
      </c>
      <c r="N209" s="7">
        <v>2</v>
      </c>
      <c r="O209" s="7">
        <v>1</v>
      </c>
      <c r="P209" s="7">
        <v>70.899753000000004</v>
      </c>
      <c r="Q209" s="7">
        <v>141.79950600000001</v>
      </c>
      <c r="R209" s="7">
        <v>150</v>
      </c>
      <c r="S209" s="7">
        <v>54.039682999999997</v>
      </c>
      <c r="T209" s="7">
        <v>75</v>
      </c>
      <c r="U209" s="7">
        <v>108.079365</v>
      </c>
      <c r="V209" s="7">
        <v>150</v>
      </c>
      <c r="W209" s="7">
        <v>71.877531000000005</v>
      </c>
      <c r="X209" s="7">
        <v>143.75506200000001</v>
      </c>
      <c r="Y209" s="7">
        <v>150</v>
      </c>
      <c r="Z209" s="7">
        <v>75</v>
      </c>
      <c r="AA209" s="7">
        <v>54.226756999999999</v>
      </c>
      <c r="AB209" s="7">
        <v>108.453515</v>
      </c>
      <c r="AC209" s="7">
        <v>150</v>
      </c>
      <c r="AD209" s="7">
        <v>75.336434999999994</v>
      </c>
      <c r="AE209" s="7">
        <v>100</v>
      </c>
      <c r="AF209" s="7">
        <v>100</v>
      </c>
      <c r="AG209" s="7">
        <v>57.919986000000002</v>
      </c>
      <c r="AH209" s="7">
        <v>75</v>
      </c>
      <c r="AI209" s="7">
        <v>77.226647999999997</v>
      </c>
      <c r="AJ209" s="7">
        <v>100</v>
      </c>
      <c r="AK209" s="7">
        <v>20.96</v>
      </c>
      <c r="AL209" s="7">
        <v>20.77</v>
      </c>
      <c r="AM209" s="7">
        <v>17.079999999999998</v>
      </c>
      <c r="AN209" s="4" t="s">
        <v>124</v>
      </c>
      <c r="AO209" s="4" t="s">
        <v>124</v>
      </c>
      <c r="AP209" s="4" t="s">
        <v>124</v>
      </c>
      <c r="AQ209" s="4" t="s">
        <v>124</v>
      </c>
      <c r="AR209" s="4" t="s">
        <v>124</v>
      </c>
      <c r="AS209" s="4" t="s">
        <v>124</v>
      </c>
      <c r="AT209" s="4" t="s">
        <v>124</v>
      </c>
      <c r="AU209" s="4" t="s">
        <v>124</v>
      </c>
      <c r="AV209" s="4" t="s">
        <v>124</v>
      </c>
      <c r="AW209" s="4" t="s">
        <v>124</v>
      </c>
      <c r="AX209" s="4" t="s">
        <v>124</v>
      </c>
      <c r="AY209" s="4" t="s">
        <v>124</v>
      </c>
      <c r="AZ209" s="4" t="s">
        <v>124</v>
      </c>
      <c r="BA209" s="4" t="s">
        <v>124</v>
      </c>
      <c r="BB209" s="4" t="s">
        <v>124</v>
      </c>
      <c r="BC209" s="4" t="s">
        <v>124</v>
      </c>
      <c r="BD209" s="4" t="s">
        <v>124</v>
      </c>
      <c r="BE209" s="4" t="s">
        <v>124</v>
      </c>
      <c r="BF209" s="4" t="s">
        <v>124</v>
      </c>
      <c r="BG209" s="4" t="s">
        <v>124</v>
      </c>
      <c r="BH209" s="7">
        <v>0</v>
      </c>
      <c r="BI209" s="7">
        <v>0.98723399999999994</v>
      </c>
      <c r="BJ209" s="7">
        <v>1</v>
      </c>
      <c r="BK209" s="7">
        <v>0.98360700000000001</v>
      </c>
      <c r="BL209" s="7">
        <v>0.98723399999999994</v>
      </c>
      <c r="BM209" s="7">
        <v>1</v>
      </c>
      <c r="BN209" s="7">
        <v>0.98360700000000001</v>
      </c>
      <c r="BO209" s="7">
        <v>0.987124</v>
      </c>
      <c r="BP209" s="7">
        <v>0.98</v>
      </c>
      <c r="BQ209" s="7">
        <v>0.98907100000000003</v>
      </c>
      <c r="BR209" s="7">
        <v>3.3014000000000002E-2</v>
      </c>
      <c r="BS209" s="7">
        <v>50</v>
      </c>
      <c r="BT209" s="7">
        <v>50</v>
      </c>
      <c r="BU209" s="7">
        <v>8.9744000000000004E-2</v>
      </c>
      <c r="BV209" s="7">
        <v>42.051282</v>
      </c>
      <c r="BW209" s="7">
        <v>50</v>
      </c>
      <c r="BX209" s="7">
        <v>0.78318600000000005</v>
      </c>
      <c r="BY209" s="7">
        <v>50</v>
      </c>
      <c r="BZ209" s="7">
        <v>50</v>
      </c>
      <c r="CA209" s="7">
        <v>0.76769900000000002</v>
      </c>
      <c r="CB209" s="7">
        <v>50</v>
      </c>
      <c r="CC209" s="7">
        <v>50</v>
      </c>
      <c r="CD209" s="7">
        <v>0.97916700000000001</v>
      </c>
      <c r="CE209" s="7">
        <v>50</v>
      </c>
      <c r="CF209" s="7">
        <v>50</v>
      </c>
      <c r="CG209" s="7">
        <v>0.97826100000000005</v>
      </c>
      <c r="CH209" s="7">
        <v>100</v>
      </c>
      <c r="CI209" s="7">
        <v>100</v>
      </c>
      <c r="CJ209" s="7">
        <v>0</v>
      </c>
      <c r="CK209" s="7">
        <v>0.95121999999999995</v>
      </c>
      <c r="CL209" s="7">
        <v>100</v>
      </c>
      <c r="CM209" s="7">
        <v>100</v>
      </c>
      <c r="CN209" s="7">
        <v>0.86379899999999998</v>
      </c>
      <c r="CO209" s="7">
        <v>100</v>
      </c>
      <c r="CP209" s="7">
        <v>100</v>
      </c>
      <c r="CQ209" s="7">
        <v>0.52747299999999997</v>
      </c>
      <c r="CR209" s="7">
        <v>1.8346769999999999</v>
      </c>
      <c r="CS209" s="7">
        <v>35.164834999999997</v>
      </c>
      <c r="CT209" s="7">
        <v>50</v>
      </c>
      <c r="CU209" s="7">
        <v>0.61022399999999999</v>
      </c>
      <c r="CV209" s="7">
        <v>50</v>
      </c>
      <c r="CW209" s="7">
        <v>50</v>
      </c>
      <c r="CX209" s="7">
        <v>0.95121999999999995</v>
      </c>
      <c r="CY209" s="7">
        <v>0.94</v>
      </c>
      <c r="CZ209" s="7">
        <v>-1.1220000000000001E-2</v>
      </c>
      <c r="DA209" s="7">
        <v>15.314097</v>
      </c>
      <c r="DB209" s="7">
        <v>17.400950000000002</v>
      </c>
      <c r="DC209" s="7">
        <v>16.332519999999999</v>
      </c>
      <c r="DD209" s="7">
        <v>7.9891730000000001</v>
      </c>
      <c r="DE209" s="7">
        <v>1</v>
      </c>
      <c r="DF209" s="6"/>
      <c r="DG209" s="6"/>
      <c r="DH209" s="6"/>
      <c r="DI209" s="6"/>
      <c r="DJ209" s="7">
        <v>0</v>
      </c>
      <c r="DK209" s="7">
        <v>0</v>
      </c>
      <c r="DL209" s="7">
        <v>0</v>
      </c>
      <c r="DM209" s="7">
        <v>0</v>
      </c>
      <c r="DN209" s="7">
        <v>0</v>
      </c>
      <c r="DO209" s="7">
        <v>0</v>
      </c>
      <c r="DP209" s="6"/>
      <c r="DQ209" s="4" t="s">
        <v>125</v>
      </c>
    </row>
    <row r="210" spans="1:121" ht="20" customHeight="1" x14ac:dyDescent="0.15">
      <c r="A210" s="5">
        <v>2018</v>
      </c>
      <c r="B210" s="3" t="s">
        <v>234</v>
      </c>
      <c r="C210" s="4" t="str">
        <f t="shared" si="109"/>
        <v>0040011</v>
      </c>
      <c r="D210" s="4" t="s">
        <v>341</v>
      </c>
      <c r="E210" s="4" t="str">
        <f>"0045111"</f>
        <v>0045111</v>
      </c>
      <c r="F210" s="4" t="s">
        <v>327</v>
      </c>
      <c r="G210" s="7">
        <v>7</v>
      </c>
      <c r="H210" s="7">
        <v>8</v>
      </c>
      <c r="I210" s="4" t="s">
        <v>329</v>
      </c>
      <c r="J210" s="4" t="s">
        <v>330</v>
      </c>
      <c r="K210" s="7">
        <v>709.60210300000006</v>
      </c>
      <c r="L210" s="7">
        <v>900</v>
      </c>
      <c r="M210" s="7">
        <v>78.844678000000002</v>
      </c>
      <c r="N210" s="7">
        <v>2</v>
      </c>
      <c r="O210" s="7">
        <v>0</v>
      </c>
      <c r="P210" s="7">
        <v>82.525473000000005</v>
      </c>
      <c r="Q210" s="7">
        <v>50</v>
      </c>
      <c r="R210" s="7">
        <v>50</v>
      </c>
      <c r="S210" s="7">
        <v>65.164107000000001</v>
      </c>
      <c r="T210" s="7">
        <v>75</v>
      </c>
      <c r="U210" s="7">
        <v>43.442737999999999</v>
      </c>
      <c r="V210" s="7">
        <v>50</v>
      </c>
      <c r="W210" s="7">
        <v>79.233569000000003</v>
      </c>
      <c r="X210" s="7">
        <v>50</v>
      </c>
      <c r="Y210" s="7">
        <v>50</v>
      </c>
      <c r="Z210" s="7">
        <v>75</v>
      </c>
      <c r="AA210" s="7">
        <v>60.848590000000002</v>
      </c>
      <c r="AB210" s="7">
        <v>40.565727000000003</v>
      </c>
      <c r="AC210" s="7">
        <v>50</v>
      </c>
      <c r="AD210" s="7">
        <v>82.413762000000006</v>
      </c>
      <c r="AE210" s="7">
        <v>50</v>
      </c>
      <c r="AF210" s="7">
        <v>50</v>
      </c>
      <c r="AG210" s="7">
        <v>67.700164000000001</v>
      </c>
      <c r="AH210" s="7">
        <v>75</v>
      </c>
      <c r="AI210" s="7">
        <v>45.133443</v>
      </c>
      <c r="AJ210" s="7">
        <v>50</v>
      </c>
      <c r="AK210" s="7">
        <v>9.83</v>
      </c>
      <c r="AL210" s="7">
        <v>14.15</v>
      </c>
      <c r="AM210" s="7">
        <v>7.29</v>
      </c>
      <c r="AN210" s="7">
        <v>0.68884900000000004</v>
      </c>
      <c r="AO210" s="7">
        <v>68.884850999999998</v>
      </c>
      <c r="AP210" s="7">
        <v>100</v>
      </c>
      <c r="AQ210" s="7">
        <v>0.75129900000000005</v>
      </c>
      <c r="AR210" s="7">
        <v>75.129913999999999</v>
      </c>
      <c r="AS210" s="7">
        <v>100</v>
      </c>
      <c r="AT210" s="7">
        <v>0.58123499999999995</v>
      </c>
      <c r="AU210" s="7">
        <v>0.70872800000000002</v>
      </c>
      <c r="AV210" s="7">
        <v>58.123513000000003</v>
      </c>
      <c r="AW210" s="7">
        <v>100</v>
      </c>
      <c r="AX210" s="7">
        <v>0.68054700000000001</v>
      </c>
      <c r="AY210" s="7">
        <v>0.764401</v>
      </c>
      <c r="AZ210" s="7">
        <v>68.054687999999999</v>
      </c>
      <c r="BA210" s="7">
        <v>100</v>
      </c>
      <c r="BB210" s="4" t="s">
        <v>124</v>
      </c>
      <c r="BC210" s="4" t="s">
        <v>124</v>
      </c>
      <c r="BD210" s="4" t="s">
        <v>124</v>
      </c>
      <c r="BE210" s="4" t="s">
        <v>124</v>
      </c>
      <c r="BF210" s="4" t="s">
        <v>124</v>
      </c>
      <c r="BG210" s="4" t="s">
        <v>124</v>
      </c>
      <c r="BH210" s="7">
        <v>0</v>
      </c>
      <c r="BI210" s="7">
        <v>0.99421999999999999</v>
      </c>
      <c r="BJ210" s="7">
        <v>1</v>
      </c>
      <c r="BK210" s="7">
        <v>0.99273599999999995</v>
      </c>
      <c r="BL210" s="7">
        <v>0.99229299999999998</v>
      </c>
      <c r="BM210" s="7">
        <v>1</v>
      </c>
      <c r="BN210" s="7">
        <v>0.99031499999999995</v>
      </c>
      <c r="BO210" s="7">
        <v>0.99636400000000003</v>
      </c>
      <c r="BP210" s="7">
        <v>1</v>
      </c>
      <c r="BQ210" s="7">
        <v>0.99539200000000005</v>
      </c>
      <c r="BR210" s="7">
        <v>3.0828999999999999E-2</v>
      </c>
      <c r="BS210" s="7">
        <v>50</v>
      </c>
      <c r="BT210" s="7">
        <v>50</v>
      </c>
      <c r="BU210" s="7">
        <v>4.5976999999999997E-2</v>
      </c>
      <c r="BV210" s="7">
        <v>50</v>
      </c>
      <c r="BW210" s="7">
        <v>50</v>
      </c>
      <c r="BX210" s="4" t="s">
        <v>124</v>
      </c>
      <c r="BY210" s="4" t="s">
        <v>124</v>
      </c>
      <c r="BZ210" s="4" t="s">
        <v>124</v>
      </c>
      <c r="CA210" s="4" t="s">
        <v>124</v>
      </c>
      <c r="CB210" s="4" t="s">
        <v>124</v>
      </c>
      <c r="CC210" s="4" t="s">
        <v>124</v>
      </c>
      <c r="CD210" s="7">
        <v>0.99557499999999999</v>
      </c>
      <c r="CE210" s="7">
        <v>50</v>
      </c>
      <c r="CF210" s="7">
        <v>50</v>
      </c>
      <c r="CG210" s="4" t="s">
        <v>124</v>
      </c>
      <c r="CH210" s="4" t="s">
        <v>124</v>
      </c>
      <c r="CI210" s="4" t="s">
        <v>124</v>
      </c>
      <c r="CJ210" s="4" t="s">
        <v>124</v>
      </c>
      <c r="CK210" s="4" t="s">
        <v>124</v>
      </c>
      <c r="CL210" s="4" t="s">
        <v>124</v>
      </c>
      <c r="CM210" s="4" t="s">
        <v>124</v>
      </c>
      <c r="CN210" s="4" t="s">
        <v>124</v>
      </c>
      <c r="CO210" s="4" t="s">
        <v>124</v>
      </c>
      <c r="CP210" s="4" t="s">
        <v>124</v>
      </c>
      <c r="CQ210" s="7">
        <v>0.30801699999999999</v>
      </c>
      <c r="CR210" s="7">
        <v>0.86181799999999997</v>
      </c>
      <c r="CS210" s="7">
        <v>10.267229</v>
      </c>
      <c r="CT210" s="7">
        <v>50</v>
      </c>
      <c r="CU210" s="4" t="s">
        <v>124</v>
      </c>
      <c r="CV210" s="4" t="s">
        <v>124</v>
      </c>
      <c r="CW210" s="4" t="s">
        <v>124</v>
      </c>
      <c r="CX210" s="4" t="s">
        <v>124</v>
      </c>
      <c r="CY210" s="4" t="s">
        <v>124</v>
      </c>
      <c r="CZ210" s="4" t="s">
        <v>124</v>
      </c>
      <c r="DA210" s="7">
        <v>15.314097</v>
      </c>
      <c r="DB210" s="7">
        <v>17.400950000000002</v>
      </c>
      <c r="DC210" s="7">
        <v>16.332519999999999</v>
      </c>
      <c r="DD210" s="4" t="s">
        <v>124</v>
      </c>
      <c r="DE210" s="7">
        <v>0</v>
      </c>
      <c r="DF210" s="6"/>
      <c r="DG210" s="6"/>
      <c r="DH210" s="6"/>
      <c r="DI210" s="6"/>
      <c r="DJ210" s="7">
        <v>0</v>
      </c>
      <c r="DK210" s="7">
        <v>0</v>
      </c>
      <c r="DL210" s="7">
        <v>0</v>
      </c>
      <c r="DM210" s="7">
        <v>0</v>
      </c>
      <c r="DN210" s="7">
        <v>0</v>
      </c>
      <c r="DO210" s="7">
        <v>0</v>
      </c>
      <c r="DP210" s="6"/>
      <c r="DQ210" s="4" t="s">
        <v>125</v>
      </c>
    </row>
    <row r="211" spans="1:121" ht="20" customHeight="1" x14ac:dyDescent="0.15">
      <c r="A211" s="5">
        <v>2018</v>
      </c>
      <c r="B211" s="3" t="s">
        <v>234</v>
      </c>
      <c r="C211" s="4" t="str">
        <f t="shared" si="109"/>
        <v>0040011</v>
      </c>
      <c r="D211" s="4" t="s">
        <v>342</v>
      </c>
      <c r="E211" s="4" t="str">
        <f>"0040411"</f>
        <v>0040411</v>
      </c>
      <c r="F211" s="4" t="s">
        <v>327</v>
      </c>
      <c r="G211" s="4" t="s">
        <v>338</v>
      </c>
      <c r="H211" s="7">
        <v>4</v>
      </c>
      <c r="I211" s="4" t="s">
        <v>329</v>
      </c>
      <c r="J211" s="4" t="s">
        <v>330</v>
      </c>
      <c r="K211" s="7">
        <v>667.38381800000002</v>
      </c>
      <c r="L211" s="7">
        <v>850</v>
      </c>
      <c r="M211" s="7">
        <v>78.515743000000001</v>
      </c>
      <c r="N211" s="7">
        <v>2</v>
      </c>
      <c r="O211" s="7">
        <v>0</v>
      </c>
      <c r="P211" s="7">
        <v>79.798185000000004</v>
      </c>
      <c r="Q211" s="7">
        <v>50</v>
      </c>
      <c r="R211" s="7">
        <v>50</v>
      </c>
      <c r="S211" s="7">
        <v>67.541140999999996</v>
      </c>
      <c r="T211" s="7">
        <v>75</v>
      </c>
      <c r="U211" s="7">
        <v>45.027427000000003</v>
      </c>
      <c r="V211" s="7">
        <v>50</v>
      </c>
      <c r="W211" s="7">
        <v>73.902994000000007</v>
      </c>
      <c r="X211" s="7">
        <v>49.268661999999999</v>
      </c>
      <c r="Y211" s="7">
        <v>50</v>
      </c>
      <c r="Z211" s="7">
        <v>75</v>
      </c>
      <c r="AA211" s="7">
        <v>61.503796000000001</v>
      </c>
      <c r="AB211" s="7">
        <v>41.002530999999998</v>
      </c>
      <c r="AC211" s="7">
        <v>50</v>
      </c>
      <c r="AD211" s="4" t="s">
        <v>124</v>
      </c>
      <c r="AE211" s="4" t="s">
        <v>124</v>
      </c>
      <c r="AF211" s="4" t="s">
        <v>124</v>
      </c>
      <c r="AG211" s="4" t="s">
        <v>124</v>
      </c>
      <c r="AH211" s="4" t="s">
        <v>124</v>
      </c>
      <c r="AI211" s="4" t="s">
        <v>124</v>
      </c>
      <c r="AJ211" s="4" t="s">
        <v>124</v>
      </c>
      <c r="AK211" s="7">
        <v>7.45</v>
      </c>
      <c r="AL211" s="7">
        <v>13.49</v>
      </c>
      <c r="AM211" s="4" t="s">
        <v>124</v>
      </c>
      <c r="AN211" s="7">
        <v>0.725827</v>
      </c>
      <c r="AO211" s="7">
        <v>72.582750000000004</v>
      </c>
      <c r="AP211" s="7">
        <v>100</v>
      </c>
      <c r="AQ211" s="7">
        <v>0.74685699999999999</v>
      </c>
      <c r="AR211" s="7">
        <v>74.685671999999997</v>
      </c>
      <c r="AS211" s="7">
        <v>100</v>
      </c>
      <c r="AT211" s="7">
        <v>0.56275399999999998</v>
      </c>
      <c r="AU211" s="7">
        <v>0.78512700000000002</v>
      </c>
      <c r="AV211" s="7">
        <v>56.275402999999997</v>
      </c>
      <c r="AW211" s="7">
        <v>100</v>
      </c>
      <c r="AX211" s="7">
        <v>0.62902400000000003</v>
      </c>
      <c r="AY211" s="7">
        <v>0.78970499999999999</v>
      </c>
      <c r="AZ211" s="7">
        <v>62.902385000000002</v>
      </c>
      <c r="BA211" s="7">
        <v>100</v>
      </c>
      <c r="BB211" s="7">
        <v>0.89926899999999999</v>
      </c>
      <c r="BC211" s="7">
        <v>44.963467000000001</v>
      </c>
      <c r="BD211" s="7">
        <v>50</v>
      </c>
      <c r="BE211" s="7">
        <v>0.75513799999999998</v>
      </c>
      <c r="BF211" s="7">
        <v>37.756912</v>
      </c>
      <c r="BG211" s="7">
        <v>50</v>
      </c>
      <c r="BH211" s="7">
        <v>0</v>
      </c>
      <c r="BI211" s="7">
        <v>1</v>
      </c>
      <c r="BJ211" s="7">
        <v>1</v>
      </c>
      <c r="BK211" s="7">
        <v>1</v>
      </c>
      <c r="BL211" s="7">
        <v>1</v>
      </c>
      <c r="BM211" s="7">
        <v>1</v>
      </c>
      <c r="BN211" s="7">
        <v>1</v>
      </c>
      <c r="BO211" s="4" t="s">
        <v>124</v>
      </c>
      <c r="BP211" s="4" t="s">
        <v>124</v>
      </c>
      <c r="BQ211" s="4" t="s">
        <v>124</v>
      </c>
      <c r="BR211" s="7">
        <v>5.5556000000000001E-2</v>
      </c>
      <c r="BS211" s="7">
        <v>48.888888999999999</v>
      </c>
      <c r="BT211" s="7">
        <v>50</v>
      </c>
      <c r="BU211" s="7">
        <v>0.12571399999999999</v>
      </c>
      <c r="BV211" s="7">
        <v>34.857143000000001</v>
      </c>
      <c r="BW211" s="7">
        <v>50</v>
      </c>
      <c r="BX211" s="4" t="s">
        <v>124</v>
      </c>
      <c r="BY211" s="4" t="s">
        <v>124</v>
      </c>
      <c r="BZ211" s="4" t="s">
        <v>124</v>
      </c>
      <c r="CA211" s="4" t="s">
        <v>124</v>
      </c>
      <c r="CB211" s="4" t="s">
        <v>124</v>
      </c>
      <c r="CC211" s="4" t="s">
        <v>124</v>
      </c>
      <c r="CD211" s="4" t="s">
        <v>124</v>
      </c>
      <c r="CE211" s="4" t="s">
        <v>124</v>
      </c>
      <c r="CF211" s="4" t="s">
        <v>124</v>
      </c>
      <c r="CG211" s="4" t="s">
        <v>124</v>
      </c>
      <c r="CH211" s="4" t="s">
        <v>124</v>
      </c>
      <c r="CI211" s="4" t="s">
        <v>124</v>
      </c>
      <c r="CJ211" s="4" t="s">
        <v>124</v>
      </c>
      <c r="CK211" s="4" t="s">
        <v>124</v>
      </c>
      <c r="CL211" s="4" t="s">
        <v>124</v>
      </c>
      <c r="CM211" s="4" t="s">
        <v>124</v>
      </c>
      <c r="CN211" s="4" t="s">
        <v>124</v>
      </c>
      <c r="CO211" s="4" t="s">
        <v>124</v>
      </c>
      <c r="CP211" s="4" t="s">
        <v>124</v>
      </c>
      <c r="CQ211" s="7">
        <v>0.73758900000000005</v>
      </c>
      <c r="CR211" s="7">
        <v>0.972414</v>
      </c>
      <c r="CS211" s="7">
        <v>49.172576999999997</v>
      </c>
      <c r="CT211" s="7">
        <v>50</v>
      </c>
      <c r="CU211" s="4" t="s">
        <v>124</v>
      </c>
      <c r="CV211" s="4" t="s">
        <v>124</v>
      </c>
      <c r="CW211" s="4" t="s">
        <v>124</v>
      </c>
      <c r="CX211" s="4" t="s">
        <v>124</v>
      </c>
      <c r="CY211" s="4" t="s">
        <v>124</v>
      </c>
      <c r="CZ211" s="4" t="s">
        <v>124</v>
      </c>
      <c r="DA211" s="7">
        <v>15.314097</v>
      </c>
      <c r="DB211" s="7">
        <v>17.400950000000002</v>
      </c>
      <c r="DC211" s="7">
        <v>16.332519999999999</v>
      </c>
      <c r="DD211" s="4" t="s">
        <v>124</v>
      </c>
      <c r="DE211" s="7">
        <v>0</v>
      </c>
      <c r="DF211" s="6"/>
      <c r="DG211" s="6"/>
      <c r="DH211" s="6"/>
      <c r="DI211" s="6"/>
      <c r="DJ211" s="7">
        <v>0</v>
      </c>
      <c r="DK211" s="7">
        <v>0</v>
      </c>
      <c r="DL211" s="7">
        <v>0</v>
      </c>
      <c r="DM211" s="7">
        <v>0</v>
      </c>
      <c r="DN211" s="7">
        <v>0</v>
      </c>
      <c r="DO211" s="7">
        <v>0</v>
      </c>
      <c r="DP211" s="6"/>
      <c r="DQ211" s="4" t="s">
        <v>125</v>
      </c>
    </row>
    <row r="212" spans="1:121" ht="20" customHeight="1" x14ac:dyDescent="0.15">
      <c r="A212" s="5">
        <v>2018</v>
      </c>
      <c r="B212" s="3" t="s">
        <v>234</v>
      </c>
      <c r="C212" s="4" t="str">
        <f>"0040011"</f>
        <v>0040011</v>
      </c>
      <c r="D212" s="4" t="s">
        <v>343</v>
      </c>
      <c r="E212" s="4" t="str">
        <f>"0040311"</f>
        <v>0040311</v>
      </c>
      <c r="F212" s="4" t="s">
        <v>327</v>
      </c>
      <c r="G212" s="4" t="s">
        <v>338</v>
      </c>
      <c r="H212" s="7">
        <v>4</v>
      </c>
      <c r="I212" s="4" t="s">
        <v>329</v>
      </c>
      <c r="J212" s="4" t="s">
        <v>330</v>
      </c>
      <c r="K212" s="7">
        <v>452.607214</v>
      </c>
      <c r="L212" s="7">
        <v>550</v>
      </c>
      <c r="M212" s="7">
        <v>82.292220999999998</v>
      </c>
      <c r="N212" s="7">
        <v>2</v>
      </c>
      <c r="O212" s="7">
        <v>0</v>
      </c>
      <c r="P212" s="7">
        <v>83.407238000000007</v>
      </c>
      <c r="Q212" s="7">
        <v>50</v>
      </c>
      <c r="R212" s="7">
        <v>50</v>
      </c>
      <c r="S212" s="7">
        <v>70.807558999999998</v>
      </c>
      <c r="T212" s="7">
        <v>75</v>
      </c>
      <c r="U212" s="7">
        <v>47.205038999999999</v>
      </c>
      <c r="V212" s="7">
        <v>50</v>
      </c>
      <c r="W212" s="7">
        <v>80.351034999999996</v>
      </c>
      <c r="X212" s="7">
        <v>50</v>
      </c>
      <c r="Y212" s="7">
        <v>50</v>
      </c>
      <c r="Z212" s="7">
        <v>75</v>
      </c>
      <c r="AA212" s="7">
        <v>68.259690000000006</v>
      </c>
      <c r="AB212" s="7">
        <v>45.506459999999997</v>
      </c>
      <c r="AC212" s="7">
        <v>50</v>
      </c>
      <c r="AD212" s="4" t="s">
        <v>124</v>
      </c>
      <c r="AE212" s="4" t="s">
        <v>124</v>
      </c>
      <c r="AF212" s="4" t="s">
        <v>124</v>
      </c>
      <c r="AG212" s="4" t="s">
        <v>124</v>
      </c>
      <c r="AH212" s="4" t="s">
        <v>124</v>
      </c>
      <c r="AI212" s="4" t="s">
        <v>124</v>
      </c>
      <c r="AJ212" s="4" t="s">
        <v>124</v>
      </c>
      <c r="AK212" s="7">
        <v>4.1900000000000004</v>
      </c>
      <c r="AL212" s="7">
        <v>6.74</v>
      </c>
      <c r="AM212" s="4" t="s">
        <v>124</v>
      </c>
      <c r="AN212" s="7">
        <v>0.66383000000000003</v>
      </c>
      <c r="AO212" s="7">
        <v>66.382979000000006</v>
      </c>
      <c r="AP212" s="7">
        <v>100</v>
      </c>
      <c r="AQ212" s="7">
        <v>0.67429499999999998</v>
      </c>
      <c r="AR212" s="7">
        <v>67.429462999999998</v>
      </c>
      <c r="AS212" s="7">
        <v>100</v>
      </c>
      <c r="AT212" s="4" t="s">
        <v>124</v>
      </c>
      <c r="AU212" s="7">
        <v>0.68422499999999997</v>
      </c>
      <c r="AV212" s="4" t="s">
        <v>124</v>
      </c>
      <c r="AW212" s="4" t="s">
        <v>124</v>
      </c>
      <c r="AX212" s="4" t="s">
        <v>124</v>
      </c>
      <c r="AY212" s="7">
        <v>0.67800099999999996</v>
      </c>
      <c r="AZ212" s="4" t="s">
        <v>124</v>
      </c>
      <c r="BA212" s="4" t="s">
        <v>124</v>
      </c>
      <c r="BB212" s="4" t="s">
        <v>124</v>
      </c>
      <c r="BC212" s="4" t="s">
        <v>124</v>
      </c>
      <c r="BD212" s="4" t="s">
        <v>124</v>
      </c>
      <c r="BE212" s="4" t="s">
        <v>124</v>
      </c>
      <c r="BF212" s="4" t="s">
        <v>124</v>
      </c>
      <c r="BG212" s="4" t="s">
        <v>124</v>
      </c>
      <c r="BH212" s="7">
        <v>0</v>
      </c>
      <c r="BI212" s="7">
        <v>1</v>
      </c>
      <c r="BJ212" s="7">
        <v>1</v>
      </c>
      <c r="BK212" s="7">
        <v>1</v>
      </c>
      <c r="BL212" s="7">
        <v>1</v>
      </c>
      <c r="BM212" s="7">
        <v>1</v>
      </c>
      <c r="BN212" s="7">
        <v>1</v>
      </c>
      <c r="BO212" s="4" t="s">
        <v>124</v>
      </c>
      <c r="BP212" s="4" t="s">
        <v>124</v>
      </c>
      <c r="BQ212" s="4" t="s">
        <v>124</v>
      </c>
      <c r="BR212" s="7">
        <v>5.5328000000000002E-2</v>
      </c>
      <c r="BS212" s="7">
        <v>48.934426000000002</v>
      </c>
      <c r="BT212" s="7">
        <v>50</v>
      </c>
      <c r="BU212" s="7">
        <v>7.7778E-2</v>
      </c>
      <c r="BV212" s="7">
        <v>44.444443999999997</v>
      </c>
      <c r="BW212" s="7">
        <v>50</v>
      </c>
      <c r="BX212" s="4" t="s">
        <v>124</v>
      </c>
      <c r="BY212" s="4" t="s">
        <v>124</v>
      </c>
      <c r="BZ212" s="4" t="s">
        <v>124</v>
      </c>
      <c r="CA212" s="4" t="s">
        <v>124</v>
      </c>
      <c r="CB212" s="4" t="s">
        <v>124</v>
      </c>
      <c r="CC212" s="4" t="s">
        <v>124</v>
      </c>
      <c r="CD212" s="4" t="s">
        <v>124</v>
      </c>
      <c r="CE212" s="4" t="s">
        <v>124</v>
      </c>
      <c r="CF212" s="4" t="s">
        <v>124</v>
      </c>
      <c r="CG212" s="4" t="s">
        <v>124</v>
      </c>
      <c r="CH212" s="4" t="s">
        <v>124</v>
      </c>
      <c r="CI212" s="4" t="s">
        <v>124</v>
      </c>
      <c r="CJ212" s="4" t="s">
        <v>124</v>
      </c>
      <c r="CK212" s="4" t="s">
        <v>124</v>
      </c>
      <c r="CL212" s="4" t="s">
        <v>124</v>
      </c>
      <c r="CM212" s="4" t="s">
        <v>124</v>
      </c>
      <c r="CN212" s="4" t="s">
        <v>124</v>
      </c>
      <c r="CO212" s="4" t="s">
        <v>124</v>
      </c>
      <c r="CP212" s="4" t="s">
        <v>124</v>
      </c>
      <c r="CQ212" s="7">
        <v>0.490566</v>
      </c>
      <c r="CR212" s="7">
        <v>0.99065400000000003</v>
      </c>
      <c r="CS212" s="7">
        <v>32.704402999999999</v>
      </c>
      <c r="CT212" s="7">
        <v>50</v>
      </c>
      <c r="CU212" s="4" t="s">
        <v>124</v>
      </c>
      <c r="CV212" s="4" t="s">
        <v>124</v>
      </c>
      <c r="CW212" s="4" t="s">
        <v>124</v>
      </c>
      <c r="CX212" s="4" t="s">
        <v>124</v>
      </c>
      <c r="CY212" s="4" t="s">
        <v>124</v>
      </c>
      <c r="CZ212" s="4" t="s">
        <v>124</v>
      </c>
      <c r="DA212" s="7">
        <v>15.314097</v>
      </c>
      <c r="DB212" s="7">
        <v>17.400950000000002</v>
      </c>
      <c r="DC212" s="7">
        <v>16.332519999999999</v>
      </c>
      <c r="DD212" s="4" t="s">
        <v>124</v>
      </c>
      <c r="DE212" s="7">
        <v>0</v>
      </c>
      <c r="DF212" s="6"/>
      <c r="DG212" s="6"/>
      <c r="DH212" s="6"/>
      <c r="DI212" s="6"/>
      <c r="DJ212" s="7">
        <v>0</v>
      </c>
      <c r="DK212" s="7">
        <v>0</v>
      </c>
      <c r="DL212" s="7">
        <v>0</v>
      </c>
      <c r="DM212" s="7">
        <v>0</v>
      </c>
      <c r="DN212" s="7">
        <v>0</v>
      </c>
      <c r="DO212" s="7">
        <v>0</v>
      </c>
      <c r="DP212" s="6"/>
      <c r="DQ212" s="4" t="s">
        <v>125</v>
      </c>
    </row>
    <row r="213" spans="1:121" ht="20" customHeight="1" x14ac:dyDescent="0.15">
      <c r="A213" s="5">
        <v>2018</v>
      </c>
      <c r="B213" s="3" t="s">
        <v>234</v>
      </c>
      <c r="C213" s="4" t="str">
        <f t="shared" si="109"/>
        <v>0040011</v>
      </c>
      <c r="D213" s="4" t="s">
        <v>344</v>
      </c>
      <c r="E213" s="4" t="str">
        <f>"0040511"</f>
        <v>0040511</v>
      </c>
      <c r="F213" s="4" t="s">
        <v>327</v>
      </c>
      <c r="G213" s="7">
        <v>5</v>
      </c>
      <c r="H213" s="7">
        <v>6</v>
      </c>
      <c r="I213" s="4" t="s">
        <v>329</v>
      </c>
      <c r="J213" s="4" t="s">
        <v>330</v>
      </c>
      <c r="K213" s="7">
        <v>644.22657500000003</v>
      </c>
      <c r="L213" s="7">
        <v>850</v>
      </c>
      <c r="M213" s="7">
        <v>75.791362000000007</v>
      </c>
      <c r="N213" s="7">
        <v>2</v>
      </c>
      <c r="O213" s="7">
        <v>0</v>
      </c>
      <c r="P213" s="7">
        <v>82.427291999999994</v>
      </c>
      <c r="Q213" s="7">
        <v>50</v>
      </c>
      <c r="R213" s="7">
        <v>50</v>
      </c>
      <c r="S213" s="7">
        <v>65.039754000000002</v>
      </c>
      <c r="T213" s="7">
        <v>75</v>
      </c>
      <c r="U213" s="7">
        <v>43.359836000000001</v>
      </c>
      <c r="V213" s="7">
        <v>50</v>
      </c>
      <c r="W213" s="7">
        <v>77.528040000000004</v>
      </c>
      <c r="X213" s="7">
        <v>50</v>
      </c>
      <c r="Y213" s="7">
        <v>50</v>
      </c>
      <c r="Z213" s="7">
        <v>75</v>
      </c>
      <c r="AA213" s="7">
        <v>58.943134000000001</v>
      </c>
      <c r="AB213" s="7">
        <v>39.295423</v>
      </c>
      <c r="AC213" s="7">
        <v>50</v>
      </c>
      <c r="AD213" s="7">
        <v>78.003791000000007</v>
      </c>
      <c r="AE213" s="7">
        <v>50</v>
      </c>
      <c r="AF213" s="7">
        <v>50</v>
      </c>
      <c r="AG213" s="7">
        <v>59.10763</v>
      </c>
      <c r="AH213" s="7">
        <v>75</v>
      </c>
      <c r="AI213" s="7">
        <v>39.405087000000002</v>
      </c>
      <c r="AJ213" s="7">
        <v>50</v>
      </c>
      <c r="AK213" s="7">
        <v>9.9600000000000009</v>
      </c>
      <c r="AL213" s="7">
        <v>16.05</v>
      </c>
      <c r="AM213" s="7">
        <v>15.89</v>
      </c>
      <c r="AN213" s="7">
        <v>0.71148500000000003</v>
      </c>
      <c r="AO213" s="7">
        <v>71.148477999999997</v>
      </c>
      <c r="AP213" s="7">
        <v>100</v>
      </c>
      <c r="AQ213" s="7">
        <v>0.75796300000000005</v>
      </c>
      <c r="AR213" s="7">
        <v>75.796346</v>
      </c>
      <c r="AS213" s="7">
        <v>100</v>
      </c>
      <c r="AT213" s="7">
        <v>0.58346200000000004</v>
      </c>
      <c r="AU213" s="7">
        <v>0.73702400000000001</v>
      </c>
      <c r="AV213" s="7">
        <v>58.346234000000003</v>
      </c>
      <c r="AW213" s="7">
        <v>100</v>
      </c>
      <c r="AX213" s="7">
        <v>0.54202600000000001</v>
      </c>
      <c r="AY213" s="7">
        <v>0.80115099999999995</v>
      </c>
      <c r="AZ213" s="7">
        <v>54.202553000000002</v>
      </c>
      <c r="BA213" s="7">
        <v>100</v>
      </c>
      <c r="BB213" s="4" t="s">
        <v>124</v>
      </c>
      <c r="BC213" s="4" t="s">
        <v>124</v>
      </c>
      <c r="BD213" s="4" t="s">
        <v>124</v>
      </c>
      <c r="BE213" s="4" t="s">
        <v>124</v>
      </c>
      <c r="BF213" s="4" t="s">
        <v>124</v>
      </c>
      <c r="BG213" s="4" t="s">
        <v>124</v>
      </c>
      <c r="BH213" s="7">
        <v>0</v>
      </c>
      <c r="BI213" s="7">
        <v>0.99805100000000002</v>
      </c>
      <c r="BJ213" s="7">
        <v>0.99090900000000004</v>
      </c>
      <c r="BK213" s="7">
        <v>1</v>
      </c>
      <c r="BL213" s="7">
        <v>0.99610100000000001</v>
      </c>
      <c r="BM213" s="7">
        <v>0.99090900000000004</v>
      </c>
      <c r="BN213" s="7">
        <v>0.99751900000000004</v>
      </c>
      <c r="BO213" s="7">
        <v>0.99586799999999998</v>
      </c>
      <c r="BP213" s="7">
        <v>0.982456</v>
      </c>
      <c r="BQ213" s="7">
        <v>1</v>
      </c>
      <c r="BR213" s="7">
        <v>3.9139E-2</v>
      </c>
      <c r="BS213" s="7">
        <v>50</v>
      </c>
      <c r="BT213" s="7">
        <v>50</v>
      </c>
      <c r="BU213" s="7">
        <v>6.5216999999999997E-2</v>
      </c>
      <c r="BV213" s="7">
        <v>46.956522</v>
      </c>
      <c r="BW213" s="7">
        <v>50</v>
      </c>
      <c r="BX213" s="4" t="s">
        <v>124</v>
      </c>
      <c r="BY213" s="4" t="s">
        <v>124</v>
      </c>
      <c r="BZ213" s="4" t="s">
        <v>124</v>
      </c>
      <c r="CA213" s="4" t="s">
        <v>124</v>
      </c>
      <c r="CB213" s="4" t="s">
        <v>124</v>
      </c>
      <c r="CC213" s="4" t="s">
        <v>124</v>
      </c>
      <c r="CD213" s="4" t="s">
        <v>124</v>
      </c>
      <c r="CE213" s="4" t="s">
        <v>124</v>
      </c>
      <c r="CF213" s="4" t="s">
        <v>124</v>
      </c>
      <c r="CG213" s="4" t="s">
        <v>124</v>
      </c>
      <c r="CH213" s="4" t="s">
        <v>124</v>
      </c>
      <c r="CI213" s="4" t="s">
        <v>124</v>
      </c>
      <c r="CJ213" s="4" t="s">
        <v>124</v>
      </c>
      <c r="CK213" s="4" t="s">
        <v>124</v>
      </c>
      <c r="CL213" s="4" t="s">
        <v>124</v>
      </c>
      <c r="CM213" s="4" t="s">
        <v>124</v>
      </c>
      <c r="CN213" s="4" t="s">
        <v>124</v>
      </c>
      <c r="CO213" s="4" t="s">
        <v>124</v>
      </c>
      <c r="CP213" s="4" t="s">
        <v>124</v>
      </c>
      <c r="CQ213" s="7">
        <v>0.23574100000000001</v>
      </c>
      <c r="CR213" s="7">
        <v>0.974074</v>
      </c>
      <c r="CS213" s="7">
        <v>15.716096</v>
      </c>
      <c r="CT213" s="7">
        <v>50</v>
      </c>
      <c r="CU213" s="4" t="s">
        <v>124</v>
      </c>
      <c r="CV213" s="4" t="s">
        <v>124</v>
      </c>
      <c r="CW213" s="4" t="s">
        <v>124</v>
      </c>
      <c r="CX213" s="4" t="s">
        <v>124</v>
      </c>
      <c r="CY213" s="4" t="s">
        <v>124</v>
      </c>
      <c r="CZ213" s="4" t="s">
        <v>124</v>
      </c>
      <c r="DA213" s="7">
        <v>15.314097</v>
      </c>
      <c r="DB213" s="7">
        <v>17.400950000000002</v>
      </c>
      <c r="DC213" s="7">
        <v>16.332519999999999</v>
      </c>
      <c r="DD213" s="4" t="s">
        <v>124</v>
      </c>
      <c r="DE213" s="7">
        <v>0</v>
      </c>
      <c r="DF213" s="6"/>
      <c r="DG213" s="6"/>
      <c r="DH213" s="6"/>
      <c r="DI213" s="6"/>
      <c r="DJ213" s="7">
        <v>0</v>
      </c>
      <c r="DK213" s="7">
        <v>0</v>
      </c>
      <c r="DL213" s="7">
        <v>0</v>
      </c>
      <c r="DM213" s="7">
        <v>0</v>
      </c>
      <c r="DN213" s="7">
        <v>0</v>
      </c>
      <c r="DO213" s="7">
        <v>0</v>
      </c>
      <c r="DP213" s="6"/>
      <c r="DQ213" s="4" t="s">
        <v>125</v>
      </c>
    </row>
    <row r="214" spans="1:121" ht="20" customHeight="1" x14ac:dyDescent="0.15">
      <c r="A214" s="5">
        <v>2018</v>
      </c>
      <c r="B214" s="3" t="s">
        <v>184</v>
      </c>
      <c r="C214" s="4" t="str">
        <f t="shared" si="59"/>
        <v>0050011</v>
      </c>
      <c r="D214" s="4" t="s">
        <v>345</v>
      </c>
      <c r="E214" s="4" t="str">
        <f>"0050111"</f>
        <v>0050111</v>
      </c>
      <c r="F214" s="4" t="s">
        <v>327</v>
      </c>
      <c r="G214" s="4" t="s">
        <v>328</v>
      </c>
      <c r="H214" s="7">
        <v>6</v>
      </c>
      <c r="I214" s="4" t="s">
        <v>329</v>
      </c>
      <c r="J214" s="4" t="s">
        <v>330</v>
      </c>
      <c r="K214" s="7">
        <v>669.12992999999994</v>
      </c>
      <c r="L214" s="7">
        <v>800</v>
      </c>
      <c r="M214" s="7">
        <v>83.641240999999994</v>
      </c>
      <c r="N214" s="7">
        <v>2</v>
      </c>
      <c r="O214" s="7">
        <v>0</v>
      </c>
      <c r="P214" s="7">
        <v>75.429952999999998</v>
      </c>
      <c r="Q214" s="7">
        <v>50</v>
      </c>
      <c r="R214" s="7">
        <v>50</v>
      </c>
      <c r="S214" s="7">
        <v>67.959112000000005</v>
      </c>
      <c r="T214" s="7">
        <v>75</v>
      </c>
      <c r="U214" s="7">
        <v>45.306075</v>
      </c>
      <c r="V214" s="7">
        <v>50</v>
      </c>
      <c r="W214" s="7">
        <v>71.100638000000004</v>
      </c>
      <c r="X214" s="7">
        <v>47.400424999999998</v>
      </c>
      <c r="Y214" s="7">
        <v>50</v>
      </c>
      <c r="Z214" s="7">
        <v>75</v>
      </c>
      <c r="AA214" s="7">
        <v>63.932156999999997</v>
      </c>
      <c r="AB214" s="7">
        <v>42.621437999999998</v>
      </c>
      <c r="AC214" s="7">
        <v>50</v>
      </c>
      <c r="AD214" s="7">
        <v>75.455408000000006</v>
      </c>
      <c r="AE214" s="7">
        <v>50</v>
      </c>
      <c r="AF214" s="7">
        <v>50</v>
      </c>
      <c r="AG214" s="4" t="s">
        <v>124</v>
      </c>
      <c r="AH214" s="4" t="s">
        <v>124</v>
      </c>
      <c r="AI214" s="4" t="s">
        <v>124</v>
      </c>
      <c r="AJ214" s="4" t="s">
        <v>124</v>
      </c>
      <c r="AK214" s="7">
        <v>7.04</v>
      </c>
      <c r="AL214" s="7">
        <v>11.06</v>
      </c>
      <c r="AM214" s="4" t="s">
        <v>124</v>
      </c>
      <c r="AN214" s="7">
        <v>0.69898899999999997</v>
      </c>
      <c r="AO214" s="7">
        <v>69.898871999999997</v>
      </c>
      <c r="AP214" s="7">
        <v>100</v>
      </c>
      <c r="AQ214" s="7">
        <v>0.84371099999999999</v>
      </c>
      <c r="AR214" s="7">
        <v>84.371095999999994</v>
      </c>
      <c r="AS214" s="7">
        <v>100</v>
      </c>
      <c r="AT214" s="7">
        <v>0.594974</v>
      </c>
      <c r="AU214" s="7">
        <v>0.78337800000000002</v>
      </c>
      <c r="AV214" s="7">
        <v>59.497387000000003</v>
      </c>
      <c r="AW214" s="7">
        <v>100</v>
      </c>
      <c r="AX214" s="7">
        <v>0.75590199999999996</v>
      </c>
      <c r="AY214" s="7">
        <v>0.91495199999999999</v>
      </c>
      <c r="AZ214" s="7">
        <v>75.590192000000002</v>
      </c>
      <c r="BA214" s="7">
        <v>100</v>
      </c>
      <c r="BB214" s="4" t="s">
        <v>124</v>
      </c>
      <c r="BC214" s="4" t="s">
        <v>124</v>
      </c>
      <c r="BD214" s="4" t="s">
        <v>124</v>
      </c>
      <c r="BE214" s="4" t="s">
        <v>124</v>
      </c>
      <c r="BF214" s="4" t="s">
        <v>124</v>
      </c>
      <c r="BG214" s="4" t="s">
        <v>124</v>
      </c>
      <c r="BH214" s="7">
        <v>0</v>
      </c>
      <c r="BI214" s="7">
        <v>0.97080299999999997</v>
      </c>
      <c r="BJ214" s="7">
        <v>0.96363600000000005</v>
      </c>
      <c r="BK214" s="7">
        <v>0.97560999999999998</v>
      </c>
      <c r="BL214" s="7">
        <v>0.97080299999999997</v>
      </c>
      <c r="BM214" s="7">
        <v>0.96363600000000005</v>
      </c>
      <c r="BN214" s="7">
        <v>0.97560999999999998</v>
      </c>
      <c r="BO214" s="7">
        <v>1</v>
      </c>
      <c r="BP214" s="7">
        <v>1</v>
      </c>
      <c r="BQ214" s="4" t="s">
        <v>124</v>
      </c>
      <c r="BR214" s="7">
        <v>2.4154999999999999E-2</v>
      </c>
      <c r="BS214" s="7">
        <v>50</v>
      </c>
      <c r="BT214" s="7">
        <v>50</v>
      </c>
      <c r="BU214" s="7">
        <v>3.5714000000000003E-2</v>
      </c>
      <c r="BV214" s="7">
        <v>50</v>
      </c>
      <c r="BW214" s="7">
        <v>50</v>
      </c>
      <c r="BX214" s="4" t="s">
        <v>124</v>
      </c>
      <c r="BY214" s="4" t="s">
        <v>124</v>
      </c>
      <c r="BZ214" s="4" t="s">
        <v>124</v>
      </c>
      <c r="CA214" s="4" t="s">
        <v>124</v>
      </c>
      <c r="CB214" s="4" t="s">
        <v>124</v>
      </c>
      <c r="CC214" s="4" t="s">
        <v>124</v>
      </c>
      <c r="CD214" s="4" t="s">
        <v>124</v>
      </c>
      <c r="CE214" s="4" t="s">
        <v>124</v>
      </c>
      <c r="CF214" s="4" t="s">
        <v>124</v>
      </c>
      <c r="CG214" s="4" t="s">
        <v>124</v>
      </c>
      <c r="CH214" s="4" t="s">
        <v>124</v>
      </c>
      <c r="CI214" s="4" t="s">
        <v>124</v>
      </c>
      <c r="CJ214" s="4" t="s">
        <v>124</v>
      </c>
      <c r="CK214" s="4" t="s">
        <v>124</v>
      </c>
      <c r="CL214" s="4" t="s">
        <v>124</v>
      </c>
      <c r="CM214" s="4" t="s">
        <v>124</v>
      </c>
      <c r="CN214" s="4" t="s">
        <v>124</v>
      </c>
      <c r="CO214" s="4" t="s">
        <v>124</v>
      </c>
      <c r="CP214" s="4" t="s">
        <v>124</v>
      </c>
      <c r="CQ214" s="7">
        <v>0.66666700000000001</v>
      </c>
      <c r="CR214" s="7">
        <v>1</v>
      </c>
      <c r="CS214" s="7">
        <v>44.444443999999997</v>
      </c>
      <c r="CT214" s="7">
        <v>50</v>
      </c>
      <c r="CU214" s="4" t="s">
        <v>124</v>
      </c>
      <c r="CV214" s="4" t="s">
        <v>124</v>
      </c>
      <c r="CW214" s="4" t="s">
        <v>124</v>
      </c>
      <c r="CX214" s="4" t="s">
        <v>124</v>
      </c>
      <c r="CY214" s="4" t="s">
        <v>124</v>
      </c>
      <c r="CZ214" s="4" t="s">
        <v>124</v>
      </c>
      <c r="DA214" s="7">
        <v>15.314097</v>
      </c>
      <c r="DB214" s="7">
        <v>17.400950000000002</v>
      </c>
      <c r="DC214" s="7">
        <v>16.332519999999999</v>
      </c>
      <c r="DD214" s="4" t="s">
        <v>124</v>
      </c>
      <c r="DE214" s="7">
        <v>0</v>
      </c>
      <c r="DF214" s="6"/>
      <c r="DG214" s="6"/>
      <c r="DH214" s="6"/>
      <c r="DI214" s="6"/>
      <c r="DJ214" s="7">
        <v>0</v>
      </c>
      <c r="DK214" s="7">
        <v>0</v>
      </c>
      <c r="DL214" s="7">
        <v>0</v>
      </c>
      <c r="DM214" s="7">
        <v>0</v>
      </c>
      <c r="DN214" s="7">
        <v>0</v>
      </c>
      <c r="DO214" s="7">
        <v>0</v>
      </c>
      <c r="DP214" s="6"/>
      <c r="DQ214" s="4" t="s">
        <v>125</v>
      </c>
    </row>
    <row r="215" spans="1:121" ht="20" customHeight="1" x14ac:dyDescent="0.15">
      <c r="A215" s="5">
        <v>2018</v>
      </c>
      <c r="B215" s="3" t="s">
        <v>185</v>
      </c>
      <c r="C215" s="4" t="str">
        <f t="shared" si="60"/>
        <v>0070011</v>
      </c>
      <c r="D215" s="4" t="s">
        <v>346</v>
      </c>
      <c r="E215" s="4" t="str">
        <f>"0076111"</f>
        <v>0076111</v>
      </c>
      <c r="F215" s="4" t="s">
        <v>327</v>
      </c>
      <c r="G215" s="7">
        <v>9</v>
      </c>
      <c r="H215" s="7">
        <v>12</v>
      </c>
      <c r="I215" s="4" t="s">
        <v>329</v>
      </c>
      <c r="J215" s="4" t="s">
        <v>330</v>
      </c>
      <c r="K215" s="7">
        <v>1165.471536</v>
      </c>
      <c r="L215" s="7">
        <v>1450</v>
      </c>
      <c r="M215" s="7">
        <v>80.377347</v>
      </c>
      <c r="N215" s="7">
        <v>3</v>
      </c>
      <c r="O215" s="7">
        <v>1</v>
      </c>
      <c r="P215" s="7">
        <v>62.435184999999997</v>
      </c>
      <c r="Q215" s="7">
        <v>124.87036999999999</v>
      </c>
      <c r="R215" s="7">
        <v>150</v>
      </c>
      <c r="S215" s="7">
        <v>49.233333000000002</v>
      </c>
      <c r="T215" s="7">
        <v>67.512821000000002</v>
      </c>
      <c r="U215" s="7">
        <v>98.466667000000001</v>
      </c>
      <c r="V215" s="7">
        <v>150</v>
      </c>
      <c r="W215" s="7">
        <v>58.447530999999998</v>
      </c>
      <c r="X215" s="7">
        <v>116.895062</v>
      </c>
      <c r="Y215" s="7">
        <v>150</v>
      </c>
      <c r="Z215" s="7">
        <v>63.692307999999997</v>
      </c>
      <c r="AA215" s="7">
        <v>44.811110999999997</v>
      </c>
      <c r="AB215" s="7">
        <v>89.622221999999994</v>
      </c>
      <c r="AC215" s="7">
        <v>150</v>
      </c>
      <c r="AD215" s="7">
        <v>65.690068999999994</v>
      </c>
      <c r="AE215" s="7">
        <v>87.586759000000001</v>
      </c>
      <c r="AF215" s="7">
        <v>100</v>
      </c>
      <c r="AG215" s="7">
        <v>54.345787999999999</v>
      </c>
      <c r="AH215" s="7">
        <v>70.053253999999995</v>
      </c>
      <c r="AI215" s="7">
        <v>72.46105</v>
      </c>
      <c r="AJ215" s="7">
        <v>100</v>
      </c>
      <c r="AK215" s="7">
        <v>18.27</v>
      </c>
      <c r="AL215" s="7">
        <v>18.88</v>
      </c>
      <c r="AM215" s="7">
        <v>15.7</v>
      </c>
      <c r="AN215" s="4" t="s">
        <v>124</v>
      </c>
      <c r="AO215" s="4" t="s">
        <v>124</v>
      </c>
      <c r="AP215" s="4" t="s">
        <v>124</v>
      </c>
      <c r="AQ215" s="4" t="s">
        <v>124</v>
      </c>
      <c r="AR215" s="4" t="s">
        <v>124</v>
      </c>
      <c r="AS215" s="4" t="s">
        <v>124</v>
      </c>
      <c r="AT215" s="4" t="s">
        <v>124</v>
      </c>
      <c r="AU215" s="4" t="s">
        <v>124</v>
      </c>
      <c r="AV215" s="4" t="s">
        <v>124</v>
      </c>
      <c r="AW215" s="4" t="s">
        <v>124</v>
      </c>
      <c r="AX215" s="4" t="s">
        <v>124</v>
      </c>
      <c r="AY215" s="4" t="s">
        <v>124</v>
      </c>
      <c r="AZ215" s="4" t="s">
        <v>124</v>
      </c>
      <c r="BA215" s="4" t="s">
        <v>124</v>
      </c>
      <c r="BB215" s="4" t="s">
        <v>124</v>
      </c>
      <c r="BC215" s="4" t="s">
        <v>124</v>
      </c>
      <c r="BD215" s="4" t="s">
        <v>124</v>
      </c>
      <c r="BE215" s="4" t="s">
        <v>124</v>
      </c>
      <c r="BF215" s="4" t="s">
        <v>124</v>
      </c>
      <c r="BG215" s="4" t="s">
        <v>124</v>
      </c>
      <c r="BH215" s="7">
        <v>0</v>
      </c>
      <c r="BI215" s="7">
        <v>1</v>
      </c>
      <c r="BJ215" s="7">
        <v>1</v>
      </c>
      <c r="BK215" s="7">
        <v>1</v>
      </c>
      <c r="BL215" s="7">
        <v>1</v>
      </c>
      <c r="BM215" s="7">
        <v>1</v>
      </c>
      <c r="BN215" s="7">
        <v>1</v>
      </c>
      <c r="BO215" s="7">
        <v>1</v>
      </c>
      <c r="BP215" s="7">
        <v>1</v>
      </c>
      <c r="BQ215" s="7">
        <v>1</v>
      </c>
      <c r="BR215" s="7">
        <v>4.5045000000000002E-2</v>
      </c>
      <c r="BS215" s="7">
        <v>50</v>
      </c>
      <c r="BT215" s="7">
        <v>50</v>
      </c>
      <c r="BU215" s="7">
        <v>0.113122</v>
      </c>
      <c r="BV215" s="7">
        <v>37.375565999999999</v>
      </c>
      <c r="BW215" s="7">
        <v>50</v>
      </c>
      <c r="BX215" s="7">
        <v>0.78220100000000004</v>
      </c>
      <c r="BY215" s="7">
        <v>50</v>
      </c>
      <c r="BZ215" s="7">
        <v>50</v>
      </c>
      <c r="CA215" s="7">
        <v>0.58313800000000005</v>
      </c>
      <c r="CB215" s="7">
        <v>38.875878</v>
      </c>
      <c r="CC215" s="7">
        <v>50</v>
      </c>
      <c r="CD215" s="7">
        <v>0.96279099999999995</v>
      </c>
      <c r="CE215" s="7">
        <v>50</v>
      </c>
      <c r="CF215" s="7">
        <v>50</v>
      </c>
      <c r="CG215" s="7">
        <v>0.96208499999999997</v>
      </c>
      <c r="CH215" s="7">
        <v>100</v>
      </c>
      <c r="CI215" s="7">
        <v>100</v>
      </c>
      <c r="CJ215" s="7">
        <v>0</v>
      </c>
      <c r="CK215" s="7">
        <v>0.89655200000000002</v>
      </c>
      <c r="CL215" s="7">
        <v>95.377842999999999</v>
      </c>
      <c r="CM215" s="7">
        <v>100</v>
      </c>
      <c r="CN215" s="7">
        <v>0.85645899999999997</v>
      </c>
      <c r="CO215" s="7">
        <v>100</v>
      </c>
      <c r="CP215" s="7">
        <v>100</v>
      </c>
      <c r="CQ215" s="7">
        <v>0.596244</v>
      </c>
      <c r="CR215" s="7">
        <v>0.86585400000000001</v>
      </c>
      <c r="CS215" s="7">
        <v>19.874804000000001</v>
      </c>
      <c r="CT215" s="7">
        <v>50</v>
      </c>
      <c r="CU215" s="7">
        <v>0.40878399999999998</v>
      </c>
      <c r="CV215" s="7">
        <v>34.065314999999998</v>
      </c>
      <c r="CW215" s="7">
        <v>50</v>
      </c>
      <c r="CX215" s="7">
        <v>0.89655200000000002</v>
      </c>
      <c r="CY215" s="7">
        <v>0.94</v>
      </c>
      <c r="CZ215" s="7">
        <v>4.3448000000000001E-2</v>
      </c>
      <c r="DA215" s="7">
        <v>15.314097</v>
      </c>
      <c r="DB215" s="7">
        <v>17.400950000000002</v>
      </c>
      <c r="DC215" s="7">
        <v>16.332519999999999</v>
      </c>
      <c r="DD215" s="7">
        <v>7.9891730000000001</v>
      </c>
      <c r="DE215" s="7">
        <v>1</v>
      </c>
      <c r="DF215" s="6"/>
      <c r="DG215" s="6"/>
      <c r="DH215" s="6"/>
      <c r="DI215" s="6"/>
      <c r="DJ215" s="7">
        <v>0</v>
      </c>
      <c r="DK215" s="7">
        <v>0</v>
      </c>
      <c r="DL215" s="7">
        <v>0</v>
      </c>
      <c r="DM215" s="7">
        <v>0</v>
      </c>
      <c r="DN215" s="7">
        <v>0</v>
      </c>
      <c r="DO215" s="7">
        <v>0</v>
      </c>
      <c r="DP215" s="6"/>
      <c r="DQ215" s="4" t="s">
        <v>125</v>
      </c>
    </row>
    <row r="216" spans="1:121" ht="20" customHeight="1" x14ac:dyDescent="0.15">
      <c r="A216" s="5">
        <v>2018</v>
      </c>
      <c r="B216" s="3" t="s">
        <v>185</v>
      </c>
      <c r="C216" s="4" t="str">
        <f t="shared" si="60"/>
        <v>0070011</v>
      </c>
      <c r="D216" s="4" t="s">
        <v>347</v>
      </c>
      <c r="E216" s="4" t="str">
        <f>"0075111"</f>
        <v>0075111</v>
      </c>
      <c r="F216" s="4" t="s">
        <v>327</v>
      </c>
      <c r="G216" s="7">
        <v>6</v>
      </c>
      <c r="H216" s="7">
        <v>8</v>
      </c>
      <c r="I216" s="4" t="s">
        <v>329</v>
      </c>
      <c r="J216" s="4" t="s">
        <v>330</v>
      </c>
      <c r="K216" s="7">
        <v>682.01586299999997</v>
      </c>
      <c r="L216" s="7">
        <v>900</v>
      </c>
      <c r="M216" s="7">
        <v>75.779539999999997</v>
      </c>
      <c r="N216" s="7">
        <v>3</v>
      </c>
      <c r="O216" s="7">
        <v>1</v>
      </c>
      <c r="P216" s="7">
        <v>72.390257000000005</v>
      </c>
      <c r="Q216" s="7">
        <v>48.260171999999997</v>
      </c>
      <c r="R216" s="7">
        <v>50</v>
      </c>
      <c r="S216" s="7">
        <v>59.385111999999999</v>
      </c>
      <c r="T216" s="7">
        <v>75</v>
      </c>
      <c r="U216" s="7">
        <v>39.590074999999999</v>
      </c>
      <c r="V216" s="7">
        <v>50</v>
      </c>
      <c r="W216" s="7">
        <v>71.004389000000003</v>
      </c>
      <c r="X216" s="7">
        <v>47.336260000000003</v>
      </c>
      <c r="Y216" s="7">
        <v>50</v>
      </c>
      <c r="Z216" s="7">
        <v>75</v>
      </c>
      <c r="AA216" s="7">
        <v>55.952506</v>
      </c>
      <c r="AB216" s="7">
        <v>37.301670999999999</v>
      </c>
      <c r="AC216" s="7">
        <v>50</v>
      </c>
      <c r="AD216" s="7">
        <v>70.139033999999995</v>
      </c>
      <c r="AE216" s="7">
        <v>46.759355999999997</v>
      </c>
      <c r="AF216" s="7">
        <v>50</v>
      </c>
      <c r="AG216" s="7">
        <v>59.636015</v>
      </c>
      <c r="AH216" s="7">
        <v>74.387446999999995</v>
      </c>
      <c r="AI216" s="7">
        <v>39.757344000000003</v>
      </c>
      <c r="AJ216" s="7">
        <v>50</v>
      </c>
      <c r="AK216" s="7">
        <v>15.61</v>
      </c>
      <c r="AL216" s="7">
        <v>19.04</v>
      </c>
      <c r="AM216" s="7">
        <v>14.75</v>
      </c>
      <c r="AN216" s="7">
        <v>0.52637599999999996</v>
      </c>
      <c r="AO216" s="7">
        <v>52.637593000000003</v>
      </c>
      <c r="AP216" s="7">
        <v>100</v>
      </c>
      <c r="AQ216" s="7">
        <v>0.67443900000000001</v>
      </c>
      <c r="AR216" s="7">
        <v>67.443869000000007</v>
      </c>
      <c r="AS216" s="7">
        <v>100</v>
      </c>
      <c r="AT216" s="7">
        <v>0.513459</v>
      </c>
      <c r="AU216" s="7">
        <v>0.53131899999999999</v>
      </c>
      <c r="AV216" s="7">
        <v>51.345922999999999</v>
      </c>
      <c r="AW216" s="7">
        <v>100</v>
      </c>
      <c r="AX216" s="7">
        <v>0.65466199999999997</v>
      </c>
      <c r="AY216" s="7">
        <v>0.68183899999999997</v>
      </c>
      <c r="AZ216" s="7">
        <v>65.466218999999995</v>
      </c>
      <c r="BA216" s="7">
        <v>100</v>
      </c>
      <c r="BB216" s="4" t="s">
        <v>124</v>
      </c>
      <c r="BC216" s="4" t="s">
        <v>124</v>
      </c>
      <c r="BD216" s="4" t="s">
        <v>124</v>
      </c>
      <c r="BE216" s="4" t="s">
        <v>124</v>
      </c>
      <c r="BF216" s="4" t="s">
        <v>124</v>
      </c>
      <c r="BG216" s="4" t="s">
        <v>124</v>
      </c>
      <c r="BH216" s="7">
        <v>0</v>
      </c>
      <c r="BI216" s="7">
        <v>0.96943199999999996</v>
      </c>
      <c r="BJ216" s="7">
        <v>0.97087400000000001</v>
      </c>
      <c r="BK216" s="7">
        <v>0.96881499999999998</v>
      </c>
      <c r="BL216" s="7">
        <v>0.96943199999999996</v>
      </c>
      <c r="BM216" s="7">
        <v>0.97087400000000001</v>
      </c>
      <c r="BN216" s="7">
        <v>0.96881499999999998</v>
      </c>
      <c r="BO216" s="7">
        <v>0.97297299999999998</v>
      </c>
      <c r="BP216" s="7">
        <v>0.98666699999999996</v>
      </c>
      <c r="BQ216" s="7">
        <v>0.967391</v>
      </c>
      <c r="BR216" s="7">
        <v>2.6238999999999998E-2</v>
      </c>
      <c r="BS216" s="7">
        <v>50</v>
      </c>
      <c r="BT216" s="7">
        <v>50</v>
      </c>
      <c r="BU216" s="7">
        <v>4.1237000000000003E-2</v>
      </c>
      <c r="BV216" s="7">
        <v>50</v>
      </c>
      <c r="BW216" s="7">
        <v>50</v>
      </c>
      <c r="BX216" s="4" t="s">
        <v>124</v>
      </c>
      <c r="BY216" s="4" t="s">
        <v>124</v>
      </c>
      <c r="BZ216" s="4" t="s">
        <v>124</v>
      </c>
      <c r="CA216" s="4" t="s">
        <v>124</v>
      </c>
      <c r="CB216" s="4" t="s">
        <v>124</v>
      </c>
      <c r="CC216" s="4" t="s">
        <v>124</v>
      </c>
      <c r="CD216" s="7">
        <v>0.98048800000000003</v>
      </c>
      <c r="CE216" s="7">
        <v>50</v>
      </c>
      <c r="CF216" s="7">
        <v>50</v>
      </c>
      <c r="CG216" s="4" t="s">
        <v>124</v>
      </c>
      <c r="CH216" s="4" t="s">
        <v>124</v>
      </c>
      <c r="CI216" s="4" t="s">
        <v>124</v>
      </c>
      <c r="CJ216" s="4" t="s">
        <v>124</v>
      </c>
      <c r="CK216" s="4" t="s">
        <v>124</v>
      </c>
      <c r="CL216" s="4" t="s">
        <v>124</v>
      </c>
      <c r="CM216" s="4" t="s">
        <v>124</v>
      </c>
      <c r="CN216" s="4" t="s">
        <v>124</v>
      </c>
      <c r="CO216" s="4" t="s">
        <v>124</v>
      </c>
      <c r="CP216" s="4" t="s">
        <v>124</v>
      </c>
      <c r="CQ216" s="7">
        <v>0.54176100000000005</v>
      </c>
      <c r="CR216" s="7">
        <v>0.91908699999999999</v>
      </c>
      <c r="CS216" s="7">
        <v>36.117381000000002</v>
      </c>
      <c r="CT216" s="7">
        <v>50</v>
      </c>
      <c r="CU216" s="4" t="s">
        <v>124</v>
      </c>
      <c r="CV216" s="4" t="s">
        <v>124</v>
      </c>
      <c r="CW216" s="4" t="s">
        <v>124</v>
      </c>
      <c r="CX216" s="4" t="s">
        <v>124</v>
      </c>
      <c r="CY216" s="4" t="s">
        <v>124</v>
      </c>
      <c r="CZ216" s="4" t="s">
        <v>124</v>
      </c>
      <c r="DA216" s="7">
        <v>15.314097</v>
      </c>
      <c r="DB216" s="7">
        <v>17.400950000000002</v>
      </c>
      <c r="DC216" s="7">
        <v>16.332519999999999</v>
      </c>
      <c r="DD216" s="4" t="s">
        <v>124</v>
      </c>
      <c r="DE216" s="7">
        <v>1</v>
      </c>
      <c r="DF216" s="6"/>
      <c r="DG216" s="6"/>
      <c r="DH216" s="6"/>
      <c r="DI216" s="6"/>
      <c r="DJ216" s="7">
        <v>0</v>
      </c>
      <c r="DK216" s="7">
        <v>0</v>
      </c>
      <c r="DL216" s="7">
        <v>0</v>
      </c>
      <c r="DM216" s="7">
        <v>0</v>
      </c>
      <c r="DN216" s="7">
        <v>0</v>
      </c>
      <c r="DO216" s="7">
        <v>0</v>
      </c>
      <c r="DP216" s="6"/>
      <c r="DQ216" s="4" t="s">
        <v>125</v>
      </c>
    </row>
    <row r="217" spans="1:121" ht="20" customHeight="1" x14ac:dyDescent="0.15">
      <c r="A217" s="5">
        <v>2018</v>
      </c>
      <c r="B217" s="3" t="s">
        <v>185</v>
      </c>
      <c r="C217" s="4" t="str">
        <f t="shared" si="60"/>
        <v>0070011</v>
      </c>
      <c r="D217" s="4" t="s">
        <v>348</v>
      </c>
      <c r="E217" s="4" t="str">
        <f>"0070411"</f>
        <v>0070411</v>
      </c>
      <c r="F217" s="4" t="s">
        <v>327</v>
      </c>
      <c r="G217" s="4" t="s">
        <v>328</v>
      </c>
      <c r="H217" s="7">
        <v>5</v>
      </c>
      <c r="I217" s="6"/>
      <c r="J217" s="4" t="s">
        <v>330</v>
      </c>
      <c r="K217" s="7">
        <v>641.48125900000002</v>
      </c>
      <c r="L217" s="7">
        <v>850</v>
      </c>
      <c r="M217" s="7">
        <v>75.468383000000003</v>
      </c>
      <c r="N217" s="7">
        <v>2</v>
      </c>
      <c r="O217" s="7">
        <v>0</v>
      </c>
      <c r="P217" s="7">
        <v>70.893763000000007</v>
      </c>
      <c r="Q217" s="7">
        <v>47.262509000000001</v>
      </c>
      <c r="R217" s="7">
        <v>50</v>
      </c>
      <c r="S217" s="7">
        <v>61.101591999999997</v>
      </c>
      <c r="T217" s="7">
        <v>75</v>
      </c>
      <c r="U217" s="7">
        <v>40.734394999999999</v>
      </c>
      <c r="V217" s="7">
        <v>50</v>
      </c>
      <c r="W217" s="7">
        <v>73.31532</v>
      </c>
      <c r="X217" s="7">
        <v>48.87688</v>
      </c>
      <c r="Y217" s="7">
        <v>50</v>
      </c>
      <c r="Z217" s="7">
        <v>75</v>
      </c>
      <c r="AA217" s="7">
        <v>61.552536000000003</v>
      </c>
      <c r="AB217" s="7">
        <v>41.035024</v>
      </c>
      <c r="AC217" s="7">
        <v>50</v>
      </c>
      <c r="AD217" s="7">
        <v>65.203858999999994</v>
      </c>
      <c r="AE217" s="7">
        <v>43.469239000000002</v>
      </c>
      <c r="AF217" s="7">
        <v>50</v>
      </c>
      <c r="AG217" s="7">
        <v>55.500779999999999</v>
      </c>
      <c r="AH217" s="7">
        <v>71.470429999999993</v>
      </c>
      <c r="AI217" s="7">
        <v>37.000520000000002</v>
      </c>
      <c r="AJ217" s="7">
        <v>50</v>
      </c>
      <c r="AK217" s="7">
        <v>13.89</v>
      </c>
      <c r="AL217" s="7">
        <v>13.44</v>
      </c>
      <c r="AM217" s="7">
        <v>15.96</v>
      </c>
      <c r="AN217" s="7">
        <v>0.56461399999999995</v>
      </c>
      <c r="AO217" s="7">
        <v>56.461410000000001</v>
      </c>
      <c r="AP217" s="7">
        <v>100</v>
      </c>
      <c r="AQ217" s="7">
        <v>0.63632599999999995</v>
      </c>
      <c r="AR217" s="7">
        <v>63.632634000000003</v>
      </c>
      <c r="AS217" s="7">
        <v>100</v>
      </c>
      <c r="AT217" s="7">
        <v>0.50556500000000004</v>
      </c>
      <c r="AU217" s="7">
        <v>0.596549</v>
      </c>
      <c r="AV217" s="7">
        <v>50.556479000000003</v>
      </c>
      <c r="AW217" s="7">
        <v>100</v>
      </c>
      <c r="AX217" s="7">
        <v>0.66464500000000004</v>
      </c>
      <c r="AY217" s="7">
        <v>0.62101099999999998</v>
      </c>
      <c r="AZ217" s="7">
        <v>66.464515000000006</v>
      </c>
      <c r="BA217" s="7">
        <v>100</v>
      </c>
      <c r="BB217" s="4" t="s">
        <v>124</v>
      </c>
      <c r="BC217" s="4" t="s">
        <v>124</v>
      </c>
      <c r="BD217" s="4" t="s">
        <v>124</v>
      </c>
      <c r="BE217" s="4" t="s">
        <v>124</v>
      </c>
      <c r="BF217" s="4" t="s">
        <v>124</v>
      </c>
      <c r="BG217" s="4" t="s">
        <v>124</v>
      </c>
      <c r="BH217" s="7">
        <v>0</v>
      </c>
      <c r="BI217" s="7">
        <v>1</v>
      </c>
      <c r="BJ217" s="7">
        <v>1</v>
      </c>
      <c r="BK217" s="7">
        <v>1</v>
      </c>
      <c r="BL217" s="7">
        <v>1</v>
      </c>
      <c r="BM217" s="7">
        <v>1</v>
      </c>
      <c r="BN217" s="7">
        <v>1</v>
      </c>
      <c r="BO217" s="7">
        <v>0.98780500000000004</v>
      </c>
      <c r="BP217" s="7">
        <v>0.97058800000000001</v>
      </c>
      <c r="BQ217" s="7">
        <v>1</v>
      </c>
      <c r="BR217" s="7">
        <v>2.8302000000000001E-2</v>
      </c>
      <c r="BS217" s="7">
        <v>50</v>
      </c>
      <c r="BT217" s="7">
        <v>50</v>
      </c>
      <c r="BU217" s="7">
        <v>6.1727999999999998E-2</v>
      </c>
      <c r="BV217" s="7">
        <v>47.654321000000003</v>
      </c>
      <c r="BW217" s="7">
        <v>50</v>
      </c>
      <c r="BX217" s="4" t="s">
        <v>124</v>
      </c>
      <c r="BY217" s="4" t="s">
        <v>124</v>
      </c>
      <c r="BZ217" s="4" t="s">
        <v>124</v>
      </c>
      <c r="CA217" s="4" t="s">
        <v>124</v>
      </c>
      <c r="CB217" s="4" t="s">
        <v>124</v>
      </c>
      <c r="CC217" s="4" t="s">
        <v>124</v>
      </c>
      <c r="CD217" s="4" t="s">
        <v>124</v>
      </c>
      <c r="CE217" s="4" t="s">
        <v>124</v>
      </c>
      <c r="CF217" s="4" t="s">
        <v>124</v>
      </c>
      <c r="CG217" s="4" t="s">
        <v>124</v>
      </c>
      <c r="CH217" s="4" t="s">
        <v>124</v>
      </c>
      <c r="CI217" s="4" t="s">
        <v>124</v>
      </c>
      <c r="CJ217" s="4" t="s">
        <v>124</v>
      </c>
      <c r="CK217" s="4" t="s">
        <v>124</v>
      </c>
      <c r="CL217" s="4" t="s">
        <v>124</v>
      </c>
      <c r="CM217" s="4" t="s">
        <v>124</v>
      </c>
      <c r="CN217" s="4" t="s">
        <v>124</v>
      </c>
      <c r="CO217" s="4" t="s">
        <v>124</v>
      </c>
      <c r="CP217" s="4" t="s">
        <v>124</v>
      </c>
      <c r="CQ217" s="7">
        <v>0.72499999999999998</v>
      </c>
      <c r="CR217" s="7">
        <v>0.98765400000000003</v>
      </c>
      <c r="CS217" s="7">
        <v>48.333333000000003</v>
      </c>
      <c r="CT217" s="7">
        <v>50</v>
      </c>
      <c r="CU217" s="4" t="s">
        <v>124</v>
      </c>
      <c r="CV217" s="4" t="s">
        <v>124</v>
      </c>
      <c r="CW217" s="4" t="s">
        <v>124</v>
      </c>
      <c r="CX217" s="4" t="s">
        <v>124</v>
      </c>
      <c r="CY217" s="4" t="s">
        <v>124</v>
      </c>
      <c r="CZ217" s="4" t="s">
        <v>124</v>
      </c>
      <c r="DA217" s="7">
        <v>15.314097</v>
      </c>
      <c r="DB217" s="7">
        <v>17.400950000000002</v>
      </c>
      <c r="DC217" s="7">
        <v>16.332519999999999</v>
      </c>
      <c r="DD217" s="4" t="s">
        <v>124</v>
      </c>
      <c r="DE217" s="7">
        <v>0</v>
      </c>
      <c r="DF217" s="6"/>
      <c r="DG217" s="6"/>
      <c r="DH217" s="6"/>
      <c r="DI217" s="6"/>
      <c r="DJ217" s="7">
        <v>0</v>
      </c>
      <c r="DK217" s="7">
        <v>0</v>
      </c>
      <c r="DL217" s="7">
        <v>0</v>
      </c>
      <c r="DM217" s="7">
        <v>0</v>
      </c>
      <c r="DN217" s="7">
        <v>0</v>
      </c>
      <c r="DO217" s="7">
        <v>0</v>
      </c>
      <c r="DP217" s="6"/>
      <c r="DQ217" s="4" t="s">
        <v>125</v>
      </c>
    </row>
    <row r="218" spans="1:121" ht="20" customHeight="1" x14ac:dyDescent="0.15">
      <c r="A218" s="5">
        <v>2018</v>
      </c>
      <c r="B218" s="3" t="s">
        <v>185</v>
      </c>
      <c r="C218" s="4" t="str">
        <f t="shared" si="60"/>
        <v>0070011</v>
      </c>
      <c r="D218" s="4" t="s">
        <v>349</v>
      </c>
      <c r="E218" s="4" t="str">
        <f>"0070511"</f>
        <v>0070511</v>
      </c>
      <c r="F218" s="4" t="s">
        <v>327</v>
      </c>
      <c r="G218" s="4" t="s">
        <v>338</v>
      </c>
      <c r="H218" s="7">
        <v>5</v>
      </c>
      <c r="I218" s="6"/>
      <c r="J218" s="4" t="s">
        <v>330</v>
      </c>
      <c r="K218" s="7">
        <v>671.065786</v>
      </c>
      <c r="L218" s="7">
        <v>850</v>
      </c>
      <c r="M218" s="7">
        <v>78.948915999999997</v>
      </c>
      <c r="N218" s="7">
        <v>3</v>
      </c>
      <c r="O218" s="7">
        <v>0</v>
      </c>
      <c r="P218" s="7">
        <v>73.601778999999993</v>
      </c>
      <c r="Q218" s="7">
        <v>49.067852000000002</v>
      </c>
      <c r="R218" s="7">
        <v>50</v>
      </c>
      <c r="S218" s="7">
        <v>66.936194999999998</v>
      </c>
      <c r="T218" s="7">
        <v>75</v>
      </c>
      <c r="U218" s="7">
        <v>44.624130000000001</v>
      </c>
      <c r="V218" s="7">
        <v>50</v>
      </c>
      <c r="W218" s="7">
        <v>71.950433000000004</v>
      </c>
      <c r="X218" s="7">
        <v>47.966954999999999</v>
      </c>
      <c r="Y218" s="7">
        <v>50</v>
      </c>
      <c r="Z218" s="7">
        <v>75</v>
      </c>
      <c r="AA218" s="7">
        <v>64.392342999999997</v>
      </c>
      <c r="AB218" s="7">
        <v>42.928227999999997</v>
      </c>
      <c r="AC218" s="7">
        <v>50</v>
      </c>
      <c r="AD218" s="7">
        <v>70.818336000000002</v>
      </c>
      <c r="AE218" s="7">
        <v>47.212223999999999</v>
      </c>
      <c r="AF218" s="7">
        <v>50</v>
      </c>
      <c r="AG218" s="7">
        <v>63.068724000000003</v>
      </c>
      <c r="AH218" s="7">
        <v>74.181376</v>
      </c>
      <c r="AI218" s="7">
        <v>42.045816000000002</v>
      </c>
      <c r="AJ218" s="7">
        <v>50</v>
      </c>
      <c r="AK218" s="7">
        <v>8.06</v>
      </c>
      <c r="AL218" s="7">
        <v>10.6</v>
      </c>
      <c r="AM218" s="7">
        <v>11.11</v>
      </c>
      <c r="AN218" s="7">
        <v>0.65300100000000005</v>
      </c>
      <c r="AO218" s="7">
        <v>65.300111999999999</v>
      </c>
      <c r="AP218" s="7">
        <v>100</v>
      </c>
      <c r="AQ218" s="7">
        <v>0.570469</v>
      </c>
      <c r="AR218" s="7">
        <v>57.046872</v>
      </c>
      <c r="AS218" s="7">
        <v>100</v>
      </c>
      <c r="AT218" s="7">
        <v>0.64501600000000003</v>
      </c>
      <c r="AU218" s="7">
        <v>0.65607199999999999</v>
      </c>
      <c r="AV218" s="7">
        <v>64.501575000000003</v>
      </c>
      <c r="AW218" s="7">
        <v>100</v>
      </c>
      <c r="AX218" s="7">
        <v>0.60829500000000003</v>
      </c>
      <c r="AY218" s="7">
        <v>0.55591999999999997</v>
      </c>
      <c r="AZ218" s="7">
        <v>60.829537000000002</v>
      </c>
      <c r="BA218" s="7">
        <v>100</v>
      </c>
      <c r="BB218" s="4" t="s">
        <v>124</v>
      </c>
      <c r="BC218" s="4" t="s">
        <v>124</v>
      </c>
      <c r="BD218" s="4" t="s">
        <v>124</v>
      </c>
      <c r="BE218" s="4" t="s">
        <v>124</v>
      </c>
      <c r="BF218" s="4" t="s">
        <v>124</v>
      </c>
      <c r="BG218" s="4" t="s">
        <v>124</v>
      </c>
      <c r="BH218" s="7">
        <v>1</v>
      </c>
      <c r="BI218" s="7">
        <v>0.97992000000000001</v>
      </c>
      <c r="BJ218" s="7">
        <v>0.97402599999999995</v>
      </c>
      <c r="BK218" s="7">
        <v>0.98255800000000004</v>
      </c>
      <c r="BL218" s="7">
        <v>0.97992000000000001</v>
      </c>
      <c r="BM218" s="7">
        <v>0.97402599999999995</v>
      </c>
      <c r="BN218" s="7">
        <v>0.98255800000000004</v>
      </c>
      <c r="BO218" s="7">
        <v>0.93902399999999997</v>
      </c>
      <c r="BP218" s="7">
        <v>0.92307700000000004</v>
      </c>
      <c r="BQ218" s="7">
        <v>0.94642899999999996</v>
      </c>
      <c r="BR218" s="7">
        <v>2.6103999999999999E-2</v>
      </c>
      <c r="BS218" s="7">
        <v>50</v>
      </c>
      <c r="BT218" s="7">
        <v>50</v>
      </c>
      <c r="BU218" s="7">
        <v>5.2288000000000001E-2</v>
      </c>
      <c r="BV218" s="7">
        <v>49.542484000000002</v>
      </c>
      <c r="BW218" s="7">
        <v>50</v>
      </c>
      <c r="BX218" s="4" t="s">
        <v>124</v>
      </c>
      <c r="BY218" s="4" t="s">
        <v>124</v>
      </c>
      <c r="BZ218" s="4" t="s">
        <v>124</v>
      </c>
      <c r="CA218" s="4" t="s">
        <v>124</v>
      </c>
      <c r="CB218" s="4" t="s">
        <v>124</v>
      </c>
      <c r="CC218" s="4" t="s">
        <v>124</v>
      </c>
      <c r="CD218" s="4" t="s">
        <v>124</v>
      </c>
      <c r="CE218" s="4" t="s">
        <v>124</v>
      </c>
      <c r="CF218" s="4" t="s">
        <v>124</v>
      </c>
      <c r="CG218" s="4" t="s">
        <v>124</v>
      </c>
      <c r="CH218" s="4" t="s">
        <v>124</v>
      </c>
      <c r="CI218" s="4" t="s">
        <v>124</v>
      </c>
      <c r="CJ218" s="4" t="s">
        <v>124</v>
      </c>
      <c r="CK218" s="4" t="s">
        <v>124</v>
      </c>
      <c r="CL218" s="4" t="s">
        <v>124</v>
      </c>
      <c r="CM218" s="4" t="s">
        <v>124</v>
      </c>
      <c r="CN218" s="4" t="s">
        <v>124</v>
      </c>
      <c r="CO218" s="4" t="s">
        <v>124</v>
      </c>
      <c r="CP218" s="4" t="s">
        <v>124</v>
      </c>
      <c r="CQ218" s="7">
        <v>0.81395300000000004</v>
      </c>
      <c r="CR218" s="7">
        <v>0.97727299999999995</v>
      </c>
      <c r="CS218" s="7">
        <v>50</v>
      </c>
      <c r="CT218" s="7">
        <v>50</v>
      </c>
      <c r="CU218" s="4" t="s">
        <v>124</v>
      </c>
      <c r="CV218" s="4" t="s">
        <v>124</v>
      </c>
      <c r="CW218" s="4" t="s">
        <v>124</v>
      </c>
      <c r="CX218" s="4" t="s">
        <v>124</v>
      </c>
      <c r="CY218" s="4" t="s">
        <v>124</v>
      </c>
      <c r="CZ218" s="4" t="s">
        <v>124</v>
      </c>
      <c r="DA218" s="7">
        <v>15.314097</v>
      </c>
      <c r="DB218" s="7">
        <v>17.400950000000002</v>
      </c>
      <c r="DC218" s="7">
        <v>16.332519999999999</v>
      </c>
      <c r="DD218" s="4" t="s">
        <v>124</v>
      </c>
      <c r="DE218" s="7">
        <v>1</v>
      </c>
      <c r="DF218" s="6"/>
      <c r="DG218" s="6"/>
      <c r="DH218" s="6"/>
      <c r="DI218" s="6"/>
      <c r="DJ218" s="7">
        <v>0</v>
      </c>
      <c r="DK218" s="7">
        <v>0</v>
      </c>
      <c r="DL218" s="7">
        <v>0</v>
      </c>
      <c r="DM218" s="7">
        <v>0</v>
      </c>
      <c r="DN218" s="7">
        <v>0</v>
      </c>
      <c r="DO218" s="7">
        <v>0</v>
      </c>
      <c r="DP218" s="6"/>
      <c r="DQ218" s="4" t="s">
        <v>125</v>
      </c>
    </row>
    <row r="219" spans="1:121" ht="20" customHeight="1" x14ac:dyDescent="0.15">
      <c r="A219" s="5">
        <v>2018</v>
      </c>
      <c r="B219" s="3" t="s">
        <v>185</v>
      </c>
      <c r="C219" s="4" t="str">
        <f t="shared" si="60"/>
        <v>0070011</v>
      </c>
      <c r="D219" s="4" t="s">
        <v>350</v>
      </c>
      <c r="E219" s="4" t="str">
        <f>"0070111"</f>
        <v>0070111</v>
      </c>
      <c r="F219" s="4" t="s">
        <v>327</v>
      </c>
      <c r="G219" s="4" t="s">
        <v>338</v>
      </c>
      <c r="H219" s="7">
        <v>5</v>
      </c>
      <c r="I219" s="6"/>
      <c r="J219" s="4" t="s">
        <v>330</v>
      </c>
      <c r="K219" s="7">
        <v>663.76195800000005</v>
      </c>
      <c r="L219" s="7">
        <v>850</v>
      </c>
      <c r="M219" s="7">
        <v>78.089641999999998</v>
      </c>
      <c r="N219" s="7">
        <v>2</v>
      </c>
      <c r="O219" s="7">
        <v>0</v>
      </c>
      <c r="P219" s="7">
        <v>77.099208000000004</v>
      </c>
      <c r="Q219" s="7">
        <v>50</v>
      </c>
      <c r="R219" s="7">
        <v>50</v>
      </c>
      <c r="S219" s="7">
        <v>66.954958000000005</v>
      </c>
      <c r="T219" s="7">
        <v>75</v>
      </c>
      <c r="U219" s="7">
        <v>44.636639000000002</v>
      </c>
      <c r="V219" s="7">
        <v>50</v>
      </c>
      <c r="W219" s="7">
        <v>74.529835000000006</v>
      </c>
      <c r="X219" s="7">
        <v>49.686557000000001</v>
      </c>
      <c r="Y219" s="7">
        <v>50</v>
      </c>
      <c r="Z219" s="7">
        <v>75</v>
      </c>
      <c r="AA219" s="7">
        <v>63.837300999999997</v>
      </c>
      <c r="AB219" s="7">
        <v>42.558200999999997</v>
      </c>
      <c r="AC219" s="7">
        <v>50</v>
      </c>
      <c r="AD219" s="7">
        <v>70.147670000000005</v>
      </c>
      <c r="AE219" s="7">
        <v>46.765113999999997</v>
      </c>
      <c r="AF219" s="7">
        <v>50</v>
      </c>
      <c r="AG219" s="7">
        <v>62.112202000000003</v>
      </c>
      <c r="AH219" s="7">
        <v>75</v>
      </c>
      <c r="AI219" s="7">
        <v>41.408135000000001</v>
      </c>
      <c r="AJ219" s="7">
        <v>50</v>
      </c>
      <c r="AK219" s="7">
        <v>8.0399999999999991</v>
      </c>
      <c r="AL219" s="7">
        <v>11.16</v>
      </c>
      <c r="AM219" s="7">
        <v>12.88</v>
      </c>
      <c r="AN219" s="7">
        <v>0.58023800000000003</v>
      </c>
      <c r="AO219" s="7">
        <v>58.023775999999998</v>
      </c>
      <c r="AP219" s="7">
        <v>100</v>
      </c>
      <c r="AQ219" s="7">
        <v>0.69652199999999997</v>
      </c>
      <c r="AR219" s="7">
        <v>69.652220999999997</v>
      </c>
      <c r="AS219" s="7">
        <v>100</v>
      </c>
      <c r="AT219" s="7">
        <v>0.58777999999999997</v>
      </c>
      <c r="AU219" s="7">
        <v>0.57443599999999995</v>
      </c>
      <c r="AV219" s="7">
        <v>58.778046000000003</v>
      </c>
      <c r="AW219" s="7">
        <v>100</v>
      </c>
      <c r="AX219" s="7">
        <v>0.65476000000000001</v>
      </c>
      <c r="AY219" s="7">
        <v>0.72949200000000003</v>
      </c>
      <c r="AZ219" s="7">
        <v>65.475983999999997</v>
      </c>
      <c r="BA219" s="7">
        <v>100</v>
      </c>
      <c r="BB219" s="4" t="s">
        <v>124</v>
      </c>
      <c r="BC219" s="4" t="s">
        <v>124</v>
      </c>
      <c r="BD219" s="4" t="s">
        <v>124</v>
      </c>
      <c r="BE219" s="4" t="s">
        <v>124</v>
      </c>
      <c r="BF219" s="4" t="s">
        <v>124</v>
      </c>
      <c r="BG219" s="4" t="s">
        <v>124</v>
      </c>
      <c r="BH219" s="7">
        <v>0</v>
      </c>
      <c r="BI219" s="7">
        <v>0.99152499999999999</v>
      </c>
      <c r="BJ219" s="7">
        <v>0.97959200000000002</v>
      </c>
      <c r="BK219" s="7">
        <v>1</v>
      </c>
      <c r="BL219" s="7">
        <v>0.99137900000000001</v>
      </c>
      <c r="BM219" s="7">
        <v>0.97959200000000002</v>
      </c>
      <c r="BN219" s="7">
        <v>1</v>
      </c>
      <c r="BO219" s="7">
        <v>1</v>
      </c>
      <c r="BP219" s="7">
        <v>1</v>
      </c>
      <c r="BQ219" s="7">
        <v>1</v>
      </c>
      <c r="BR219" s="7">
        <v>6.1947000000000002E-2</v>
      </c>
      <c r="BS219" s="7">
        <v>47.610619</v>
      </c>
      <c r="BT219" s="7">
        <v>50</v>
      </c>
      <c r="BU219" s="7">
        <v>0.104167</v>
      </c>
      <c r="BV219" s="7">
        <v>39.166666999999997</v>
      </c>
      <c r="BW219" s="7">
        <v>50</v>
      </c>
      <c r="BX219" s="4" t="s">
        <v>124</v>
      </c>
      <c r="BY219" s="4" t="s">
        <v>124</v>
      </c>
      <c r="BZ219" s="4" t="s">
        <v>124</v>
      </c>
      <c r="CA219" s="4" t="s">
        <v>124</v>
      </c>
      <c r="CB219" s="4" t="s">
        <v>124</v>
      </c>
      <c r="CC219" s="4" t="s">
        <v>124</v>
      </c>
      <c r="CD219" s="4" t="s">
        <v>124</v>
      </c>
      <c r="CE219" s="4" t="s">
        <v>124</v>
      </c>
      <c r="CF219" s="4" t="s">
        <v>124</v>
      </c>
      <c r="CG219" s="4" t="s">
        <v>124</v>
      </c>
      <c r="CH219" s="4" t="s">
        <v>124</v>
      </c>
      <c r="CI219" s="4" t="s">
        <v>124</v>
      </c>
      <c r="CJ219" s="4" t="s">
        <v>124</v>
      </c>
      <c r="CK219" s="4" t="s">
        <v>124</v>
      </c>
      <c r="CL219" s="4" t="s">
        <v>124</v>
      </c>
      <c r="CM219" s="4" t="s">
        <v>124</v>
      </c>
      <c r="CN219" s="4" t="s">
        <v>124</v>
      </c>
      <c r="CO219" s="4" t="s">
        <v>124</v>
      </c>
      <c r="CP219" s="4" t="s">
        <v>124</v>
      </c>
      <c r="CQ219" s="7">
        <v>0.79166700000000001</v>
      </c>
      <c r="CR219" s="7">
        <v>0.92307700000000004</v>
      </c>
      <c r="CS219" s="7">
        <v>50</v>
      </c>
      <c r="CT219" s="7">
        <v>50</v>
      </c>
      <c r="CU219" s="4" t="s">
        <v>124</v>
      </c>
      <c r="CV219" s="4" t="s">
        <v>124</v>
      </c>
      <c r="CW219" s="4" t="s">
        <v>124</v>
      </c>
      <c r="CX219" s="4" t="s">
        <v>124</v>
      </c>
      <c r="CY219" s="4" t="s">
        <v>124</v>
      </c>
      <c r="CZ219" s="4" t="s">
        <v>124</v>
      </c>
      <c r="DA219" s="7">
        <v>15.314097</v>
      </c>
      <c r="DB219" s="7">
        <v>17.400950000000002</v>
      </c>
      <c r="DC219" s="7">
        <v>16.332519999999999</v>
      </c>
      <c r="DD219" s="4" t="s">
        <v>124</v>
      </c>
      <c r="DE219" s="7">
        <v>0</v>
      </c>
      <c r="DF219" s="6"/>
      <c r="DG219" s="6"/>
      <c r="DH219" s="6"/>
      <c r="DI219" s="6"/>
      <c r="DJ219" s="7">
        <v>0</v>
      </c>
      <c r="DK219" s="7">
        <v>0</v>
      </c>
      <c r="DL219" s="7">
        <v>0</v>
      </c>
      <c r="DM219" s="7">
        <v>0</v>
      </c>
      <c r="DN219" s="7">
        <v>0</v>
      </c>
      <c r="DO219" s="7">
        <v>0</v>
      </c>
      <c r="DP219" s="6"/>
      <c r="DQ219" s="4" t="s">
        <v>125</v>
      </c>
    </row>
    <row r="220" spans="1:121" ht="20" customHeight="1" x14ac:dyDescent="0.15">
      <c r="A220" s="5">
        <v>2018</v>
      </c>
      <c r="B220" s="3" t="s">
        <v>197</v>
      </c>
      <c r="C220" s="4" t="str">
        <f t="shared" si="72"/>
        <v>0080011</v>
      </c>
      <c r="D220" s="4" t="s">
        <v>351</v>
      </c>
      <c r="E220" s="4" t="str">
        <f>"0080111"</f>
        <v>0080111</v>
      </c>
      <c r="F220" s="4" t="s">
        <v>327</v>
      </c>
      <c r="G220" s="4" t="s">
        <v>328</v>
      </c>
      <c r="H220" s="7">
        <v>6</v>
      </c>
      <c r="I220" s="4" t="s">
        <v>329</v>
      </c>
      <c r="J220" s="4" t="s">
        <v>330</v>
      </c>
      <c r="K220" s="7">
        <v>650.39511900000002</v>
      </c>
      <c r="L220" s="7">
        <v>800</v>
      </c>
      <c r="M220" s="7">
        <v>81.299390000000002</v>
      </c>
      <c r="N220" s="7">
        <v>2</v>
      </c>
      <c r="O220" s="7">
        <v>0</v>
      </c>
      <c r="P220" s="7">
        <v>76.494558999999995</v>
      </c>
      <c r="Q220" s="7">
        <v>50</v>
      </c>
      <c r="R220" s="7">
        <v>50</v>
      </c>
      <c r="S220" s="7">
        <v>62.517381999999998</v>
      </c>
      <c r="T220" s="7">
        <v>75</v>
      </c>
      <c r="U220" s="7">
        <v>41.678255</v>
      </c>
      <c r="V220" s="7">
        <v>50</v>
      </c>
      <c r="W220" s="7">
        <v>72.013277000000002</v>
      </c>
      <c r="X220" s="7">
        <v>48.008851</v>
      </c>
      <c r="Y220" s="7">
        <v>50</v>
      </c>
      <c r="Z220" s="7">
        <v>75</v>
      </c>
      <c r="AA220" s="7">
        <v>60.699537999999997</v>
      </c>
      <c r="AB220" s="7">
        <v>40.466358999999997</v>
      </c>
      <c r="AC220" s="7">
        <v>50</v>
      </c>
      <c r="AD220" s="7">
        <v>73.538200000000003</v>
      </c>
      <c r="AE220" s="7">
        <v>49.025466999999999</v>
      </c>
      <c r="AF220" s="7">
        <v>50</v>
      </c>
      <c r="AG220" s="4" t="s">
        <v>124</v>
      </c>
      <c r="AH220" s="7">
        <v>75</v>
      </c>
      <c r="AI220" s="4" t="s">
        <v>124</v>
      </c>
      <c r="AJ220" s="4" t="s">
        <v>124</v>
      </c>
      <c r="AK220" s="7">
        <v>12.48</v>
      </c>
      <c r="AL220" s="7">
        <v>14.3</v>
      </c>
      <c r="AM220" s="4" t="s">
        <v>124</v>
      </c>
      <c r="AN220" s="7">
        <v>0.73232600000000003</v>
      </c>
      <c r="AO220" s="7">
        <v>73.232607999999999</v>
      </c>
      <c r="AP220" s="7">
        <v>100</v>
      </c>
      <c r="AQ220" s="7">
        <v>0.78785700000000003</v>
      </c>
      <c r="AR220" s="7">
        <v>78.785675999999995</v>
      </c>
      <c r="AS220" s="7">
        <v>100</v>
      </c>
      <c r="AT220" s="7">
        <v>0.60761200000000004</v>
      </c>
      <c r="AU220" s="7">
        <v>0.78409399999999996</v>
      </c>
      <c r="AV220" s="7">
        <v>60.761184</v>
      </c>
      <c r="AW220" s="7">
        <v>100</v>
      </c>
      <c r="AX220" s="7">
        <v>0.73521300000000001</v>
      </c>
      <c r="AY220" s="7">
        <v>0.80970900000000001</v>
      </c>
      <c r="AZ220" s="7">
        <v>73.521333999999996</v>
      </c>
      <c r="BA220" s="7">
        <v>100</v>
      </c>
      <c r="BB220" s="4" t="s">
        <v>124</v>
      </c>
      <c r="BC220" s="4" t="s">
        <v>124</v>
      </c>
      <c r="BD220" s="4" t="s">
        <v>124</v>
      </c>
      <c r="BE220" s="4" t="s">
        <v>124</v>
      </c>
      <c r="BF220" s="4" t="s">
        <v>124</v>
      </c>
      <c r="BG220" s="4" t="s">
        <v>124</v>
      </c>
      <c r="BH220" s="7">
        <v>0</v>
      </c>
      <c r="BI220" s="7">
        <v>0.98578200000000005</v>
      </c>
      <c r="BJ220" s="7">
        <v>1</v>
      </c>
      <c r="BK220" s="7">
        <v>0.98</v>
      </c>
      <c r="BL220" s="7">
        <v>0.98578200000000005</v>
      </c>
      <c r="BM220" s="7">
        <v>1</v>
      </c>
      <c r="BN220" s="7">
        <v>0.98</v>
      </c>
      <c r="BO220" s="7">
        <v>0.95161300000000004</v>
      </c>
      <c r="BP220" s="4" t="s">
        <v>124</v>
      </c>
      <c r="BQ220" s="7">
        <v>0.93478300000000003</v>
      </c>
      <c r="BR220" s="7">
        <v>5.3976999999999997E-2</v>
      </c>
      <c r="BS220" s="7">
        <v>49.204545000000003</v>
      </c>
      <c r="BT220" s="7">
        <v>50</v>
      </c>
      <c r="BU220" s="7">
        <v>0.105769</v>
      </c>
      <c r="BV220" s="7">
        <v>38.846153999999999</v>
      </c>
      <c r="BW220" s="7">
        <v>50</v>
      </c>
      <c r="BX220" s="4" t="s">
        <v>124</v>
      </c>
      <c r="BY220" s="4" t="s">
        <v>124</v>
      </c>
      <c r="BZ220" s="4" t="s">
        <v>124</v>
      </c>
      <c r="CA220" s="4" t="s">
        <v>124</v>
      </c>
      <c r="CB220" s="4" t="s">
        <v>124</v>
      </c>
      <c r="CC220" s="4" t="s">
        <v>124</v>
      </c>
      <c r="CD220" s="4" t="s">
        <v>124</v>
      </c>
      <c r="CE220" s="4" t="s">
        <v>124</v>
      </c>
      <c r="CF220" s="4" t="s">
        <v>124</v>
      </c>
      <c r="CG220" s="4" t="s">
        <v>124</v>
      </c>
      <c r="CH220" s="4" t="s">
        <v>124</v>
      </c>
      <c r="CI220" s="4" t="s">
        <v>124</v>
      </c>
      <c r="CJ220" s="4" t="s">
        <v>124</v>
      </c>
      <c r="CK220" s="4" t="s">
        <v>124</v>
      </c>
      <c r="CL220" s="4" t="s">
        <v>124</v>
      </c>
      <c r="CM220" s="4" t="s">
        <v>124</v>
      </c>
      <c r="CN220" s="4" t="s">
        <v>124</v>
      </c>
      <c r="CO220" s="4" t="s">
        <v>124</v>
      </c>
      <c r="CP220" s="4" t="s">
        <v>124</v>
      </c>
      <c r="CQ220" s="7">
        <v>0.70296999999999998</v>
      </c>
      <c r="CR220" s="7">
        <v>1</v>
      </c>
      <c r="CS220" s="7">
        <v>46.864685999999999</v>
      </c>
      <c r="CT220" s="7">
        <v>50</v>
      </c>
      <c r="CU220" s="4" t="s">
        <v>124</v>
      </c>
      <c r="CV220" s="4" t="s">
        <v>124</v>
      </c>
      <c r="CW220" s="4" t="s">
        <v>124</v>
      </c>
      <c r="CX220" s="4" t="s">
        <v>124</v>
      </c>
      <c r="CY220" s="4" t="s">
        <v>124</v>
      </c>
      <c r="CZ220" s="4" t="s">
        <v>124</v>
      </c>
      <c r="DA220" s="7">
        <v>15.314097</v>
      </c>
      <c r="DB220" s="7">
        <v>17.400950000000002</v>
      </c>
      <c r="DC220" s="7">
        <v>16.332519999999999</v>
      </c>
      <c r="DD220" s="4" t="s">
        <v>124</v>
      </c>
      <c r="DE220" s="7">
        <v>0</v>
      </c>
      <c r="DF220" s="6"/>
      <c r="DG220" s="6"/>
      <c r="DH220" s="6"/>
      <c r="DI220" s="6"/>
      <c r="DJ220" s="7">
        <v>0</v>
      </c>
      <c r="DK220" s="7">
        <v>0</v>
      </c>
      <c r="DL220" s="7">
        <v>0</v>
      </c>
      <c r="DM220" s="7">
        <v>0</v>
      </c>
      <c r="DN220" s="7">
        <v>0</v>
      </c>
      <c r="DO220" s="7">
        <v>0</v>
      </c>
      <c r="DP220" s="6"/>
      <c r="DQ220" s="4" t="s">
        <v>125</v>
      </c>
    </row>
    <row r="221" spans="1:121" ht="20" customHeight="1" x14ac:dyDescent="0.15">
      <c r="A221" s="5">
        <v>2018</v>
      </c>
      <c r="B221" s="3" t="s">
        <v>167</v>
      </c>
      <c r="C221" s="4" t="str">
        <f t="shared" si="42"/>
        <v>0090011</v>
      </c>
      <c r="D221" s="4" t="s">
        <v>352</v>
      </c>
      <c r="E221" s="4" t="str">
        <f>"0090411"</f>
        <v>0090411</v>
      </c>
      <c r="F221" s="4" t="s">
        <v>327</v>
      </c>
      <c r="G221" s="4" t="s">
        <v>338</v>
      </c>
      <c r="H221" s="7">
        <v>3</v>
      </c>
      <c r="I221" s="4" t="s">
        <v>329</v>
      </c>
      <c r="J221" s="4" t="s">
        <v>330</v>
      </c>
      <c r="K221" s="7">
        <v>528.27809100000002</v>
      </c>
      <c r="L221" s="7">
        <v>600</v>
      </c>
      <c r="M221" s="7">
        <v>88.046349000000006</v>
      </c>
      <c r="N221" s="7">
        <v>1</v>
      </c>
      <c r="O221" s="7">
        <v>0</v>
      </c>
      <c r="P221" s="7">
        <v>73.541082000000003</v>
      </c>
      <c r="Q221" s="7">
        <v>98.054776000000004</v>
      </c>
      <c r="R221" s="7">
        <v>100</v>
      </c>
      <c r="S221" s="7">
        <v>65.558175000000006</v>
      </c>
      <c r="T221" s="7">
        <v>75</v>
      </c>
      <c r="U221" s="7">
        <v>87.410899999999998</v>
      </c>
      <c r="V221" s="7">
        <v>100</v>
      </c>
      <c r="W221" s="7">
        <v>66.897114999999999</v>
      </c>
      <c r="X221" s="7">
        <v>89.196152999999995</v>
      </c>
      <c r="Y221" s="7">
        <v>100</v>
      </c>
      <c r="Z221" s="7">
        <v>72.489635000000007</v>
      </c>
      <c r="AA221" s="7">
        <v>58.570473</v>
      </c>
      <c r="AB221" s="7">
        <v>78.093964</v>
      </c>
      <c r="AC221" s="7">
        <v>100</v>
      </c>
      <c r="AD221" s="4" t="s">
        <v>124</v>
      </c>
      <c r="AE221" s="4" t="s">
        <v>124</v>
      </c>
      <c r="AF221" s="4" t="s">
        <v>124</v>
      </c>
      <c r="AG221" s="4" t="s">
        <v>124</v>
      </c>
      <c r="AH221" s="4" t="s">
        <v>124</v>
      </c>
      <c r="AI221" s="4" t="s">
        <v>124</v>
      </c>
      <c r="AJ221" s="4" t="s">
        <v>124</v>
      </c>
      <c r="AK221" s="7">
        <v>9.44</v>
      </c>
      <c r="AL221" s="7">
        <v>13.91</v>
      </c>
      <c r="AM221" s="4" t="s">
        <v>124</v>
      </c>
      <c r="AN221" s="4" t="s">
        <v>124</v>
      </c>
      <c r="AO221" s="4" t="s">
        <v>124</v>
      </c>
      <c r="AP221" s="4" t="s">
        <v>124</v>
      </c>
      <c r="AQ221" s="4" t="s">
        <v>124</v>
      </c>
      <c r="AR221" s="4" t="s">
        <v>124</v>
      </c>
      <c r="AS221" s="4" t="s">
        <v>124</v>
      </c>
      <c r="AT221" s="4" t="s">
        <v>124</v>
      </c>
      <c r="AU221" s="4" t="s">
        <v>124</v>
      </c>
      <c r="AV221" s="4" t="s">
        <v>124</v>
      </c>
      <c r="AW221" s="4" t="s">
        <v>124</v>
      </c>
      <c r="AX221" s="4" t="s">
        <v>124</v>
      </c>
      <c r="AY221" s="4" t="s">
        <v>124</v>
      </c>
      <c r="AZ221" s="4" t="s">
        <v>124</v>
      </c>
      <c r="BA221" s="4" t="s">
        <v>124</v>
      </c>
      <c r="BB221" s="7">
        <v>0.73539600000000005</v>
      </c>
      <c r="BC221" s="7">
        <v>36.769795999999999</v>
      </c>
      <c r="BD221" s="7">
        <v>50</v>
      </c>
      <c r="BE221" s="7">
        <v>0.77505000000000002</v>
      </c>
      <c r="BF221" s="7">
        <v>38.752501000000002</v>
      </c>
      <c r="BG221" s="7">
        <v>50</v>
      </c>
      <c r="BH221" s="7">
        <v>0</v>
      </c>
      <c r="BI221" s="7">
        <v>1</v>
      </c>
      <c r="BJ221" s="7">
        <v>1</v>
      </c>
      <c r="BK221" s="7">
        <v>1</v>
      </c>
      <c r="BL221" s="7">
        <v>1</v>
      </c>
      <c r="BM221" s="7">
        <v>1</v>
      </c>
      <c r="BN221" s="7">
        <v>1</v>
      </c>
      <c r="BO221" s="4" t="s">
        <v>124</v>
      </c>
      <c r="BP221" s="4" t="s">
        <v>124</v>
      </c>
      <c r="BQ221" s="4" t="s">
        <v>124</v>
      </c>
      <c r="BR221" s="7">
        <v>1.1847999999999999E-2</v>
      </c>
      <c r="BS221" s="7">
        <v>50</v>
      </c>
      <c r="BT221" s="7">
        <v>50</v>
      </c>
      <c r="BU221" s="7">
        <v>1.2739E-2</v>
      </c>
      <c r="BV221" s="7">
        <v>50</v>
      </c>
      <c r="BW221" s="7">
        <v>50</v>
      </c>
      <c r="BX221" s="4" t="s">
        <v>124</v>
      </c>
      <c r="BY221" s="4" t="s">
        <v>124</v>
      </c>
      <c r="BZ221" s="4" t="s">
        <v>124</v>
      </c>
      <c r="CA221" s="4" t="s">
        <v>124</v>
      </c>
      <c r="CB221" s="4" t="s">
        <v>124</v>
      </c>
      <c r="CC221" s="4" t="s">
        <v>124</v>
      </c>
      <c r="CD221" s="4" t="s">
        <v>124</v>
      </c>
      <c r="CE221" s="4" t="s">
        <v>124</v>
      </c>
      <c r="CF221" s="4" t="s">
        <v>124</v>
      </c>
      <c r="CG221" s="4" t="s">
        <v>124</v>
      </c>
      <c r="CH221" s="4" t="s">
        <v>124</v>
      </c>
      <c r="CI221" s="4" t="s">
        <v>124</v>
      </c>
      <c r="CJ221" s="4" t="s">
        <v>124</v>
      </c>
      <c r="CK221" s="4" t="s">
        <v>124</v>
      </c>
      <c r="CL221" s="4" t="s">
        <v>124</v>
      </c>
      <c r="CM221" s="4" t="s">
        <v>124</v>
      </c>
      <c r="CN221" s="4" t="s">
        <v>124</v>
      </c>
      <c r="CO221" s="4" t="s">
        <v>124</v>
      </c>
      <c r="CP221" s="4" t="s">
        <v>124</v>
      </c>
      <c r="CQ221" s="4" t="s">
        <v>124</v>
      </c>
      <c r="CR221" s="4" t="s">
        <v>124</v>
      </c>
      <c r="CS221" s="4" t="s">
        <v>124</v>
      </c>
      <c r="CT221" s="4" t="s">
        <v>124</v>
      </c>
      <c r="CU221" s="4" t="s">
        <v>124</v>
      </c>
      <c r="CV221" s="4" t="s">
        <v>124</v>
      </c>
      <c r="CW221" s="4" t="s">
        <v>124</v>
      </c>
      <c r="CX221" s="4" t="s">
        <v>124</v>
      </c>
      <c r="CY221" s="4" t="s">
        <v>124</v>
      </c>
      <c r="CZ221" s="4" t="s">
        <v>124</v>
      </c>
      <c r="DA221" s="7">
        <v>15.314097</v>
      </c>
      <c r="DB221" s="7">
        <v>17.400950000000002</v>
      </c>
      <c r="DC221" s="7">
        <v>16.332519999999999</v>
      </c>
      <c r="DD221" s="4" t="s">
        <v>124</v>
      </c>
      <c r="DE221" s="7">
        <v>0</v>
      </c>
      <c r="DF221" s="6"/>
      <c r="DG221" s="6"/>
      <c r="DH221" s="4" t="s">
        <v>331</v>
      </c>
      <c r="DI221" s="4" t="s">
        <v>332</v>
      </c>
      <c r="DJ221" s="7">
        <v>1</v>
      </c>
      <c r="DK221" s="7">
        <v>0</v>
      </c>
      <c r="DL221" s="7">
        <v>0</v>
      </c>
      <c r="DM221" s="7">
        <v>0</v>
      </c>
      <c r="DN221" s="7">
        <v>0</v>
      </c>
      <c r="DO221" s="7">
        <v>0</v>
      </c>
      <c r="DP221" s="6"/>
      <c r="DQ221" s="4" t="s">
        <v>125</v>
      </c>
    </row>
    <row r="222" spans="1:121" ht="20" customHeight="1" x14ac:dyDescent="0.15">
      <c r="A222" s="5">
        <v>2018</v>
      </c>
      <c r="B222" s="3" t="s">
        <v>167</v>
      </c>
      <c r="C222" s="4" t="str">
        <f t="shared" si="42"/>
        <v>0090011</v>
      </c>
      <c r="D222" s="4" t="s">
        <v>353</v>
      </c>
      <c r="E222" s="4" t="str">
        <f>"0096111"</f>
        <v>0096111</v>
      </c>
      <c r="F222" s="4" t="s">
        <v>327</v>
      </c>
      <c r="G222" s="7">
        <v>9</v>
      </c>
      <c r="H222" s="7">
        <v>12</v>
      </c>
      <c r="I222" s="4" t="s">
        <v>329</v>
      </c>
      <c r="J222" s="4" t="s">
        <v>330</v>
      </c>
      <c r="K222" s="7">
        <v>1270.7035940000001</v>
      </c>
      <c r="L222" s="7">
        <v>1550</v>
      </c>
      <c r="M222" s="7">
        <v>81.980877000000007</v>
      </c>
      <c r="N222" s="7">
        <v>2</v>
      </c>
      <c r="O222" s="7">
        <v>0</v>
      </c>
      <c r="P222" s="7">
        <v>61.192779999999999</v>
      </c>
      <c r="Q222" s="7">
        <v>122.385561</v>
      </c>
      <c r="R222" s="7">
        <v>150</v>
      </c>
      <c r="S222" s="7">
        <v>52.404761999999998</v>
      </c>
      <c r="T222" s="7">
        <v>66.02619</v>
      </c>
      <c r="U222" s="7">
        <v>104.809524</v>
      </c>
      <c r="V222" s="7">
        <v>150</v>
      </c>
      <c r="W222" s="7">
        <v>60.114182999999997</v>
      </c>
      <c r="X222" s="7">
        <v>120.22836700000001</v>
      </c>
      <c r="Y222" s="7">
        <v>150</v>
      </c>
      <c r="Z222" s="7">
        <v>64.140476000000007</v>
      </c>
      <c r="AA222" s="7">
        <v>52.793650999999997</v>
      </c>
      <c r="AB222" s="7">
        <v>105.58730199999999</v>
      </c>
      <c r="AC222" s="7">
        <v>150</v>
      </c>
      <c r="AD222" s="7">
        <v>68.823088999999996</v>
      </c>
      <c r="AE222" s="7">
        <v>91.764117999999996</v>
      </c>
      <c r="AF222" s="7">
        <v>100</v>
      </c>
      <c r="AG222" s="7">
        <v>60.523206999999999</v>
      </c>
      <c r="AH222" s="7">
        <v>73.506592999999995</v>
      </c>
      <c r="AI222" s="7">
        <v>80.697609</v>
      </c>
      <c r="AJ222" s="7">
        <v>100</v>
      </c>
      <c r="AK222" s="7">
        <v>13.62</v>
      </c>
      <c r="AL222" s="7">
        <v>11.34</v>
      </c>
      <c r="AM222" s="7">
        <v>12.98</v>
      </c>
      <c r="AN222" s="4" t="s">
        <v>124</v>
      </c>
      <c r="AO222" s="4" t="s">
        <v>124</v>
      </c>
      <c r="AP222" s="4" t="s">
        <v>124</v>
      </c>
      <c r="AQ222" s="4" t="s">
        <v>124</v>
      </c>
      <c r="AR222" s="4" t="s">
        <v>124</v>
      </c>
      <c r="AS222" s="4" t="s">
        <v>124</v>
      </c>
      <c r="AT222" s="4" t="s">
        <v>124</v>
      </c>
      <c r="AU222" s="4" t="s">
        <v>124</v>
      </c>
      <c r="AV222" s="4" t="s">
        <v>124</v>
      </c>
      <c r="AW222" s="4" t="s">
        <v>124</v>
      </c>
      <c r="AX222" s="4" t="s">
        <v>124</v>
      </c>
      <c r="AY222" s="4" t="s">
        <v>124</v>
      </c>
      <c r="AZ222" s="4" t="s">
        <v>124</v>
      </c>
      <c r="BA222" s="4" t="s">
        <v>124</v>
      </c>
      <c r="BB222" s="7">
        <v>0.50049299999999997</v>
      </c>
      <c r="BC222" s="7">
        <v>25.02467</v>
      </c>
      <c r="BD222" s="7">
        <v>50</v>
      </c>
      <c r="BE222" s="7">
        <v>0.65329800000000005</v>
      </c>
      <c r="BF222" s="7">
        <v>32.664887999999998</v>
      </c>
      <c r="BG222" s="7">
        <v>50</v>
      </c>
      <c r="BH222" s="7">
        <v>0</v>
      </c>
      <c r="BI222" s="7">
        <v>0.99118899999999999</v>
      </c>
      <c r="BJ222" s="7">
        <v>0.97619</v>
      </c>
      <c r="BK222" s="7">
        <v>1</v>
      </c>
      <c r="BL222" s="7">
        <v>0.99118899999999999</v>
      </c>
      <c r="BM222" s="7">
        <v>0.97619</v>
      </c>
      <c r="BN222" s="7">
        <v>1</v>
      </c>
      <c r="BO222" s="7">
        <v>0.99557499999999999</v>
      </c>
      <c r="BP222" s="7">
        <v>0.98809499999999995</v>
      </c>
      <c r="BQ222" s="7">
        <v>1</v>
      </c>
      <c r="BR222" s="7">
        <v>5.9020000000000003E-2</v>
      </c>
      <c r="BS222" s="7">
        <v>48.195990999999999</v>
      </c>
      <c r="BT222" s="7">
        <v>50</v>
      </c>
      <c r="BU222" s="7">
        <v>9.1743000000000005E-2</v>
      </c>
      <c r="BV222" s="7">
        <v>41.651375999999999</v>
      </c>
      <c r="BW222" s="7">
        <v>50</v>
      </c>
      <c r="BX222" s="7">
        <v>0.84361200000000003</v>
      </c>
      <c r="BY222" s="7">
        <v>50</v>
      </c>
      <c r="BZ222" s="7">
        <v>50</v>
      </c>
      <c r="CA222" s="7">
        <v>0.53964800000000002</v>
      </c>
      <c r="CB222" s="7">
        <v>35.976505000000003</v>
      </c>
      <c r="CC222" s="7">
        <v>50</v>
      </c>
      <c r="CD222" s="7">
        <v>0.950739</v>
      </c>
      <c r="CE222" s="7">
        <v>50</v>
      </c>
      <c r="CF222" s="7">
        <v>50</v>
      </c>
      <c r="CG222" s="7">
        <v>0.95336799999999999</v>
      </c>
      <c r="CH222" s="7">
        <v>100</v>
      </c>
      <c r="CI222" s="7">
        <v>100</v>
      </c>
      <c r="CJ222" s="7">
        <v>0</v>
      </c>
      <c r="CK222" s="7">
        <v>0.973333</v>
      </c>
      <c r="CL222" s="7">
        <v>100</v>
      </c>
      <c r="CM222" s="7">
        <v>100</v>
      </c>
      <c r="CN222" s="7">
        <v>0.78142100000000003</v>
      </c>
      <c r="CO222" s="7">
        <v>100</v>
      </c>
      <c r="CP222" s="7">
        <v>100</v>
      </c>
      <c r="CQ222" s="7">
        <v>0.46511599999999997</v>
      </c>
      <c r="CR222" s="7">
        <v>0.89211600000000002</v>
      </c>
      <c r="CS222" s="7">
        <v>15.503876</v>
      </c>
      <c r="CT222" s="7">
        <v>50</v>
      </c>
      <c r="CU222" s="7">
        <v>0.554566</v>
      </c>
      <c r="CV222" s="7">
        <v>46.213808</v>
      </c>
      <c r="CW222" s="7">
        <v>50</v>
      </c>
      <c r="CX222" s="7">
        <v>0.973333</v>
      </c>
      <c r="CY222" s="7">
        <v>0.94</v>
      </c>
      <c r="CZ222" s="7">
        <v>-3.3333000000000002E-2</v>
      </c>
      <c r="DA222" s="7">
        <v>15.314097</v>
      </c>
      <c r="DB222" s="7">
        <v>17.400950000000002</v>
      </c>
      <c r="DC222" s="7">
        <v>16.332519999999999</v>
      </c>
      <c r="DD222" s="7">
        <v>7.9891730000000001</v>
      </c>
      <c r="DE222" s="7">
        <v>0</v>
      </c>
      <c r="DF222" s="6"/>
      <c r="DG222" s="6"/>
      <c r="DH222" s="6"/>
      <c r="DI222" s="6"/>
      <c r="DJ222" s="7">
        <v>0</v>
      </c>
      <c r="DK222" s="7">
        <v>0</v>
      </c>
      <c r="DL222" s="7">
        <v>0</v>
      </c>
      <c r="DM222" s="7">
        <v>0</v>
      </c>
      <c r="DN222" s="7">
        <v>0</v>
      </c>
      <c r="DO222" s="7">
        <v>0</v>
      </c>
      <c r="DP222" s="6"/>
      <c r="DQ222" s="4" t="s">
        <v>125</v>
      </c>
    </row>
    <row r="223" spans="1:121" ht="20" customHeight="1" x14ac:dyDescent="0.15">
      <c r="A223" s="5">
        <v>2018</v>
      </c>
      <c r="B223" s="3" t="s">
        <v>167</v>
      </c>
      <c r="C223" s="4" t="str">
        <f t="shared" si="42"/>
        <v>0090011</v>
      </c>
      <c r="D223" s="4" t="s">
        <v>354</v>
      </c>
      <c r="E223" s="4" t="str">
        <f>"0095111"</f>
        <v>0095111</v>
      </c>
      <c r="F223" s="4" t="s">
        <v>327</v>
      </c>
      <c r="G223" s="7">
        <v>6</v>
      </c>
      <c r="H223" s="7">
        <v>8</v>
      </c>
      <c r="I223" s="4" t="s">
        <v>329</v>
      </c>
      <c r="J223" s="4" t="s">
        <v>330</v>
      </c>
      <c r="K223" s="7">
        <v>701.94517099999996</v>
      </c>
      <c r="L223" s="7">
        <v>900</v>
      </c>
      <c r="M223" s="7">
        <v>77.993908000000005</v>
      </c>
      <c r="N223" s="7">
        <v>3</v>
      </c>
      <c r="O223" s="7">
        <v>1</v>
      </c>
      <c r="P223" s="7">
        <v>75.346706999999995</v>
      </c>
      <c r="Q223" s="7">
        <v>50</v>
      </c>
      <c r="R223" s="7">
        <v>50</v>
      </c>
      <c r="S223" s="7">
        <v>64.522317999999999</v>
      </c>
      <c r="T223" s="7">
        <v>75</v>
      </c>
      <c r="U223" s="7">
        <v>43.014878000000003</v>
      </c>
      <c r="V223" s="7">
        <v>50</v>
      </c>
      <c r="W223" s="7">
        <v>70.054535999999999</v>
      </c>
      <c r="X223" s="7">
        <v>46.703023999999999</v>
      </c>
      <c r="Y223" s="7">
        <v>50</v>
      </c>
      <c r="Z223" s="7">
        <v>75</v>
      </c>
      <c r="AA223" s="7">
        <v>60.099510000000002</v>
      </c>
      <c r="AB223" s="7">
        <v>40.066339999999997</v>
      </c>
      <c r="AC223" s="7">
        <v>50</v>
      </c>
      <c r="AD223" s="7">
        <v>69.880392000000001</v>
      </c>
      <c r="AE223" s="7">
        <v>46.586928</v>
      </c>
      <c r="AF223" s="7">
        <v>50</v>
      </c>
      <c r="AG223" s="7">
        <v>58.003162000000003</v>
      </c>
      <c r="AH223" s="7">
        <v>75</v>
      </c>
      <c r="AI223" s="7">
        <v>38.668774999999997</v>
      </c>
      <c r="AJ223" s="7">
        <v>50</v>
      </c>
      <c r="AK223" s="7">
        <v>10.47</v>
      </c>
      <c r="AL223" s="7">
        <v>14.9</v>
      </c>
      <c r="AM223" s="7">
        <v>16.989999999999998</v>
      </c>
      <c r="AN223" s="7">
        <v>0.63984200000000002</v>
      </c>
      <c r="AO223" s="7">
        <v>63.984220999999998</v>
      </c>
      <c r="AP223" s="7">
        <v>100</v>
      </c>
      <c r="AQ223" s="7">
        <v>0.65238200000000002</v>
      </c>
      <c r="AR223" s="7">
        <v>65.238198999999994</v>
      </c>
      <c r="AS223" s="7">
        <v>100</v>
      </c>
      <c r="AT223" s="7">
        <v>0.595059</v>
      </c>
      <c r="AU223" s="7">
        <v>0.66566700000000001</v>
      </c>
      <c r="AV223" s="7">
        <v>59.505871999999997</v>
      </c>
      <c r="AW223" s="7">
        <v>100</v>
      </c>
      <c r="AX223" s="7">
        <v>0.57106999999999997</v>
      </c>
      <c r="AY223" s="7">
        <v>0.69900600000000002</v>
      </c>
      <c r="AZ223" s="7">
        <v>57.107011</v>
      </c>
      <c r="BA223" s="7">
        <v>100</v>
      </c>
      <c r="BB223" s="4" t="s">
        <v>124</v>
      </c>
      <c r="BC223" s="4" t="s">
        <v>124</v>
      </c>
      <c r="BD223" s="4" t="s">
        <v>124</v>
      </c>
      <c r="BE223" s="4" t="s">
        <v>124</v>
      </c>
      <c r="BF223" s="4" t="s">
        <v>124</v>
      </c>
      <c r="BG223" s="4" t="s">
        <v>124</v>
      </c>
      <c r="BH223" s="7">
        <v>0</v>
      </c>
      <c r="BI223" s="7">
        <v>0.98936199999999996</v>
      </c>
      <c r="BJ223" s="7">
        <v>0.98349799999999998</v>
      </c>
      <c r="BK223" s="7">
        <v>0.99331800000000003</v>
      </c>
      <c r="BL223" s="7">
        <v>0.98535300000000003</v>
      </c>
      <c r="BM223" s="7">
        <v>0.97682100000000005</v>
      </c>
      <c r="BN223" s="7">
        <v>0.99109100000000006</v>
      </c>
      <c r="BO223" s="7">
        <v>0.995726</v>
      </c>
      <c r="BP223" s="7">
        <v>0.99</v>
      </c>
      <c r="BQ223" s="7">
        <v>1</v>
      </c>
      <c r="BR223" s="7">
        <v>3.8667E-2</v>
      </c>
      <c r="BS223" s="7">
        <v>50</v>
      </c>
      <c r="BT223" s="7">
        <v>50</v>
      </c>
      <c r="BU223" s="7">
        <v>6.7796999999999996E-2</v>
      </c>
      <c r="BV223" s="7">
        <v>46.440677999999998</v>
      </c>
      <c r="BW223" s="7">
        <v>50</v>
      </c>
      <c r="BX223" s="4" t="s">
        <v>124</v>
      </c>
      <c r="BY223" s="4" t="s">
        <v>124</v>
      </c>
      <c r="BZ223" s="4" t="s">
        <v>124</v>
      </c>
      <c r="CA223" s="4" t="s">
        <v>124</v>
      </c>
      <c r="CB223" s="4" t="s">
        <v>124</v>
      </c>
      <c r="CC223" s="4" t="s">
        <v>124</v>
      </c>
      <c r="CD223" s="7">
        <v>0.94270799999999999</v>
      </c>
      <c r="CE223" s="7">
        <v>50</v>
      </c>
      <c r="CF223" s="7">
        <v>50</v>
      </c>
      <c r="CG223" s="4" t="s">
        <v>124</v>
      </c>
      <c r="CH223" s="4" t="s">
        <v>124</v>
      </c>
      <c r="CI223" s="4" t="s">
        <v>124</v>
      </c>
      <c r="CJ223" s="4" t="s">
        <v>124</v>
      </c>
      <c r="CK223" s="4" t="s">
        <v>124</v>
      </c>
      <c r="CL223" s="4" t="s">
        <v>124</v>
      </c>
      <c r="CM223" s="4" t="s">
        <v>124</v>
      </c>
      <c r="CN223" s="4" t="s">
        <v>124</v>
      </c>
      <c r="CO223" s="4" t="s">
        <v>124</v>
      </c>
      <c r="CP223" s="4" t="s">
        <v>124</v>
      </c>
      <c r="CQ223" s="7">
        <v>0.66943900000000001</v>
      </c>
      <c r="CR223" s="7">
        <v>0.94684999999999997</v>
      </c>
      <c r="CS223" s="7">
        <v>44.629244999999997</v>
      </c>
      <c r="CT223" s="7">
        <v>50</v>
      </c>
      <c r="CU223" s="4" t="s">
        <v>124</v>
      </c>
      <c r="CV223" s="4" t="s">
        <v>124</v>
      </c>
      <c r="CW223" s="4" t="s">
        <v>124</v>
      </c>
      <c r="CX223" s="4" t="s">
        <v>124</v>
      </c>
      <c r="CY223" s="4" t="s">
        <v>124</v>
      </c>
      <c r="CZ223" s="4" t="s">
        <v>124</v>
      </c>
      <c r="DA223" s="7">
        <v>15.314097</v>
      </c>
      <c r="DB223" s="7">
        <v>17.400950000000002</v>
      </c>
      <c r="DC223" s="7">
        <v>16.332519999999999</v>
      </c>
      <c r="DD223" s="4" t="s">
        <v>124</v>
      </c>
      <c r="DE223" s="7">
        <v>1</v>
      </c>
      <c r="DF223" s="6"/>
      <c r="DG223" s="6"/>
      <c r="DH223" s="6"/>
      <c r="DI223" s="6"/>
      <c r="DJ223" s="7">
        <v>0</v>
      </c>
      <c r="DK223" s="7">
        <v>0</v>
      </c>
      <c r="DL223" s="7">
        <v>0</v>
      </c>
      <c r="DM223" s="7">
        <v>0</v>
      </c>
      <c r="DN223" s="7">
        <v>0</v>
      </c>
      <c r="DO223" s="7">
        <v>0</v>
      </c>
      <c r="DP223" s="6"/>
      <c r="DQ223" s="4" t="s">
        <v>125</v>
      </c>
    </row>
    <row r="224" spans="1:121" ht="20" customHeight="1" x14ac:dyDescent="0.15">
      <c r="A224" s="5">
        <v>2018</v>
      </c>
      <c r="B224" s="3" t="s">
        <v>167</v>
      </c>
      <c r="C224" s="4" t="str">
        <f t="shared" si="42"/>
        <v>0090011</v>
      </c>
      <c r="D224" s="4" t="s">
        <v>355</v>
      </c>
      <c r="E224" s="4" t="str">
        <f>"0090111"</f>
        <v>0090111</v>
      </c>
      <c r="F224" s="4" t="s">
        <v>327</v>
      </c>
      <c r="G224" s="4" t="s">
        <v>328</v>
      </c>
      <c r="H224" s="7">
        <v>3</v>
      </c>
      <c r="I224" s="6"/>
      <c r="J224" s="4" t="s">
        <v>330</v>
      </c>
      <c r="K224" s="7">
        <v>545.95166099999994</v>
      </c>
      <c r="L224" s="7">
        <v>600</v>
      </c>
      <c r="M224" s="7">
        <v>90.991944000000004</v>
      </c>
      <c r="N224" s="7">
        <v>1</v>
      </c>
      <c r="O224" s="7">
        <v>0</v>
      </c>
      <c r="P224" s="7">
        <v>75.451318000000001</v>
      </c>
      <c r="Q224" s="7">
        <v>100</v>
      </c>
      <c r="R224" s="7">
        <v>100</v>
      </c>
      <c r="S224" s="7">
        <v>66.924210000000002</v>
      </c>
      <c r="T224" s="7">
        <v>75</v>
      </c>
      <c r="U224" s="7">
        <v>89.232280000000003</v>
      </c>
      <c r="V224" s="7">
        <v>100</v>
      </c>
      <c r="W224" s="7">
        <v>69.327464000000006</v>
      </c>
      <c r="X224" s="7">
        <v>92.436617999999996</v>
      </c>
      <c r="Y224" s="7">
        <v>100</v>
      </c>
      <c r="Z224" s="7">
        <v>74.880401000000006</v>
      </c>
      <c r="AA224" s="7">
        <v>61.360205000000001</v>
      </c>
      <c r="AB224" s="7">
        <v>81.813607000000005</v>
      </c>
      <c r="AC224" s="7">
        <v>100</v>
      </c>
      <c r="AD224" s="4" t="s">
        <v>124</v>
      </c>
      <c r="AE224" s="4" t="s">
        <v>124</v>
      </c>
      <c r="AF224" s="4" t="s">
        <v>124</v>
      </c>
      <c r="AG224" s="4" t="s">
        <v>124</v>
      </c>
      <c r="AH224" s="4" t="s">
        <v>124</v>
      </c>
      <c r="AI224" s="4" t="s">
        <v>124</v>
      </c>
      <c r="AJ224" s="4" t="s">
        <v>124</v>
      </c>
      <c r="AK224" s="7">
        <v>8.07</v>
      </c>
      <c r="AL224" s="7">
        <v>13.52</v>
      </c>
      <c r="AM224" s="4" t="s">
        <v>124</v>
      </c>
      <c r="AN224" s="4" t="s">
        <v>124</v>
      </c>
      <c r="AO224" s="4" t="s">
        <v>124</v>
      </c>
      <c r="AP224" s="4" t="s">
        <v>124</v>
      </c>
      <c r="AQ224" s="4" t="s">
        <v>124</v>
      </c>
      <c r="AR224" s="4" t="s">
        <v>124</v>
      </c>
      <c r="AS224" s="4" t="s">
        <v>124</v>
      </c>
      <c r="AT224" s="4" t="s">
        <v>124</v>
      </c>
      <c r="AU224" s="4" t="s">
        <v>124</v>
      </c>
      <c r="AV224" s="4" t="s">
        <v>124</v>
      </c>
      <c r="AW224" s="4" t="s">
        <v>124</v>
      </c>
      <c r="AX224" s="4" t="s">
        <v>124</v>
      </c>
      <c r="AY224" s="4" t="s">
        <v>124</v>
      </c>
      <c r="AZ224" s="4" t="s">
        <v>124</v>
      </c>
      <c r="BA224" s="4" t="s">
        <v>124</v>
      </c>
      <c r="BB224" s="7">
        <v>0.93408199999999997</v>
      </c>
      <c r="BC224" s="7">
        <v>46.704084000000002</v>
      </c>
      <c r="BD224" s="7">
        <v>50</v>
      </c>
      <c r="BE224" s="7">
        <v>0.71530099999999996</v>
      </c>
      <c r="BF224" s="7">
        <v>35.765073000000001</v>
      </c>
      <c r="BG224" s="7">
        <v>50</v>
      </c>
      <c r="BH224" s="7">
        <v>0</v>
      </c>
      <c r="BI224" s="7">
        <v>1</v>
      </c>
      <c r="BJ224" s="7">
        <v>1</v>
      </c>
      <c r="BK224" s="7">
        <v>1</v>
      </c>
      <c r="BL224" s="7">
        <v>0.991228</v>
      </c>
      <c r="BM224" s="7">
        <v>1</v>
      </c>
      <c r="BN224" s="7">
        <v>0.985294</v>
      </c>
      <c r="BO224" s="4" t="s">
        <v>124</v>
      </c>
      <c r="BP224" s="4" t="s">
        <v>124</v>
      </c>
      <c r="BQ224" s="4" t="s">
        <v>124</v>
      </c>
      <c r="BR224" s="7">
        <v>3.3019E-2</v>
      </c>
      <c r="BS224" s="7">
        <v>50</v>
      </c>
      <c r="BT224" s="7">
        <v>50</v>
      </c>
      <c r="BU224" s="7">
        <v>4.7619000000000002E-2</v>
      </c>
      <c r="BV224" s="7">
        <v>50</v>
      </c>
      <c r="BW224" s="7">
        <v>50</v>
      </c>
      <c r="BX224" s="4" t="s">
        <v>124</v>
      </c>
      <c r="BY224" s="4" t="s">
        <v>124</v>
      </c>
      <c r="BZ224" s="4" t="s">
        <v>124</v>
      </c>
      <c r="CA224" s="4" t="s">
        <v>124</v>
      </c>
      <c r="CB224" s="4" t="s">
        <v>124</v>
      </c>
      <c r="CC224" s="4" t="s">
        <v>124</v>
      </c>
      <c r="CD224" s="4" t="s">
        <v>124</v>
      </c>
      <c r="CE224" s="4" t="s">
        <v>124</v>
      </c>
      <c r="CF224" s="4" t="s">
        <v>124</v>
      </c>
      <c r="CG224" s="4" t="s">
        <v>124</v>
      </c>
      <c r="CH224" s="4" t="s">
        <v>124</v>
      </c>
      <c r="CI224" s="4" t="s">
        <v>124</v>
      </c>
      <c r="CJ224" s="4" t="s">
        <v>124</v>
      </c>
      <c r="CK224" s="4" t="s">
        <v>124</v>
      </c>
      <c r="CL224" s="4" t="s">
        <v>124</v>
      </c>
      <c r="CM224" s="4" t="s">
        <v>124</v>
      </c>
      <c r="CN224" s="4" t="s">
        <v>124</v>
      </c>
      <c r="CO224" s="4" t="s">
        <v>124</v>
      </c>
      <c r="CP224" s="4" t="s">
        <v>124</v>
      </c>
      <c r="CQ224" s="4" t="s">
        <v>124</v>
      </c>
      <c r="CR224" s="4" t="s">
        <v>124</v>
      </c>
      <c r="CS224" s="4" t="s">
        <v>124</v>
      </c>
      <c r="CT224" s="4" t="s">
        <v>124</v>
      </c>
      <c r="CU224" s="4" t="s">
        <v>124</v>
      </c>
      <c r="CV224" s="4" t="s">
        <v>124</v>
      </c>
      <c r="CW224" s="4" t="s">
        <v>124</v>
      </c>
      <c r="CX224" s="4" t="s">
        <v>124</v>
      </c>
      <c r="CY224" s="4" t="s">
        <v>124</v>
      </c>
      <c r="CZ224" s="4" t="s">
        <v>124</v>
      </c>
      <c r="DA224" s="7">
        <v>15.314097</v>
      </c>
      <c r="DB224" s="7">
        <v>17.400950000000002</v>
      </c>
      <c r="DC224" s="7">
        <v>16.332519999999999</v>
      </c>
      <c r="DD224" s="4" t="s">
        <v>124</v>
      </c>
      <c r="DE224" s="7">
        <v>0</v>
      </c>
      <c r="DF224" s="6"/>
      <c r="DG224" s="6"/>
      <c r="DH224" s="4" t="s">
        <v>331</v>
      </c>
      <c r="DI224" s="4" t="s">
        <v>332</v>
      </c>
      <c r="DJ224" s="7">
        <v>1</v>
      </c>
      <c r="DK224" s="7">
        <v>0</v>
      </c>
      <c r="DL224" s="7">
        <v>0</v>
      </c>
      <c r="DM224" s="7">
        <v>0</v>
      </c>
      <c r="DN224" s="7">
        <v>0</v>
      </c>
      <c r="DO224" s="7">
        <v>0</v>
      </c>
      <c r="DP224" s="6"/>
      <c r="DQ224" s="4" t="s">
        <v>125</v>
      </c>
    </row>
    <row r="225" spans="1:121" ht="20" customHeight="1" x14ac:dyDescent="0.15">
      <c r="A225" s="5">
        <v>2018</v>
      </c>
      <c r="B225" s="3" t="s">
        <v>167</v>
      </c>
      <c r="C225" s="4" t="str">
        <f>"0090011"</f>
        <v>0090011</v>
      </c>
      <c r="D225" s="4" t="s">
        <v>356</v>
      </c>
      <c r="E225" s="4" t="str">
        <f>"0090511"</f>
        <v>0090511</v>
      </c>
      <c r="F225" s="4" t="s">
        <v>327</v>
      </c>
      <c r="G225" s="7">
        <v>4</v>
      </c>
      <c r="H225" s="7">
        <v>5</v>
      </c>
      <c r="I225" s="4" t="s">
        <v>329</v>
      </c>
      <c r="J225" s="4" t="s">
        <v>330</v>
      </c>
      <c r="K225" s="7">
        <v>697.18131800000003</v>
      </c>
      <c r="L225" s="7">
        <v>950</v>
      </c>
      <c r="M225" s="7">
        <v>73.387506999999999</v>
      </c>
      <c r="N225" s="7">
        <v>2</v>
      </c>
      <c r="O225" s="7">
        <v>0</v>
      </c>
      <c r="P225" s="7">
        <v>75.065110000000004</v>
      </c>
      <c r="Q225" s="7">
        <v>50</v>
      </c>
      <c r="R225" s="7">
        <v>50</v>
      </c>
      <c r="S225" s="7">
        <v>65.561183999999997</v>
      </c>
      <c r="T225" s="7">
        <v>75</v>
      </c>
      <c r="U225" s="7">
        <v>43.707456000000001</v>
      </c>
      <c r="V225" s="7">
        <v>50</v>
      </c>
      <c r="W225" s="7">
        <v>72.820398999999995</v>
      </c>
      <c r="X225" s="7">
        <v>48.546933000000003</v>
      </c>
      <c r="Y225" s="7">
        <v>50</v>
      </c>
      <c r="Z225" s="7">
        <v>75</v>
      </c>
      <c r="AA225" s="7">
        <v>61.662166999999997</v>
      </c>
      <c r="AB225" s="7">
        <v>41.108111999999998</v>
      </c>
      <c r="AC225" s="7">
        <v>50</v>
      </c>
      <c r="AD225" s="7">
        <v>76.329677000000004</v>
      </c>
      <c r="AE225" s="7">
        <v>50</v>
      </c>
      <c r="AF225" s="7">
        <v>50</v>
      </c>
      <c r="AG225" s="7">
        <v>66.623773</v>
      </c>
      <c r="AH225" s="7">
        <v>75</v>
      </c>
      <c r="AI225" s="7">
        <v>44.415849000000001</v>
      </c>
      <c r="AJ225" s="7">
        <v>50</v>
      </c>
      <c r="AK225" s="7">
        <v>9.43</v>
      </c>
      <c r="AL225" s="7">
        <v>13.33</v>
      </c>
      <c r="AM225" s="7">
        <v>8.3699999999999992</v>
      </c>
      <c r="AN225" s="7">
        <v>0.59155199999999997</v>
      </c>
      <c r="AO225" s="7">
        <v>59.155213000000003</v>
      </c>
      <c r="AP225" s="7">
        <v>100</v>
      </c>
      <c r="AQ225" s="7">
        <v>0.643957</v>
      </c>
      <c r="AR225" s="7">
        <v>64.395668999999998</v>
      </c>
      <c r="AS225" s="7">
        <v>100</v>
      </c>
      <c r="AT225" s="7">
        <v>0.51801299999999995</v>
      </c>
      <c r="AU225" s="7">
        <v>0.63599300000000003</v>
      </c>
      <c r="AV225" s="7">
        <v>51.801291999999997</v>
      </c>
      <c r="AW225" s="7">
        <v>100</v>
      </c>
      <c r="AX225" s="7">
        <v>0.58104699999999998</v>
      </c>
      <c r="AY225" s="7">
        <v>0.68170299999999995</v>
      </c>
      <c r="AZ225" s="7">
        <v>58.104672000000001</v>
      </c>
      <c r="BA225" s="7">
        <v>100</v>
      </c>
      <c r="BB225" s="7">
        <v>0.73050000000000004</v>
      </c>
      <c r="BC225" s="7">
        <v>36.524984000000003</v>
      </c>
      <c r="BD225" s="7">
        <v>50</v>
      </c>
      <c r="BE225" s="7">
        <v>0.58782500000000004</v>
      </c>
      <c r="BF225" s="7">
        <v>29.391244</v>
      </c>
      <c r="BG225" s="7">
        <v>50</v>
      </c>
      <c r="BH225" s="7">
        <v>0</v>
      </c>
      <c r="BI225" s="7">
        <v>0.99793799999999999</v>
      </c>
      <c r="BJ225" s="7">
        <v>1</v>
      </c>
      <c r="BK225" s="7">
        <v>0.99662200000000001</v>
      </c>
      <c r="BL225" s="7">
        <v>1</v>
      </c>
      <c r="BM225" s="7">
        <v>1</v>
      </c>
      <c r="BN225" s="7">
        <v>1</v>
      </c>
      <c r="BO225" s="7">
        <v>1</v>
      </c>
      <c r="BP225" s="7">
        <v>1</v>
      </c>
      <c r="BQ225" s="7">
        <v>1</v>
      </c>
      <c r="BR225" s="7">
        <v>2.6804000000000001E-2</v>
      </c>
      <c r="BS225" s="7">
        <v>50</v>
      </c>
      <c r="BT225" s="7">
        <v>50</v>
      </c>
      <c r="BU225" s="7">
        <v>4.3011000000000001E-2</v>
      </c>
      <c r="BV225" s="7">
        <v>50</v>
      </c>
      <c r="BW225" s="7">
        <v>50</v>
      </c>
      <c r="BX225" s="4" t="s">
        <v>124</v>
      </c>
      <c r="BY225" s="4" t="s">
        <v>124</v>
      </c>
      <c r="BZ225" s="4" t="s">
        <v>124</v>
      </c>
      <c r="CA225" s="4" t="s">
        <v>124</v>
      </c>
      <c r="CB225" s="4" t="s">
        <v>124</v>
      </c>
      <c r="CC225" s="4" t="s">
        <v>124</v>
      </c>
      <c r="CD225" s="4" t="s">
        <v>124</v>
      </c>
      <c r="CE225" s="4" t="s">
        <v>124</v>
      </c>
      <c r="CF225" s="4" t="s">
        <v>124</v>
      </c>
      <c r="CG225" s="4" t="s">
        <v>124</v>
      </c>
      <c r="CH225" s="4" t="s">
        <v>124</v>
      </c>
      <c r="CI225" s="4" t="s">
        <v>124</v>
      </c>
      <c r="CJ225" s="4" t="s">
        <v>124</v>
      </c>
      <c r="CK225" s="4" t="s">
        <v>124</v>
      </c>
      <c r="CL225" s="4" t="s">
        <v>124</v>
      </c>
      <c r="CM225" s="4" t="s">
        <v>124</v>
      </c>
      <c r="CN225" s="4" t="s">
        <v>124</v>
      </c>
      <c r="CO225" s="4" t="s">
        <v>124</v>
      </c>
      <c r="CP225" s="4" t="s">
        <v>124</v>
      </c>
      <c r="CQ225" s="7">
        <v>0.30044799999999999</v>
      </c>
      <c r="CR225" s="7">
        <v>0.982379</v>
      </c>
      <c r="CS225" s="7">
        <v>20.029895</v>
      </c>
      <c r="CT225" s="7">
        <v>50</v>
      </c>
      <c r="CU225" s="4" t="s">
        <v>124</v>
      </c>
      <c r="CV225" s="4" t="s">
        <v>124</v>
      </c>
      <c r="CW225" s="4" t="s">
        <v>124</v>
      </c>
      <c r="CX225" s="4" t="s">
        <v>124</v>
      </c>
      <c r="CY225" s="4" t="s">
        <v>124</v>
      </c>
      <c r="CZ225" s="4" t="s">
        <v>124</v>
      </c>
      <c r="DA225" s="7">
        <v>15.314097</v>
      </c>
      <c r="DB225" s="7">
        <v>17.400950000000002</v>
      </c>
      <c r="DC225" s="7">
        <v>16.332519999999999</v>
      </c>
      <c r="DD225" s="4" t="s">
        <v>124</v>
      </c>
      <c r="DE225" s="7">
        <v>0</v>
      </c>
      <c r="DF225" s="6"/>
      <c r="DG225" s="6"/>
      <c r="DH225" s="6"/>
      <c r="DI225" s="6"/>
      <c r="DJ225" s="7">
        <v>0</v>
      </c>
      <c r="DK225" s="7">
        <v>0</v>
      </c>
      <c r="DL225" s="7">
        <v>0</v>
      </c>
      <c r="DM225" s="7">
        <v>0</v>
      </c>
      <c r="DN225" s="7">
        <v>0</v>
      </c>
      <c r="DO225" s="7">
        <v>0</v>
      </c>
      <c r="DP225" s="6"/>
      <c r="DQ225" s="4" t="s">
        <v>125</v>
      </c>
    </row>
    <row r="226" spans="1:121" ht="20" customHeight="1" x14ac:dyDescent="0.15">
      <c r="A226" s="5">
        <v>2018</v>
      </c>
      <c r="B226" s="3" t="s">
        <v>180</v>
      </c>
      <c r="C226" s="4" t="str">
        <f t="shared" si="55"/>
        <v>0110011</v>
      </c>
      <c r="D226" s="4" t="s">
        <v>357</v>
      </c>
      <c r="E226" s="4" t="str">
        <f>"0116111"</f>
        <v>0116111</v>
      </c>
      <c r="F226" s="4" t="s">
        <v>327</v>
      </c>
      <c r="G226" s="7">
        <v>9</v>
      </c>
      <c r="H226" s="7">
        <v>12</v>
      </c>
      <c r="I226" s="6"/>
      <c r="J226" s="4" t="s">
        <v>330</v>
      </c>
      <c r="K226" s="7">
        <v>1027.938975</v>
      </c>
      <c r="L226" s="7">
        <v>1450</v>
      </c>
      <c r="M226" s="7">
        <v>70.892342999999997</v>
      </c>
      <c r="N226" s="7">
        <v>2</v>
      </c>
      <c r="O226" s="7">
        <v>0</v>
      </c>
      <c r="P226" s="7">
        <v>50.216973000000003</v>
      </c>
      <c r="Q226" s="7">
        <v>100.43394600000001</v>
      </c>
      <c r="R226" s="7">
        <v>150</v>
      </c>
      <c r="S226" s="7">
        <v>45.909722000000002</v>
      </c>
      <c r="T226" s="7">
        <v>54.592593000000001</v>
      </c>
      <c r="U226" s="7">
        <v>91.819444000000004</v>
      </c>
      <c r="V226" s="7">
        <v>150</v>
      </c>
      <c r="W226" s="7">
        <v>44.529308999999998</v>
      </c>
      <c r="X226" s="7">
        <v>89.058617999999996</v>
      </c>
      <c r="Y226" s="7">
        <v>150</v>
      </c>
      <c r="Z226" s="7">
        <v>47.521163999999999</v>
      </c>
      <c r="AA226" s="7">
        <v>41.584201</v>
      </c>
      <c r="AB226" s="7">
        <v>83.168402999999998</v>
      </c>
      <c r="AC226" s="7">
        <v>150</v>
      </c>
      <c r="AD226" s="7">
        <v>50.82396</v>
      </c>
      <c r="AE226" s="7">
        <v>67.765279000000007</v>
      </c>
      <c r="AF226" s="7">
        <v>100</v>
      </c>
      <c r="AG226" s="7">
        <v>47.678314</v>
      </c>
      <c r="AH226" s="7">
        <v>54.019536000000002</v>
      </c>
      <c r="AI226" s="7">
        <v>63.571084999999997</v>
      </c>
      <c r="AJ226" s="7">
        <v>100</v>
      </c>
      <c r="AK226" s="7">
        <v>8.68</v>
      </c>
      <c r="AL226" s="7">
        <v>5.93</v>
      </c>
      <c r="AM226" s="7">
        <v>6.34</v>
      </c>
      <c r="AN226" s="4" t="s">
        <v>124</v>
      </c>
      <c r="AO226" s="4" t="s">
        <v>124</v>
      </c>
      <c r="AP226" s="4" t="s">
        <v>124</v>
      </c>
      <c r="AQ226" s="4" t="s">
        <v>124</v>
      </c>
      <c r="AR226" s="4" t="s">
        <v>124</v>
      </c>
      <c r="AS226" s="4" t="s">
        <v>124</v>
      </c>
      <c r="AT226" s="4" t="s">
        <v>124</v>
      </c>
      <c r="AU226" s="4" t="s">
        <v>124</v>
      </c>
      <c r="AV226" s="4" t="s">
        <v>124</v>
      </c>
      <c r="AW226" s="4" t="s">
        <v>124</v>
      </c>
      <c r="AX226" s="4" t="s">
        <v>124</v>
      </c>
      <c r="AY226" s="4" t="s">
        <v>124</v>
      </c>
      <c r="AZ226" s="4" t="s">
        <v>124</v>
      </c>
      <c r="BA226" s="4" t="s">
        <v>124</v>
      </c>
      <c r="BB226" s="4" t="s">
        <v>124</v>
      </c>
      <c r="BC226" s="4" t="s">
        <v>124</v>
      </c>
      <c r="BD226" s="4" t="s">
        <v>124</v>
      </c>
      <c r="BE226" s="4" t="s">
        <v>124</v>
      </c>
      <c r="BF226" s="4" t="s">
        <v>124</v>
      </c>
      <c r="BG226" s="4" t="s">
        <v>124</v>
      </c>
      <c r="BH226" s="7">
        <v>0</v>
      </c>
      <c r="BI226" s="7">
        <v>0.97101400000000004</v>
      </c>
      <c r="BJ226" s="7">
        <v>0.97101400000000004</v>
      </c>
      <c r="BK226" s="7">
        <v>0.97101400000000004</v>
      </c>
      <c r="BL226" s="7">
        <v>0.97101400000000004</v>
      </c>
      <c r="BM226" s="7">
        <v>0.97101400000000004</v>
      </c>
      <c r="BN226" s="7">
        <v>0.97101400000000004</v>
      </c>
      <c r="BO226" s="7">
        <v>0.96376799999999996</v>
      </c>
      <c r="BP226" s="7">
        <v>0.95652199999999998</v>
      </c>
      <c r="BQ226" s="7">
        <v>0.97101400000000004</v>
      </c>
      <c r="BR226" s="7">
        <v>5.6710999999999998E-2</v>
      </c>
      <c r="BS226" s="7">
        <v>48.657845000000002</v>
      </c>
      <c r="BT226" s="7">
        <v>50</v>
      </c>
      <c r="BU226" s="7">
        <v>8.0837999999999993E-2</v>
      </c>
      <c r="BV226" s="7">
        <v>43.832335</v>
      </c>
      <c r="BW226" s="7">
        <v>50</v>
      </c>
      <c r="BX226" s="7">
        <v>0.60536400000000001</v>
      </c>
      <c r="BY226" s="7">
        <v>40.357599</v>
      </c>
      <c r="BZ226" s="7">
        <v>50</v>
      </c>
      <c r="CA226" s="7">
        <v>0.203065</v>
      </c>
      <c r="CB226" s="7">
        <v>13.537675999999999</v>
      </c>
      <c r="CC226" s="7">
        <v>50</v>
      </c>
      <c r="CD226" s="7">
        <v>0.79561999999999999</v>
      </c>
      <c r="CE226" s="7">
        <v>42.320236000000001</v>
      </c>
      <c r="CF226" s="7">
        <v>50</v>
      </c>
      <c r="CG226" s="7">
        <v>0.91935500000000003</v>
      </c>
      <c r="CH226" s="7">
        <v>97.803706000000005</v>
      </c>
      <c r="CI226" s="7">
        <v>100</v>
      </c>
      <c r="CJ226" s="7">
        <v>0</v>
      </c>
      <c r="CK226" s="7">
        <v>0.91780799999999996</v>
      </c>
      <c r="CL226" s="7">
        <v>97.639172000000002</v>
      </c>
      <c r="CM226" s="7">
        <v>100</v>
      </c>
      <c r="CN226" s="7">
        <v>0.74789899999999998</v>
      </c>
      <c r="CO226" s="7">
        <v>99.719887999999997</v>
      </c>
      <c r="CP226" s="7">
        <v>100</v>
      </c>
      <c r="CQ226" s="7">
        <v>0.36065599999999998</v>
      </c>
      <c r="CR226" s="7">
        <v>0.89705900000000005</v>
      </c>
      <c r="CS226" s="7">
        <v>12.021858</v>
      </c>
      <c r="CT226" s="7">
        <v>50</v>
      </c>
      <c r="CU226" s="7">
        <v>0.43478299999999998</v>
      </c>
      <c r="CV226" s="7">
        <v>36.231884000000001</v>
      </c>
      <c r="CW226" s="7">
        <v>50</v>
      </c>
      <c r="CX226" s="7">
        <v>0.91780799999999996</v>
      </c>
      <c r="CY226" s="7">
        <v>0.94</v>
      </c>
      <c r="CZ226" s="7">
        <v>2.2192E-2</v>
      </c>
      <c r="DA226" s="7">
        <v>15.314097</v>
      </c>
      <c r="DB226" s="7">
        <v>17.400950000000002</v>
      </c>
      <c r="DC226" s="7">
        <v>16.332519999999999</v>
      </c>
      <c r="DD226" s="7">
        <v>7.9891730000000001</v>
      </c>
      <c r="DE226" s="7">
        <v>0</v>
      </c>
      <c r="DF226" s="6"/>
      <c r="DG226" s="6"/>
      <c r="DH226" s="6"/>
      <c r="DI226" s="6"/>
      <c r="DJ226" s="7">
        <v>0</v>
      </c>
      <c r="DK226" s="7">
        <v>0</v>
      </c>
      <c r="DL226" s="7">
        <v>0</v>
      </c>
      <c r="DM226" s="7">
        <v>0</v>
      </c>
      <c r="DN226" s="7">
        <v>0</v>
      </c>
      <c r="DO226" s="7">
        <v>0</v>
      </c>
      <c r="DP226" s="6"/>
      <c r="DQ226" s="4" t="s">
        <v>125</v>
      </c>
    </row>
    <row r="227" spans="1:121" ht="20" customHeight="1" x14ac:dyDescent="0.15">
      <c r="A227" s="5">
        <v>2018</v>
      </c>
      <c r="B227" s="3" t="s">
        <v>180</v>
      </c>
      <c r="C227" s="4" t="str">
        <f t="shared" si="55"/>
        <v>0110011</v>
      </c>
      <c r="D227" s="4" t="s">
        <v>358</v>
      </c>
      <c r="E227" s="4" t="str">
        <f>"0110711"</f>
        <v>0110711</v>
      </c>
      <c r="F227" s="4" t="s">
        <v>327</v>
      </c>
      <c r="G227" s="7">
        <v>5</v>
      </c>
      <c r="H227" s="7">
        <v>6</v>
      </c>
      <c r="I227" s="6"/>
      <c r="J227" s="4" t="s">
        <v>330</v>
      </c>
      <c r="K227" s="7">
        <v>619.62174100000004</v>
      </c>
      <c r="L227" s="7">
        <v>850</v>
      </c>
      <c r="M227" s="7">
        <v>72.896675000000002</v>
      </c>
      <c r="N227" s="7">
        <v>2</v>
      </c>
      <c r="O227" s="7">
        <v>0</v>
      </c>
      <c r="P227" s="7">
        <v>61.296295999999998</v>
      </c>
      <c r="Q227" s="7">
        <v>40.864198000000002</v>
      </c>
      <c r="R227" s="7">
        <v>50</v>
      </c>
      <c r="S227" s="7">
        <v>58.084408000000003</v>
      </c>
      <c r="T227" s="7">
        <v>70.167226999999997</v>
      </c>
      <c r="U227" s="7">
        <v>38.722937999999999</v>
      </c>
      <c r="V227" s="7">
        <v>50</v>
      </c>
      <c r="W227" s="7">
        <v>59.255915000000002</v>
      </c>
      <c r="X227" s="7">
        <v>39.503943</v>
      </c>
      <c r="Y227" s="7">
        <v>50</v>
      </c>
      <c r="Z227" s="7">
        <v>68.285166000000004</v>
      </c>
      <c r="AA227" s="7">
        <v>55.986702999999999</v>
      </c>
      <c r="AB227" s="7">
        <v>37.324469000000001</v>
      </c>
      <c r="AC227" s="7">
        <v>50</v>
      </c>
      <c r="AD227" s="7">
        <v>57.326765000000002</v>
      </c>
      <c r="AE227" s="7">
        <v>38.217843000000002</v>
      </c>
      <c r="AF227" s="7">
        <v>50</v>
      </c>
      <c r="AG227" s="7">
        <v>54.195098999999999</v>
      </c>
      <c r="AH227" s="7">
        <v>66.050691</v>
      </c>
      <c r="AI227" s="7">
        <v>36.130065999999999</v>
      </c>
      <c r="AJ227" s="7">
        <v>50</v>
      </c>
      <c r="AK227" s="7">
        <v>12.08</v>
      </c>
      <c r="AL227" s="7">
        <v>12.29</v>
      </c>
      <c r="AM227" s="7">
        <v>11.85</v>
      </c>
      <c r="AN227" s="7">
        <v>0.60231900000000005</v>
      </c>
      <c r="AO227" s="7">
        <v>60.231901999999998</v>
      </c>
      <c r="AP227" s="7">
        <v>100</v>
      </c>
      <c r="AQ227" s="7">
        <v>0.655416</v>
      </c>
      <c r="AR227" s="7">
        <v>65.541567999999998</v>
      </c>
      <c r="AS227" s="7">
        <v>100</v>
      </c>
      <c r="AT227" s="7">
        <v>0.59592699999999998</v>
      </c>
      <c r="AU227" s="7">
        <v>0.61879799999999996</v>
      </c>
      <c r="AV227" s="7">
        <v>59.592717999999998</v>
      </c>
      <c r="AW227" s="7">
        <v>100</v>
      </c>
      <c r="AX227" s="7">
        <v>0.65564100000000003</v>
      </c>
      <c r="AY227" s="7">
        <v>0.65483999999999998</v>
      </c>
      <c r="AZ227" s="7">
        <v>65.564052000000004</v>
      </c>
      <c r="BA227" s="7">
        <v>100</v>
      </c>
      <c r="BB227" s="4" t="s">
        <v>124</v>
      </c>
      <c r="BC227" s="4" t="s">
        <v>124</v>
      </c>
      <c r="BD227" s="4" t="s">
        <v>124</v>
      </c>
      <c r="BE227" s="4" t="s">
        <v>124</v>
      </c>
      <c r="BF227" s="4" t="s">
        <v>124</v>
      </c>
      <c r="BG227" s="4" t="s">
        <v>124</v>
      </c>
      <c r="BH227" s="7">
        <v>0</v>
      </c>
      <c r="BI227" s="7">
        <v>0.99604700000000002</v>
      </c>
      <c r="BJ227" s="7">
        <v>0.99465199999999998</v>
      </c>
      <c r="BK227" s="7">
        <v>1</v>
      </c>
      <c r="BL227" s="7">
        <v>0.99604700000000002</v>
      </c>
      <c r="BM227" s="7">
        <v>0.99465199999999998</v>
      </c>
      <c r="BN227" s="7">
        <v>1</v>
      </c>
      <c r="BO227" s="7">
        <v>0.991228</v>
      </c>
      <c r="BP227" s="7">
        <v>0.98837200000000003</v>
      </c>
      <c r="BQ227" s="7">
        <v>1</v>
      </c>
      <c r="BR227" s="7">
        <v>6.3241000000000006E-2</v>
      </c>
      <c r="BS227" s="7">
        <v>47.351779000000001</v>
      </c>
      <c r="BT227" s="7">
        <v>50</v>
      </c>
      <c r="BU227" s="7">
        <v>8.5560999999999998E-2</v>
      </c>
      <c r="BV227" s="7">
        <v>42.887701</v>
      </c>
      <c r="BW227" s="7">
        <v>50</v>
      </c>
      <c r="BX227" s="4" t="s">
        <v>124</v>
      </c>
      <c r="BY227" s="4" t="s">
        <v>124</v>
      </c>
      <c r="BZ227" s="4" t="s">
        <v>124</v>
      </c>
      <c r="CA227" s="4" t="s">
        <v>124</v>
      </c>
      <c r="CB227" s="4" t="s">
        <v>124</v>
      </c>
      <c r="CC227" s="4" t="s">
        <v>124</v>
      </c>
      <c r="CD227" s="4" t="s">
        <v>124</v>
      </c>
      <c r="CE227" s="4" t="s">
        <v>124</v>
      </c>
      <c r="CF227" s="4" t="s">
        <v>124</v>
      </c>
      <c r="CG227" s="4" t="s">
        <v>124</v>
      </c>
      <c r="CH227" s="4" t="s">
        <v>124</v>
      </c>
      <c r="CI227" s="4" t="s">
        <v>124</v>
      </c>
      <c r="CJ227" s="4" t="s">
        <v>124</v>
      </c>
      <c r="CK227" s="4" t="s">
        <v>124</v>
      </c>
      <c r="CL227" s="4" t="s">
        <v>124</v>
      </c>
      <c r="CM227" s="4" t="s">
        <v>124</v>
      </c>
      <c r="CN227" s="4" t="s">
        <v>124</v>
      </c>
      <c r="CO227" s="4" t="s">
        <v>124</v>
      </c>
      <c r="CP227" s="4" t="s">
        <v>124</v>
      </c>
      <c r="CQ227" s="7">
        <v>0.71532799999999996</v>
      </c>
      <c r="CR227" s="7">
        <v>0.98561200000000004</v>
      </c>
      <c r="CS227" s="7">
        <v>47.688564</v>
      </c>
      <c r="CT227" s="7">
        <v>50</v>
      </c>
      <c r="CU227" s="4" t="s">
        <v>124</v>
      </c>
      <c r="CV227" s="4" t="s">
        <v>124</v>
      </c>
      <c r="CW227" s="4" t="s">
        <v>124</v>
      </c>
      <c r="CX227" s="4" t="s">
        <v>124</v>
      </c>
      <c r="CY227" s="4" t="s">
        <v>124</v>
      </c>
      <c r="CZ227" s="4" t="s">
        <v>124</v>
      </c>
      <c r="DA227" s="7">
        <v>15.314097</v>
      </c>
      <c r="DB227" s="7">
        <v>17.400950000000002</v>
      </c>
      <c r="DC227" s="7">
        <v>16.332519999999999</v>
      </c>
      <c r="DD227" s="4" t="s">
        <v>124</v>
      </c>
      <c r="DE227" s="7">
        <v>0</v>
      </c>
      <c r="DF227" s="6"/>
      <c r="DG227" s="6"/>
      <c r="DH227" s="6"/>
      <c r="DI227" s="6"/>
      <c r="DJ227" s="7">
        <v>0</v>
      </c>
      <c r="DK227" s="7">
        <v>0</v>
      </c>
      <c r="DL227" s="7">
        <v>0</v>
      </c>
      <c r="DM227" s="7">
        <v>0</v>
      </c>
      <c r="DN227" s="7">
        <v>0</v>
      </c>
      <c r="DO227" s="7">
        <v>0</v>
      </c>
      <c r="DP227" s="6"/>
      <c r="DQ227" s="4" t="s">
        <v>125</v>
      </c>
    </row>
    <row r="228" spans="1:121" ht="20" customHeight="1" x14ac:dyDescent="0.15">
      <c r="A228" s="5">
        <v>2018</v>
      </c>
      <c r="B228" s="3" t="s">
        <v>180</v>
      </c>
      <c r="C228" s="4" t="str">
        <f t="shared" si="55"/>
        <v>0110011</v>
      </c>
      <c r="D228" s="4" t="s">
        <v>359</v>
      </c>
      <c r="E228" s="4" t="str">
        <f>"0115211"</f>
        <v>0115211</v>
      </c>
      <c r="F228" s="4" t="s">
        <v>327</v>
      </c>
      <c r="G228" s="7">
        <v>7</v>
      </c>
      <c r="H228" s="7">
        <v>8</v>
      </c>
      <c r="I228" s="4" t="s">
        <v>335</v>
      </c>
      <c r="J228" s="4" t="s">
        <v>330</v>
      </c>
      <c r="K228" s="7">
        <v>622.17226500000004</v>
      </c>
      <c r="L228" s="7">
        <v>900</v>
      </c>
      <c r="M228" s="7">
        <v>69.130251999999999</v>
      </c>
      <c r="N228" s="7">
        <v>3</v>
      </c>
      <c r="O228" s="7">
        <v>0</v>
      </c>
      <c r="P228" s="7">
        <v>60.183587000000003</v>
      </c>
      <c r="Q228" s="7">
        <v>40.122391999999998</v>
      </c>
      <c r="R228" s="7">
        <v>50</v>
      </c>
      <c r="S228" s="7">
        <v>57.248119000000003</v>
      </c>
      <c r="T228" s="7">
        <v>65.893675999999999</v>
      </c>
      <c r="U228" s="7">
        <v>38.165413000000001</v>
      </c>
      <c r="V228" s="7">
        <v>50</v>
      </c>
      <c r="W228" s="7">
        <v>55.272525999999999</v>
      </c>
      <c r="X228" s="7">
        <v>36.848351000000001</v>
      </c>
      <c r="Y228" s="7">
        <v>50</v>
      </c>
      <c r="Z228" s="7">
        <v>61.993060999999997</v>
      </c>
      <c r="AA228" s="7">
        <v>51.817604000000003</v>
      </c>
      <c r="AB228" s="7">
        <v>34.545068999999998</v>
      </c>
      <c r="AC228" s="7">
        <v>50</v>
      </c>
      <c r="AD228" s="7">
        <v>57.138488000000002</v>
      </c>
      <c r="AE228" s="7">
        <v>38.092326</v>
      </c>
      <c r="AF228" s="7">
        <v>50</v>
      </c>
      <c r="AG228" s="7">
        <v>54.279449</v>
      </c>
      <c r="AH228" s="7">
        <v>61.362068999999998</v>
      </c>
      <c r="AI228" s="7">
        <v>36.186300000000003</v>
      </c>
      <c r="AJ228" s="7">
        <v>50</v>
      </c>
      <c r="AK228" s="7">
        <v>8.64</v>
      </c>
      <c r="AL228" s="7">
        <v>10.17</v>
      </c>
      <c r="AM228" s="7">
        <v>7.08</v>
      </c>
      <c r="AN228" s="7">
        <v>0.56551600000000002</v>
      </c>
      <c r="AO228" s="7">
        <v>56.551561999999997</v>
      </c>
      <c r="AP228" s="7">
        <v>100</v>
      </c>
      <c r="AQ228" s="7">
        <v>0.51959599999999995</v>
      </c>
      <c r="AR228" s="7">
        <v>51.959550999999998</v>
      </c>
      <c r="AS228" s="7">
        <v>100</v>
      </c>
      <c r="AT228" s="7">
        <v>0.58894199999999997</v>
      </c>
      <c r="AU228" s="7">
        <v>0.52069900000000002</v>
      </c>
      <c r="AV228" s="7">
        <v>58.894222999999997</v>
      </c>
      <c r="AW228" s="7">
        <v>100</v>
      </c>
      <c r="AX228" s="7">
        <v>0.52900999999999998</v>
      </c>
      <c r="AY228" s="7">
        <v>0.50158599999999998</v>
      </c>
      <c r="AZ228" s="7">
        <v>52.900967999999999</v>
      </c>
      <c r="BA228" s="7">
        <v>100</v>
      </c>
      <c r="BB228" s="4" t="s">
        <v>124</v>
      </c>
      <c r="BC228" s="4" t="s">
        <v>124</v>
      </c>
      <c r="BD228" s="4" t="s">
        <v>124</v>
      </c>
      <c r="BE228" s="4" t="s">
        <v>124</v>
      </c>
      <c r="BF228" s="4" t="s">
        <v>124</v>
      </c>
      <c r="BG228" s="4" t="s">
        <v>124</v>
      </c>
      <c r="BH228" s="7">
        <v>0</v>
      </c>
      <c r="BI228" s="7">
        <v>0.991228</v>
      </c>
      <c r="BJ228" s="7">
        <v>0.98666699999999996</v>
      </c>
      <c r="BK228" s="7">
        <v>1</v>
      </c>
      <c r="BL228" s="7">
        <v>0.991228</v>
      </c>
      <c r="BM228" s="7">
        <v>0.98666699999999996</v>
      </c>
      <c r="BN228" s="7">
        <v>1</v>
      </c>
      <c r="BO228" s="7">
        <v>1</v>
      </c>
      <c r="BP228" s="7">
        <v>1</v>
      </c>
      <c r="BQ228" s="7">
        <v>1</v>
      </c>
      <c r="BR228" s="7">
        <v>8.2969000000000001E-2</v>
      </c>
      <c r="BS228" s="7">
        <v>43.406114000000002</v>
      </c>
      <c r="BT228" s="7">
        <v>50</v>
      </c>
      <c r="BU228" s="7">
        <v>0.104575</v>
      </c>
      <c r="BV228" s="7">
        <v>39.084966999999999</v>
      </c>
      <c r="BW228" s="7">
        <v>50</v>
      </c>
      <c r="BX228" s="4" t="s">
        <v>124</v>
      </c>
      <c r="BY228" s="4" t="s">
        <v>124</v>
      </c>
      <c r="BZ228" s="4" t="s">
        <v>124</v>
      </c>
      <c r="CA228" s="4" t="s">
        <v>124</v>
      </c>
      <c r="CB228" s="4" t="s">
        <v>124</v>
      </c>
      <c r="CC228" s="4" t="s">
        <v>124</v>
      </c>
      <c r="CD228" s="7">
        <v>0.87254900000000002</v>
      </c>
      <c r="CE228" s="7">
        <v>46.412182000000001</v>
      </c>
      <c r="CF228" s="7">
        <v>50</v>
      </c>
      <c r="CG228" s="4" t="s">
        <v>124</v>
      </c>
      <c r="CH228" s="4" t="s">
        <v>124</v>
      </c>
      <c r="CI228" s="4" t="s">
        <v>124</v>
      </c>
      <c r="CJ228" s="4" t="s">
        <v>124</v>
      </c>
      <c r="CK228" s="4" t="s">
        <v>124</v>
      </c>
      <c r="CL228" s="4" t="s">
        <v>124</v>
      </c>
      <c r="CM228" s="4" t="s">
        <v>124</v>
      </c>
      <c r="CN228" s="4" t="s">
        <v>124</v>
      </c>
      <c r="CO228" s="4" t="s">
        <v>124</v>
      </c>
      <c r="CP228" s="4" t="s">
        <v>124</v>
      </c>
      <c r="CQ228" s="7">
        <v>0.735043</v>
      </c>
      <c r="CR228" s="7">
        <v>1.0173909999999999</v>
      </c>
      <c r="CS228" s="7">
        <v>49.002848999999998</v>
      </c>
      <c r="CT228" s="7">
        <v>50</v>
      </c>
      <c r="CU228" s="4" t="s">
        <v>124</v>
      </c>
      <c r="CV228" s="4" t="s">
        <v>124</v>
      </c>
      <c r="CW228" s="4" t="s">
        <v>124</v>
      </c>
      <c r="CX228" s="4" t="s">
        <v>124</v>
      </c>
      <c r="CY228" s="4" t="s">
        <v>124</v>
      </c>
      <c r="CZ228" s="4" t="s">
        <v>124</v>
      </c>
      <c r="DA228" s="7">
        <v>15.314097</v>
      </c>
      <c r="DB228" s="7">
        <v>17.400950000000002</v>
      </c>
      <c r="DC228" s="7">
        <v>16.332519999999999</v>
      </c>
      <c r="DD228" s="4" t="s">
        <v>124</v>
      </c>
      <c r="DE228" s="7">
        <v>0</v>
      </c>
      <c r="DF228" s="6"/>
      <c r="DG228" s="6"/>
      <c r="DH228" s="6"/>
      <c r="DI228" s="6"/>
      <c r="DJ228" s="7">
        <v>0</v>
      </c>
      <c r="DK228" s="7">
        <v>0</v>
      </c>
      <c r="DL228" s="7">
        <v>0</v>
      </c>
      <c r="DM228" s="7">
        <v>0</v>
      </c>
      <c r="DN228" s="7">
        <v>0</v>
      </c>
      <c r="DO228" s="7">
        <v>0</v>
      </c>
      <c r="DP228" s="6"/>
      <c r="DQ228" s="4" t="s">
        <v>125</v>
      </c>
    </row>
    <row r="229" spans="1:121" ht="20" customHeight="1" x14ac:dyDescent="0.15">
      <c r="A229" s="5">
        <v>2018</v>
      </c>
      <c r="B229" s="3" t="s">
        <v>180</v>
      </c>
      <c r="C229" s="4" t="str">
        <f t="shared" si="55"/>
        <v>0110011</v>
      </c>
      <c r="D229" s="4" t="s">
        <v>360</v>
      </c>
      <c r="E229" s="4" t="str">
        <f>"0116311"</f>
        <v>0116311</v>
      </c>
      <c r="F229" s="4" t="s">
        <v>327</v>
      </c>
      <c r="G229" s="7">
        <v>6</v>
      </c>
      <c r="H229" s="7">
        <v>12</v>
      </c>
      <c r="I229" s="6"/>
      <c r="J229" s="4" t="s">
        <v>330</v>
      </c>
      <c r="K229" s="7">
        <v>866.34934199999998</v>
      </c>
      <c r="L229" s="7">
        <v>1250</v>
      </c>
      <c r="M229" s="7">
        <v>69.307946999999999</v>
      </c>
      <c r="N229" s="7">
        <v>3</v>
      </c>
      <c r="O229" s="7">
        <v>0</v>
      </c>
      <c r="P229" s="7">
        <v>58.619799999999998</v>
      </c>
      <c r="Q229" s="7">
        <v>39.079866000000003</v>
      </c>
      <c r="R229" s="7">
        <v>50</v>
      </c>
      <c r="S229" s="7">
        <v>58.907870000000003</v>
      </c>
      <c r="T229" s="7">
        <v>58.028086999999999</v>
      </c>
      <c r="U229" s="7">
        <v>39.271914000000002</v>
      </c>
      <c r="V229" s="7">
        <v>50</v>
      </c>
      <c r="W229" s="7">
        <v>47.338349999999998</v>
      </c>
      <c r="X229" s="7">
        <v>31.558900000000001</v>
      </c>
      <c r="Y229" s="7">
        <v>50</v>
      </c>
      <c r="Z229" s="7">
        <v>47.297381999999999</v>
      </c>
      <c r="AA229" s="7">
        <v>47.358294999999998</v>
      </c>
      <c r="AB229" s="7">
        <v>31.572196999999999</v>
      </c>
      <c r="AC229" s="7">
        <v>50</v>
      </c>
      <c r="AD229" s="7">
        <v>54.967905000000002</v>
      </c>
      <c r="AE229" s="7">
        <v>36.645269999999996</v>
      </c>
      <c r="AF229" s="7">
        <v>50</v>
      </c>
      <c r="AG229" s="7">
        <v>53.983511</v>
      </c>
      <c r="AH229" s="7">
        <v>56.551493000000001</v>
      </c>
      <c r="AI229" s="7">
        <v>35.989007999999998</v>
      </c>
      <c r="AJ229" s="7">
        <v>50</v>
      </c>
      <c r="AK229" s="7">
        <v>-0.87</v>
      </c>
      <c r="AL229" s="7">
        <v>-0.06</v>
      </c>
      <c r="AM229" s="7">
        <v>2.56</v>
      </c>
      <c r="AN229" s="7">
        <v>0.49674600000000002</v>
      </c>
      <c r="AO229" s="7">
        <v>49.674619999999997</v>
      </c>
      <c r="AP229" s="7">
        <v>100</v>
      </c>
      <c r="AQ229" s="7">
        <v>0.437301</v>
      </c>
      <c r="AR229" s="7">
        <v>43.730141000000003</v>
      </c>
      <c r="AS229" s="7">
        <v>100</v>
      </c>
      <c r="AT229" s="7">
        <v>0.48957600000000001</v>
      </c>
      <c r="AU229" s="7">
        <v>0.51527000000000001</v>
      </c>
      <c r="AV229" s="7">
        <v>48.957585999999999</v>
      </c>
      <c r="AW229" s="7">
        <v>100</v>
      </c>
      <c r="AX229" s="7">
        <v>0.44812999999999997</v>
      </c>
      <c r="AY229" s="7">
        <v>0.40887699999999999</v>
      </c>
      <c r="AZ229" s="7">
        <v>44.812992999999999</v>
      </c>
      <c r="BA229" s="7">
        <v>100</v>
      </c>
      <c r="BB229" s="4" t="s">
        <v>124</v>
      </c>
      <c r="BC229" s="4" t="s">
        <v>124</v>
      </c>
      <c r="BD229" s="4" t="s">
        <v>124</v>
      </c>
      <c r="BE229" s="4" t="s">
        <v>124</v>
      </c>
      <c r="BF229" s="4" t="s">
        <v>124</v>
      </c>
      <c r="BG229" s="4" t="s">
        <v>124</v>
      </c>
      <c r="BH229" s="7">
        <v>0</v>
      </c>
      <c r="BI229" s="7">
        <v>1</v>
      </c>
      <c r="BJ229" s="7">
        <v>1</v>
      </c>
      <c r="BK229" s="7">
        <v>1</v>
      </c>
      <c r="BL229" s="7">
        <v>1</v>
      </c>
      <c r="BM229" s="7">
        <v>1</v>
      </c>
      <c r="BN229" s="7">
        <v>1</v>
      </c>
      <c r="BO229" s="7">
        <v>1</v>
      </c>
      <c r="BP229" s="7">
        <v>1</v>
      </c>
      <c r="BQ229" s="7">
        <v>1</v>
      </c>
      <c r="BR229" s="7">
        <v>8.9946999999999999E-2</v>
      </c>
      <c r="BS229" s="7">
        <v>42.010581999999999</v>
      </c>
      <c r="BT229" s="7">
        <v>50</v>
      </c>
      <c r="BU229" s="7">
        <v>0.103704</v>
      </c>
      <c r="BV229" s="7">
        <v>39.259259</v>
      </c>
      <c r="BW229" s="7">
        <v>50</v>
      </c>
      <c r="BX229" s="7">
        <v>0.87234</v>
      </c>
      <c r="BY229" s="7">
        <v>50</v>
      </c>
      <c r="BZ229" s="7">
        <v>50</v>
      </c>
      <c r="CA229" s="7">
        <v>0.170213</v>
      </c>
      <c r="CB229" s="7">
        <v>11.347518000000001</v>
      </c>
      <c r="CC229" s="7">
        <v>50</v>
      </c>
      <c r="CD229" s="7">
        <v>0.93023299999999998</v>
      </c>
      <c r="CE229" s="7">
        <v>49.480454999999999</v>
      </c>
      <c r="CF229" s="7">
        <v>50</v>
      </c>
      <c r="CG229" s="7">
        <v>1</v>
      </c>
      <c r="CH229" s="7">
        <v>100</v>
      </c>
      <c r="CI229" s="7">
        <v>100</v>
      </c>
      <c r="CJ229" s="7">
        <v>0</v>
      </c>
      <c r="CK229" s="4" t="s">
        <v>124</v>
      </c>
      <c r="CL229" s="4" t="s">
        <v>124</v>
      </c>
      <c r="CM229" s="4" t="s">
        <v>124</v>
      </c>
      <c r="CN229" s="7">
        <v>0.69230800000000003</v>
      </c>
      <c r="CO229" s="7">
        <v>92.307692000000003</v>
      </c>
      <c r="CP229" s="7">
        <v>100</v>
      </c>
      <c r="CQ229" s="7">
        <v>0.45977000000000001</v>
      </c>
      <c r="CR229" s="7">
        <v>0.98863599999999996</v>
      </c>
      <c r="CS229" s="7">
        <v>30.651340999999999</v>
      </c>
      <c r="CT229" s="7">
        <v>50</v>
      </c>
      <c r="CU229" s="7">
        <v>0.76041700000000001</v>
      </c>
      <c r="CV229" s="7">
        <v>50</v>
      </c>
      <c r="CW229" s="7">
        <v>50</v>
      </c>
      <c r="CX229" s="4" t="s">
        <v>124</v>
      </c>
      <c r="CY229" s="4" t="s">
        <v>124</v>
      </c>
      <c r="CZ229" s="4" t="s">
        <v>124</v>
      </c>
      <c r="DA229" s="7">
        <v>15.314097</v>
      </c>
      <c r="DB229" s="7">
        <v>17.400950000000002</v>
      </c>
      <c r="DC229" s="7">
        <v>16.332519999999999</v>
      </c>
      <c r="DD229" s="7">
        <v>7.9891730000000001</v>
      </c>
      <c r="DE229" s="7">
        <v>0</v>
      </c>
      <c r="DF229" s="6"/>
      <c r="DG229" s="6"/>
      <c r="DH229" s="6"/>
      <c r="DI229" s="6"/>
      <c r="DJ229" s="7">
        <v>0</v>
      </c>
      <c r="DK229" s="7">
        <v>0</v>
      </c>
      <c r="DL229" s="7">
        <v>0</v>
      </c>
      <c r="DM229" s="7">
        <v>0</v>
      </c>
      <c r="DN229" s="7">
        <v>0</v>
      </c>
      <c r="DO229" s="7">
        <v>0</v>
      </c>
      <c r="DP229" s="6"/>
      <c r="DQ229" s="4" t="s">
        <v>125</v>
      </c>
    </row>
    <row r="230" spans="1:121" ht="20" customHeight="1" x14ac:dyDescent="0.15">
      <c r="A230" s="5">
        <v>2018</v>
      </c>
      <c r="B230" s="3" t="s">
        <v>180</v>
      </c>
      <c r="C230" s="4" t="str">
        <f t="shared" si="55"/>
        <v>0110011</v>
      </c>
      <c r="D230" s="4" t="s">
        <v>361</v>
      </c>
      <c r="E230" s="4" t="str">
        <f>"0110611"</f>
        <v>0110611</v>
      </c>
      <c r="F230" s="4" t="s">
        <v>327</v>
      </c>
      <c r="G230" s="4" t="s">
        <v>338</v>
      </c>
      <c r="H230" s="7">
        <v>2</v>
      </c>
      <c r="I230" s="4" t="s">
        <v>335</v>
      </c>
      <c r="J230" s="4" t="s">
        <v>330</v>
      </c>
      <c r="K230" s="7">
        <v>76.763807</v>
      </c>
      <c r="L230" s="7">
        <v>100</v>
      </c>
      <c r="M230" s="7">
        <v>76.763807</v>
      </c>
      <c r="N230" s="4" t="s">
        <v>124</v>
      </c>
      <c r="O230" s="4" t="s">
        <v>124</v>
      </c>
      <c r="P230" s="4" t="s">
        <v>124</v>
      </c>
      <c r="Q230" s="4" t="s">
        <v>124</v>
      </c>
      <c r="R230" s="4" t="s">
        <v>124</v>
      </c>
      <c r="S230" s="4" t="s">
        <v>124</v>
      </c>
      <c r="T230" s="4" t="s">
        <v>124</v>
      </c>
      <c r="U230" s="4" t="s">
        <v>124</v>
      </c>
      <c r="V230" s="4" t="s">
        <v>124</v>
      </c>
      <c r="W230" s="4" t="s">
        <v>124</v>
      </c>
      <c r="X230" s="4" t="s">
        <v>124</v>
      </c>
      <c r="Y230" s="4" t="s">
        <v>124</v>
      </c>
      <c r="Z230" s="4" t="s">
        <v>124</v>
      </c>
      <c r="AA230" s="4" t="s">
        <v>124</v>
      </c>
      <c r="AB230" s="4" t="s">
        <v>124</v>
      </c>
      <c r="AC230" s="4" t="s">
        <v>124</v>
      </c>
      <c r="AD230" s="4" t="s">
        <v>124</v>
      </c>
      <c r="AE230" s="4" t="s">
        <v>124</v>
      </c>
      <c r="AF230" s="4" t="s">
        <v>124</v>
      </c>
      <c r="AG230" s="4" t="s">
        <v>124</v>
      </c>
      <c r="AH230" s="4" t="s">
        <v>124</v>
      </c>
      <c r="AI230" s="4" t="s">
        <v>124</v>
      </c>
      <c r="AJ230" s="4" t="s">
        <v>124</v>
      </c>
      <c r="AK230" s="4" t="s">
        <v>124</v>
      </c>
      <c r="AL230" s="4" t="s">
        <v>124</v>
      </c>
      <c r="AM230" s="4" t="s">
        <v>124</v>
      </c>
      <c r="AN230" s="4" t="s">
        <v>124</v>
      </c>
      <c r="AO230" s="4" t="s">
        <v>124</v>
      </c>
      <c r="AP230" s="4" t="s">
        <v>124</v>
      </c>
      <c r="AQ230" s="4" t="s">
        <v>124</v>
      </c>
      <c r="AR230" s="4" t="s">
        <v>124</v>
      </c>
      <c r="AS230" s="4" t="s">
        <v>124</v>
      </c>
      <c r="AT230" s="4" t="s">
        <v>124</v>
      </c>
      <c r="AU230" s="4" t="s">
        <v>124</v>
      </c>
      <c r="AV230" s="4" t="s">
        <v>124</v>
      </c>
      <c r="AW230" s="4" t="s">
        <v>124</v>
      </c>
      <c r="AX230" s="4" t="s">
        <v>124</v>
      </c>
      <c r="AY230" s="4" t="s">
        <v>124</v>
      </c>
      <c r="AZ230" s="4" t="s">
        <v>124</v>
      </c>
      <c r="BA230" s="4" t="s">
        <v>124</v>
      </c>
      <c r="BB230" s="4" t="s">
        <v>124</v>
      </c>
      <c r="BC230" s="4" t="s">
        <v>124</v>
      </c>
      <c r="BD230" s="4" t="s">
        <v>124</v>
      </c>
      <c r="BE230" s="4" t="s">
        <v>124</v>
      </c>
      <c r="BF230" s="4" t="s">
        <v>124</v>
      </c>
      <c r="BG230" s="4" t="s">
        <v>124</v>
      </c>
      <c r="BH230" s="4" t="s">
        <v>124</v>
      </c>
      <c r="BI230" s="4" t="s">
        <v>124</v>
      </c>
      <c r="BJ230" s="4" t="s">
        <v>124</v>
      </c>
      <c r="BK230" s="4" t="s">
        <v>124</v>
      </c>
      <c r="BL230" s="4" t="s">
        <v>124</v>
      </c>
      <c r="BM230" s="4" t="s">
        <v>124</v>
      </c>
      <c r="BN230" s="4" t="s">
        <v>124</v>
      </c>
      <c r="BO230" s="4" t="s">
        <v>124</v>
      </c>
      <c r="BP230" s="4" t="s">
        <v>124</v>
      </c>
      <c r="BQ230" s="4" t="s">
        <v>124</v>
      </c>
      <c r="BR230" s="7">
        <v>9.9714999999999998E-2</v>
      </c>
      <c r="BS230" s="7">
        <v>40.056980000000003</v>
      </c>
      <c r="BT230" s="7">
        <v>50</v>
      </c>
      <c r="BU230" s="7">
        <v>0.116466</v>
      </c>
      <c r="BV230" s="7">
        <v>36.706826999999997</v>
      </c>
      <c r="BW230" s="7">
        <v>50</v>
      </c>
      <c r="BX230" s="4" t="s">
        <v>124</v>
      </c>
      <c r="BY230" s="4" t="s">
        <v>124</v>
      </c>
      <c r="BZ230" s="4" t="s">
        <v>124</v>
      </c>
      <c r="CA230" s="4" t="s">
        <v>124</v>
      </c>
      <c r="CB230" s="4" t="s">
        <v>124</v>
      </c>
      <c r="CC230" s="4" t="s">
        <v>124</v>
      </c>
      <c r="CD230" s="4" t="s">
        <v>124</v>
      </c>
      <c r="CE230" s="4" t="s">
        <v>124</v>
      </c>
      <c r="CF230" s="4" t="s">
        <v>124</v>
      </c>
      <c r="CG230" s="4" t="s">
        <v>124</v>
      </c>
      <c r="CH230" s="4" t="s">
        <v>124</v>
      </c>
      <c r="CI230" s="4" t="s">
        <v>124</v>
      </c>
      <c r="CJ230" s="4" t="s">
        <v>124</v>
      </c>
      <c r="CK230" s="4" t="s">
        <v>124</v>
      </c>
      <c r="CL230" s="4" t="s">
        <v>124</v>
      </c>
      <c r="CM230" s="4" t="s">
        <v>124</v>
      </c>
      <c r="CN230" s="4" t="s">
        <v>124</v>
      </c>
      <c r="CO230" s="4" t="s">
        <v>124</v>
      </c>
      <c r="CP230" s="4" t="s">
        <v>124</v>
      </c>
      <c r="CQ230" s="4" t="s">
        <v>124</v>
      </c>
      <c r="CR230" s="4" t="s">
        <v>124</v>
      </c>
      <c r="CS230" s="4" t="s">
        <v>124</v>
      </c>
      <c r="CT230" s="4" t="s">
        <v>124</v>
      </c>
      <c r="CU230" s="4" t="s">
        <v>124</v>
      </c>
      <c r="CV230" s="4" t="s">
        <v>124</v>
      </c>
      <c r="CW230" s="4" t="s">
        <v>124</v>
      </c>
      <c r="CX230" s="4" t="s">
        <v>124</v>
      </c>
      <c r="CY230" s="4" t="s">
        <v>124</v>
      </c>
      <c r="CZ230" s="4" t="s">
        <v>124</v>
      </c>
      <c r="DA230" s="4" t="s">
        <v>124</v>
      </c>
      <c r="DB230" s="4" t="s">
        <v>124</v>
      </c>
      <c r="DC230" s="4" t="s">
        <v>124</v>
      </c>
      <c r="DD230" s="4" t="s">
        <v>124</v>
      </c>
      <c r="DE230" s="4" t="s">
        <v>124</v>
      </c>
      <c r="DF230" s="6"/>
      <c r="DG230" s="6"/>
      <c r="DH230" s="6"/>
      <c r="DI230" s="6"/>
      <c r="DJ230" s="4" t="s">
        <v>124</v>
      </c>
      <c r="DK230" s="4" t="s">
        <v>124</v>
      </c>
      <c r="DL230" s="4" t="s">
        <v>124</v>
      </c>
      <c r="DM230" s="4" t="s">
        <v>124</v>
      </c>
      <c r="DN230" s="4" t="s">
        <v>124</v>
      </c>
      <c r="DO230" s="4" t="s">
        <v>124</v>
      </c>
      <c r="DP230" s="6"/>
      <c r="DQ230" s="4" t="s">
        <v>125</v>
      </c>
    </row>
    <row r="231" spans="1:121" ht="20" customHeight="1" x14ac:dyDescent="0.15">
      <c r="A231" s="5">
        <v>2018</v>
      </c>
      <c r="B231" s="3" t="s">
        <v>180</v>
      </c>
      <c r="C231" s="4" t="str">
        <f t="shared" si="55"/>
        <v>0110011</v>
      </c>
      <c r="D231" s="4" t="s">
        <v>362</v>
      </c>
      <c r="E231" s="4" t="str">
        <f>"0116411"</f>
        <v>0116411</v>
      </c>
      <c r="F231" s="4" t="s">
        <v>327</v>
      </c>
      <c r="G231" s="7">
        <v>9</v>
      </c>
      <c r="H231" s="7">
        <v>12</v>
      </c>
      <c r="I231" s="6"/>
      <c r="J231" s="4" t="s">
        <v>330</v>
      </c>
      <c r="K231" s="7">
        <v>0</v>
      </c>
      <c r="L231" s="7">
        <v>0</v>
      </c>
      <c r="M231" s="7">
        <v>0</v>
      </c>
      <c r="N231" s="4" t="s">
        <v>124</v>
      </c>
      <c r="O231" s="4" t="s">
        <v>124</v>
      </c>
      <c r="P231" s="4" t="s">
        <v>124</v>
      </c>
      <c r="Q231" s="4" t="s">
        <v>124</v>
      </c>
      <c r="R231" s="4" t="s">
        <v>124</v>
      </c>
      <c r="S231" s="4" t="s">
        <v>124</v>
      </c>
      <c r="T231" s="4" t="s">
        <v>124</v>
      </c>
      <c r="U231" s="4" t="s">
        <v>124</v>
      </c>
      <c r="V231" s="4" t="s">
        <v>124</v>
      </c>
      <c r="W231" s="4" t="s">
        <v>124</v>
      </c>
      <c r="X231" s="4" t="s">
        <v>124</v>
      </c>
      <c r="Y231" s="4" t="s">
        <v>124</v>
      </c>
      <c r="Z231" s="4" t="s">
        <v>124</v>
      </c>
      <c r="AA231" s="4" t="s">
        <v>124</v>
      </c>
      <c r="AB231" s="4" t="s">
        <v>124</v>
      </c>
      <c r="AC231" s="4" t="s">
        <v>124</v>
      </c>
      <c r="AD231" s="4" t="s">
        <v>124</v>
      </c>
      <c r="AE231" s="4" t="s">
        <v>124</v>
      </c>
      <c r="AF231" s="4" t="s">
        <v>124</v>
      </c>
      <c r="AG231" s="4" t="s">
        <v>124</v>
      </c>
      <c r="AH231" s="4" t="s">
        <v>124</v>
      </c>
      <c r="AI231" s="4" t="s">
        <v>124</v>
      </c>
      <c r="AJ231" s="4" t="s">
        <v>124</v>
      </c>
      <c r="AK231" s="4" t="s">
        <v>124</v>
      </c>
      <c r="AL231" s="4" t="s">
        <v>124</v>
      </c>
      <c r="AM231" s="4" t="s">
        <v>124</v>
      </c>
      <c r="AN231" s="4" t="s">
        <v>124</v>
      </c>
      <c r="AO231" s="4" t="s">
        <v>124</v>
      </c>
      <c r="AP231" s="4" t="s">
        <v>124</v>
      </c>
      <c r="AQ231" s="4" t="s">
        <v>124</v>
      </c>
      <c r="AR231" s="4" t="s">
        <v>124</v>
      </c>
      <c r="AS231" s="4" t="s">
        <v>124</v>
      </c>
      <c r="AT231" s="4" t="s">
        <v>124</v>
      </c>
      <c r="AU231" s="4" t="s">
        <v>124</v>
      </c>
      <c r="AV231" s="4" t="s">
        <v>124</v>
      </c>
      <c r="AW231" s="4" t="s">
        <v>124</v>
      </c>
      <c r="AX231" s="4" t="s">
        <v>124</v>
      </c>
      <c r="AY231" s="4" t="s">
        <v>124</v>
      </c>
      <c r="AZ231" s="4" t="s">
        <v>124</v>
      </c>
      <c r="BA231" s="4" t="s">
        <v>124</v>
      </c>
      <c r="BB231" s="4" t="s">
        <v>124</v>
      </c>
      <c r="BC231" s="4" t="s">
        <v>124</v>
      </c>
      <c r="BD231" s="4" t="s">
        <v>124</v>
      </c>
      <c r="BE231" s="4" t="s">
        <v>124</v>
      </c>
      <c r="BF231" s="4" t="s">
        <v>124</v>
      </c>
      <c r="BG231" s="4" t="s">
        <v>124</v>
      </c>
      <c r="BH231" s="7">
        <v>0</v>
      </c>
      <c r="BI231" s="4" t="s">
        <v>124</v>
      </c>
      <c r="BJ231" s="4" t="s">
        <v>124</v>
      </c>
      <c r="BK231" s="4" t="s">
        <v>124</v>
      </c>
      <c r="BL231" s="4" t="s">
        <v>124</v>
      </c>
      <c r="BM231" s="4" t="s">
        <v>124</v>
      </c>
      <c r="BN231" s="4" t="s">
        <v>124</v>
      </c>
      <c r="BO231" s="4" t="s">
        <v>124</v>
      </c>
      <c r="BP231" s="4" t="s">
        <v>124</v>
      </c>
      <c r="BQ231" s="4" t="s">
        <v>124</v>
      </c>
      <c r="BR231" s="4" t="s">
        <v>124</v>
      </c>
      <c r="BS231" s="4" t="s">
        <v>124</v>
      </c>
      <c r="BT231" s="4" t="s">
        <v>124</v>
      </c>
      <c r="BU231" s="4" t="s">
        <v>124</v>
      </c>
      <c r="BV231" s="4" t="s">
        <v>124</v>
      </c>
      <c r="BW231" s="4" t="s">
        <v>124</v>
      </c>
      <c r="BX231" s="4" t="s">
        <v>124</v>
      </c>
      <c r="BY231" s="4" t="s">
        <v>124</v>
      </c>
      <c r="BZ231" s="4" t="s">
        <v>124</v>
      </c>
      <c r="CA231" s="4" t="s">
        <v>124</v>
      </c>
      <c r="CB231" s="4" t="s">
        <v>124</v>
      </c>
      <c r="CC231" s="4" t="s">
        <v>124</v>
      </c>
      <c r="CD231" s="4" t="s">
        <v>124</v>
      </c>
      <c r="CE231" s="4" t="s">
        <v>124</v>
      </c>
      <c r="CF231" s="4" t="s">
        <v>124</v>
      </c>
      <c r="CG231" s="4" t="s">
        <v>124</v>
      </c>
      <c r="CH231" s="4" t="s">
        <v>124</v>
      </c>
      <c r="CI231" s="4" t="s">
        <v>124</v>
      </c>
      <c r="CJ231" s="4" t="s">
        <v>124</v>
      </c>
      <c r="CK231" s="4" t="s">
        <v>124</v>
      </c>
      <c r="CL231" s="4" t="s">
        <v>124</v>
      </c>
      <c r="CM231" s="4" t="s">
        <v>124</v>
      </c>
      <c r="CN231" s="4" t="s">
        <v>124</v>
      </c>
      <c r="CO231" s="4" t="s">
        <v>124</v>
      </c>
      <c r="CP231" s="4" t="s">
        <v>124</v>
      </c>
      <c r="CQ231" s="4" t="s">
        <v>124</v>
      </c>
      <c r="CR231" s="4" t="s">
        <v>124</v>
      </c>
      <c r="CS231" s="4" t="s">
        <v>124</v>
      </c>
      <c r="CT231" s="4" t="s">
        <v>124</v>
      </c>
      <c r="CU231" s="4" t="s">
        <v>124</v>
      </c>
      <c r="CV231" s="4" t="s">
        <v>124</v>
      </c>
      <c r="CW231" s="4" t="s">
        <v>124</v>
      </c>
      <c r="CX231" s="4" t="s">
        <v>124</v>
      </c>
      <c r="CY231" s="4" t="s">
        <v>124</v>
      </c>
      <c r="CZ231" s="4" t="s">
        <v>124</v>
      </c>
      <c r="DA231" s="4" t="s">
        <v>124</v>
      </c>
      <c r="DB231" s="4" t="s">
        <v>124</v>
      </c>
      <c r="DC231" s="4" t="s">
        <v>124</v>
      </c>
      <c r="DD231" s="4" t="s">
        <v>124</v>
      </c>
      <c r="DE231" s="4" t="s">
        <v>124</v>
      </c>
      <c r="DF231" s="6"/>
      <c r="DG231" s="6"/>
      <c r="DH231" s="6"/>
      <c r="DI231" s="6"/>
      <c r="DJ231" s="4" t="s">
        <v>124</v>
      </c>
      <c r="DK231" s="4" t="s">
        <v>124</v>
      </c>
      <c r="DL231" s="4" t="s">
        <v>124</v>
      </c>
      <c r="DM231" s="4" t="s">
        <v>124</v>
      </c>
      <c r="DN231" s="4" t="s">
        <v>124</v>
      </c>
      <c r="DO231" s="4" t="s">
        <v>124</v>
      </c>
      <c r="DP231" s="6"/>
      <c r="DQ231" s="4" t="s">
        <v>125</v>
      </c>
    </row>
    <row r="232" spans="1:121" ht="20" customHeight="1" x14ac:dyDescent="0.15">
      <c r="A232" s="5">
        <v>2018</v>
      </c>
      <c r="B232" s="3" t="s">
        <v>180</v>
      </c>
      <c r="C232" s="4" t="str">
        <f t="shared" si="55"/>
        <v>0110011</v>
      </c>
      <c r="D232" s="4" t="s">
        <v>363</v>
      </c>
      <c r="E232" s="4" t="str">
        <f>"0110511"</f>
        <v>0110511</v>
      </c>
      <c r="F232" s="4" t="s">
        <v>327</v>
      </c>
      <c r="G232" s="7">
        <v>3</v>
      </c>
      <c r="H232" s="7">
        <v>4</v>
      </c>
      <c r="I232" s="4" t="s">
        <v>335</v>
      </c>
      <c r="J232" s="4" t="s">
        <v>330</v>
      </c>
      <c r="K232" s="7">
        <v>463.81968999999998</v>
      </c>
      <c r="L232" s="7">
        <v>750</v>
      </c>
      <c r="M232" s="7">
        <v>61.842624999999998</v>
      </c>
      <c r="N232" s="7">
        <v>3</v>
      </c>
      <c r="O232" s="7">
        <v>0</v>
      </c>
      <c r="P232" s="7">
        <v>63.298599000000003</v>
      </c>
      <c r="Q232" s="7">
        <v>42.199066000000002</v>
      </c>
      <c r="R232" s="7">
        <v>50</v>
      </c>
      <c r="S232" s="7">
        <v>58.420695000000002</v>
      </c>
      <c r="T232" s="7">
        <v>73.348257000000004</v>
      </c>
      <c r="U232" s="7">
        <v>38.947130000000001</v>
      </c>
      <c r="V232" s="7">
        <v>50</v>
      </c>
      <c r="W232" s="7">
        <v>57.355572000000002</v>
      </c>
      <c r="X232" s="7">
        <v>38.237048000000001</v>
      </c>
      <c r="Y232" s="7">
        <v>50</v>
      </c>
      <c r="Z232" s="7">
        <v>67.605343000000005</v>
      </c>
      <c r="AA232" s="7">
        <v>52.380536999999997</v>
      </c>
      <c r="AB232" s="7">
        <v>34.920358</v>
      </c>
      <c r="AC232" s="7">
        <v>50</v>
      </c>
      <c r="AD232" s="4" t="s">
        <v>124</v>
      </c>
      <c r="AE232" s="4" t="s">
        <v>124</v>
      </c>
      <c r="AF232" s="4" t="s">
        <v>124</v>
      </c>
      <c r="AG232" s="4" t="s">
        <v>124</v>
      </c>
      <c r="AH232" s="4" t="s">
        <v>124</v>
      </c>
      <c r="AI232" s="4" t="s">
        <v>124</v>
      </c>
      <c r="AJ232" s="4" t="s">
        <v>124</v>
      </c>
      <c r="AK232" s="7">
        <v>14.92</v>
      </c>
      <c r="AL232" s="7">
        <v>15.22</v>
      </c>
      <c r="AM232" s="4" t="s">
        <v>124</v>
      </c>
      <c r="AN232" s="7">
        <v>0.49048799999999998</v>
      </c>
      <c r="AO232" s="7">
        <v>49.048777000000001</v>
      </c>
      <c r="AP232" s="7">
        <v>100</v>
      </c>
      <c r="AQ232" s="7">
        <v>0.49747200000000003</v>
      </c>
      <c r="AR232" s="7">
        <v>49.747171999999999</v>
      </c>
      <c r="AS232" s="7">
        <v>100</v>
      </c>
      <c r="AT232" s="7">
        <v>0.46069399999999999</v>
      </c>
      <c r="AU232" s="7">
        <v>0.54560600000000004</v>
      </c>
      <c r="AV232" s="7">
        <v>46.069400000000002</v>
      </c>
      <c r="AW232" s="7">
        <v>100</v>
      </c>
      <c r="AX232" s="7">
        <v>0.46122800000000003</v>
      </c>
      <c r="AY232" s="7">
        <v>0.56452199999999997</v>
      </c>
      <c r="AZ232" s="7">
        <v>46.122808999999997</v>
      </c>
      <c r="BA232" s="7">
        <v>100</v>
      </c>
      <c r="BB232" s="4" t="s">
        <v>124</v>
      </c>
      <c r="BC232" s="4" t="s">
        <v>124</v>
      </c>
      <c r="BD232" s="4" t="s">
        <v>124</v>
      </c>
      <c r="BE232" s="4" t="s">
        <v>124</v>
      </c>
      <c r="BF232" s="4" t="s">
        <v>124</v>
      </c>
      <c r="BG232" s="4" t="s">
        <v>124</v>
      </c>
      <c r="BH232" s="7">
        <v>0</v>
      </c>
      <c r="BI232" s="7">
        <v>1</v>
      </c>
      <c r="BJ232" s="7">
        <v>1</v>
      </c>
      <c r="BK232" s="7">
        <v>1</v>
      </c>
      <c r="BL232" s="7">
        <v>1</v>
      </c>
      <c r="BM232" s="7">
        <v>1</v>
      </c>
      <c r="BN232" s="7">
        <v>1</v>
      </c>
      <c r="BO232" s="4" t="s">
        <v>124</v>
      </c>
      <c r="BP232" s="4" t="s">
        <v>124</v>
      </c>
      <c r="BQ232" s="4" t="s">
        <v>124</v>
      </c>
      <c r="BR232" s="7">
        <v>8.2396999999999998E-2</v>
      </c>
      <c r="BS232" s="7">
        <v>43.520598999999997</v>
      </c>
      <c r="BT232" s="7">
        <v>50</v>
      </c>
      <c r="BU232" s="7">
        <v>0.103825</v>
      </c>
      <c r="BV232" s="7">
        <v>39.234972999999997</v>
      </c>
      <c r="BW232" s="7">
        <v>50</v>
      </c>
      <c r="BX232" s="4" t="s">
        <v>124</v>
      </c>
      <c r="BY232" s="4" t="s">
        <v>124</v>
      </c>
      <c r="BZ232" s="4" t="s">
        <v>124</v>
      </c>
      <c r="CA232" s="4" t="s">
        <v>124</v>
      </c>
      <c r="CB232" s="4" t="s">
        <v>124</v>
      </c>
      <c r="CC232" s="4" t="s">
        <v>124</v>
      </c>
      <c r="CD232" s="4" t="s">
        <v>124</v>
      </c>
      <c r="CE232" s="4" t="s">
        <v>124</v>
      </c>
      <c r="CF232" s="4" t="s">
        <v>124</v>
      </c>
      <c r="CG232" s="4" t="s">
        <v>124</v>
      </c>
      <c r="CH232" s="4" t="s">
        <v>124</v>
      </c>
      <c r="CI232" s="4" t="s">
        <v>124</v>
      </c>
      <c r="CJ232" s="4" t="s">
        <v>124</v>
      </c>
      <c r="CK232" s="4" t="s">
        <v>124</v>
      </c>
      <c r="CL232" s="4" t="s">
        <v>124</v>
      </c>
      <c r="CM232" s="4" t="s">
        <v>124</v>
      </c>
      <c r="CN232" s="4" t="s">
        <v>124</v>
      </c>
      <c r="CO232" s="4" t="s">
        <v>124</v>
      </c>
      <c r="CP232" s="4" t="s">
        <v>124</v>
      </c>
      <c r="CQ232" s="7">
        <v>0.53658499999999998</v>
      </c>
      <c r="CR232" s="7">
        <v>0.98399999999999999</v>
      </c>
      <c r="CS232" s="7">
        <v>35.772357999999997</v>
      </c>
      <c r="CT232" s="7">
        <v>50</v>
      </c>
      <c r="CU232" s="4" t="s">
        <v>124</v>
      </c>
      <c r="CV232" s="4" t="s">
        <v>124</v>
      </c>
      <c r="CW232" s="4" t="s">
        <v>124</v>
      </c>
      <c r="CX232" s="4" t="s">
        <v>124</v>
      </c>
      <c r="CY232" s="4" t="s">
        <v>124</v>
      </c>
      <c r="CZ232" s="4" t="s">
        <v>124</v>
      </c>
      <c r="DA232" s="7">
        <v>15.314097</v>
      </c>
      <c r="DB232" s="7">
        <v>17.400950000000002</v>
      </c>
      <c r="DC232" s="7">
        <v>16.332519999999999</v>
      </c>
      <c r="DD232" s="4" t="s">
        <v>124</v>
      </c>
      <c r="DE232" s="7">
        <v>0</v>
      </c>
      <c r="DF232" s="6"/>
      <c r="DG232" s="6"/>
      <c r="DH232" s="6"/>
      <c r="DI232" s="6"/>
      <c r="DJ232" s="7">
        <v>0</v>
      </c>
      <c r="DK232" s="7">
        <v>0</v>
      </c>
      <c r="DL232" s="7">
        <v>0</v>
      </c>
      <c r="DM232" s="7">
        <v>0</v>
      </c>
      <c r="DN232" s="7">
        <v>0</v>
      </c>
      <c r="DO232" s="7">
        <v>0</v>
      </c>
      <c r="DP232" s="6"/>
      <c r="DQ232" s="4" t="s">
        <v>125</v>
      </c>
    </row>
    <row r="233" spans="1:121" ht="20" customHeight="1" x14ac:dyDescent="0.15">
      <c r="A233" s="5">
        <v>2018</v>
      </c>
      <c r="B233" s="3" t="s">
        <v>140</v>
      </c>
      <c r="C233" s="4" t="str">
        <f t="shared" si="16"/>
        <v>0120011</v>
      </c>
      <c r="D233" s="4" t="s">
        <v>364</v>
      </c>
      <c r="E233" s="4" t="str">
        <f>"0120111"</f>
        <v>0120111</v>
      </c>
      <c r="F233" s="4" t="s">
        <v>327</v>
      </c>
      <c r="G233" s="4" t="s">
        <v>328</v>
      </c>
      <c r="H233" s="7">
        <v>8</v>
      </c>
      <c r="I233" s="4" t="s">
        <v>329</v>
      </c>
      <c r="J233" s="4" t="s">
        <v>330</v>
      </c>
      <c r="K233" s="7">
        <v>659.89107999999999</v>
      </c>
      <c r="L233" s="7">
        <v>900</v>
      </c>
      <c r="M233" s="7">
        <v>73.321230999999997</v>
      </c>
      <c r="N233" s="7">
        <v>2</v>
      </c>
      <c r="O233" s="7">
        <v>0</v>
      </c>
      <c r="P233" s="7">
        <v>77.214194000000006</v>
      </c>
      <c r="Q233" s="7">
        <v>50</v>
      </c>
      <c r="R233" s="7">
        <v>50</v>
      </c>
      <c r="S233" s="7">
        <v>64.990509000000003</v>
      </c>
      <c r="T233" s="7">
        <v>75</v>
      </c>
      <c r="U233" s="7">
        <v>43.327005999999997</v>
      </c>
      <c r="V233" s="7">
        <v>50</v>
      </c>
      <c r="W233" s="7">
        <v>73.237025000000003</v>
      </c>
      <c r="X233" s="7">
        <v>48.824683999999998</v>
      </c>
      <c r="Y233" s="7">
        <v>50</v>
      </c>
      <c r="Z233" s="7">
        <v>75</v>
      </c>
      <c r="AA233" s="7">
        <v>59.458556999999999</v>
      </c>
      <c r="AB233" s="7">
        <v>39.639037999999999</v>
      </c>
      <c r="AC233" s="7">
        <v>50</v>
      </c>
      <c r="AD233" s="7">
        <v>75.815651000000003</v>
      </c>
      <c r="AE233" s="7">
        <v>50</v>
      </c>
      <c r="AF233" s="7">
        <v>50</v>
      </c>
      <c r="AG233" s="7">
        <v>64.301057</v>
      </c>
      <c r="AH233" s="7">
        <v>75</v>
      </c>
      <c r="AI233" s="7">
        <v>42.867370999999999</v>
      </c>
      <c r="AJ233" s="7">
        <v>50</v>
      </c>
      <c r="AK233" s="7">
        <v>10</v>
      </c>
      <c r="AL233" s="7">
        <v>15.54</v>
      </c>
      <c r="AM233" s="7">
        <v>10.69</v>
      </c>
      <c r="AN233" s="7">
        <v>0.58734699999999995</v>
      </c>
      <c r="AO233" s="7">
        <v>58.734686000000004</v>
      </c>
      <c r="AP233" s="7">
        <v>100</v>
      </c>
      <c r="AQ233" s="7">
        <v>0.61204700000000001</v>
      </c>
      <c r="AR233" s="7">
        <v>61.204704</v>
      </c>
      <c r="AS233" s="7">
        <v>100</v>
      </c>
      <c r="AT233" s="7">
        <v>0.51663000000000003</v>
      </c>
      <c r="AU233" s="7">
        <v>0.61576900000000001</v>
      </c>
      <c r="AV233" s="7">
        <v>51.662984000000002</v>
      </c>
      <c r="AW233" s="7">
        <v>100</v>
      </c>
      <c r="AX233" s="7">
        <v>0.49428899999999998</v>
      </c>
      <c r="AY233" s="7">
        <v>0.65937599999999996</v>
      </c>
      <c r="AZ233" s="7">
        <v>49.428927000000002</v>
      </c>
      <c r="BA233" s="7">
        <v>100</v>
      </c>
      <c r="BB233" s="4" t="s">
        <v>124</v>
      </c>
      <c r="BC233" s="4" t="s">
        <v>124</v>
      </c>
      <c r="BD233" s="4" t="s">
        <v>124</v>
      </c>
      <c r="BE233" s="4" t="s">
        <v>124</v>
      </c>
      <c r="BF233" s="4" t="s">
        <v>124</v>
      </c>
      <c r="BG233" s="4" t="s">
        <v>124</v>
      </c>
      <c r="BH233" s="7">
        <v>0</v>
      </c>
      <c r="BI233" s="7">
        <v>0.98039200000000004</v>
      </c>
      <c r="BJ233" s="7">
        <v>0.99137900000000001</v>
      </c>
      <c r="BK233" s="7">
        <v>0.97510399999999997</v>
      </c>
      <c r="BL233" s="7">
        <v>0.98039200000000004</v>
      </c>
      <c r="BM233" s="7">
        <v>0.99137900000000001</v>
      </c>
      <c r="BN233" s="7">
        <v>0.97510399999999997</v>
      </c>
      <c r="BO233" s="7">
        <v>0.98461500000000002</v>
      </c>
      <c r="BP233" s="7">
        <v>0.97674399999999995</v>
      </c>
      <c r="BQ233" s="7">
        <v>0.988506</v>
      </c>
      <c r="BR233" s="7">
        <v>4.3137000000000002E-2</v>
      </c>
      <c r="BS233" s="7">
        <v>50</v>
      </c>
      <c r="BT233" s="7">
        <v>50</v>
      </c>
      <c r="BU233" s="7">
        <v>0.123377</v>
      </c>
      <c r="BV233" s="7">
        <v>35.324674999999999</v>
      </c>
      <c r="BW233" s="7">
        <v>50</v>
      </c>
      <c r="BX233" s="4" t="s">
        <v>124</v>
      </c>
      <c r="BY233" s="4" t="s">
        <v>124</v>
      </c>
      <c r="BZ233" s="4" t="s">
        <v>124</v>
      </c>
      <c r="CA233" s="4" t="s">
        <v>124</v>
      </c>
      <c r="CB233" s="4" t="s">
        <v>124</v>
      </c>
      <c r="CC233" s="4" t="s">
        <v>124</v>
      </c>
      <c r="CD233" s="7">
        <v>0.95</v>
      </c>
      <c r="CE233" s="7">
        <v>50</v>
      </c>
      <c r="CF233" s="7">
        <v>50</v>
      </c>
      <c r="CG233" s="4" t="s">
        <v>124</v>
      </c>
      <c r="CH233" s="4" t="s">
        <v>124</v>
      </c>
      <c r="CI233" s="4" t="s">
        <v>124</v>
      </c>
      <c r="CJ233" s="4" t="s">
        <v>124</v>
      </c>
      <c r="CK233" s="4" t="s">
        <v>124</v>
      </c>
      <c r="CL233" s="4" t="s">
        <v>124</v>
      </c>
      <c r="CM233" s="4" t="s">
        <v>124</v>
      </c>
      <c r="CN233" s="4" t="s">
        <v>124</v>
      </c>
      <c r="CO233" s="4" t="s">
        <v>124</v>
      </c>
      <c r="CP233" s="4" t="s">
        <v>124</v>
      </c>
      <c r="CQ233" s="7">
        <v>0.43315500000000001</v>
      </c>
      <c r="CR233" s="7">
        <v>0.99468100000000004</v>
      </c>
      <c r="CS233" s="7">
        <v>28.877005</v>
      </c>
      <c r="CT233" s="7">
        <v>50</v>
      </c>
      <c r="CU233" s="4" t="s">
        <v>124</v>
      </c>
      <c r="CV233" s="4" t="s">
        <v>124</v>
      </c>
      <c r="CW233" s="4" t="s">
        <v>124</v>
      </c>
      <c r="CX233" s="4" t="s">
        <v>124</v>
      </c>
      <c r="CY233" s="4" t="s">
        <v>124</v>
      </c>
      <c r="CZ233" s="4" t="s">
        <v>124</v>
      </c>
      <c r="DA233" s="7">
        <v>15.314097</v>
      </c>
      <c r="DB233" s="7">
        <v>17.400950000000002</v>
      </c>
      <c r="DC233" s="7">
        <v>16.332519999999999</v>
      </c>
      <c r="DD233" s="4" t="s">
        <v>124</v>
      </c>
      <c r="DE233" s="7">
        <v>0</v>
      </c>
      <c r="DF233" s="6"/>
      <c r="DG233" s="6"/>
      <c r="DH233" s="6"/>
      <c r="DI233" s="6"/>
      <c r="DJ233" s="7">
        <v>0</v>
      </c>
      <c r="DK233" s="7">
        <v>0</v>
      </c>
      <c r="DL233" s="7">
        <v>0</v>
      </c>
      <c r="DM233" s="7">
        <v>0</v>
      </c>
      <c r="DN233" s="7">
        <v>0</v>
      </c>
      <c r="DO233" s="7">
        <v>0</v>
      </c>
      <c r="DP233" s="6"/>
      <c r="DQ233" s="4" t="s">
        <v>125</v>
      </c>
    </row>
    <row r="234" spans="1:121" ht="20" customHeight="1" x14ac:dyDescent="0.15">
      <c r="A234" s="5">
        <v>2018</v>
      </c>
      <c r="B234" s="3" t="s">
        <v>140</v>
      </c>
      <c r="C234" s="4" t="str">
        <f t="shared" si="16"/>
        <v>0120011</v>
      </c>
      <c r="D234" s="4" t="s">
        <v>365</v>
      </c>
      <c r="E234" s="4" t="str">
        <f>"0126111"</f>
        <v>0126111</v>
      </c>
      <c r="F234" s="4" t="s">
        <v>327</v>
      </c>
      <c r="G234" s="7">
        <v>9</v>
      </c>
      <c r="H234" s="7">
        <v>12</v>
      </c>
      <c r="I234" s="6"/>
      <c r="J234" s="4" t="s">
        <v>330</v>
      </c>
      <c r="K234" s="7">
        <v>857.822183</v>
      </c>
      <c r="L234" s="7">
        <v>950</v>
      </c>
      <c r="M234" s="7">
        <v>90.297072</v>
      </c>
      <c r="N234" s="7">
        <v>1</v>
      </c>
      <c r="O234" s="7">
        <v>0</v>
      </c>
      <c r="P234" s="7">
        <v>62.547221999999998</v>
      </c>
      <c r="Q234" s="7">
        <v>125.094444</v>
      </c>
      <c r="R234" s="7">
        <v>150</v>
      </c>
      <c r="S234" s="4" t="s">
        <v>124</v>
      </c>
      <c r="T234" s="7">
        <v>68.259690000000006</v>
      </c>
      <c r="U234" s="4" t="s">
        <v>124</v>
      </c>
      <c r="V234" s="4" t="s">
        <v>124</v>
      </c>
      <c r="W234" s="7">
        <v>56.191667000000002</v>
      </c>
      <c r="X234" s="7">
        <v>112.38333299999999</v>
      </c>
      <c r="Y234" s="7">
        <v>150</v>
      </c>
      <c r="Z234" s="7">
        <v>60.968992</v>
      </c>
      <c r="AA234" s="4" t="s">
        <v>124</v>
      </c>
      <c r="AB234" s="4" t="s">
        <v>124</v>
      </c>
      <c r="AC234" s="4" t="s">
        <v>124</v>
      </c>
      <c r="AD234" s="7">
        <v>73.967949000000004</v>
      </c>
      <c r="AE234" s="7">
        <v>98.623931999999996</v>
      </c>
      <c r="AF234" s="7">
        <v>100</v>
      </c>
      <c r="AG234" s="4" t="s">
        <v>124</v>
      </c>
      <c r="AH234" s="7">
        <v>75</v>
      </c>
      <c r="AI234" s="4" t="s">
        <v>124</v>
      </c>
      <c r="AJ234" s="4" t="s">
        <v>124</v>
      </c>
      <c r="AK234" s="4" t="s">
        <v>124</v>
      </c>
      <c r="AL234" s="4" t="s">
        <v>124</v>
      </c>
      <c r="AM234" s="4" t="s">
        <v>124</v>
      </c>
      <c r="AN234" s="4" t="s">
        <v>124</v>
      </c>
      <c r="AO234" s="4" t="s">
        <v>124</v>
      </c>
      <c r="AP234" s="4" t="s">
        <v>124</v>
      </c>
      <c r="AQ234" s="4" t="s">
        <v>124</v>
      </c>
      <c r="AR234" s="4" t="s">
        <v>124</v>
      </c>
      <c r="AS234" s="4" t="s">
        <v>124</v>
      </c>
      <c r="AT234" s="4" t="s">
        <v>124</v>
      </c>
      <c r="AU234" s="4" t="s">
        <v>124</v>
      </c>
      <c r="AV234" s="4" t="s">
        <v>124</v>
      </c>
      <c r="AW234" s="4" t="s">
        <v>124</v>
      </c>
      <c r="AX234" s="4" t="s">
        <v>124</v>
      </c>
      <c r="AY234" s="4" t="s">
        <v>124</v>
      </c>
      <c r="AZ234" s="4" t="s">
        <v>124</v>
      </c>
      <c r="BA234" s="4" t="s">
        <v>124</v>
      </c>
      <c r="BB234" s="4" t="s">
        <v>124</v>
      </c>
      <c r="BC234" s="4" t="s">
        <v>124</v>
      </c>
      <c r="BD234" s="4" t="s">
        <v>124</v>
      </c>
      <c r="BE234" s="4" t="s">
        <v>124</v>
      </c>
      <c r="BF234" s="4" t="s">
        <v>124</v>
      </c>
      <c r="BG234" s="4" t="s">
        <v>124</v>
      </c>
      <c r="BH234" s="7">
        <v>0</v>
      </c>
      <c r="BI234" s="7">
        <v>1</v>
      </c>
      <c r="BJ234" s="4" t="s">
        <v>124</v>
      </c>
      <c r="BK234" s="7">
        <v>1</v>
      </c>
      <c r="BL234" s="7">
        <v>1</v>
      </c>
      <c r="BM234" s="4" t="s">
        <v>124</v>
      </c>
      <c r="BN234" s="7">
        <v>1</v>
      </c>
      <c r="BO234" s="7">
        <v>1</v>
      </c>
      <c r="BP234" s="4" t="s">
        <v>124</v>
      </c>
      <c r="BQ234" s="7">
        <v>1</v>
      </c>
      <c r="BR234" s="7">
        <v>5.0388000000000002E-2</v>
      </c>
      <c r="BS234" s="7">
        <v>49.922480999999998</v>
      </c>
      <c r="BT234" s="7">
        <v>50</v>
      </c>
      <c r="BU234" s="7">
        <v>9.7222000000000003E-2</v>
      </c>
      <c r="BV234" s="7">
        <v>40.555556000000003</v>
      </c>
      <c r="BW234" s="7">
        <v>50</v>
      </c>
      <c r="BX234" s="7">
        <v>0.76612899999999995</v>
      </c>
      <c r="BY234" s="7">
        <v>50</v>
      </c>
      <c r="BZ234" s="7">
        <v>50</v>
      </c>
      <c r="CA234" s="7">
        <v>0.50806499999999999</v>
      </c>
      <c r="CB234" s="7">
        <v>33.870967999999998</v>
      </c>
      <c r="CC234" s="7">
        <v>50</v>
      </c>
      <c r="CD234" s="7">
        <v>0.971831</v>
      </c>
      <c r="CE234" s="7">
        <v>50</v>
      </c>
      <c r="CF234" s="7">
        <v>50</v>
      </c>
      <c r="CG234" s="7">
        <v>0.98734200000000005</v>
      </c>
      <c r="CH234" s="7">
        <v>100</v>
      </c>
      <c r="CI234" s="7">
        <v>100</v>
      </c>
      <c r="CJ234" s="7">
        <v>0</v>
      </c>
      <c r="CK234" s="4" t="s">
        <v>124</v>
      </c>
      <c r="CL234" s="4" t="s">
        <v>124</v>
      </c>
      <c r="CM234" s="4" t="s">
        <v>124</v>
      </c>
      <c r="CN234" s="7">
        <v>0.84810099999999999</v>
      </c>
      <c r="CO234" s="7">
        <v>100</v>
      </c>
      <c r="CP234" s="7">
        <v>100</v>
      </c>
      <c r="CQ234" s="7">
        <v>0.72413799999999995</v>
      </c>
      <c r="CR234" s="7">
        <v>0.92063499999999998</v>
      </c>
      <c r="CS234" s="7">
        <v>48.275861999999996</v>
      </c>
      <c r="CT234" s="7">
        <v>50</v>
      </c>
      <c r="CU234" s="7">
        <v>0.58914699999999998</v>
      </c>
      <c r="CV234" s="7">
        <v>49.095607000000001</v>
      </c>
      <c r="CW234" s="7">
        <v>50</v>
      </c>
      <c r="CX234" s="4" t="s">
        <v>124</v>
      </c>
      <c r="CY234" s="4" t="s">
        <v>124</v>
      </c>
      <c r="CZ234" s="4" t="s">
        <v>124</v>
      </c>
      <c r="DA234" s="7">
        <v>15.314097</v>
      </c>
      <c r="DB234" s="7">
        <v>17.400950000000002</v>
      </c>
      <c r="DC234" s="7">
        <v>16.332519999999999</v>
      </c>
      <c r="DD234" s="7">
        <v>7.9891730000000001</v>
      </c>
      <c r="DE234" s="7">
        <v>0</v>
      </c>
      <c r="DF234" s="6"/>
      <c r="DG234" s="6"/>
      <c r="DH234" s="4" t="s">
        <v>331</v>
      </c>
      <c r="DI234" s="4" t="s">
        <v>366</v>
      </c>
      <c r="DJ234" s="7">
        <v>1</v>
      </c>
      <c r="DK234" s="7">
        <v>0</v>
      </c>
      <c r="DL234" s="7">
        <v>0</v>
      </c>
      <c r="DM234" s="7">
        <v>0</v>
      </c>
      <c r="DN234" s="7">
        <v>0</v>
      </c>
      <c r="DO234" s="7">
        <v>1</v>
      </c>
      <c r="DP234" s="6"/>
      <c r="DQ234" s="4" t="s">
        <v>125</v>
      </c>
    </row>
    <row r="235" spans="1:121" ht="20" customHeight="1" x14ac:dyDescent="0.15">
      <c r="A235" s="5">
        <v>2018</v>
      </c>
      <c r="B235" s="3" t="s">
        <v>157</v>
      </c>
      <c r="C235" s="4" t="str">
        <f t="shared" si="32"/>
        <v>0130011</v>
      </c>
      <c r="D235" s="4" t="s">
        <v>367</v>
      </c>
      <c r="E235" s="4" t="str">
        <f>"0130111"</f>
        <v>0130111</v>
      </c>
      <c r="F235" s="4" t="s">
        <v>327</v>
      </c>
      <c r="G235" s="4" t="s">
        <v>328</v>
      </c>
      <c r="H235" s="7">
        <v>8</v>
      </c>
      <c r="I235" s="4" t="s">
        <v>329</v>
      </c>
      <c r="J235" s="4" t="s">
        <v>330</v>
      </c>
      <c r="K235" s="7">
        <v>625.25504899999999</v>
      </c>
      <c r="L235" s="7">
        <v>850</v>
      </c>
      <c r="M235" s="7">
        <v>73.559416999999996</v>
      </c>
      <c r="N235" s="7">
        <v>2</v>
      </c>
      <c r="O235" s="7">
        <v>0</v>
      </c>
      <c r="P235" s="7">
        <v>68.262862999999996</v>
      </c>
      <c r="Q235" s="7">
        <v>45.508575</v>
      </c>
      <c r="R235" s="7">
        <v>50</v>
      </c>
      <c r="S235" s="7">
        <v>62.232416999999998</v>
      </c>
      <c r="T235" s="7">
        <v>72.656473000000005</v>
      </c>
      <c r="U235" s="7">
        <v>41.488278000000001</v>
      </c>
      <c r="V235" s="7">
        <v>50</v>
      </c>
      <c r="W235" s="7">
        <v>64.373439000000005</v>
      </c>
      <c r="X235" s="7">
        <v>42.915626000000003</v>
      </c>
      <c r="Y235" s="7">
        <v>50</v>
      </c>
      <c r="Z235" s="7">
        <v>69.122972000000004</v>
      </c>
      <c r="AA235" s="7">
        <v>57.854472999999999</v>
      </c>
      <c r="AB235" s="7">
        <v>38.569648000000001</v>
      </c>
      <c r="AC235" s="7">
        <v>50</v>
      </c>
      <c r="AD235" s="7">
        <v>69.345215999999994</v>
      </c>
      <c r="AE235" s="7">
        <v>46.230144000000003</v>
      </c>
      <c r="AF235" s="7">
        <v>50</v>
      </c>
      <c r="AG235" s="4" t="s">
        <v>124</v>
      </c>
      <c r="AH235" s="7">
        <v>75</v>
      </c>
      <c r="AI235" s="4" t="s">
        <v>124</v>
      </c>
      <c r="AJ235" s="4" t="s">
        <v>124</v>
      </c>
      <c r="AK235" s="7">
        <v>10.42</v>
      </c>
      <c r="AL235" s="7">
        <v>11.26</v>
      </c>
      <c r="AM235" s="4" t="s">
        <v>124</v>
      </c>
      <c r="AN235" s="7">
        <v>0.54711500000000002</v>
      </c>
      <c r="AO235" s="7">
        <v>54.711478999999997</v>
      </c>
      <c r="AP235" s="7">
        <v>100</v>
      </c>
      <c r="AQ235" s="7">
        <v>0.66597300000000004</v>
      </c>
      <c r="AR235" s="7">
        <v>66.597314999999995</v>
      </c>
      <c r="AS235" s="7">
        <v>100</v>
      </c>
      <c r="AT235" s="7">
        <v>0.49672300000000003</v>
      </c>
      <c r="AU235" s="7">
        <v>0.58045100000000005</v>
      </c>
      <c r="AV235" s="7">
        <v>49.672336999999999</v>
      </c>
      <c r="AW235" s="7">
        <v>100</v>
      </c>
      <c r="AX235" s="7">
        <v>0.70256099999999999</v>
      </c>
      <c r="AY235" s="7">
        <v>0.64176900000000003</v>
      </c>
      <c r="AZ235" s="7">
        <v>70.256138000000007</v>
      </c>
      <c r="BA235" s="7">
        <v>100</v>
      </c>
      <c r="BB235" s="4" t="s">
        <v>124</v>
      </c>
      <c r="BC235" s="4" t="s">
        <v>124</v>
      </c>
      <c r="BD235" s="4" t="s">
        <v>124</v>
      </c>
      <c r="BE235" s="4" t="s">
        <v>124</v>
      </c>
      <c r="BF235" s="4" t="s">
        <v>124</v>
      </c>
      <c r="BG235" s="4" t="s">
        <v>124</v>
      </c>
      <c r="BH235" s="7">
        <v>0</v>
      </c>
      <c r="BI235" s="7">
        <v>0.98412699999999997</v>
      </c>
      <c r="BJ235" s="7">
        <v>0.96363600000000005</v>
      </c>
      <c r="BK235" s="7">
        <v>1</v>
      </c>
      <c r="BL235" s="7">
        <v>0.98412699999999997</v>
      </c>
      <c r="BM235" s="7">
        <v>0.96363600000000005</v>
      </c>
      <c r="BN235" s="7">
        <v>1</v>
      </c>
      <c r="BO235" s="7">
        <v>0.97826100000000005</v>
      </c>
      <c r="BP235" s="7">
        <v>0.95454499999999998</v>
      </c>
      <c r="BQ235" s="7">
        <v>1</v>
      </c>
      <c r="BR235" s="7">
        <v>4.6511999999999998E-2</v>
      </c>
      <c r="BS235" s="7">
        <v>50</v>
      </c>
      <c r="BT235" s="7">
        <v>50</v>
      </c>
      <c r="BU235" s="7">
        <v>8.8608000000000006E-2</v>
      </c>
      <c r="BV235" s="7">
        <v>42.278480999999999</v>
      </c>
      <c r="BW235" s="7">
        <v>50</v>
      </c>
      <c r="BX235" s="4" t="s">
        <v>124</v>
      </c>
      <c r="BY235" s="4" t="s">
        <v>124</v>
      </c>
      <c r="BZ235" s="4" t="s">
        <v>124</v>
      </c>
      <c r="CA235" s="4" t="s">
        <v>124</v>
      </c>
      <c r="CB235" s="4" t="s">
        <v>124</v>
      </c>
      <c r="CC235" s="4" t="s">
        <v>124</v>
      </c>
      <c r="CD235" s="7">
        <v>1</v>
      </c>
      <c r="CE235" s="7">
        <v>50</v>
      </c>
      <c r="CF235" s="7">
        <v>50</v>
      </c>
      <c r="CG235" s="4" t="s">
        <v>124</v>
      </c>
      <c r="CH235" s="4" t="s">
        <v>124</v>
      </c>
      <c r="CI235" s="4" t="s">
        <v>124</v>
      </c>
      <c r="CJ235" s="4" t="s">
        <v>124</v>
      </c>
      <c r="CK235" s="4" t="s">
        <v>124</v>
      </c>
      <c r="CL235" s="4" t="s">
        <v>124</v>
      </c>
      <c r="CM235" s="4" t="s">
        <v>124</v>
      </c>
      <c r="CN235" s="4" t="s">
        <v>124</v>
      </c>
      <c r="CO235" s="4" t="s">
        <v>124</v>
      </c>
      <c r="CP235" s="4" t="s">
        <v>124</v>
      </c>
      <c r="CQ235" s="7">
        <v>0.40540500000000002</v>
      </c>
      <c r="CR235" s="7">
        <v>1</v>
      </c>
      <c r="CS235" s="7">
        <v>27.027027</v>
      </c>
      <c r="CT235" s="7">
        <v>50</v>
      </c>
      <c r="CU235" s="4" t="s">
        <v>124</v>
      </c>
      <c r="CV235" s="4" t="s">
        <v>124</v>
      </c>
      <c r="CW235" s="4" t="s">
        <v>124</v>
      </c>
      <c r="CX235" s="4" t="s">
        <v>124</v>
      </c>
      <c r="CY235" s="4" t="s">
        <v>124</v>
      </c>
      <c r="CZ235" s="4" t="s">
        <v>124</v>
      </c>
      <c r="DA235" s="7">
        <v>15.314097</v>
      </c>
      <c r="DB235" s="7">
        <v>17.400950000000002</v>
      </c>
      <c r="DC235" s="7">
        <v>16.332519999999999</v>
      </c>
      <c r="DD235" s="4" t="s">
        <v>124</v>
      </c>
      <c r="DE235" s="7">
        <v>0</v>
      </c>
      <c r="DF235" s="6"/>
      <c r="DG235" s="6"/>
      <c r="DH235" s="6"/>
      <c r="DI235" s="6"/>
      <c r="DJ235" s="7">
        <v>0</v>
      </c>
      <c r="DK235" s="7">
        <v>0</v>
      </c>
      <c r="DL235" s="7">
        <v>0</v>
      </c>
      <c r="DM235" s="7">
        <v>0</v>
      </c>
      <c r="DN235" s="7">
        <v>0</v>
      </c>
      <c r="DO235" s="7">
        <v>0</v>
      </c>
      <c r="DP235" s="6"/>
      <c r="DQ235" s="4" t="s">
        <v>125</v>
      </c>
    </row>
    <row r="236" spans="1:121" ht="20" customHeight="1" x14ac:dyDescent="0.15">
      <c r="A236" s="5">
        <v>2018</v>
      </c>
      <c r="B236" s="3" t="s">
        <v>158</v>
      </c>
      <c r="C236" s="4" t="str">
        <f t="shared" si="33"/>
        <v>0140011</v>
      </c>
      <c r="D236" s="4" t="s">
        <v>368</v>
      </c>
      <c r="E236" s="4" t="str">
        <f>"0146111"</f>
        <v>0146111</v>
      </c>
      <c r="F236" s="4" t="s">
        <v>327</v>
      </c>
      <c r="G236" s="7">
        <v>9</v>
      </c>
      <c r="H236" s="7">
        <v>12</v>
      </c>
      <c r="I236" s="6"/>
      <c r="J236" s="4" t="s">
        <v>330</v>
      </c>
      <c r="K236" s="7">
        <v>1145.1450580000001</v>
      </c>
      <c r="L236" s="7">
        <v>1450</v>
      </c>
      <c r="M236" s="7">
        <v>78.975521000000001</v>
      </c>
      <c r="N236" s="7">
        <v>3</v>
      </c>
      <c r="O236" s="7">
        <v>1</v>
      </c>
      <c r="P236" s="7">
        <v>60.052227000000002</v>
      </c>
      <c r="Q236" s="7">
        <v>120.104455</v>
      </c>
      <c r="R236" s="7">
        <v>150</v>
      </c>
      <c r="S236" s="7">
        <v>50.532863999999996</v>
      </c>
      <c r="T236" s="7">
        <v>64.681506999999996</v>
      </c>
      <c r="U236" s="7">
        <v>101.06572799999999</v>
      </c>
      <c r="V236" s="7">
        <v>150</v>
      </c>
      <c r="W236" s="7">
        <v>58.247056000000001</v>
      </c>
      <c r="X236" s="7">
        <v>116.494112</v>
      </c>
      <c r="Y236" s="7">
        <v>150</v>
      </c>
      <c r="Z236" s="7">
        <v>64.103881000000001</v>
      </c>
      <c r="AA236" s="7">
        <v>46.203443</v>
      </c>
      <c r="AB236" s="7">
        <v>92.406886</v>
      </c>
      <c r="AC236" s="7">
        <v>150</v>
      </c>
      <c r="AD236" s="7">
        <v>60.767884000000002</v>
      </c>
      <c r="AE236" s="7">
        <v>81.023846000000006</v>
      </c>
      <c r="AF236" s="7">
        <v>100</v>
      </c>
      <c r="AG236" s="7">
        <v>50.184165</v>
      </c>
      <c r="AH236" s="7">
        <v>66.169230999999996</v>
      </c>
      <c r="AI236" s="7">
        <v>66.912220000000005</v>
      </c>
      <c r="AJ236" s="7">
        <v>100</v>
      </c>
      <c r="AK236" s="7">
        <v>14.14</v>
      </c>
      <c r="AL236" s="7">
        <v>17.899999999999999</v>
      </c>
      <c r="AM236" s="7">
        <v>15.98</v>
      </c>
      <c r="AN236" s="4" t="s">
        <v>124</v>
      </c>
      <c r="AO236" s="4" t="s">
        <v>124</v>
      </c>
      <c r="AP236" s="4" t="s">
        <v>124</v>
      </c>
      <c r="AQ236" s="4" t="s">
        <v>124</v>
      </c>
      <c r="AR236" s="4" t="s">
        <v>124</v>
      </c>
      <c r="AS236" s="4" t="s">
        <v>124</v>
      </c>
      <c r="AT236" s="4" t="s">
        <v>124</v>
      </c>
      <c r="AU236" s="4" t="s">
        <v>124</v>
      </c>
      <c r="AV236" s="4" t="s">
        <v>124</v>
      </c>
      <c r="AW236" s="4" t="s">
        <v>124</v>
      </c>
      <c r="AX236" s="4" t="s">
        <v>124</v>
      </c>
      <c r="AY236" s="4" t="s">
        <v>124</v>
      </c>
      <c r="AZ236" s="4" t="s">
        <v>124</v>
      </c>
      <c r="BA236" s="4" t="s">
        <v>124</v>
      </c>
      <c r="BB236" s="4" t="s">
        <v>124</v>
      </c>
      <c r="BC236" s="4" t="s">
        <v>124</v>
      </c>
      <c r="BD236" s="4" t="s">
        <v>124</v>
      </c>
      <c r="BE236" s="4" t="s">
        <v>124</v>
      </c>
      <c r="BF236" s="4" t="s">
        <v>124</v>
      </c>
      <c r="BG236" s="4" t="s">
        <v>124</v>
      </c>
      <c r="BH236" s="7">
        <v>1</v>
      </c>
      <c r="BI236" s="7">
        <v>0.97777800000000004</v>
      </c>
      <c r="BJ236" s="7">
        <v>0.93589699999999998</v>
      </c>
      <c r="BK236" s="7">
        <v>1</v>
      </c>
      <c r="BL236" s="7">
        <v>0.97777800000000004</v>
      </c>
      <c r="BM236" s="7">
        <v>0.93589699999999998</v>
      </c>
      <c r="BN236" s="7">
        <v>1</v>
      </c>
      <c r="BO236" s="7">
        <v>0.98666699999999996</v>
      </c>
      <c r="BP236" s="7">
        <v>0.97435899999999998</v>
      </c>
      <c r="BQ236" s="7">
        <v>0.993197</v>
      </c>
      <c r="BR236" s="7">
        <v>0.10173699999999999</v>
      </c>
      <c r="BS236" s="7">
        <v>39.652605000000001</v>
      </c>
      <c r="BT236" s="7">
        <v>50</v>
      </c>
      <c r="BU236" s="7">
        <v>0.159468</v>
      </c>
      <c r="BV236" s="7">
        <v>28.106311999999999</v>
      </c>
      <c r="BW236" s="7">
        <v>50</v>
      </c>
      <c r="BX236" s="7">
        <v>0.93778799999999995</v>
      </c>
      <c r="BY236" s="7">
        <v>50</v>
      </c>
      <c r="BZ236" s="7">
        <v>50</v>
      </c>
      <c r="CA236" s="7">
        <v>0.45391700000000001</v>
      </c>
      <c r="CB236" s="7">
        <v>30.261137000000002</v>
      </c>
      <c r="CC236" s="7">
        <v>50</v>
      </c>
      <c r="CD236" s="7">
        <v>0.96648000000000001</v>
      </c>
      <c r="CE236" s="7">
        <v>50</v>
      </c>
      <c r="CF236" s="7">
        <v>50</v>
      </c>
      <c r="CG236" s="7">
        <v>0.96172199999999997</v>
      </c>
      <c r="CH236" s="7">
        <v>100</v>
      </c>
      <c r="CI236" s="7">
        <v>100</v>
      </c>
      <c r="CJ236" s="7">
        <v>0</v>
      </c>
      <c r="CK236" s="7">
        <v>0.96385500000000002</v>
      </c>
      <c r="CL236" s="7">
        <v>100</v>
      </c>
      <c r="CM236" s="7">
        <v>100</v>
      </c>
      <c r="CN236" s="7">
        <v>0.72058800000000001</v>
      </c>
      <c r="CO236" s="7">
        <v>96.078430999999995</v>
      </c>
      <c r="CP236" s="7">
        <v>100</v>
      </c>
      <c r="CQ236" s="7">
        <v>0.43181799999999998</v>
      </c>
      <c r="CR236" s="7">
        <v>0.91191699999999998</v>
      </c>
      <c r="CS236" s="7">
        <v>28.787879</v>
      </c>
      <c r="CT236" s="7">
        <v>50</v>
      </c>
      <c r="CU236" s="7">
        <v>0.53101699999999996</v>
      </c>
      <c r="CV236" s="7">
        <v>44.251446999999999</v>
      </c>
      <c r="CW236" s="7">
        <v>50</v>
      </c>
      <c r="CX236" s="7">
        <v>0.96385500000000002</v>
      </c>
      <c r="CY236" s="7">
        <v>0.94</v>
      </c>
      <c r="CZ236" s="7">
        <v>-2.3855000000000001E-2</v>
      </c>
      <c r="DA236" s="7">
        <v>15.314097</v>
      </c>
      <c r="DB236" s="7">
        <v>17.400950000000002</v>
      </c>
      <c r="DC236" s="7">
        <v>16.332519999999999</v>
      </c>
      <c r="DD236" s="7">
        <v>7.9891730000000001</v>
      </c>
      <c r="DE236" s="7">
        <v>1</v>
      </c>
      <c r="DF236" s="6"/>
      <c r="DG236" s="6"/>
      <c r="DH236" s="6"/>
      <c r="DI236" s="6"/>
      <c r="DJ236" s="7">
        <v>0</v>
      </c>
      <c r="DK236" s="7">
        <v>0</v>
      </c>
      <c r="DL236" s="7">
        <v>0</v>
      </c>
      <c r="DM236" s="7">
        <v>0</v>
      </c>
      <c r="DN236" s="7">
        <v>0</v>
      </c>
      <c r="DO236" s="7">
        <v>0</v>
      </c>
      <c r="DP236" s="6"/>
      <c r="DQ236" s="4" t="s">
        <v>125</v>
      </c>
    </row>
    <row r="237" spans="1:121" ht="20" customHeight="1" x14ac:dyDescent="0.15">
      <c r="A237" s="5">
        <v>2018</v>
      </c>
      <c r="B237" s="3" t="s">
        <v>158</v>
      </c>
      <c r="C237" s="4" t="str">
        <f t="shared" si="33"/>
        <v>0140011</v>
      </c>
      <c r="D237" s="4" t="s">
        <v>369</v>
      </c>
      <c r="E237" s="4" t="str">
        <f>"0145111"</f>
        <v>0145111</v>
      </c>
      <c r="F237" s="4" t="s">
        <v>327</v>
      </c>
      <c r="G237" s="7">
        <v>5</v>
      </c>
      <c r="H237" s="7">
        <v>8</v>
      </c>
      <c r="I237" s="4" t="s">
        <v>329</v>
      </c>
      <c r="J237" s="4" t="s">
        <v>330</v>
      </c>
      <c r="K237" s="7">
        <v>741.58727499999998</v>
      </c>
      <c r="L237" s="7">
        <v>1000</v>
      </c>
      <c r="M237" s="7">
        <v>74.158726999999999</v>
      </c>
      <c r="N237" s="7">
        <v>2</v>
      </c>
      <c r="O237" s="7">
        <v>0</v>
      </c>
      <c r="P237" s="7">
        <v>71.131333999999995</v>
      </c>
      <c r="Q237" s="7">
        <v>47.420889000000003</v>
      </c>
      <c r="R237" s="7">
        <v>50</v>
      </c>
      <c r="S237" s="7">
        <v>62.540866999999999</v>
      </c>
      <c r="T237" s="7">
        <v>75</v>
      </c>
      <c r="U237" s="7">
        <v>41.693911999999997</v>
      </c>
      <c r="V237" s="7">
        <v>50</v>
      </c>
      <c r="W237" s="7">
        <v>66.882386999999994</v>
      </c>
      <c r="X237" s="7">
        <v>44.588258000000003</v>
      </c>
      <c r="Y237" s="7">
        <v>50</v>
      </c>
      <c r="Z237" s="7">
        <v>73.760838000000007</v>
      </c>
      <c r="AA237" s="7">
        <v>57.622202000000001</v>
      </c>
      <c r="AB237" s="7">
        <v>38.414800999999997</v>
      </c>
      <c r="AC237" s="7">
        <v>50</v>
      </c>
      <c r="AD237" s="7">
        <v>70.242193999999998</v>
      </c>
      <c r="AE237" s="7">
        <v>46.828128999999997</v>
      </c>
      <c r="AF237" s="7">
        <v>50</v>
      </c>
      <c r="AG237" s="7">
        <v>60.892364999999998</v>
      </c>
      <c r="AH237" s="7">
        <v>75</v>
      </c>
      <c r="AI237" s="7">
        <v>40.594909999999999</v>
      </c>
      <c r="AJ237" s="7">
        <v>50</v>
      </c>
      <c r="AK237" s="7">
        <v>12.45</v>
      </c>
      <c r="AL237" s="7">
        <v>16.13</v>
      </c>
      <c r="AM237" s="7">
        <v>14.1</v>
      </c>
      <c r="AN237" s="7">
        <v>0.63983800000000002</v>
      </c>
      <c r="AO237" s="7">
        <v>63.983777000000003</v>
      </c>
      <c r="AP237" s="7">
        <v>100</v>
      </c>
      <c r="AQ237" s="7">
        <v>0.58830499999999997</v>
      </c>
      <c r="AR237" s="7">
        <v>58.830514000000001</v>
      </c>
      <c r="AS237" s="7">
        <v>100</v>
      </c>
      <c r="AT237" s="7">
        <v>0.62782300000000002</v>
      </c>
      <c r="AU237" s="7">
        <v>0.64823500000000001</v>
      </c>
      <c r="AV237" s="7">
        <v>62.782344999999999</v>
      </c>
      <c r="AW237" s="7">
        <v>100</v>
      </c>
      <c r="AX237" s="7">
        <v>0.53001299999999996</v>
      </c>
      <c r="AY237" s="7">
        <v>0.62889300000000004</v>
      </c>
      <c r="AZ237" s="7">
        <v>53.001269999999998</v>
      </c>
      <c r="BA237" s="7">
        <v>100</v>
      </c>
      <c r="BB237" s="7">
        <v>0.67435</v>
      </c>
      <c r="BC237" s="7">
        <v>33.717506999999998</v>
      </c>
      <c r="BD237" s="7">
        <v>50</v>
      </c>
      <c r="BE237" s="7">
        <v>0.70423100000000005</v>
      </c>
      <c r="BF237" s="7">
        <v>35.211548000000001</v>
      </c>
      <c r="BG237" s="7">
        <v>50</v>
      </c>
      <c r="BH237" s="7">
        <v>0</v>
      </c>
      <c r="BI237" s="7">
        <v>0.99541299999999999</v>
      </c>
      <c r="BJ237" s="7">
        <v>0.99736100000000005</v>
      </c>
      <c r="BK237" s="7">
        <v>0.99391499999999999</v>
      </c>
      <c r="BL237" s="7">
        <v>0.99311899999999997</v>
      </c>
      <c r="BM237" s="7">
        <v>0.99208399999999997</v>
      </c>
      <c r="BN237" s="7">
        <v>0.99391499999999999</v>
      </c>
      <c r="BO237" s="7">
        <v>1</v>
      </c>
      <c r="BP237" s="7">
        <v>1</v>
      </c>
      <c r="BQ237" s="7">
        <v>1</v>
      </c>
      <c r="BR237" s="7">
        <v>3.2147000000000002E-2</v>
      </c>
      <c r="BS237" s="7">
        <v>50</v>
      </c>
      <c r="BT237" s="7">
        <v>50</v>
      </c>
      <c r="BU237" s="7">
        <v>5.1491000000000002E-2</v>
      </c>
      <c r="BV237" s="7">
        <v>49.701897000000002</v>
      </c>
      <c r="BW237" s="7">
        <v>50</v>
      </c>
      <c r="BX237" s="4" t="s">
        <v>124</v>
      </c>
      <c r="BY237" s="4" t="s">
        <v>124</v>
      </c>
      <c r="BZ237" s="4" t="s">
        <v>124</v>
      </c>
      <c r="CA237" s="4" t="s">
        <v>124</v>
      </c>
      <c r="CB237" s="4" t="s">
        <v>124</v>
      </c>
      <c r="CC237" s="4" t="s">
        <v>124</v>
      </c>
      <c r="CD237" s="7">
        <v>0.94791700000000001</v>
      </c>
      <c r="CE237" s="7">
        <v>50</v>
      </c>
      <c r="CF237" s="7">
        <v>50</v>
      </c>
      <c r="CG237" s="4" t="s">
        <v>124</v>
      </c>
      <c r="CH237" s="4" t="s">
        <v>124</v>
      </c>
      <c r="CI237" s="4" t="s">
        <v>124</v>
      </c>
      <c r="CJ237" s="4" t="s">
        <v>124</v>
      </c>
      <c r="CK237" s="4" t="s">
        <v>124</v>
      </c>
      <c r="CL237" s="4" t="s">
        <v>124</v>
      </c>
      <c r="CM237" s="4" t="s">
        <v>124</v>
      </c>
      <c r="CN237" s="4" t="s">
        <v>124</v>
      </c>
      <c r="CO237" s="4" t="s">
        <v>124</v>
      </c>
      <c r="CP237" s="4" t="s">
        <v>124</v>
      </c>
      <c r="CQ237" s="7">
        <v>0.37226300000000001</v>
      </c>
      <c r="CR237" s="7">
        <v>0.92776499999999995</v>
      </c>
      <c r="CS237" s="7">
        <v>24.817518</v>
      </c>
      <c r="CT237" s="7">
        <v>50</v>
      </c>
      <c r="CU237" s="4" t="s">
        <v>124</v>
      </c>
      <c r="CV237" s="4" t="s">
        <v>124</v>
      </c>
      <c r="CW237" s="4" t="s">
        <v>124</v>
      </c>
      <c r="CX237" s="4" t="s">
        <v>124</v>
      </c>
      <c r="CY237" s="4" t="s">
        <v>124</v>
      </c>
      <c r="CZ237" s="4" t="s">
        <v>124</v>
      </c>
      <c r="DA237" s="7">
        <v>15.314097</v>
      </c>
      <c r="DB237" s="7">
        <v>17.400950000000002</v>
      </c>
      <c r="DC237" s="7">
        <v>16.332519999999999</v>
      </c>
      <c r="DD237" s="4" t="s">
        <v>124</v>
      </c>
      <c r="DE237" s="7">
        <v>0</v>
      </c>
      <c r="DF237" s="6"/>
      <c r="DG237" s="6"/>
      <c r="DH237" s="6"/>
      <c r="DI237" s="6"/>
      <c r="DJ237" s="7">
        <v>0</v>
      </c>
      <c r="DK237" s="7">
        <v>0</v>
      </c>
      <c r="DL237" s="7">
        <v>0</v>
      </c>
      <c r="DM237" s="7">
        <v>0</v>
      </c>
      <c r="DN237" s="7">
        <v>0</v>
      </c>
      <c r="DO237" s="7">
        <v>0</v>
      </c>
      <c r="DP237" s="6"/>
      <c r="DQ237" s="4" t="s">
        <v>125</v>
      </c>
    </row>
    <row r="238" spans="1:121" ht="20" customHeight="1" x14ac:dyDescent="0.15">
      <c r="A238" s="5">
        <v>2018</v>
      </c>
      <c r="B238" s="3" t="s">
        <v>158</v>
      </c>
      <c r="C238" s="4" t="str">
        <f t="shared" si="33"/>
        <v>0140011</v>
      </c>
      <c r="D238" s="4" t="s">
        <v>370</v>
      </c>
      <c r="E238" s="4" t="str">
        <f>"0141611"</f>
        <v>0141611</v>
      </c>
      <c r="F238" s="4" t="s">
        <v>327</v>
      </c>
      <c r="G238" s="4" t="s">
        <v>328</v>
      </c>
      <c r="H238" s="7">
        <v>4</v>
      </c>
      <c r="I238" s="4" t="s">
        <v>329</v>
      </c>
      <c r="J238" s="4" t="s">
        <v>330</v>
      </c>
      <c r="K238" s="7">
        <v>491.51530000000002</v>
      </c>
      <c r="L238" s="7">
        <v>750</v>
      </c>
      <c r="M238" s="7">
        <v>65.535373000000007</v>
      </c>
      <c r="N238" s="7">
        <v>3</v>
      </c>
      <c r="O238" s="7">
        <v>0</v>
      </c>
      <c r="P238" s="7">
        <v>71.129446999999999</v>
      </c>
      <c r="Q238" s="7">
        <v>47.419632</v>
      </c>
      <c r="R238" s="7">
        <v>50</v>
      </c>
      <c r="S238" s="7">
        <v>62.167346000000002</v>
      </c>
      <c r="T238" s="7">
        <v>75</v>
      </c>
      <c r="U238" s="7">
        <v>41.444896999999997</v>
      </c>
      <c r="V238" s="7">
        <v>50</v>
      </c>
      <c r="W238" s="7">
        <v>68.346393000000006</v>
      </c>
      <c r="X238" s="7">
        <v>45.564261999999999</v>
      </c>
      <c r="Y238" s="7">
        <v>50</v>
      </c>
      <c r="Z238" s="7">
        <v>75</v>
      </c>
      <c r="AA238" s="7">
        <v>58.356354000000003</v>
      </c>
      <c r="AB238" s="7">
        <v>38.904235999999997</v>
      </c>
      <c r="AC238" s="7">
        <v>50</v>
      </c>
      <c r="AD238" s="4" t="s">
        <v>124</v>
      </c>
      <c r="AE238" s="4" t="s">
        <v>124</v>
      </c>
      <c r="AF238" s="4" t="s">
        <v>124</v>
      </c>
      <c r="AG238" s="4" t="s">
        <v>124</v>
      </c>
      <c r="AH238" s="4" t="s">
        <v>124</v>
      </c>
      <c r="AI238" s="4" t="s">
        <v>124</v>
      </c>
      <c r="AJ238" s="4" t="s">
        <v>124</v>
      </c>
      <c r="AK238" s="7">
        <v>12.83</v>
      </c>
      <c r="AL238" s="7">
        <v>16.64</v>
      </c>
      <c r="AM238" s="4" t="s">
        <v>124</v>
      </c>
      <c r="AN238" s="7">
        <v>0.45386100000000001</v>
      </c>
      <c r="AO238" s="7">
        <v>45.386116999999999</v>
      </c>
      <c r="AP238" s="7">
        <v>100</v>
      </c>
      <c r="AQ238" s="7">
        <v>0.51502099999999995</v>
      </c>
      <c r="AR238" s="7">
        <v>51.502118000000003</v>
      </c>
      <c r="AS238" s="7">
        <v>100</v>
      </c>
      <c r="AT238" s="7">
        <v>0.399696</v>
      </c>
      <c r="AU238" s="7">
        <v>0.51931099999999997</v>
      </c>
      <c r="AV238" s="7">
        <v>39.969586</v>
      </c>
      <c r="AW238" s="7">
        <v>100</v>
      </c>
      <c r="AX238" s="7">
        <v>0.41324499999999997</v>
      </c>
      <c r="AY238" s="7">
        <v>0.63800100000000004</v>
      </c>
      <c r="AZ238" s="7">
        <v>41.324452000000001</v>
      </c>
      <c r="BA238" s="7">
        <v>100</v>
      </c>
      <c r="BB238" s="4" t="s">
        <v>124</v>
      </c>
      <c r="BC238" s="4" t="s">
        <v>124</v>
      </c>
      <c r="BD238" s="4" t="s">
        <v>124</v>
      </c>
      <c r="BE238" s="4" t="s">
        <v>124</v>
      </c>
      <c r="BF238" s="4" t="s">
        <v>124</v>
      </c>
      <c r="BG238" s="4" t="s">
        <v>124</v>
      </c>
      <c r="BH238" s="7">
        <v>1</v>
      </c>
      <c r="BI238" s="7">
        <v>0.98230099999999998</v>
      </c>
      <c r="BJ238" s="7">
        <v>0.96551699999999996</v>
      </c>
      <c r="BK238" s="7">
        <v>1</v>
      </c>
      <c r="BL238" s="7">
        <v>0.97345099999999996</v>
      </c>
      <c r="BM238" s="7">
        <v>0.94827600000000001</v>
      </c>
      <c r="BN238" s="7">
        <v>1</v>
      </c>
      <c r="BO238" s="4" t="s">
        <v>124</v>
      </c>
      <c r="BP238" s="4" t="s">
        <v>124</v>
      </c>
      <c r="BQ238" s="4" t="s">
        <v>124</v>
      </c>
      <c r="BR238" s="7">
        <v>3.7037E-2</v>
      </c>
      <c r="BS238" s="7">
        <v>50</v>
      </c>
      <c r="BT238" s="7">
        <v>50</v>
      </c>
      <c r="BU238" s="7">
        <v>4.9296E-2</v>
      </c>
      <c r="BV238" s="7">
        <v>50</v>
      </c>
      <c r="BW238" s="7">
        <v>50</v>
      </c>
      <c r="BX238" s="4" t="s">
        <v>124</v>
      </c>
      <c r="BY238" s="4" t="s">
        <v>124</v>
      </c>
      <c r="BZ238" s="4" t="s">
        <v>124</v>
      </c>
      <c r="CA238" s="4" t="s">
        <v>124</v>
      </c>
      <c r="CB238" s="4" t="s">
        <v>124</v>
      </c>
      <c r="CC238" s="4" t="s">
        <v>124</v>
      </c>
      <c r="CD238" s="4" t="s">
        <v>124</v>
      </c>
      <c r="CE238" s="4" t="s">
        <v>124</v>
      </c>
      <c r="CF238" s="4" t="s">
        <v>124</v>
      </c>
      <c r="CG238" s="4" t="s">
        <v>124</v>
      </c>
      <c r="CH238" s="4" t="s">
        <v>124</v>
      </c>
      <c r="CI238" s="4" t="s">
        <v>124</v>
      </c>
      <c r="CJ238" s="4" t="s">
        <v>124</v>
      </c>
      <c r="CK238" s="4" t="s">
        <v>124</v>
      </c>
      <c r="CL238" s="4" t="s">
        <v>124</v>
      </c>
      <c r="CM238" s="4" t="s">
        <v>124</v>
      </c>
      <c r="CN238" s="4" t="s">
        <v>124</v>
      </c>
      <c r="CO238" s="4" t="s">
        <v>124</v>
      </c>
      <c r="CP238" s="4" t="s">
        <v>124</v>
      </c>
      <c r="CQ238" s="7">
        <v>0.6</v>
      </c>
      <c r="CR238" s="7">
        <v>1.0169490000000001</v>
      </c>
      <c r="CS238" s="7">
        <v>40</v>
      </c>
      <c r="CT238" s="7">
        <v>50</v>
      </c>
      <c r="CU238" s="4" t="s">
        <v>124</v>
      </c>
      <c r="CV238" s="4" t="s">
        <v>124</v>
      </c>
      <c r="CW238" s="4" t="s">
        <v>124</v>
      </c>
      <c r="CX238" s="4" t="s">
        <v>124</v>
      </c>
      <c r="CY238" s="4" t="s">
        <v>124</v>
      </c>
      <c r="CZ238" s="4" t="s">
        <v>124</v>
      </c>
      <c r="DA238" s="7">
        <v>15.314097</v>
      </c>
      <c r="DB238" s="7">
        <v>17.400950000000002</v>
      </c>
      <c r="DC238" s="7">
        <v>16.332519999999999</v>
      </c>
      <c r="DD238" s="4" t="s">
        <v>124</v>
      </c>
      <c r="DE238" s="7">
        <v>1</v>
      </c>
      <c r="DF238" s="6"/>
      <c r="DG238" s="6"/>
      <c r="DH238" s="6"/>
      <c r="DI238" s="6"/>
      <c r="DJ238" s="7">
        <v>0</v>
      </c>
      <c r="DK238" s="7">
        <v>0</v>
      </c>
      <c r="DL238" s="7">
        <v>0</v>
      </c>
      <c r="DM238" s="7">
        <v>0</v>
      </c>
      <c r="DN238" s="7">
        <v>0</v>
      </c>
      <c r="DO238" s="7">
        <v>0</v>
      </c>
      <c r="DP238" s="6"/>
      <c r="DQ238" s="4" t="s">
        <v>125</v>
      </c>
    </row>
    <row r="239" spans="1:121" ht="20" customHeight="1" x14ac:dyDescent="0.15">
      <c r="A239" s="5">
        <v>2018</v>
      </c>
      <c r="B239" s="3" t="s">
        <v>158</v>
      </c>
      <c r="C239" s="4" t="str">
        <f t="shared" si="33"/>
        <v>0140011</v>
      </c>
      <c r="D239" s="4" t="s">
        <v>371</v>
      </c>
      <c r="E239" s="4" t="str">
        <f>"0141511"</f>
        <v>0141511</v>
      </c>
      <c r="F239" s="4" t="s">
        <v>327</v>
      </c>
      <c r="G239" s="4" t="s">
        <v>328</v>
      </c>
      <c r="H239" s="7">
        <v>4</v>
      </c>
      <c r="I239" s="6"/>
      <c r="J239" s="4" t="s">
        <v>330</v>
      </c>
      <c r="K239" s="7">
        <v>595.164312</v>
      </c>
      <c r="L239" s="7">
        <v>750</v>
      </c>
      <c r="M239" s="7">
        <v>79.355242000000004</v>
      </c>
      <c r="N239" s="7">
        <v>2</v>
      </c>
      <c r="O239" s="7">
        <v>0</v>
      </c>
      <c r="P239" s="7">
        <v>73.518066000000005</v>
      </c>
      <c r="Q239" s="7">
        <v>49.012044000000003</v>
      </c>
      <c r="R239" s="7">
        <v>50</v>
      </c>
      <c r="S239" s="7">
        <v>64.869150000000005</v>
      </c>
      <c r="T239" s="7">
        <v>75</v>
      </c>
      <c r="U239" s="7">
        <v>43.246099999999998</v>
      </c>
      <c r="V239" s="7">
        <v>50</v>
      </c>
      <c r="W239" s="7">
        <v>75.003986999999995</v>
      </c>
      <c r="X239" s="7">
        <v>50</v>
      </c>
      <c r="Y239" s="7">
        <v>50</v>
      </c>
      <c r="Z239" s="7">
        <v>75</v>
      </c>
      <c r="AA239" s="7">
        <v>64.500789999999995</v>
      </c>
      <c r="AB239" s="7">
        <v>43.000526999999998</v>
      </c>
      <c r="AC239" s="7">
        <v>50</v>
      </c>
      <c r="AD239" s="4" t="s">
        <v>124</v>
      </c>
      <c r="AE239" s="4" t="s">
        <v>124</v>
      </c>
      <c r="AF239" s="4" t="s">
        <v>124</v>
      </c>
      <c r="AG239" s="4" t="s">
        <v>124</v>
      </c>
      <c r="AH239" s="4" t="s">
        <v>124</v>
      </c>
      <c r="AI239" s="4" t="s">
        <v>124</v>
      </c>
      <c r="AJ239" s="4" t="s">
        <v>124</v>
      </c>
      <c r="AK239" s="7">
        <v>10.130000000000001</v>
      </c>
      <c r="AL239" s="7">
        <v>10.49</v>
      </c>
      <c r="AM239" s="4" t="s">
        <v>124</v>
      </c>
      <c r="AN239" s="7">
        <v>0.65309899999999999</v>
      </c>
      <c r="AO239" s="7">
        <v>65.309916000000001</v>
      </c>
      <c r="AP239" s="7">
        <v>100</v>
      </c>
      <c r="AQ239" s="7">
        <v>0.77961400000000003</v>
      </c>
      <c r="AR239" s="7">
        <v>77.961410000000001</v>
      </c>
      <c r="AS239" s="7">
        <v>100</v>
      </c>
      <c r="AT239" s="7">
        <v>0.58911500000000006</v>
      </c>
      <c r="AU239" s="7">
        <v>0.68218299999999998</v>
      </c>
      <c r="AV239" s="7">
        <v>58.911496999999997</v>
      </c>
      <c r="AW239" s="7">
        <v>100</v>
      </c>
      <c r="AX239" s="7">
        <v>0.692855</v>
      </c>
      <c r="AY239" s="7">
        <v>0.81904999999999994</v>
      </c>
      <c r="AZ239" s="7">
        <v>69.285511</v>
      </c>
      <c r="BA239" s="7">
        <v>100</v>
      </c>
      <c r="BB239" s="4" t="s">
        <v>124</v>
      </c>
      <c r="BC239" s="4" t="s">
        <v>124</v>
      </c>
      <c r="BD239" s="4" t="s">
        <v>124</v>
      </c>
      <c r="BE239" s="4" t="s">
        <v>124</v>
      </c>
      <c r="BF239" s="4" t="s">
        <v>124</v>
      </c>
      <c r="BG239" s="4" t="s">
        <v>124</v>
      </c>
      <c r="BH239" s="7">
        <v>0</v>
      </c>
      <c r="BI239" s="7">
        <v>0.98540099999999997</v>
      </c>
      <c r="BJ239" s="7">
        <v>0.95833299999999999</v>
      </c>
      <c r="BK239" s="7">
        <v>1</v>
      </c>
      <c r="BL239" s="7">
        <v>0.98540099999999997</v>
      </c>
      <c r="BM239" s="7">
        <v>0.95833299999999999</v>
      </c>
      <c r="BN239" s="7">
        <v>1</v>
      </c>
      <c r="BO239" s="4" t="s">
        <v>124</v>
      </c>
      <c r="BP239" s="4" t="s">
        <v>124</v>
      </c>
      <c r="BQ239" s="4" t="s">
        <v>124</v>
      </c>
      <c r="BR239" s="7">
        <v>5.3096999999999998E-2</v>
      </c>
      <c r="BS239" s="7">
        <v>49.380530999999998</v>
      </c>
      <c r="BT239" s="7">
        <v>50</v>
      </c>
      <c r="BU239" s="7">
        <v>8.0356999999999998E-2</v>
      </c>
      <c r="BV239" s="7">
        <v>43.928570999999998</v>
      </c>
      <c r="BW239" s="7">
        <v>50</v>
      </c>
      <c r="BX239" s="4" t="s">
        <v>124</v>
      </c>
      <c r="BY239" s="4" t="s">
        <v>124</v>
      </c>
      <c r="BZ239" s="4" t="s">
        <v>124</v>
      </c>
      <c r="CA239" s="4" t="s">
        <v>124</v>
      </c>
      <c r="CB239" s="4" t="s">
        <v>124</v>
      </c>
      <c r="CC239" s="4" t="s">
        <v>124</v>
      </c>
      <c r="CD239" s="4" t="s">
        <v>124</v>
      </c>
      <c r="CE239" s="4" t="s">
        <v>124</v>
      </c>
      <c r="CF239" s="4" t="s">
        <v>124</v>
      </c>
      <c r="CG239" s="4" t="s">
        <v>124</v>
      </c>
      <c r="CH239" s="4" t="s">
        <v>124</v>
      </c>
      <c r="CI239" s="4" t="s">
        <v>124</v>
      </c>
      <c r="CJ239" s="4" t="s">
        <v>124</v>
      </c>
      <c r="CK239" s="4" t="s">
        <v>124</v>
      </c>
      <c r="CL239" s="4" t="s">
        <v>124</v>
      </c>
      <c r="CM239" s="4" t="s">
        <v>124</v>
      </c>
      <c r="CN239" s="4" t="s">
        <v>124</v>
      </c>
      <c r="CO239" s="4" t="s">
        <v>124</v>
      </c>
      <c r="CP239" s="4" t="s">
        <v>124</v>
      </c>
      <c r="CQ239" s="7">
        <v>0.67692300000000005</v>
      </c>
      <c r="CR239" s="7">
        <v>0.97014900000000004</v>
      </c>
      <c r="CS239" s="7">
        <v>45.128205000000001</v>
      </c>
      <c r="CT239" s="7">
        <v>50</v>
      </c>
      <c r="CU239" s="4" t="s">
        <v>124</v>
      </c>
      <c r="CV239" s="4" t="s">
        <v>124</v>
      </c>
      <c r="CW239" s="4" t="s">
        <v>124</v>
      </c>
      <c r="CX239" s="4" t="s">
        <v>124</v>
      </c>
      <c r="CY239" s="4" t="s">
        <v>124</v>
      </c>
      <c r="CZ239" s="4" t="s">
        <v>124</v>
      </c>
      <c r="DA239" s="7">
        <v>15.314097</v>
      </c>
      <c r="DB239" s="7">
        <v>17.400950000000002</v>
      </c>
      <c r="DC239" s="7">
        <v>16.332519999999999</v>
      </c>
      <c r="DD239" s="4" t="s">
        <v>124</v>
      </c>
      <c r="DE239" s="7">
        <v>0</v>
      </c>
      <c r="DF239" s="6"/>
      <c r="DG239" s="6"/>
      <c r="DH239" s="6"/>
      <c r="DI239" s="6"/>
      <c r="DJ239" s="7">
        <v>0</v>
      </c>
      <c r="DK239" s="7">
        <v>0</v>
      </c>
      <c r="DL239" s="7">
        <v>0</v>
      </c>
      <c r="DM239" s="7">
        <v>0</v>
      </c>
      <c r="DN239" s="7">
        <v>0</v>
      </c>
      <c r="DO239" s="7">
        <v>0</v>
      </c>
      <c r="DP239" s="6"/>
      <c r="DQ239" s="4" t="s">
        <v>125</v>
      </c>
    </row>
    <row r="240" spans="1:121" ht="20" customHeight="1" x14ac:dyDescent="0.15">
      <c r="A240" s="5">
        <v>2018</v>
      </c>
      <c r="B240" s="3" t="s">
        <v>158</v>
      </c>
      <c r="C240" s="4" t="str">
        <f t="shared" si="33"/>
        <v>0140011</v>
      </c>
      <c r="D240" s="4" t="s">
        <v>372</v>
      </c>
      <c r="E240" s="4" t="str">
        <f>"0141411"</f>
        <v>0141411</v>
      </c>
      <c r="F240" s="4" t="s">
        <v>327</v>
      </c>
      <c r="G240" s="4" t="s">
        <v>328</v>
      </c>
      <c r="H240" s="7">
        <v>4</v>
      </c>
      <c r="I240" s="4" t="s">
        <v>329</v>
      </c>
      <c r="J240" s="4" t="s">
        <v>330</v>
      </c>
      <c r="K240" s="7">
        <v>627.350146</v>
      </c>
      <c r="L240" s="7">
        <v>850</v>
      </c>
      <c r="M240" s="7">
        <v>73.805899999999994</v>
      </c>
      <c r="N240" s="7">
        <v>2</v>
      </c>
      <c r="O240" s="7">
        <v>0</v>
      </c>
      <c r="P240" s="7">
        <v>70.588042000000002</v>
      </c>
      <c r="Q240" s="7">
        <v>47.058695</v>
      </c>
      <c r="R240" s="7">
        <v>50</v>
      </c>
      <c r="S240" s="7">
        <v>66.132002999999997</v>
      </c>
      <c r="T240" s="7">
        <v>75</v>
      </c>
      <c r="U240" s="7">
        <v>44.088002000000003</v>
      </c>
      <c r="V240" s="7">
        <v>50</v>
      </c>
      <c r="W240" s="7">
        <v>68.002643000000006</v>
      </c>
      <c r="X240" s="7">
        <v>45.335095000000003</v>
      </c>
      <c r="Y240" s="7">
        <v>50</v>
      </c>
      <c r="Z240" s="7">
        <v>74.105551000000006</v>
      </c>
      <c r="AA240" s="7">
        <v>62.986553999999998</v>
      </c>
      <c r="AB240" s="7">
        <v>41.991036000000001</v>
      </c>
      <c r="AC240" s="7">
        <v>50</v>
      </c>
      <c r="AD240" s="4" t="s">
        <v>124</v>
      </c>
      <c r="AE240" s="4" t="s">
        <v>124</v>
      </c>
      <c r="AF240" s="4" t="s">
        <v>124</v>
      </c>
      <c r="AG240" s="4" t="s">
        <v>124</v>
      </c>
      <c r="AH240" s="4" t="s">
        <v>124</v>
      </c>
      <c r="AI240" s="4" t="s">
        <v>124</v>
      </c>
      <c r="AJ240" s="4" t="s">
        <v>124</v>
      </c>
      <c r="AK240" s="7">
        <v>8.86</v>
      </c>
      <c r="AL240" s="7">
        <v>11.11</v>
      </c>
      <c r="AM240" s="4" t="s">
        <v>124</v>
      </c>
      <c r="AN240" s="7">
        <v>0.71882000000000001</v>
      </c>
      <c r="AO240" s="7">
        <v>71.882002</v>
      </c>
      <c r="AP240" s="7">
        <v>100</v>
      </c>
      <c r="AQ240" s="7">
        <v>0.73135300000000003</v>
      </c>
      <c r="AR240" s="7">
        <v>73.135315000000006</v>
      </c>
      <c r="AS240" s="7">
        <v>100</v>
      </c>
      <c r="AT240" s="7">
        <v>0.67533600000000005</v>
      </c>
      <c r="AU240" s="7">
        <v>0.76102499999999995</v>
      </c>
      <c r="AV240" s="7">
        <v>67.533638999999994</v>
      </c>
      <c r="AW240" s="7">
        <v>100</v>
      </c>
      <c r="AX240" s="7">
        <v>0.68115499999999995</v>
      </c>
      <c r="AY240" s="7">
        <v>0.78007499999999996</v>
      </c>
      <c r="AZ240" s="7">
        <v>68.115531000000004</v>
      </c>
      <c r="BA240" s="7">
        <v>100</v>
      </c>
      <c r="BB240" s="7">
        <v>0.60565100000000005</v>
      </c>
      <c r="BC240" s="7">
        <v>30.282547000000001</v>
      </c>
      <c r="BD240" s="7">
        <v>50</v>
      </c>
      <c r="BE240" s="7">
        <v>0.503973</v>
      </c>
      <c r="BF240" s="7">
        <v>25.198634999999999</v>
      </c>
      <c r="BG240" s="7">
        <v>50</v>
      </c>
      <c r="BH240" s="7">
        <v>0</v>
      </c>
      <c r="BI240" s="7">
        <v>1</v>
      </c>
      <c r="BJ240" s="7">
        <v>1</v>
      </c>
      <c r="BK240" s="7">
        <v>1</v>
      </c>
      <c r="BL240" s="7">
        <v>1</v>
      </c>
      <c r="BM240" s="7">
        <v>1</v>
      </c>
      <c r="BN240" s="7">
        <v>1</v>
      </c>
      <c r="BO240" s="4" t="s">
        <v>124</v>
      </c>
      <c r="BP240" s="4" t="s">
        <v>124</v>
      </c>
      <c r="BQ240" s="4" t="s">
        <v>124</v>
      </c>
      <c r="BR240" s="7">
        <v>6.8376000000000006E-2</v>
      </c>
      <c r="BS240" s="7">
        <v>46.324786000000003</v>
      </c>
      <c r="BT240" s="7">
        <v>50</v>
      </c>
      <c r="BU240" s="7">
        <v>0.112903</v>
      </c>
      <c r="BV240" s="7">
        <v>37.419355000000003</v>
      </c>
      <c r="BW240" s="7">
        <v>50</v>
      </c>
      <c r="BX240" s="4" t="s">
        <v>124</v>
      </c>
      <c r="BY240" s="4" t="s">
        <v>124</v>
      </c>
      <c r="BZ240" s="4" t="s">
        <v>124</v>
      </c>
      <c r="CA240" s="4" t="s">
        <v>124</v>
      </c>
      <c r="CB240" s="4" t="s">
        <v>124</v>
      </c>
      <c r="CC240" s="4" t="s">
        <v>124</v>
      </c>
      <c r="CD240" s="4" t="s">
        <v>124</v>
      </c>
      <c r="CE240" s="4" t="s">
        <v>124</v>
      </c>
      <c r="CF240" s="4" t="s">
        <v>124</v>
      </c>
      <c r="CG240" s="4" t="s">
        <v>124</v>
      </c>
      <c r="CH240" s="4" t="s">
        <v>124</v>
      </c>
      <c r="CI240" s="4" t="s">
        <v>124</v>
      </c>
      <c r="CJ240" s="4" t="s">
        <v>124</v>
      </c>
      <c r="CK240" s="4" t="s">
        <v>124</v>
      </c>
      <c r="CL240" s="4" t="s">
        <v>124</v>
      </c>
      <c r="CM240" s="4" t="s">
        <v>124</v>
      </c>
      <c r="CN240" s="4" t="s">
        <v>124</v>
      </c>
      <c r="CO240" s="4" t="s">
        <v>124</v>
      </c>
      <c r="CP240" s="4" t="s">
        <v>124</v>
      </c>
      <c r="CQ240" s="7">
        <v>0.43478299999999998</v>
      </c>
      <c r="CR240" s="7">
        <v>1.0147060000000001</v>
      </c>
      <c r="CS240" s="7">
        <v>28.985506999999998</v>
      </c>
      <c r="CT240" s="7">
        <v>50</v>
      </c>
      <c r="CU240" s="4" t="s">
        <v>124</v>
      </c>
      <c r="CV240" s="4" t="s">
        <v>124</v>
      </c>
      <c r="CW240" s="4" t="s">
        <v>124</v>
      </c>
      <c r="CX240" s="4" t="s">
        <v>124</v>
      </c>
      <c r="CY240" s="4" t="s">
        <v>124</v>
      </c>
      <c r="CZ240" s="4" t="s">
        <v>124</v>
      </c>
      <c r="DA240" s="7">
        <v>15.314097</v>
      </c>
      <c r="DB240" s="7">
        <v>17.400950000000002</v>
      </c>
      <c r="DC240" s="7">
        <v>16.332519999999999</v>
      </c>
      <c r="DD240" s="4" t="s">
        <v>124</v>
      </c>
      <c r="DE240" s="7">
        <v>0</v>
      </c>
      <c r="DF240" s="6"/>
      <c r="DG240" s="6"/>
      <c r="DH240" s="6"/>
      <c r="DI240" s="6"/>
      <c r="DJ240" s="7">
        <v>0</v>
      </c>
      <c r="DK240" s="7">
        <v>0</v>
      </c>
      <c r="DL240" s="7">
        <v>0</v>
      </c>
      <c r="DM240" s="7">
        <v>0</v>
      </c>
      <c r="DN240" s="7">
        <v>0</v>
      </c>
      <c r="DO240" s="7">
        <v>0</v>
      </c>
      <c r="DP240" s="6"/>
      <c r="DQ240" s="4" t="s">
        <v>125</v>
      </c>
    </row>
    <row r="241" spans="1:121" ht="20" customHeight="1" x14ac:dyDescent="0.15">
      <c r="A241" s="5">
        <v>2018</v>
      </c>
      <c r="B241" s="3" t="s">
        <v>121</v>
      </c>
      <c r="C241" s="4" t="str">
        <f t="shared" si="0"/>
        <v>0150011</v>
      </c>
      <c r="D241" s="4" t="s">
        <v>373</v>
      </c>
      <c r="E241" s="4" t="str">
        <f>"0150811"</f>
        <v>0150811</v>
      </c>
      <c r="F241" s="4" t="s">
        <v>327</v>
      </c>
      <c r="G241" s="7">
        <v>9</v>
      </c>
      <c r="H241" s="7">
        <v>12</v>
      </c>
      <c r="I241" s="6"/>
      <c r="J241" s="4" t="s">
        <v>330</v>
      </c>
      <c r="K241" s="7">
        <v>993.40123200000005</v>
      </c>
      <c r="L241" s="7">
        <v>1450</v>
      </c>
      <c r="M241" s="7">
        <v>68.510429999999999</v>
      </c>
      <c r="N241" s="7">
        <v>3</v>
      </c>
      <c r="O241" s="7">
        <v>0</v>
      </c>
      <c r="P241" s="7">
        <v>50.1875</v>
      </c>
      <c r="Q241" s="7">
        <v>100.375</v>
      </c>
      <c r="R241" s="7">
        <v>150</v>
      </c>
      <c r="S241" s="7">
        <v>45.496599000000003</v>
      </c>
      <c r="T241" s="7">
        <v>56.081197000000003</v>
      </c>
      <c r="U241" s="7">
        <v>90.993196999999995</v>
      </c>
      <c r="V241" s="7">
        <v>150</v>
      </c>
      <c r="W241" s="7">
        <v>48.541666999999997</v>
      </c>
      <c r="X241" s="7">
        <v>97.083332999999996</v>
      </c>
      <c r="Y241" s="7">
        <v>150</v>
      </c>
      <c r="Z241" s="7">
        <v>55.846153999999999</v>
      </c>
      <c r="AA241" s="7">
        <v>42.727891</v>
      </c>
      <c r="AB241" s="7">
        <v>85.455781999999999</v>
      </c>
      <c r="AC241" s="7">
        <v>150</v>
      </c>
      <c r="AD241" s="7">
        <v>48.193980000000003</v>
      </c>
      <c r="AE241" s="7">
        <v>64.25864</v>
      </c>
      <c r="AF241" s="7">
        <v>100</v>
      </c>
      <c r="AG241" s="7">
        <v>43.658284000000002</v>
      </c>
      <c r="AH241" s="7">
        <v>54.090384999999998</v>
      </c>
      <c r="AI241" s="7">
        <v>58.211044999999999</v>
      </c>
      <c r="AJ241" s="7">
        <v>100</v>
      </c>
      <c r="AK241" s="7">
        <v>10.58</v>
      </c>
      <c r="AL241" s="7">
        <v>13.11</v>
      </c>
      <c r="AM241" s="7">
        <v>10.43</v>
      </c>
      <c r="AN241" s="4" t="s">
        <v>124</v>
      </c>
      <c r="AO241" s="4" t="s">
        <v>124</v>
      </c>
      <c r="AP241" s="4" t="s">
        <v>124</v>
      </c>
      <c r="AQ241" s="4" t="s">
        <v>124</v>
      </c>
      <c r="AR241" s="4" t="s">
        <v>124</v>
      </c>
      <c r="AS241" s="4" t="s">
        <v>124</v>
      </c>
      <c r="AT241" s="4" t="s">
        <v>124</v>
      </c>
      <c r="AU241" s="4" t="s">
        <v>124</v>
      </c>
      <c r="AV241" s="4" t="s">
        <v>124</v>
      </c>
      <c r="AW241" s="4" t="s">
        <v>124</v>
      </c>
      <c r="AX241" s="4" t="s">
        <v>124</v>
      </c>
      <c r="AY241" s="4" t="s">
        <v>124</v>
      </c>
      <c r="AZ241" s="4" t="s">
        <v>124</v>
      </c>
      <c r="BA241" s="4" t="s">
        <v>124</v>
      </c>
      <c r="BB241" s="4" t="s">
        <v>124</v>
      </c>
      <c r="BC241" s="4" t="s">
        <v>124</v>
      </c>
      <c r="BD241" s="4" t="s">
        <v>124</v>
      </c>
      <c r="BE241" s="4" t="s">
        <v>124</v>
      </c>
      <c r="BF241" s="4" t="s">
        <v>124</v>
      </c>
      <c r="BG241" s="4" t="s">
        <v>124</v>
      </c>
      <c r="BH241" s="7">
        <v>0</v>
      </c>
      <c r="BI241" s="7">
        <v>0.95698899999999998</v>
      </c>
      <c r="BJ241" s="7">
        <v>0.961538</v>
      </c>
      <c r="BK241" s="7">
        <v>0.95121999999999995</v>
      </c>
      <c r="BL241" s="7">
        <v>0.95698899999999998</v>
      </c>
      <c r="BM241" s="7">
        <v>0.961538</v>
      </c>
      <c r="BN241" s="7">
        <v>0.95121999999999995</v>
      </c>
      <c r="BO241" s="7">
        <v>1</v>
      </c>
      <c r="BP241" s="7">
        <v>1</v>
      </c>
      <c r="BQ241" s="7">
        <v>1</v>
      </c>
      <c r="BR241" s="7">
        <v>0.129108</v>
      </c>
      <c r="BS241" s="7">
        <v>34.178404</v>
      </c>
      <c r="BT241" s="7">
        <v>50</v>
      </c>
      <c r="BU241" s="7">
        <v>0.17355400000000001</v>
      </c>
      <c r="BV241" s="7">
        <v>25.289256000000002</v>
      </c>
      <c r="BW241" s="7">
        <v>50</v>
      </c>
      <c r="BX241" s="7">
        <v>0.968912</v>
      </c>
      <c r="BY241" s="7">
        <v>50</v>
      </c>
      <c r="BZ241" s="7">
        <v>50</v>
      </c>
      <c r="CA241" s="7">
        <v>0.36787599999999998</v>
      </c>
      <c r="CB241" s="7">
        <v>24.525043</v>
      </c>
      <c r="CC241" s="7">
        <v>50</v>
      </c>
      <c r="CD241" s="7">
        <v>0.66666700000000001</v>
      </c>
      <c r="CE241" s="7">
        <v>35.460993000000002</v>
      </c>
      <c r="CF241" s="7">
        <v>50</v>
      </c>
      <c r="CG241" s="7">
        <v>0.92682900000000001</v>
      </c>
      <c r="CH241" s="7">
        <v>98.598858000000007</v>
      </c>
      <c r="CI241" s="7">
        <v>100</v>
      </c>
      <c r="CJ241" s="7">
        <v>0</v>
      </c>
      <c r="CK241" s="7">
        <v>0.94285699999999995</v>
      </c>
      <c r="CL241" s="7">
        <v>100</v>
      </c>
      <c r="CM241" s="7">
        <v>100</v>
      </c>
      <c r="CN241" s="7">
        <v>0.84821400000000002</v>
      </c>
      <c r="CO241" s="7">
        <v>100</v>
      </c>
      <c r="CP241" s="7">
        <v>100</v>
      </c>
      <c r="CQ241" s="7">
        <v>0.634409</v>
      </c>
      <c r="CR241" s="7">
        <v>0.885714</v>
      </c>
      <c r="CS241" s="7">
        <v>21.146953</v>
      </c>
      <c r="CT241" s="7">
        <v>50</v>
      </c>
      <c r="CU241" s="7">
        <v>9.3896999999999994E-2</v>
      </c>
      <c r="CV241" s="7">
        <v>7.8247260000000001</v>
      </c>
      <c r="CW241" s="7">
        <v>50</v>
      </c>
      <c r="CX241" s="7">
        <v>0.94285699999999995</v>
      </c>
      <c r="CY241" s="4" t="s">
        <v>124</v>
      </c>
      <c r="CZ241" s="4" t="s">
        <v>124</v>
      </c>
      <c r="DA241" s="7">
        <v>15.314097</v>
      </c>
      <c r="DB241" s="7">
        <v>17.400950000000002</v>
      </c>
      <c r="DC241" s="7">
        <v>16.332519999999999</v>
      </c>
      <c r="DD241" s="7">
        <v>7.9891730000000001</v>
      </c>
      <c r="DE241" s="7">
        <v>0</v>
      </c>
      <c r="DF241" s="6"/>
      <c r="DG241" s="6"/>
      <c r="DH241" s="6"/>
      <c r="DI241" s="6"/>
      <c r="DJ241" s="7">
        <v>0</v>
      </c>
      <c r="DK241" s="7">
        <v>0</v>
      </c>
      <c r="DL241" s="7">
        <v>0</v>
      </c>
      <c r="DM241" s="7">
        <v>0</v>
      </c>
      <c r="DN241" s="7">
        <v>0</v>
      </c>
      <c r="DO241" s="7">
        <v>0</v>
      </c>
      <c r="DP241" s="6"/>
      <c r="DQ241" s="4" t="s">
        <v>125</v>
      </c>
    </row>
    <row r="242" spans="1:121" ht="20" customHeight="1" x14ac:dyDescent="0.15">
      <c r="A242" s="5">
        <v>2018</v>
      </c>
      <c r="B242" s="3" t="s">
        <v>121</v>
      </c>
      <c r="C242" s="4" t="str">
        <f t="shared" si="0"/>
        <v>0150011</v>
      </c>
      <c r="D242" s="4" t="s">
        <v>374</v>
      </c>
      <c r="E242" s="4" t="str">
        <f>"0150111"</f>
        <v>0150111</v>
      </c>
      <c r="F242" s="4" t="s">
        <v>327</v>
      </c>
      <c r="G242" s="4" t="s">
        <v>328</v>
      </c>
      <c r="H242" s="7">
        <v>8</v>
      </c>
      <c r="I242" s="4" t="s">
        <v>335</v>
      </c>
      <c r="J242" s="4" t="s">
        <v>330</v>
      </c>
      <c r="K242" s="7">
        <v>493.60018600000001</v>
      </c>
      <c r="L242" s="7">
        <v>1000</v>
      </c>
      <c r="M242" s="7">
        <v>49.360019000000001</v>
      </c>
      <c r="N242" s="7">
        <v>5</v>
      </c>
      <c r="O242" s="7">
        <v>0</v>
      </c>
      <c r="P242" s="7">
        <v>47.122798000000003</v>
      </c>
      <c r="Q242" s="7">
        <v>31.415198</v>
      </c>
      <c r="R242" s="7">
        <v>50</v>
      </c>
      <c r="S242" s="7">
        <v>45.877820999999997</v>
      </c>
      <c r="T242" s="4" t="s">
        <v>124</v>
      </c>
      <c r="U242" s="7">
        <v>30.585214000000001</v>
      </c>
      <c r="V242" s="7">
        <v>50</v>
      </c>
      <c r="W242" s="7">
        <v>40.816369999999999</v>
      </c>
      <c r="X242" s="7">
        <v>27.210913000000001</v>
      </c>
      <c r="Y242" s="7">
        <v>50</v>
      </c>
      <c r="Z242" s="4" t="s">
        <v>124</v>
      </c>
      <c r="AA242" s="7">
        <v>40.031731999999998</v>
      </c>
      <c r="AB242" s="7">
        <v>26.687821</v>
      </c>
      <c r="AC242" s="7">
        <v>50</v>
      </c>
      <c r="AD242" s="7">
        <v>46.890031</v>
      </c>
      <c r="AE242" s="7">
        <v>31.260020999999998</v>
      </c>
      <c r="AF242" s="7">
        <v>50</v>
      </c>
      <c r="AG242" s="7">
        <v>46.419193999999997</v>
      </c>
      <c r="AH242" s="4" t="s">
        <v>124</v>
      </c>
      <c r="AI242" s="7">
        <v>30.946128999999999</v>
      </c>
      <c r="AJ242" s="7">
        <v>50</v>
      </c>
      <c r="AK242" s="4" t="s">
        <v>124</v>
      </c>
      <c r="AL242" s="4" t="s">
        <v>124</v>
      </c>
      <c r="AM242" s="4" t="s">
        <v>124</v>
      </c>
      <c r="AN242" s="7">
        <v>0.48490100000000003</v>
      </c>
      <c r="AO242" s="7">
        <v>48.490096000000001</v>
      </c>
      <c r="AP242" s="7">
        <v>100</v>
      </c>
      <c r="AQ242" s="7">
        <v>0.42619099999999999</v>
      </c>
      <c r="AR242" s="7">
        <v>42.619129999999998</v>
      </c>
      <c r="AS242" s="7">
        <v>100</v>
      </c>
      <c r="AT242" s="7">
        <v>0.472304</v>
      </c>
      <c r="AU242" s="4" t="s">
        <v>124</v>
      </c>
      <c r="AV242" s="7">
        <v>47.230378999999999</v>
      </c>
      <c r="AW242" s="7">
        <v>100</v>
      </c>
      <c r="AX242" s="7">
        <v>0.42177900000000002</v>
      </c>
      <c r="AY242" s="4" t="s">
        <v>124</v>
      </c>
      <c r="AZ242" s="7">
        <v>42.177875</v>
      </c>
      <c r="BA242" s="7">
        <v>100</v>
      </c>
      <c r="BB242" s="7">
        <v>0.52224199999999998</v>
      </c>
      <c r="BC242" s="7">
        <v>26.112093999999999</v>
      </c>
      <c r="BD242" s="7">
        <v>50</v>
      </c>
      <c r="BE242" s="7">
        <v>0.44308900000000001</v>
      </c>
      <c r="BF242" s="7">
        <v>22.154434999999999</v>
      </c>
      <c r="BG242" s="7">
        <v>50</v>
      </c>
      <c r="BH242" s="7">
        <v>0</v>
      </c>
      <c r="BI242" s="7">
        <v>0.97647099999999998</v>
      </c>
      <c r="BJ242" s="7">
        <v>0.974522</v>
      </c>
      <c r="BK242" s="7">
        <v>1</v>
      </c>
      <c r="BL242" s="7">
        <v>0.97647099999999998</v>
      </c>
      <c r="BM242" s="7">
        <v>0.974522</v>
      </c>
      <c r="BN242" s="7">
        <v>1</v>
      </c>
      <c r="BO242" s="7">
        <v>0.95238100000000003</v>
      </c>
      <c r="BP242" s="7">
        <v>0.95</v>
      </c>
      <c r="BQ242" s="4" t="s">
        <v>124</v>
      </c>
      <c r="BR242" s="7">
        <v>0.251689</v>
      </c>
      <c r="BS242" s="7">
        <v>9.6621620000000004</v>
      </c>
      <c r="BT242" s="7">
        <v>50</v>
      </c>
      <c r="BU242" s="7">
        <v>0.24359</v>
      </c>
      <c r="BV242" s="7">
        <v>11.282050999999999</v>
      </c>
      <c r="BW242" s="7">
        <v>50</v>
      </c>
      <c r="BX242" s="4" t="s">
        <v>124</v>
      </c>
      <c r="BY242" s="4" t="s">
        <v>124</v>
      </c>
      <c r="BZ242" s="4" t="s">
        <v>124</v>
      </c>
      <c r="CA242" s="4" t="s">
        <v>124</v>
      </c>
      <c r="CB242" s="4" t="s">
        <v>124</v>
      </c>
      <c r="CC242" s="4" t="s">
        <v>124</v>
      </c>
      <c r="CD242" s="7">
        <v>0.84615399999999996</v>
      </c>
      <c r="CE242" s="7">
        <v>45.008183000000002</v>
      </c>
      <c r="CF242" s="7">
        <v>50</v>
      </c>
      <c r="CG242" s="4" t="s">
        <v>124</v>
      </c>
      <c r="CH242" s="4" t="s">
        <v>124</v>
      </c>
      <c r="CI242" s="4" t="s">
        <v>124</v>
      </c>
      <c r="CJ242" s="4" t="s">
        <v>124</v>
      </c>
      <c r="CK242" s="4" t="s">
        <v>124</v>
      </c>
      <c r="CL242" s="4" t="s">
        <v>124</v>
      </c>
      <c r="CM242" s="4" t="s">
        <v>124</v>
      </c>
      <c r="CN242" s="4" t="s">
        <v>124</v>
      </c>
      <c r="CO242" s="4" t="s">
        <v>124</v>
      </c>
      <c r="CP242" s="4" t="s">
        <v>124</v>
      </c>
      <c r="CQ242" s="7">
        <v>0.31137700000000001</v>
      </c>
      <c r="CR242" s="7">
        <v>0.98235300000000003</v>
      </c>
      <c r="CS242" s="7">
        <v>20.758482999999998</v>
      </c>
      <c r="CT242" s="7">
        <v>50</v>
      </c>
      <c r="CU242" s="4" t="s">
        <v>124</v>
      </c>
      <c r="CV242" s="4" t="s">
        <v>124</v>
      </c>
      <c r="CW242" s="4" t="s">
        <v>124</v>
      </c>
      <c r="CX242" s="4" t="s">
        <v>124</v>
      </c>
      <c r="CY242" s="4" t="s">
        <v>124</v>
      </c>
      <c r="CZ242" s="4" t="s">
        <v>124</v>
      </c>
      <c r="DA242" s="7">
        <v>15.314097</v>
      </c>
      <c r="DB242" s="7">
        <v>17.400950000000002</v>
      </c>
      <c r="DC242" s="7">
        <v>16.332519999999999</v>
      </c>
      <c r="DD242" s="4" t="s">
        <v>124</v>
      </c>
      <c r="DE242" s="7">
        <v>0</v>
      </c>
      <c r="DF242" s="4" t="s">
        <v>375</v>
      </c>
      <c r="DG242" s="4" t="s">
        <v>376</v>
      </c>
      <c r="DH242" s="6"/>
      <c r="DI242" s="6"/>
      <c r="DJ242" s="7">
        <v>0</v>
      </c>
      <c r="DK242" s="7">
        <v>0</v>
      </c>
      <c r="DL242" s="7">
        <v>0</v>
      </c>
      <c r="DM242" s="7">
        <v>0</v>
      </c>
      <c r="DN242" s="7">
        <v>0</v>
      </c>
      <c r="DO242" s="7">
        <v>0</v>
      </c>
      <c r="DP242" s="6"/>
      <c r="DQ242" s="4" t="s">
        <v>125</v>
      </c>
    </row>
    <row r="243" spans="1:121" ht="20" customHeight="1" x14ac:dyDescent="0.15">
      <c r="A243" s="5">
        <v>2018</v>
      </c>
      <c r="B243" s="3" t="s">
        <v>121</v>
      </c>
      <c r="C243" s="4" t="str">
        <f t="shared" si="0"/>
        <v>0150011</v>
      </c>
      <c r="D243" s="4" t="s">
        <v>377</v>
      </c>
      <c r="E243" s="4" t="str">
        <f>"0156111"</f>
        <v>0156111</v>
      </c>
      <c r="F243" s="4" t="s">
        <v>327</v>
      </c>
      <c r="G243" s="7">
        <v>9</v>
      </c>
      <c r="H243" s="7">
        <v>12</v>
      </c>
      <c r="I243" s="6"/>
      <c r="J243" s="4" t="s">
        <v>330</v>
      </c>
      <c r="K243" s="7">
        <v>729.683178</v>
      </c>
      <c r="L243" s="7">
        <v>1550</v>
      </c>
      <c r="M243" s="7">
        <v>47.076334000000003</v>
      </c>
      <c r="N243" s="7">
        <v>5</v>
      </c>
      <c r="O243" s="7">
        <v>0</v>
      </c>
      <c r="P243" s="7">
        <v>37.297980000000003</v>
      </c>
      <c r="Q243" s="7">
        <v>74.595960000000005</v>
      </c>
      <c r="R243" s="7">
        <v>150</v>
      </c>
      <c r="S243" s="7">
        <v>36.714596999999998</v>
      </c>
      <c r="T243" s="4" t="s">
        <v>124</v>
      </c>
      <c r="U243" s="7">
        <v>73.429193999999995</v>
      </c>
      <c r="V243" s="7">
        <v>150</v>
      </c>
      <c r="W243" s="7">
        <v>30.676767999999999</v>
      </c>
      <c r="X243" s="7">
        <v>61.353535000000001</v>
      </c>
      <c r="Y243" s="7">
        <v>150</v>
      </c>
      <c r="Z243" s="4" t="s">
        <v>124</v>
      </c>
      <c r="AA243" s="7">
        <v>30.405773</v>
      </c>
      <c r="AB243" s="7">
        <v>60.811546999999997</v>
      </c>
      <c r="AC243" s="7">
        <v>150</v>
      </c>
      <c r="AD243" s="7">
        <v>38.476267999999997</v>
      </c>
      <c r="AE243" s="7">
        <v>51.301690999999998</v>
      </c>
      <c r="AF243" s="7">
        <v>100</v>
      </c>
      <c r="AG243" s="7">
        <v>38.565072999999998</v>
      </c>
      <c r="AH243" s="4" t="s">
        <v>124</v>
      </c>
      <c r="AI243" s="7">
        <v>51.420098000000003</v>
      </c>
      <c r="AJ243" s="7">
        <v>100</v>
      </c>
      <c r="AK243" s="4" t="s">
        <v>124</v>
      </c>
      <c r="AL243" s="4" t="s">
        <v>124</v>
      </c>
      <c r="AM243" s="4" t="s">
        <v>124</v>
      </c>
      <c r="AN243" s="4" t="s">
        <v>124</v>
      </c>
      <c r="AO243" s="4" t="s">
        <v>124</v>
      </c>
      <c r="AP243" s="4" t="s">
        <v>124</v>
      </c>
      <c r="AQ243" s="4" t="s">
        <v>124</v>
      </c>
      <c r="AR243" s="4" t="s">
        <v>124</v>
      </c>
      <c r="AS243" s="4" t="s">
        <v>124</v>
      </c>
      <c r="AT243" s="4" t="s">
        <v>124</v>
      </c>
      <c r="AU243" s="4" t="s">
        <v>124</v>
      </c>
      <c r="AV243" s="4" t="s">
        <v>124</v>
      </c>
      <c r="AW243" s="4" t="s">
        <v>124</v>
      </c>
      <c r="AX243" s="4" t="s">
        <v>124</v>
      </c>
      <c r="AY243" s="4" t="s">
        <v>124</v>
      </c>
      <c r="AZ243" s="4" t="s">
        <v>124</v>
      </c>
      <c r="BA243" s="4" t="s">
        <v>124</v>
      </c>
      <c r="BB243" s="7">
        <v>0.26711299999999999</v>
      </c>
      <c r="BC243" s="7">
        <v>13.355629</v>
      </c>
      <c r="BD243" s="7">
        <v>50</v>
      </c>
      <c r="BE243" s="7">
        <v>0.383884</v>
      </c>
      <c r="BF243" s="7">
        <v>19.194220000000001</v>
      </c>
      <c r="BG243" s="7">
        <v>50</v>
      </c>
      <c r="BH243" s="7">
        <v>1</v>
      </c>
      <c r="BI243" s="7">
        <v>0.85714299999999999</v>
      </c>
      <c r="BJ243" s="7">
        <v>0.84732799999999997</v>
      </c>
      <c r="BK243" s="7">
        <v>0.91304300000000005</v>
      </c>
      <c r="BL243" s="7">
        <v>0.85714299999999999</v>
      </c>
      <c r="BM243" s="7">
        <v>0.84732799999999997</v>
      </c>
      <c r="BN243" s="7">
        <v>0.91304300000000005</v>
      </c>
      <c r="BO243" s="7">
        <v>0.85906000000000005</v>
      </c>
      <c r="BP243" s="7">
        <v>0.86507900000000004</v>
      </c>
      <c r="BQ243" s="7">
        <v>0.82608700000000002</v>
      </c>
      <c r="BR243" s="7">
        <v>0.46066000000000001</v>
      </c>
      <c r="BS243" s="7">
        <v>0</v>
      </c>
      <c r="BT243" s="7">
        <v>50</v>
      </c>
      <c r="BU243" s="7">
        <v>0.47514600000000001</v>
      </c>
      <c r="BV243" s="7">
        <v>0</v>
      </c>
      <c r="BW243" s="7">
        <v>50</v>
      </c>
      <c r="BX243" s="7">
        <v>0.371585</v>
      </c>
      <c r="BY243" s="7">
        <v>24.772313</v>
      </c>
      <c r="BZ243" s="7">
        <v>50</v>
      </c>
      <c r="CA243" s="7">
        <v>3.2786999999999997E-2</v>
      </c>
      <c r="CB243" s="7">
        <v>2.1857920000000002</v>
      </c>
      <c r="CC243" s="7">
        <v>50</v>
      </c>
      <c r="CD243" s="7">
        <v>0.57954499999999998</v>
      </c>
      <c r="CE243" s="7">
        <v>30.826885999999998</v>
      </c>
      <c r="CF243" s="7">
        <v>50</v>
      </c>
      <c r="CG243" s="7">
        <v>0.64426899999999998</v>
      </c>
      <c r="CH243" s="7">
        <v>68.539231000000001</v>
      </c>
      <c r="CI243" s="7">
        <v>100</v>
      </c>
      <c r="CJ243" s="7">
        <v>0</v>
      </c>
      <c r="CK243" s="7">
        <v>0.66784500000000002</v>
      </c>
      <c r="CL243" s="7">
        <v>71.047290000000004</v>
      </c>
      <c r="CM243" s="7">
        <v>100</v>
      </c>
      <c r="CN243" s="7">
        <v>0.40236699999999997</v>
      </c>
      <c r="CO243" s="7">
        <v>53.648915000000002</v>
      </c>
      <c r="CP243" s="7">
        <v>100</v>
      </c>
      <c r="CQ243" s="7">
        <v>0.44921899999999998</v>
      </c>
      <c r="CR243" s="7">
        <v>1.4463280000000001</v>
      </c>
      <c r="CS243" s="7">
        <v>29.947917</v>
      </c>
      <c r="CT243" s="7">
        <v>50</v>
      </c>
      <c r="CU243" s="7">
        <v>0.51903600000000005</v>
      </c>
      <c r="CV243" s="7">
        <v>43.252960999999999</v>
      </c>
      <c r="CW243" s="7">
        <v>50</v>
      </c>
      <c r="CX243" s="7">
        <v>0.66784500000000002</v>
      </c>
      <c r="CY243" s="4" t="s">
        <v>124</v>
      </c>
      <c r="CZ243" s="4" t="s">
        <v>124</v>
      </c>
      <c r="DA243" s="7">
        <v>15.314097</v>
      </c>
      <c r="DB243" s="7">
        <v>17.400950000000002</v>
      </c>
      <c r="DC243" s="7">
        <v>16.332519999999999</v>
      </c>
      <c r="DD243" s="7">
        <v>7.9891730000000001</v>
      </c>
      <c r="DE243" s="7">
        <v>1</v>
      </c>
      <c r="DF243" s="4" t="s">
        <v>375</v>
      </c>
      <c r="DG243" s="4" t="s">
        <v>378</v>
      </c>
      <c r="DH243" s="6"/>
      <c r="DI243" s="6"/>
      <c r="DJ243" s="7">
        <v>0</v>
      </c>
      <c r="DK243" s="7">
        <v>0</v>
      </c>
      <c r="DL243" s="7">
        <v>0</v>
      </c>
      <c r="DM243" s="7">
        <v>0</v>
      </c>
      <c r="DN243" s="7">
        <v>0</v>
      </c>
      <c r="DO243" s="7">
        <v>0</v>
      </c>
      <c r="DP243" s="6"/>
      <c r="DQ243" s="4" t="s">
        <v>125</v>
      </c>
    </row>
    <row r="244" spans="1:121" ht="20" customHeight="1" x14ac:dyDescent="0.15">
      <c r="A244" s="5">
        <v>2018</v>
      </c>
      <c r="B244" s="3" t="s">
        <v>121</v>
      </c>
      <c r="C244" s="4" t="str">
        <f>"0150011"</f>
        <v>0150011</v>
      </c>
      <c r="D244" s="4" t="s">
        <v>379</v>
      </c>
      <c r="E244" s="4" t="str">
        <f>"0150211"</f>
        <v>0150211</v>
      </c>
      <c r="F244" s="4" t="s">
        <v>327</v>
      </c>
      <c r="G244" s="4" t="s">
        <v>328</v>
      </c>
      <c r="H244" s="7">
        <v>6</v>
      </c>
      <c r="I244" s="4" t="s">
        <v>335</v>
      </c>
      <c r="J244" s="4" t="s">
        <v>330</v>
      </c>
      <c r="K244" s="7">
        <v>588.83460100000002</v>
      </c>
      <c r="L244" s="7">
        <v>850</v>
      </c>
      <c r="M244" s="7">
        <v>69.274659</v>
      </c>
      <c r="N244" s="7">
        <v>3</v>
      </c>
      <c r="O244" s="7">
        <v>0</v>
      </c>
      <c r="P244" s="7">
        <v>61.145685</v>
      </c>
      <c r="Q244" s="7">
        <v>40.76379</v>
      </c>
      <c r="R244" s="7">
        <v>50</v>
      </c>
      <c r="S244" s="7">
        <v>60.563996000000003</v>
      </c>
      <c r="T244" s="4" t="s">
        <v>124</v>
      </c>
      <c r="U244" s="7">
        <v>40.375996999999998</v>
      </c>
      <c r="V244" s="7">
        <v>50</v>
      </c>
      <c r="W244" s="7">
        <v>51.527414</v>
      </c>
      <c r="X244" s="7">
        <v>34.351609000000003</v>
      </c>
      <c r="Y244" s="7">
        <v>50</v>
      </c>
      <c r="Z244" s="4" t="s">
        <v>124</v>
      </c>
      <c r="AA244" s="7">
        <v>50.338976000000002</v>
      </c>
      <c r="AB244" s="7">
        <v>33.559317</v>
      </c>
      <c r="AC244" s="7">
        <v>50</v>
      </c>
      <c r="AD244" s="7">
        <v>63.194299000000001</v>
      </c>
      <c r="AE244" s="7">
        <v>42.129531999999998</v>
      </c>
      <c r="AF244" s="7">
        <v>50</v>
      </c>
      <c r="AG244" s="7">
        <v>62.731749000000001</v>
      </c>
      <c r="AH244" s="4" t="s">
        <v>124</v>
      </c>
      <c r="AI244" s="7">
        <v>41.821165999999998</v>
      </c>
      <c r="AJ244" s="7">
        <v>50</v>
      </c>
      <c r="AK244" s="4" t="s">
        <v>124</v>
      </c>
      <c r="AL244" s="4" t="s">
        <v>124</v>
      </c>
      <c r="AM244" s="4" t="s">
        <v>124</v>
      </c>
      <c r="AN244" s="7">
        <v>0.62416700000000003</v>
      </c>
      <c r="AO244" s="7">
        <v>62.41666</v>
      </c>
      <c r="AP244" s="7">
        <v>100</v>
      </c>
      <c r="AQ244" s="7">
        <v>0.71482699999999999</v>
      </c>
      <c r="AR244" s="7">
        <v>71.482724000000005</v>
      </c>
      <c r="AS244" s="7">
        <v>100</v>
      </c>
      <c r="AT244" s="7">
        <v>0.61785999999999996</v>
      </c>
      <c r="AU244" s="4" t="s">
        <v>124</v>
      </c>
      <c r="AV244" s="7">
        <v>61.785978</v>
      </c>
      <c r="AW244" s="7">
        <v>100</v>
      </c>
      <c r="AX244" s="7">
        <v>0.72117100000000001</v>
      </c>
      <c r="AY244" s="4" t="s">
        <v>124</v>
      </c>
      <c r="AZ244" s="7">
        <v>72.117103</v>
      </c>
      <c r="BA244" s="7">
        <v>100</v>
      </c>
      <c r="BB244" s="4" t="s">
        <v>124</v>
      </c>
      <c r="BC244" s="4" t="s">
        <v>124</v>
      </c>
      <c r="BD244" s="4" t="s">
        <v>124</v>
      </c>
      <c r="BE244" s="4" t="s">
        <v>124</v>
      </c>
      <c r="BF244" s="4" t="s">
        <v>124</v>
      </c>
      <c r="BG244" s="4" t="s">
        <v>124</v>
      </c>
      <c r="BH244" s="7">
        <v>0</v>
      </c>
      <c r="BI244" s="7">
        <v>1</v>
      </c>
      <c r="BJ244" s="7">
        <v>1</v>
      </c>
      <c r="BK244" s="7">
        <v>1</v>
      </c>
      <c r="BL244" s="7">
        <v>1</v>
      </c>
      <c r="BM244" s="7">
        <v>1</v>
      </c>
      <c r="BN244" s="7">
        <v>1</v>
      </c>
      <c r="BO244" s="7">
        <v>1</v>
      </c>
      <c r="BP244" s="7">
        <v>1</v>
      </c>
      <c r="BQ244" s="4" t="s">
        <v>124</v>
      </c>
      <c r="BR244" s="7">
        <v>0.14760100000000001</v>
      </c>
      <c r="BS244" s="7">
        <v>30.479704999999999</v>
      </c>
      <c r="BT244" s="7">
        <v>50</v>
      </c>
      <c r="BU244" s="7">
        <v>0.15510199999999999</v>
      </c>
      <c r="BV244" s="7">
        <v>28.979592</v>
      </c>
      <c r="BW244" s="7">
        <v>50</v>
      </c>
      <c r="BX244" s="4" t="s">
        <v>124</v>
      </c>
      <c r="BY244" s="4" t="s">
        <v>124</v>
      </c>
      <c r="BZ244" s="4" t="s">
        <v>124</v>
      </c>
      <c r="CA244" s="4" t="s">
        <v>124</v>
      </c>
      <c r="CB244" s="4" t="s">
        <v>124</v>
      </c>
      <c r="CC244" s="4" t="s">
        <v>124</v>
      </c>
      <c r="CD244" s="4" t="s">
        <v>124</v>
      </c>
      <c r="CE244" s="4" t="s">
        <v>124</v>
      </c>
      <c r="CF244" s="4" t="s">
        <v>124</v>
      </c>
      <c r="CG244" s="4" t="s">
        <v>124</v>
      </c>
      <c r="CH244" s="4" t="s">
        <v>124</v>
      </c>
      <c r="CI244" s="4" t="s">
        <v>124</v>
      </c>
      <c r="CJ244" s="4" t="s">
        <v>124</v>
      </c>
      <c r="CK244" s="4" t="s">
        <v>124</v>
      </c>
      <c r="CL244" s="4" t="s">
        <v>124</v>
      </c>
      <c r="CM244" s="4" t="s">
        <v>124</v>
      </c>
      <c r="CN244" s="4" t="s">
        <v>124</v>
      </c>
      <c r="CO244" s="4" t="s">
        <v>124</v>
      </c>
      <c r="CP244" s="4" t="s">
        <v>124</v>
      </c>
      <c r="CQ244" s="7">
        <v>0.42857099999999998</v>
      </c>
      <c r="CR244" s="7">
        <v>1</v>
      </c>
      <c r="CS244" s="7">
        <v>28.571428999999998</v>
      </c>
      <c r="CT244" s="7">
        <v>50</v>
      </c>
      <c r="CU244" s="4" t="s">
        <v>124</v>
      </c>
      <c r="CV244" s="4" t="s">
        <v>124</v>
      </c>
      <c r="CW244" s="4" t="s">
        <v>124</v>
      </c>
      <c r="CX244" s="4" t="s">
        <v>124</v>
      </c>
      <c r="CY244" s="4" t="s">
        <v>124</v>
      </c>
      <c r="CZ244" s="4" t="s">
        <v>124</v>
      </c>
      <c r="DA244" s="7">
        <v>15.314097</v>
      </c>
      <c r="DB244" s="7">
        <v>17.400950000000002</v>
      </c>
      <c r="DC244" s="7">
        <v>16.332519999999999</v>
      </c>
      <c r="DD244" s="4" t="s">
        <v>124</v>
      </c>
      <c r="DE244" s="7">
        <v>0</v>
      </c>
      <c r="DF244" s="6"/>
      <c r="DG244" s="6"/>
      <c r="DH244" s="6"/>
      <c r="DI244" s="6"/>
      <c r="DJ244" s="7">
        <v>0</v>
      </c>
      <c r="DK244" s="7">
        <v>0</v>
      </c>
      <c r="DL244" s="7">
        <v>0</v>
      </c>
      <c r="DM244" s="7">
        <v>0</v>
      </c>
      <c r="DN244" s="7">
        <v>0</v>
      </c>
      <c r="DO244" s="7">
        <v>0</v>
      </c>
      <c r="DP244" s="6"/>
      <c r="DQ244" s="4" t="s">
        <v>125</v>
      </c>
    </row>
    <row r="245" spans="1:121" ht="20" customHeight="1" x14ac:dyDescent="0.15">
      <c r="A245" s="5">
        <v>2018</v>
      </c>
      <c r="B245" s="3" t="s">
        <v>121</v>
      </c>
      <c r="C245" s="4" t="str">
        <f t="shared" si="0"/>
        <v>0150011</v>
      </c>
      <c r="D245" s="4" t="s">
        <v>380</v>
      </c>
      <c r="E245" s="4" t="str">
        <f>"0150611"</f>
        <v>0150611</v>
      </c>
      <c r="F245" s="4" t="s">
        <v>327</v>
      </c>
      <c r="G245" s="7">
        <v>9</v>
      </c>
      <c r="H245" s="7">
        <v>12</v>
      </c>
      <c r="I245" s="6"/>
      <c r="J245" s="4" t="s">
        <v>330</v>
      </c>
      <c r="K245" s="7">
        <v>981.90509399999996</v>
      </c>
      <c r="L245" s="7">
        <v>1450</v>
      </c>
      <c r="M245" s="7">
        <v>67.717592999999994</v>
      </c>
      <c r="N245" s="7">
        <v>3</v>
      </c>
      <c r="O245" s="7">
        <v>1</v>
      </c>
      <c r="P245" s="7">
        <v>55.440705000000001</v>
      </c>
      <c r="Q245" s="7">
        <v>110.88141</v>
      </c>
      <c r="R245" s="7">
        <v>150</v>
      </c>
      <c r="S245" s="7">
        <v>47.923977000000001</v>
      </c>
      <c r="T245" s="7">
        <v>64.556737999999996</v>
      </c>
      <c r="U245" s="7">
        <v>95.847953000000004</v>
      </c>
      <c r="V245" s="7">
        <v>150</v>
      </c>
      <c r="W245" s="7">
        <v>51.862178999999998</v>
      </c>
      <c r="X245" s="7">
        <v>103.72435900000001</v>
      </c>
      <c r="Y245" s="7">
        <v>150</v>
      </c>
      <c r="Z245" s="7">
        <v>59.680850999999997</v>
      </c>
      <c r="AA245" s="7">
        <v>45.415205</v>
      </c>
      <c r="AB245" s="7">
        <v>90.830409000000003</v>
      </c>
      <c r="AC245" s="7">
        <v>150</v>
      </c>
      <c r="AD245" s="7">
        <v>54.511834</v>
      </c>
      <c r="AE245" s="7">
        <v>72.682445999999999</v>
      </c>
      <c r="AF245" s="7">
        <v>100</v>
      </c>
      <c r="AG245" s="7">
        <v>46.597841000000003</v>
      </c>
      <c r="AH245" s="7">
        <v>64.109656000000001</v>
      </c>
      <c r="AI245" s="7">
        <v>62.130454</v>
      </c>
      <c r="AJ245" s="7">
        <v>100</v>
      </c>
      <c r="AK245" s="7">
        <v>16.63</v>
      </c>
      <c r="AL245" s="7">
        <v>14.26</v>
      </c>
      <c r="AM245" s="7">
        <v>17.510000000000002</v>
      </c>
      <c r="AN245" s="4" t="s">
        <v>124</v>
      </c>
      <c r="AO245" s="4" t="s">
        <v>124</v>
      </c>
      <c r="AP245" s="4" t="s">
        <v>124</v>
      </c>
      <c r="AQ245" s="4" t="s">
        <v>124</v>
      </c>
      <c r="AR245" s="4" t="s">
        <v>124</v>
      </c>
      <c r="AS245" s="4" t="s">
        <v>124</v>
      </c>
      <c r="AT245" s="4" t="s">
        <v>124</v>
      </c>
      <c r="AU245" s="4" t="s">
        <v>124</v>
      </c>
      <c r="AV245" s="4" t="s">
        <v>124</v>
      </c>
      <c r="AW245" s="4" t="s">
        <v>124</v>
      </c>
      <c r="AX245" s="4" t="s">
        <v>124</v>
      </c>
      <c r="AY245" s="4" t="s">
        <v>124</v>
      </c>
      <c r="AZ245" s="4" t="s">
        <v>124</v>
      </c>
      <c r="BA245" s="4" t="s">
        <v>124</v>
      </c>
      <c r="BB245" s="4" t="s">
        <v>124</v>
      </c>
      <c r="BC245" s="4" t="s">
        <v>124</v>
      </c>
      <c r="BD245" s="4" t="s">
        <v>124</v>
      </c>
      <c r="BE245" s="4" t="s">
        <v>124</v>
      </c>
      <c r="BF245" s="4" t="s">
        <v>124</v>
      </c>
      <c r="BG245" s="4" t="s">
        <v>124</v>
      </c>
      <c r="BH245" s="7">
        <v>0</v>
      </c>
      <c r="BI245" s="7">
        <v>0.99065400000000003</v>
      </c>
      <c r="BJ245" s="7">
        <v>0.98333300000000001</v>
      </c>
      <c r="BK245" s="7">
        <v>1</v>
      </c>
      <c r="BL245" s="7">
        <v>0.99065400000000003</v>
      </c>
      <c r="BM245" s="7">
        <v>0.98333300000000001</v>
      </c>
      <c r="BN245" s="7">
        <v>1</v>
      </c>
      <c r="BO245" s="7">
        <v>0.99065400000000003</v>
      </c>
      <c r="BP245" s="7">
        <v>0.98333300000000001</v>
      </c>
      <c r="BQ245" s="7">
        <v>1</v>
      </c>
      <c r="BR245" s="7">
        <v>0.21493200000000001</v>
      </c>
      <c r="BS245" s="7">
        <v>17.013574999999999</v>
      </c>
      <c r="BT245" s="7">
        <v>50</v>
      </c>
      <c r="BU245" s="7">
        <v>0.25416699999999998</v>
      </c>
      <c r="BV245" s="7">
        <v>9.1666670000000003</v>
      </c>
      <c r="BW245" s="7">
        <v>50</v>
      </c>
      <c r="BX245" s="7">
        <v>0.36893199999999998</v>
      </c>
      <c r="BY245" s="7">
        <v>24.595469000000001</v>
      </c>
      <c r="BZ245" s="7">
        <v>50</v>
      </c>
      <c r="CA245" s="7">
        <v>0.281553</v>
      </c>
      <c r="CB245" s="7">
        <v>18.770226999999998</v>
      </c>
      <c r="CC245" s="7">
        <v>50</v>
      </c>
      <c r="CD245" s="7">
        <v>0.80833299999999997</v>
      </c>
      <c r="CE245" s="7">
        <v>42.996454</v>
      </c>
      <c r="CF245" s="7">
        <v>50</v>
      </c>
      <c r="CG245" s="7">
        <v>0.96428599999999998</v>
      </c>
      <c r="CH245" s="7">
        <v>100</v>
      </c>
      <c r="CI245" s="7">
        <v>100</v>
      </c>
      <c r="CJ245" s="7">
        <v>0</v>
      </c>
      <c r="CK245" s="7">
        <v>0.95652199999999998</v>
      </c>
      <c r="CL245" s="7">
        <v>100</v>
      </c>
      <c r="CM245" s="7">
        <v>100</v>
      </c>
      <c r="CN245" s="7">
        <v>0.78378400000000004</v>
      </c>
      <c r="CO245" s="7">
        <v>100</v>
      </c>
      <c r="CP245" s="7">
        <v>100</v>
      </c>
      <c r="CQ245" s="7">
        <v>0.36448599999999998</v>
      </c>
      <c r="CR245" s="7">
        <v>0.85599999999999998</v>
      </c>
      <c r="CS245" s="7">
        <v>12.149533</v>
      </c>
      <c r="CT245" s="7">
        <v>50</v>
      </c>
      <c r="CU245" s="7">
        <v>0.25339400000000001</v>
      </c>
      <c r="CV245" s="7">
        <v>21.116139</v>
      </c>
      <c r="CW245" s="7">
        <v>50</v>
      </c>
      <c r="CX245" s="7">
        <v>0.95652199999999998</v>
      </c>
      <c r="CY245" s="4" t="s">
        <v>124</v>
      </c>
      <c r="CZ245" s="4" t="s">
        <v>124</v>
      </c>
      <c r="DA245" s="7">
        <v>15.314097</v>
      </c>
      <c r="DB245" s="7">
        <v>17.400950000000002</v>
      </c>
      <c r="DC245" s="7">
        <v>16.332519999999999</v>
      </c>
      <c r="DD245" s="7">
        <v>7.9891730000000001</v>
      </c>
      <c r="DE245" s="7">
        <v>1</v>
      </c>
      <c r="DF245" s="6"/>
      <c r="DG245" s="6"/>
      <c r="DH245" s="6"/>
      <c r="DI245" s="6"/>
      <c r="DJ245" s="7">
        <v>0</v>
      </c>
      <c r="DK245" s="7">
        <v>0</v>
      </c>
      <c r="DL245" s="7">
        <v>0</v>
      </c>
      <c r="DM245" s="7">
        <v>0</v>
      </c>
      <c r="DN245" s="7">
        <v>0</v>
      </c>
      <c r="DO245" s="7">
        <v>0</v>
      </c>
      <c r="DP245" s="6"/>
      <c r="DQ245" s="4" t="s">
        <v>125</v>
      </c>
    </row>
    <row r="246" spans="1:121" ht="20" customHeight="1" x14ac:dyDescent="0.15">
      <c r="A246" s="5">
        <v>2018</v>
      </c>
      <c r="B246" s="3" t="s">
        <v>121</v>
      </c>
      <c r="C246" s="4" t="str">
        <f t="shared" si="0"/>
        <v>0150011</v>
      </c>
      <c r="D246" s="4" t="s">
        <v>381</v>
      </c>
      <c r="E246" s="4" t="str">
        <f>"0150311"</f>
        <v>0150311</v>
      </c>
      <c r="F246" s="4" t="s">
        <v>327</v>
      </c>
      <c r="G246" s="4" t="s">
        <v>328</v>
      </c>
      <c r="H246" s="7">
        <v>8</v>
      </c>
      <c r="I246" s="4" t="s">
        <v>335</v>
      </c>
      <c r="J246" s="4" t="s">
        <v>330</v>
      </c>
      <c r="K246" s="7">
        <v>663.98936000000003</v>
      </c>
      <c r="L246" s="7">
        <v>1000</v>
      </c>
      <c r="M246" s="7">
        <v>66.398936000000006</v>
      </c>
      <c r="N246" s="7">
        <v>3</v>
      </c>
      <c r="O246" s="7">
        <v>0</v>
      </c>
      <c r="P246" s="7">
        <v>62.552613000000001</v>
      </c>
      <c r="Q246" s="7">
        <v>41.701742000000003</v>
      </c>
      <c r="R246" s="7">
        <v>50</v>
      </c>
      <c r="S246" s="7">
        <v>60.331785000000004</v>
      </c>
      <c r="T246" s="7">
        <v>70.732665999999995</v>
      </c>
      <c r="U246" s="7">
        <v>40.22119</v>
      </c>
      <c r="V246" s="7">
        <v>50</v>
      </c>
      <c r="W246" s="7">
        <v>52.671649000000002</v>
      </c>
      <c r="X246" s="7">
        <v>35.114432999999998</v>
      </c>
      <c r="Y246" s="7">
        <v>50</v>
      </c>
      <c r="Z246" s="7">
        <v>60.092379999999999</v>
      </c>
      <c r="AA246" s="7">
        <v>50.656972000000003</v>
      </c>
      <c r="AB246" s="7">
        <v>33.771313999999997</v>
      </c>
      <c r="AC246" s="7">
        <v>50</v>
      </c>
      <c r="AD246" s="7">
        <v>56.381208000000001</v>
      </c>
      <c r="AE246" s="7">
        <v>37.587471999999998</v>
      </c>
      <c r="AF246" s="7">
        <v>50</v>
      </c>
      <c r="AG246" s="7">
        <v>55.467032000000003</v>
      </c>
      <c r="AH246" s="7">
        <v>59.35228</v>
      </c>
      <c r="AI246" s="7">
        <v>36.978020999999998</v>
      </c>
      <c r="AJ246" s="7">
        <v>50</v>
      </c>
      <c r="AK246" s="7">
        <v>10.4</v>
      </c>
      <c r="AL246" s="7">
        <v>9.43</v>
      </c>
      <c r="AM246" s="7">
        <v>3.88</v>
      </c>
      <c r="AN246" s="7">
        <v>0.52446000000000004</v>
      </c>
      <c r="AO246" s="7">
        <v>52.446038000000001</v>
      </c>
      <c r="AP246" s="7">
        <v>100</v>
      </c>
      <c r="AQ246" s="7">
        <v>0.56654599999999999</v>
      </c>
      <c r="AR246" s="7">
        <v>56.654614000000002</v>
      </c>
      <c r="AS246" s="7">
        <v>100</v>
      </c>
      <c r="AT246" s="7">
        <v>0.49506299999999998</v>
      </c>
      <c r="AU246" s="7">
        <v>0.61318799999999996</v>
      </c>
      <c r="AV246" s="7">
        <v>49.506279999999997</v>
      </c>
      <c r="AW246" s="7">
        <v>100</v>
      </c>
      <c r="AX246" s="7">
        <v>0.56525999999999998</v>
      </c>
      <c r="AY246" s="7">
        <v>0.57042899999999996</v>
      </c>
      <c r="AZ246" s="7">
        <v>56.525956000000001</v>
      </c>
      <c r="BA246" s="7">
        <v>100</v>
      </c>
      <c r="BB246" s="7">
        <v>0.66038799999999998</v>
      </c>
      <c r="BC246" s="7">
        <v>33.019382</v>
      </c>
      <c r="BD246" s="7">
        <v>50</v>
      </c>
      <c r="BE246" s="7">
        <v>0.58533900000000005</v>
      </c>
      <c r="BF246" s="7">
        <v>29.266947999999999</v>
      </c>
      <c r="BG246" s="7">
        <v>50</v>
      </c>
      <c r="BH246" s="7">
        <v>0</v>
      </c>
      <c r="BI246" s="7">
        <v>1</v>
      </c>
      <c r="BJ246" s="7">
        <v>1</v>
      </c>
      <c r="BK246" s="7">
        <v>1</v>
      </c>
      <c r="BL246" s="7">
        <v>1</v>
      </c>
      <c r="BM246" s="7">
        <v>1</v>
      </c>
      <c r="BN246" s="7">
        <v>1</v>
      </c>
      <c r="BO246" s="7">
        <v>1</v>
      </c>
      <c r="BP246" s="7">
        <v>1</v>
      </c>
      <c r="BQ246" s="7">
        <v>1</v>
      </c>
      <c r="BR246" s="7">
        <v>7.4661000000000005E-2</v>
      </c>
      <c r="BS246" s="7">
        <v>45.067872999999999</v>
      </c>
      <c r="BT246" s="7">
        <v>50</v>
      </c>
      <c r="BU246" s="7">
        <v>8.3582000000000004E-2</v>
      </c>
      <c r="BV246" s="7">
        <v>43.283582000000003</v>
      </c>
      <c r="BW246" s="7">
        <v>50</v>
      </c>
      <c r="BX246" s="4" t="s">
        <v>124</v>
      </c>
      <c r="BY246" s="4" t="s">
        <v>124</v>
      </c>
      <c r="BZ246" s="4" t="s">
        <v>124</v>
      </c>
      <c r="CA246" s="4" t="s">
        <v>124</v>
      </c>
      <c r="CB246" s="4" t="s">
        <v>124</v>
      </c>
      <c r="CC246" s="4" t="s">
        <v>124</v>
      </c>
      <c r="CD246" s="7">
        <v>0.89285700000000001</v>
      </c>
      <c r="CE246" s="7">
        <v>47.492401000000001</v>
      </c>
      <c r="CF246" s="7">
        <v>50</v>
      </c>
      <c r="CG246" s="4" t="s">
        <v>124</v>
      </c>
      <c r="CH246" s="4" t="s">
        <v>124</v>
      </c>
      <c r="CI246" s="4" t="s">
        <v>124</v>
      </c>
      <c r="CJ246" s="4" t="s">
        <v>124</v>
      </c>
      <c r="CK246" s="4" t="s">
        <v>124</v>
      </c>
      <c r="CL246" s="4" t="s">
        <v>124</v>
      </c>
      <c r="CM246" s="4" t="s">
        <v>124</v>
      </c>
      <c r="CN246" s="4" t="s">
        <v>124</v>
      </c>
      <c r="CO246" s="4" t="s">
        <v>124</v>
      </c>
      <c r="CP246" s="4" t="s">
        <v>124</v>
      </c>
      <c r="CQ246" s="7">
        <v>0.38028200000000001</v>
      </c>
      <c r="CR246" s="7">
        <v>0.93421100000000001</v>
      </c>
      <c r="CS246" s="7">
        <v>25.352112999999999</v>
      </c>
      <c r="CT246" s="7">
        <v>50</v>
      </c>
      <c r="CU246" s="4" t="s">
        <v>124</v>
      </c>
      <c r="CV246" s="4" t="s">
        <v>124</v>
      </c>
      <c r="CW246" s="4" t="s">
        <v>124</v>
      </c>
      <c r="CX246" s="4" t="s">
        <v>124</v>
      </c>
      <c r="CY246" s="4" t="s">
        <v>124</v>
      </c>
      <c r="CZ246" s="4" t="s">
        <v>124</v>
      </c>
      <c r="DA246" s="7">
        <v>15.314097</v>
      </c>
      <c r="DB246" s="7">
        <v>17.400950000000002</v>
      </c>
      <c r="DC246" s="7">
        <v>16.332519999999999</v>
      </c>
      <c r="DD246" s="4" t="s">
        <v>124</v>
      </c>
      <c r="DE246" s="7">
        <v>0</v>
      </c>
      <c r="DF246" s="6"/>
      <c r="DG246" s="6"/>
      <c r="DH246" s="6"/>
      <c r="DI246" s="6"/>
      <c r="DJ246" s="7">
        <v>0</v>
      </c>
      <c r="DK246" s="7">
        <v>0</v>
      </c>
      <c r="DL246" s="7">
        <v>0</v>
      </c>
      <c r="DM246" s="7">
        <v>0</v>
      </c>
      <c r="DN246" s="7">
        <v>0</v>
      </c>
      <c r="DO246" s="7">
        <v>0</v>
      </c>
      <c r="DP246" s="6"/>
      <c r="DQ246" s="4" t="s">
        <v>125</v>
      </c>
    </row>
    <row r="247" spans="1:121" ht="20" customHeight="1" x14ac:dyDescent="0.15">
      <c r="A247" s="5">
        <v>2018</v>
      </c>
      <c r="B247" s="3" t="s">
        <v>121</v>
      </c>
      <c r="C247" s="4" t="str">
        <f t="shared" si="0"/>
        <v>0150011</v>
      </c>
      <c r="D247" s="4" t="s">
        <v>382</v>
      </c>
      <c r="E247" s="4" t="str">
        <f>"0154011"</f>
        <v>0154011</v>
      </c>
      <c r="F247" s="4" t="s">
        <v>327</v>
      </c>
      <c r="G247" s="4" t="s">
        <v>328</v>
      </c>
      <c r="H247" s="7">
        <v>8</v>
      </c>
      <c r="I247" s="4" t="s">
        <v>335</v>
      </c>
      <c r="J247" s="4" t="s">
        <v>330</v>
      </c>
      <c r="K247" s="7">
        <v>655.04299000000003</v>
      </c>
      <c r="L247" s="7">
        <v>1000</v>
      </c>
      <c r="M247" s="7">
        <v>65.504299000000003</v>
      </c>
      <c r="N247" s="7">
        <v>3</v>
      </c>
      <c r="O247" s="7">
        <v>0</v>
      </c>
      <c r="P247" s="7">
        <v>56.549571</v>
      </c>
      <c r="Q247" s="7">
        <v>37.699714</v>
      </c>
      <c r="R247" s="7">
        <v>50</v>
      </c>
      <c r="S247" s="7">
        <v>55.522989000000003</v>
      </c>
      <c r="T247" s="7">
        <v>60.906281999999997</v>
      </c>
      <c r="U247" s="7">
        <v>37.015326000000002</v>
      </c>
      <c r="V247" s="7">
        <v>50</v>
      </c>
      <c r="W247" s="7">
        <v>49.100059000000002</v>
      </c>
      <c r="X247" s="7">
        <v>32.733373</v>
      </c>
      <c r="Y247" s="7">
        <v>50</v>
      </c>
      <c r="Z247" s="7">
        <v>53.357311000000003</v>
      </c>
      <c r="AA247" s="7">
        <v>48.093055999999997</v>
      </c>
      <c r="AB247" s="7">
        <v>32.062036999999997</v>
      </c>
      <c r="AC247" s="7">
        <v>50</v>
      </c>
      <c r="AD247" s="7">
        <v>50.962699000000001</v>
      </c>
      <c r="AE247" s="7">
        <v>33.975133</v>
      </c>
      <c r="AF247" s="7">
        <v>50</v>
      </c>
      <c r="AG247" s="7">
        <v>50.086778000000002</v>
      </c>
      <c r="AH247" s="7">
        <v>54.987763999999999</v>
      </c>
      <c r="AI247" s="7">
        <v>33.391185</v>
      </c>
      <c r="AJ247" s="7">
        <v>50</v>
      </c>
      <c r="AK247" s="7">
        <v>5.38</v>
      </c>
      <c r="AL247" s="7">
        <v>5.26</v>
      </c>
      <c r="AM247" s="7">
        <v>4.9000000000000004</v>
      </c>
      <c r="AN247" s="7">
        <v>0.62120200000000003</v>
      </c>
      <c r="AO247" s="7">
        <v>62.120215000000002</v>
      </c>
      <c r="AP247" s="7">
        <v>100</v>
      </c>
      <c r="AQ247" s="7">
        <v>0.62097599999999997</v>
      </c>
      <c r="AR247" s="7">
        <v>62.097647000000002</v>
      </c>
      <c r="AS247" s="7">
        <v>100</v>
      </c>
      <c r="AT247" s="7">
        <v>0.62224400000000002</v>
      </c>
      <c r="AU247" s="7">
        <v>0.61741699999999999</v>
      </c>
      <c r="AV247" s="7">
        <v>62.224431000000003</v>
      </c>
      <c r="AW247" s="7">
        <v>100</v>
      </c>
      <c r="AX247" s="7">
        <v>0.62089099999999997</v>
      </c>
      <c r="AY247" s="7">
        <v>0.621286</v>
      </c>
      <c r="AZ247" s="7">
        <v>62.089091000000003</v>
      </c>
      <c r="BA247" s="7">
        <v>100</v>
      </c>
      <c r="BB247" s="7">
        <v>0.58627200000000002</v>
      </c>
      <c r="BC247" s="7">
        <v>29.313580999999999</v>
      </c>
      <c r="BD247" s="7">
        <v>50</v>
      </c>
      <c r="BE247" s="7">
        <v>0.41380499999999998</v>
      </c>
      <c r="BF247" s="7">
        <v>20.690225000000002</v>
      </c>
      <c r="BG247" s="7">
        <v>50</v>
      </c>
      <c r="BH247" s="7">
        <v>0</v>
      </c>
      <c r="BI247" s="7">
        <v>0.997305</v>
      </c>
      <c r="BJ247" s="7">
        <v>0.99834400000000001</v>
      </c>
      <c r="BK247" s="7">
        <v>0.99275400000000003</v>
      </c>
      <c r="BL247" s="7">
        <v>0.99729400000000001</v>
      </c>
      <c r="BM247" s="7">
        <v>0.998336</v>
      </c>
      <c r="BN247" s="7">
        <v>0.99275400000000003</v>
      </c>
      <c r="BO247" s="7">
        <v>1</v>
      </c>
      <c r="BP247" s="7">
        <v>1</v>
      </c>
      <c r="BQ247" s="7">
        <v>1</v>
      </c>
      <c r="BR247" s="7">
        <v>0.16205900000000001</v>
      </c>
      <c r="BS247" s="7">
        <v>27.588179</v>
      </c>
      <c r="BT247" s="7">
        <v>50</v>
      </c>
      <c r="BU247" s="7">
        <v>0.168047</v>
      </c>
      <c r="BV247" s="7">
        <v>26.390533000000001</v>
      </c>
      <c r="BW247" s="7">
        <v>50</v>
      </c>
      <c r="BX247" s="4" t="s">
        <v>124</v>
      </c>
      <c r="BY247" s="4" t="s">
        <v>124</v>
      </c>
      <c r="BZ247" s="4" t="s">
        <v>124</v>
      </c>
      <c r="CA247" s="4" t="s">
        <v>124</v>
      </c>
      <c r="CB247" s="4" t="s">
        <v>124</v>
      </c>
      <c r="CC247" s="4" t="s">
        <v>124</v>
      </c>
      <c r="CD247" s="7">
        <v>0.86014000000000002</v>
      </c>
      <c r="CE247" s="7">
        <v>45.752119999999998</v>
      </c>
      <c r="CF247" s="7">
        <v>50</v>
      </c>
      <c r="CG247" s="4" t="s">
        <v>124</v>
      </c>
      <c r="CH247" s="4" t="s">
        <v>124</v>
      </c>
      <c r="CI247" s="4" t="s">
        <v>124</v>
      </c>
      <c r="CJ247" s="4" t="s">
        <v>124</v>
      </c>
      <c r="CK247" s="4" t="s">
        <v>124</v>
      </c>
      <c r="CL247" s="4" t="s">
        <v>124</v>
      </c>
      <c r="CM247" s="4" t="s">
        <v>124</v>
      </c>
      <c r="CN247" s="4" t="s">
        <v>124</v>
      </c>
      <c r="CO247" s="4" t="s">
        <v>124</v>
      </c>
      <c r="CP247" s="4" t="s">
        <v>124</v>
      </c>
      <c r="CQ247" s="7">
        <v>0.74850300000000003</v>
      </c>
      <c r="CR247" s="7">
        <v>0.91506799999999999</v>
      </c>
      <c r="CS247" s="7">
        <v>49.900199999999998</v>
      </c>
      <c r="CT247" s="7">
        <v>50</v>
      </c>
      <c r="CU247" s="4" t="s">
        <v>124</v>
      </c>
      <c r="CV247" s="4" t="s">
        <v>124</v>
      </c>
      <c r="CW247" s="4" t="s">
        <v>124</v>
      </c>
      <c r="CX247" s="4" t="s">
        <v>124</v>
      </c>
      <c r="CY247" s="4" t="s">
        <v>124</v>
      </c>
      <c r="CZ247" s="4" t="s">
        <v>124</v>
      </c>
      <c r="DA247" s="7">
        <v>15.314097</v>
      </c>
      <c r="DB247" s="7">
        <v>17.400950000000002</v>
      </c>
      <c r="DC247" s="7">
        <v>16.332519999999999</v>
      </c>
      <c r="DD247" s="4" t="s">
        <v>124</v>
      </c>
      <c r="DE247" s="7">
        <v>0</v>
      </c>
      <c r="DF247" s="6"/>
      <c r="DG247" s="6"/>
      <c r="DH247" s="6"/>
      <c r="DI247" s="6"/>
      <c r="DJ247" s="7">
        <v>0</v>
      </c>
      <c r="DK247" s="7">
        <v>0</v>
      </c>
      <c r="DL247" s="7">
        <v>0</v>
      </c>
      <c r="DM247" s="7">
        <v>0</v>
      </c>
      <c r="DN247" s="7">
        <v>0</v>
      </c>
      <c r="DO247" s="7">
        <v>0</v>
      </c>
      <c r="DP247" s="6"/>
      <c r="DQ247" s="4" t="s">
        <v>125</v>
      </c>
    </row>
    <row r="248" spans="1:121" ht="20" customHeight="1" x14ac:dyDescent="0.15">
      <c r="A248" s="5">
        <v>2018</v>
      </c>
      <c r="B248" s="3" t="s">
        <v>121</v>
      </c>
      <c r="C248" s="4" t="str">
        <f t="shared" si="0"/>
        <v>0150011</v>
      </c>
      <c r="D248" s="4" t="s">
        <v>383</v>
      </c>
      <c r="E248" s="4" t="str">
        <f>"0151611"</f>
        <v>0151611</v>
      </c>
      <c r="F248" s="4" t="s">
        <v>327</v>
      </c>
      <c r="G248" s="7">
        <v>9</v>
      </c>
      <c r="H248" s="7">
        <v>12</v>
      </c>
      <c r="I248" s="6"/>
      <c r="J248" s="4" t="s">
        <v>330</v>
      </c>
      <c r="K248" s="7">
        <v>804.36132299999997</v>
      </c>
      <c r="L248" s="7">
        <v>1450</v>
      </c>
      <c r="M248" s="7">
        <v>55.473194999999997</v>
      </c>
      <c r="N248" s="7">
        <v>5</v>
      </c>
      <c r="O248" s="7">
        <v>0</v>
      </c>
      <c r="P248" s="7">
        <v>37.411458000000003</v>
      </c>
      <c r="Q248" s="7">
        <v>74.822917000000004</v>
      </c>
      <c r="R248" s="7">
        <v>150</v>
      </c>
      <c r="S248" s="7">
        <v>36.807692000000003</v>
      </c>
      <c r="T248" s="4" t="s">
        <v>124</v>
      </c>
      <c r="U248" s="7">
        <v>73.615385000000003</v>
      </c>
      <c r="V248" s="7">
        <v>150</v>
      </c>
      <c r="W248" s="7">
        <v>31.309895999999998</v>
      </c>
      <c r="X248" s="7">
        <v>62.619791999999997</v>
      </c>
      <c r="Y248" s="7">
        <v>150</v>
      </c>
      <c r="Z248" s="4" t="s">
        <v>124</v>
      </c>
      <c r="AA248" s="7">
        <v>31.201923000000001</v>
      </c>
      <c r="AB248" s="7">
        <v>62.403846000000001</v>
      </c>
      <c r="AC248" s="7">
        <v>150</v>
      </c>
      <c r="AD248" s="7">
        <v>33.078107000000003</v>
      </c>
      <c r="AE248" s="7">
        <v>44.104142000000003</v>
      </c>
      <c r="AF248" s="7">
        <v>100</v>
      </c>
      <c r="AG248" s="7">
        <v>32.026125</v>
      </c>
      <c r="AH248" s="4" t="s">
        <v>124</v>
      </c>
      <c r="AI248" s="7">
        <v>42.701500000000003</v>
      </c>
      <c r="AJ248" s="7">
        <v>100</v>
      </c>
      <c r="AK248" s="4" t="s">
        <v>124</v>
      </c>
      <c r="AL248" s="4" t="s">
        <v>124</v>
      </c>
      <c r="AM248" s="4" t="s">
        <v>124</v>
      </c>
      <c r="AN248" s="4" t="s">
        <v>124</v>
      </c>
      <c r="AO248" s="4" t="s">
        <v>124</v>
      </c>
      <c r="AP248" s="4" t="s">
        <v>124</v>
      </c>
      <c r="AQ248" s="4" t="s">
        <v>124</v>
      </c>
      <c r="AR248" s="4" t="s">
        <v>124</v>
      </c>
      <c r="AS248" s="4" t="s">
        <v>124</v>
      </c>
      <c r="AT248" s="4" t="s">
        <v>124</v>
      </c>
      <c r="AU248" s="4" t="s">
        <v>124</v>
      </c>
      <c r="AV248" s="4" t="s">
        <v>124</v>
      </c>
      <c r="AW248" s="4" t="s">
        <v>124</v>
      </c>
      <c r="AX248" s="4" t="s">
        <v>124</v>
      </c>
      <c r="AY248" s="4" t="s">
        <v>124</v>
      </c>
      <c r="AZ248" s="4" t="s">
        <v>124</v>
      </c>
      <c r="BA248" s="4" t="s">
        <v>124</v>
      </c>
      <c r="BB248" s="7">
        <v>0.59471600000000002</v>
      </c>
      <c r="BC248" s="7">
        <v>29.735811000000002</v>
      </c>
      <c r="BD248" s="7">
        <v>50</v>
      </c>
      <c r="BE248" s="7">
        <v>0.75278</v>
      </c>
      <c r="BF248" s="7">
        <v>37.638997000000003</v>
      </c>
      <c r="BG248" s="7">
        <v>50</v>
      </c>
      <c r="BH248" s="7">
        <v>0</v>
      </c>
      <c r="BI248" s="7">
        <v>1</v>
      </c>
      <c r="BJ248" s="7">
        <v>1</v>
      </c>
      <c r="BK248" s="4" t="s">
        <v>124</v>
      </c>
      <c r="BL248" s="7">
        <v>1</v>
      </c>
      <c r="BM248" s="7">
        <v>1</v>
      </c>
      <c r="BN248" s="4" t="s">
        <v>124</v>
      </c>
      <c r="BO248" s="7">
        <v>1</v>
      </c>
      <c r="BP248" s="7">
        <v>1</v>
      </c>
      <c r="BQ248" s="4" t="s">
        <v>124</v>
      </c>
      <c r="BR248" s="7">
        <v>0.20430100000000001</v>
      </c>
      <c r="BS248" s="7">
        <v>19.139785</v>
      </c>
      <c r="BT248" s="7">
        <v>50</v>
      </c>
      <c r="BU248" s="7">
        <v>0.22368399999999999</v>
      </c>
      <c r="BV248" s="7">
        <v>15.263158000000001</v>
      </c>
      <c r="BW248" s="7">
        <v>50</v>
      </c>
      <c r="BX248" s="7">
        <v>0.58181799999999995</v>
      </c>
      <c r="BY248" s="7">
        <v>38.787878999999997</v>
      </c>
      <c r="BZ248" s="7">
        <v>50</v>
      </c>
      <c r="CA248" s="7">
        <v>4.5455000000000002E-2</v>
      </c>
      <c r="CB248" s="7">
        <v>3.030303</v>
      </c>
      <c r="CC248" s="7">
        <v>50</v>
      </c>
      <c r="CD248" s="7">
        <v>0.94381999999999999</v>
      </c>
      <c r="CE248" s="7">
        <v>50</v>
      </c>
      <c r="CF248" s="7">
        <v>50</v>
      </c>
      <c r="CG248" s="7">
        <v>0.96385500000000002</v>
      </c>
      <c r="CH248" s="7">
        <v>100</v>
      </c>
      <c r="CI248" s="7">
        <v>100</v>
      </c>
      <c r="CJ248" s="4" t="s">
        <v>124</v>
      </c>
      <c r="CK248" s="4" t="s">
        <v>124</v>
      </c>
      <c r="CL248" s="4" t="s">
        <v>124</v>
      </c>
      <c r="CM248" s="4" t="s">
        <v>124</v>
      </c>
      <c r="CN248" s="7">
        <v>0.51851899999999995</v>
      </c>
      <c r="CO248" s="7">
        <v>69.135801999999998</v>
      </c>
      <c r="CP248" s="7">
        <v>100</v>
      </c>
      <c r="CQ248" s="7">
        <v>0.78571400000000002</v>
      </c>
      <c r="CR248" s="7">
        <v>1.2250000000000001</v>
      </c>
      <c r="CS248" s="7">
        <v>50</v>
      </c>
      <c r="CT248" s="7">
        <v>50</v>
      </c>
      <c r="CU248" s="7">
        <v>0.37634400000000001</v>
      </c>
      <c r="CV248" s="7">
        <v>31.362006999999998</v>
      </c>
      <c r="CW248" s="7">
        <v>50</v>
      </c>
      <c r="CX248" s="4" t="s">
        <v>124</v>
      </c>
      <c r="CY248" s="4" t="s">
        <v>124</v>
      </c>
      <c r="CZ248" s="4" t="s">
        <v>124</v>
      </c>
      <c r="DA248" s="7">
        <v>15.314097</v>
      </c>
      <c r="DB248" s="7">
        <v>17.400950000000002</v>
      </c>
      <c r="DC248" s="7">
        <v>16.332519999999999</v>
      </c>
      <c r="DD248" s="4" t="s">
        <v>124</v>
      </c>
      <c r="DE248" s="7">
        <v>0</v>
      </c>
      <c r="DF248" s="4" t="s">
        <v>384</v>
      </c>
      <c r="DG248" s="4" t="s">
        <v>385</v>
      </c>
      <c r="DH248" s="6"/>
      <c r="DI248" s="6"/>
      <c r="DJ248" s="7">
        <v>0</v>
      </c>
      <c r="DK248" s="7">
        <v>0</v>
      </c>
      <c r="DL248" s="7">
        <v>0</v>
      </c>
      <c r="DM248" s="7">
        <v>0</v>
      </c>
      <c r="DN248" s="7">
        <v>0</v>
      </c>
      <c r="DO248" s="7">
        <v>0</v>
      </c>
      <c r="DP248" s="6"/>
      <c r="DQ248" s="4" t="s">
        <v>125</v>
      </c>
    </row>
    <row r="249" spans="1:121" ht="20" customHeight="1" x14ac:dyDescent="0.15">
      <c r="A249" s="5">
        <v>2018</v>
      </c>
      <c r="B249" s="3" t="s">
        <v>121</v>
      </c>
      <c r="C249" s="4" t="str">
        <f t="shared" si="0"/>
        <v>0150011</v>
      </c>
      <c r="D249" s="4" t="s">
        <v>386</v>
      </c>
      <c r="E249" s="4" t="str">
        <f>"0150411"</f>
        <v>0150411</v>
      </c>
      <c r="F249" s="4" t="s">
        <v>327</v>
      </c>
      <c r="G249" s="4" t="s">
        <v>328</v>
      </c>
      <c r="H249" s="7">
        <v>6</v>
      </c>
      <c r="I249" s="4" t="s">
        <v>335</v>
      </c>
      <c r="J249" s="4" t="s">
        <v>330</v>
      </c>
      <c r="K249" s="7">
        <v>628.75155299999994</v>
      </c>
      <c r="L249" s="7">
        <v>950</v>
      </c>
      <c r="M249" s="7">
        <v>66.184374000000005</v>
      </c>
      <c r="N249" s="7">
        <v>3</v>
      </c>
      <c r="O249" s="7">
        <v>0</v>
      </c>
      <c r="P249" s="7">
        <v>58.966766</v>
      </c>
      <c r="Q249" s="7">
        <v>39.311177000000001</v>
      </c>
      <c r="R249" s="7">
        <v>50</v>
      </c>
      <c r="S249" s="7">
        <v>57.836508000000002</v>
      </c>
      <c r="T249" s="4" t="s">
        <v>124</v>
      </c>
      <c r="U249" s="7">
        <v>38.557671999999997</v>
      </c>
      <c r="V249" s="7">
        <v>50</v>
      </c>
      <c r="W249" s="7">
        <v>50.746138000000002</v>
      </c>
      <c r="X249" s="7">
        <v>33.830759</v>
      </c>
      <c r="Y249" s="7">
        <v>50</v>
      </c>
      <c r="Z249" s="4" t="s">
        <v>124</v>
      </c>
      <c r="AA249" s="7">
        <v>49.406070999999997</v>
      </c>
      <c r="AB249" s="7">
        <v>32.937381000000002</v>
      </c>
      <c r="AC249" s="7">
        <v>50</v>
      </c>
      <c r="AD249" s="7">
        <v>51.908290000000001</v>
      </c>
      <c r="AE249" s="7">
        <v>34.605525999999998</v>
      </c>
      <c r="AF249" s="7">
        <v>50</v>
      </c>
      <c r="AG249" s="7">
        <v>52.873992000000001</v>
      </c>
      <c r="AH249" s="4" t="s">
        <v>124</v>
      </c>
      <c r="AI249" s="7">
        <v>35.249327999999998</v>
      </c>
      <c r="AJ249" s="7">
        <v>50</v>
      </c>
      <c r="AK249" s="4" t="s">
        <v>124</v>
      </c>
      <c r="AL249" s="4" t="s">
        <v>124</v>
      </c>
      <c r="AM249" s="4" t="s">
        <v>124</v>
      </c>
      <c r="AN249" s="7">
        <v>0.61203600000000002</v>
      </c>
      <c r="AO249" s="7">
        <v>61.203648999999999</v>
      </c>
      <c r="AP249" s="7">
        <v>100</v>
      </c>
      <c r="AQ249" s="7">
        <v>0.64147500000000002</v>
      </c>
      <c r="AR249" s="7">
        <v>64.147523000000007</v>
      </c>
      <c r="AS249" s="7">
        <v>100</v>
      </c>
      <c r="AT249" s="7">
        <v>0.59042099999999997</v>
      </c>
      <c r="AU249" s="4" t="s">
        <v>124</v>
      </c>
      <c r="AV249" s="7">
        <v>59.042121999999999</v>
      </c>
      <c r="AW249" s="7">
        <v>100</v>
      </c>
      <c r="AX249" s="7">
        <v>0.628104</v>
      </c>
      <c r="AY249" s="4" t="s">
        <v>124</v>
      </c>
      <c r="AZ249" s="7">
        <v>62.81044</v>
      </c>
      <c r="BA249" s="7">
        <v>100</v>
      </c>
      <c r="BB249" s="7">
        <v>0.58115600000000001</v>
      </c>
      <c r="BC249" s="7">
        <v>29.057801999999999</v>
      </c>
      <c r="BD249" s="7">
        <v>50</v>
      </c>
      <c r="BE249" s="7">
        <v>0.44972200000000001</v>
      </c>
      <c r="BF249" s="7">
        <v>22.486090999999998</v>
      </c>
      <c r="BG249" s="7">
        <v>50</v>
      </c>
      <c r="BH249" s="7">
        <v>0</v>
      </c>
      <c r="BI249" s="7">
        <v>1</v>
      </c>
      <c r="BJ249" s="7">
        <v>1</v>
      </c>
      <c r="BK249" s="7">
        <v>1</v>
      </c>
      <c r="BL249" s="7">
        <v>1</v>
      </c>
      <c r="BM249" s="7">
        <v>1</v>
      </c>
      <c r="BN249" s="7">
        <v>1</v>
      </c>
      <c r="BO249" s="7">
        <v>1</v>
      </c>
      <c r="BP249" s="7">
        <v>1</v>
      </c>
      <c r="BQ249" s="4" t="s">
        <v>124</v>
      </c>
      <c r="BR249" s="7">
        <v>0.136076</v>
      </c>
      <c r="BS249" s="7">
        <v>32.78481</v>
      </c>
      <c r="BT249" s="7">
        <v>50</v>
      </c>
      <c r="BU249" s="7">
        <v>0.13636400000000001</v>
      </c>
      <c r="BV249" s="7">
        <v>32.727272999999997</v>
      </c>
      <c r="BW249" s="7">
        <v>50</v>
      </c>
      <c r="BX249" s="4" t="s">
        <v>124</v>
      </c>
      <c r="BY249" s="4" t="s">
        <v>124</v>
      </c>
      <c r="BZ249" s="4" t="s">
        <v>124</v>
      </c>
      <c r="CA249" s="4" t="s">
        <v>124</v>
      </c>
      <c r="CB249" s="4" t="s">
        <v>124</v>
      </c>
      <c r="CC249" s="4" t="s">
        <v>124</v>
      </c>
      <c r="CD249" s="4" t="s">
        <v>124</v>
      </c>
      <c r="CE249" s="4" t="s">
        <v>124</v>
      </c>
      <c r="CF249" s="4" t="s">
        <v>124</v>
      </c>
      <c r="CG249" s="4" t="s">
        <v>124</v>
      </c>
      <c r="CH249" s="4" t="s">
        <v>124</v>
      </c>
      <c r="CI249" s="4" t="s">
        <v>124</v>
      </c>
      <c r="CJ249" s="4" t="s">
        <v>124</v>
      </c>
      <c r="CK249" s="4" t="s">
        <v>124</v>
      </c>
      <c r="CL249" s="4" t="s">
        <v>124</v>
      </c>
      <c r="CM249" s="4" t="s">
        <v>124</v>
      </c>
      <c r="CN249" s="4" t="s">
        <v>124</v>
      </c>
      <c r="CO249" s="4" t="s">
        <v>124</v>
      </c>
      <c r="CP249" s="4" t="s">
        <v>124</v>
      </c>
      <c r="CQ249" s="7">
        <v>0.91666700000000001</v>
      </c>
      <c r="CR249" s="7">
        <v>1.0120480000000001</v>
      </c>
      <c r="CS249" s="7">
        <v>50</v>
      </c>
      <c r="CT249" s="7">
        <v>50</v>
      </c>
      <c r="CU249" s="4" t="s">
        <v>124</v>
      </c>
      <c r="CV249" s="4" t="s">
        <v>124</v>
      </c>
      <c r="CW249" s="4" t="s">
        <v>124</v>
      </c>
      <c r="CX249" s="4" t="s">
        <v>124</v>
      </c>
      <c r="CY249" s="4" t="s">
        <v>124</v>
      </c>
      <c r="CZ249" s="4" t="s">
        <v>124</v>
      </c>
      <c r="DA249" s="7">
        <v>15.314097</v>
      </c>
      <c r="DB249" s="7">
        <v>17.400950000000002</v>
      </c>
      <c r="DC249" s="7">
        <v>16.332519999999999</v>
      </c>
      <c r="DD249" s="4" t="s">
        <v>124</v>
      </c>
      <c r="DE249" s="7">
        <v>0</v>
      </c>
      <c r="DF249" s="6"/>
      <c r="DG249" s="6"/>
      <c r="DH249" s="6"/>
      <c r="DI249" s="6"/>
      <c r="DJ249" s="7">
        <v>0</v>
      </c>
      <c r="DK249" s="7">
        <v>0</v>
      </c>
      <c r="DL249" s="7">
        <v>0</v>
      </c>
      <c r="DM249" s="7">
        <v>0</v>
      </c>
      <c r="DN249" s="7">
        <v>0</v>
      </c>
      <c r="DO249" s="7">
        <v>0</v>
      </c>
      <c r="DP249" s="6"/>
      <c r="DQ249" s="4" t="s">
        <v>125</v>
      </c>
    </row>
    <row r="250" spans="1:121" ht="20" customHeight="1" x14ac:dyDescent="0.15">
      <c r="A250" s="5">
        <v>2018</v>
      </c>
      <c r="B250" s="3" t="s">
        <v>121</v>
      </c>
      <c r="C250" s="4" t="str">
        <f t="shared" si="0"/>
        <v>0150011</v>
      </c>
      <c r="D250" s="4" t="s">
        <v>387</v>
      </c>
      <c r="E250" s="4" t="str">
        <f>"0156211"</f>
        <v>0156211</v>
      </c>
      <c r="F250" s="4" t="s">
        <v>327</v>
      </c>
      <c r="G250" s="7">
        <v>9</v>
      </c>
      <c r="H250" s="7">
        <v>12</v>
      </c>
      <c r="I250" s="6"/>
      <c r="J250" s="4" t="s">
        <v>330</v>
      </c>
      <c r="K250" s="7">
        <v>992.29208200000005</v>
      </c>
      <c r="L250" s="7">
        <v>1550</v>
      </c>
      <c r="M250" s="7">
        <v>64.018844000000001</v>
      </c>
      <c r="N250" s="7">
        <v>3</v>
      </c>
      <c r="O250" s="7">
        <v>0</v>
      </c>
      <c r="P250" s="7">
        <v>46.209259000000003</v>
      </c>
      <c r="Q250" s="7">
        <v>92.418519000000003</v>
      </c>
      <c r="R250" s="7">
        <v>150</v>
      </c>
      <c r="S250" s="7">
        <v>43.674773000000002</v>
      </c>
      <c r="T250" s="7">
        <v>52.297251000000003</v>
      </c>
      <c r="U250" s="7">
        <v>87.349547000000001</v>
      </c>
      <c r="V250" s="7">
        <v>150</v>
      </c>
      <c r="W250" s="7">
        <v>41.75</v>
      </c>
      <c r="X250" s="7">
        <v>83.5</v>
      </c>
      <c r="Y250" s="7">
        <v>150</v>
      </c>
      <c r="Z250" s="7">
        <v>46.683849000000002</v>
      </c>
      <c r="AA250" s="7">
        <v>39.695993999999999</v>
      </c>
      <c r="AB250" s="7">
        <v>79.391988999999995</v>
      </c>
      <c r="AC250" s="7">
        <v>150</v>
      </c>
      <c r="AD250" s="7">
        <v>43.713732999999998</v>
      </c>
      <c r="AE250" s="7">
        <v>58.284978000000002</v>
      </c>
      <c r="AF250" s="7">
        <v>100</v>
      </c>
      <c r="AG250" s="7">
        <v>40.795827000000003</v>
      </c>
      <c r="AH250" s="7">
        <v>50.778137999999998</v>
      </c>
      <c r="AI250" s="7">
        <v>54.394435999999999</v>
      </c>
      <c r="AJ250" s="7">
        <v>100</v>
      </c>
      <c r="AK250" s="7">
        <v>8.6199999999999992</v>
      </c>
      <c r="AL250" s="7">
        <v>6.98</v>
      </c>
      <c r="AM250" s="7">
        <v>9.98</v>
      </c>
      <c r="AN250" s="4" t="s">
        <v>124</v>
      </c>
      <c r="AO250" s="4" t="s">
        <v>124</v>
      </c>
      <c r="AP250" s="4" t="s">
        <v>124</v>
      </c>
      <c r="AQ250" s="4" t="s">
        <v>124</v>
      </c>
      <c r="AR250" s="4" t="s">
        <v>124</v>
      </c>
      <c r="AS250" s="4" t="s">
        <v>124</v>
      </c>
      <c r="AT250" s="4" t="s">
        <v>124</v>
      </c>
      <c r="AU250" s="4" t="s">
        <v>124</v>
      </c>
      <c r="AV250" s="4" t="s">
        <v>124</v>
      </c>
      <c r="AW250" s="4" t="s">
        <v>124</v>
      </c>
      <c r="AX250" s="4" t="s">
        <v>124</v>
      </c>
      <c r="AY250" s="4" t="s">
        <v>124</v>
      </c>
      <c r="AZ250" s="4" t="s">
        <v>124</v>
      </c>
      <c r="BA250" s="4" t="s">
        <v>124</v>
      </c>
      <c r="BB250" s="7">
        <v>0.53239099999999995</v>
      </c>
      <c r="BC250" s="7">
        <v>26.619547000000001</v>
      </c>
      <c r="BD250" s="7">
        <v>50</v>
      </c>
      <c r="BE250" s="7">
        <v>0.64473499999999995</v>
      </c>
      <c r="BF250" s="7">
        <v>32.236727999999999</v>
      </c>
      <c r="BG250" s="7">
        <v>50</v>
      </c>
      <c r="BH250" s="7">
        <v>1</v>
      </c>
      <c r="BI250" s="7">
        <v>0.92506500000000003</v>
      </c>
      <c r="BJ250" s="7">
        <v>0.90747299999999997</v>
      </c>
      <c r="BK250" s="7">
        <v>0.97169799999999995</v>
      </c>
      <c r="BL250" s="7">
        <v>0.92506500000000003</v>
      </c>
      <c r="BM250" s="7">
        <v>0.90747299999999997</v>
      </c>
      <c r="BN250" s="7">
        <v>0.97169799999999995</v>
      </c>
      <c r="BO250" s="7">
        <v>0.91989699999999996</v>
      </c>
      <c r="BP250" s="7">
        <v>0.90714300000000003</v>
      </c>
      <c r="BQ250" s="7">
        <v>0.95327099999999998</v>
      </c>
      <c r="BR250" s="7">
        <v>0.14494699999999999</v>
      </c>
      <c r="BS250" s="7">
        <v>31.010638</v>
      </c>
      <c r="BT250" s="7">
        <v>50</v>
      </c>
      <c r="BU250" s="7">
        <v>0.172538</v>
      </c>
      <c r="BV250" s="7">
        <v>25.492322000000001</v>
      </c>
      <c r="BW250" s="7">
        <v>50</v>
      </c>
      <c r="BX250" s="7">
        <v>0.44085999999999997</v>
      </c>
      <c r="BY250" s="7">
        <v>29.390681000000001</v>
      </c>
      <c r="BZ250" s="7">
        <v>50</v>
      </c>
      <c r="CA250" s="7">
        <v>0.20698900000000001</v>
      </c>
      <c r="CB250" s="7">
        <v>13.799283000000001</v>
      </c>
      <c r="CC250" s="7">
        <v>50</v>
      </c>
      <c r="CD250" s="7">
        <v>0.67519200000000001</v>
      </c>
      <c r="CE250" s="7">
        <v>35.914458000000003</v>
      </c>
      <c r="CF250" s="7">
        <v>50</v>
      </c>
      <c r="CG250" s="7">
        <v>0.78042999999999996</v>
      </c>
      <c r="CH250" s="7">
        <v>83.024424999999994</v>
      </c>
      <c r="CI250" s="7">
        <v>100</v>
      </c>
      <c r="CJ250" s="7">
        <v>0</v>
      </c>
      <c r="CK250" s="7">
        <v>0.80043900000000001</v>
      </c>
      <c r="CL250" s="7">
        <v>85.153041999999999</v>
      </c>
      <c r="CM250" s="7">
        <v>100</v>
      </c>
      <c r="CN250" s="7">
        <v>0.66180799999999995</v>
      </c>
      <c r="CO250" s="7">
        <v>88.241011</v>
      </c>
      <c r="CP250" s="7">
        <v>100</v>
      </c>
      <c r="CQ250" s="7">
        <v>0.93027199999999999</v>
      </c>
      <c r="CR250" s="7">
        <v>1.5555559999999999</v>
      </c>
      <c r="CS250" s="7">
        <v>50</v>
      </c>
      <c r="CT250" s="7">
        <v>50</v>
      </c>
      <c r="CU250" s="7">
        <v>0.43284600000000001</v>
      </c>
      <c r="CV250" s="7">
        <v>36.070478999999999</v>
      </c>
      <c r="CW250" s="7">
        <v>50</v>
      </c>
      <c r="CX250" s="7">
        <v>0.80043900000000001</v>
      </c>
      <c r="CY250" s="4" t="s">
        <v>124</v>
      </c>
      <c r="CZ250" s="4" t="s">
        <v>124</v>
      </c>
      <c r="DA250" s="7">
        <v>15.314097</v>
      </c>
      <c r="DB250" s="7">
        <v>17.400950000000002</v>
      </c>
      <c r="DC250" s="7">
        <v>16.332519999999999</v>
      </c>
      <c r="DD250" s="7">
        <v>7.9891730000000001</v>
      </c>
      <c r="DE250" s="7">
        <v>1</v>
      </c>
      <c r="DF250" s="6"/>
      <c r="DG250" s="6"/>
      <c r="DH250" s="6"/>
      <c r="DI250" s="6"/>
      <c r="DJ250" s="7">
        <v>0</v>
      </c>
      <c r="DK250" s="7">
        <v>0</v>
      </c>
      <c r="DL250" s="7">
        <v>0</v>
      </c>
      <c r="DM250" s="7">
        <v>0</v>
      </c>
      <c r="DN250" s="7">
        <v>0</v>
      </c>
      <c r="DO250" s="7">
        <v>0</v>
      </c>
      <c r="DP250" s="6"/>
      <c r="DQ250" s="4" t="s">
        <v>125</v>
      </c>
    </row>
    <row r="251" spans="1:121" ht="20" customHeight="1" x14ac:dyDescent="0.15">
      <c r="A251" s="5">
        <v>2018</v>
      </c>
      <c r="B251" s="3" t="s">
        <v>121</v>
      </c>
      <c r="C251" s="4" t="str">
        <f t="shared" si="0"/>
        <v>0150011</v>
      </c>
      <c r="D251" s="4" t="s">
        <v>388</v>
      </c>
      <c r="E251" s="4" t="str">
        <f>"0151411"</f>
        <v>0151411</v>
      </c>
      <c r="F251" s="4" t="s">
        <v>327</v>
      </c>
      <c r="G251" s="4" t="s">
        <v>328</v>
      </c>
      <c r="H251" s="7">
        <v>8</v>
      </c>
      <c r="I251" s="4" t="s">
        <v>335</v>
      </c>
      <c r="J251" s="4" t="s">
        <v>330</v>
      </c>
      <c r="K251" s="7">
        <v>530.66235200000006</v>
      </c>
      <c r="L251" s="7">
        <v>1000</v>
      </c>
      <c r="M251" s="7">
        <v>53.066234999999999</v>
      </c>
      <c r="N251" s="7">
        <v>3</v>
      </c>
      <c r="O251" s="7">
        <v>0</v>
      </c>
      <c r="P251" s="7">
        <v>45.796461999999998</v>
      </c>
      <c r="Q251" s="7">
        <v>30.530975000000002</v>
      </c>
      <c r="R251" s="7">
        <v>50</v>
      </c>
      <c r="S251" s="7">
        <v>44.732616</v>
      </c>
      <c r="T251" s="7">
        <v>56.655723999999999</v>
      </c>
      <c r="U251" s="7">
        <v>29.821743999999999</v>
      </c>
      <c r="V251" s="7">
        <v>50</v>
      </c>
      <c r="W251" s="7">
        <v>37.23556</v>
      </c>
      <c r="X251" s="7">
        <v>24.823706999999999</v>
      </c>
      <c r="Y251" s="7">
        <v>50</v>
      </c>
      <c r="Z251" s="7">
        <v>43.069999000000003</v>
      </c>
      <c r="AA251" s="7">
        <v>36.682481000000003</v>
      </c>
      <c r="AB251" s="7">
        <v>24.454988</v>
      </c>
      <c r="AC251" s="7">
        <v>50</v>
      </c>
      <c r="AD251" s="7">
        <v>43.254828000000003</v>
      </c>
      <c r="AE251" s="7">
        <v>28.836552000000001</v>
      </c>
      <c r="AF251" s="7">
        <v>50</v>
      </c>
      <c r="AG251" s="7">
        <v>42.789194000000002</v>
      </c>
      <c r="AH251" s="4" t="s">
        <v>124</v>
      </c>
      <c r="AI251" s="7">
        <v>28.526129000000001</v>
      </c>
      <c r="AJ251" s="7">
        <v>50</v>
      </c>
      <c r="AK251" s="7">
        <v>11.92</v>
      </c>
      <c r="AL251" s="7">
        <v>6.38</v>
      </c>
      <c r="AM251" s="4" t="s">
        <v>124</v>
      </c>
      <c r="AN251" s="7">
        <v>0.47954599999999997</v>
      </c>
      <c r="AO251" s="7">
        <v>47.954583999999997</v>
      </c>
      <c r="AP251" s="7">
        <v>100</v>
      </c>
      <c r="AQ251" s="7">
        <v>0.48472900000000002</v>
      </c>
      <c r="AR251" s="7">
        <v>48.472935</v>
      </c>
      <c r="AS251" s="7">
        <v>100</v>
      </c>
      <c r="AT251" s="7">
        <v>0.47814499999999999</v>
      </c>
      <c r="AU251" s="7">
        <v>0.49176700000000001</v>
      </c>
      <c r="AV251" s="7">
        <v>47.814472000000002</v>
      </c>
      <c r="AW251" s="7">
        <v>100</v>
      </c>
      <c r="AX251" s="7">
        <v>0.49310900000000002</v>
      </c>
      <c r="AY251" s="7">
        <v>0.41089700000000001</v>
      </c>
      <c r="AZ251" s="7">
        <v>49.310856999999999</v>
      </c>
      <c r="BA251" s="7">
        <v>100</v>
      </c>
      <c r="BB251" s="7">
        <v>0.56602399999999997</v>
      </c>
      <c r="BC251" s="7">
        <v>28.301176999999999</v>
      </c>
      <c r="BD251" s="7">
        <v>50</v>
      </c>
      <c r="BE251" s="7">
        <v>0.42712299999999997</v>
      </c>
      <c r="BF251" s="7">
        <v>21.356169999999999</v>
      </c>
      <c r="BG251" s="7">
        <v>50</v>
      </c>
      <c r="BH251" s="7">
        <v>0</v>
      </c>
      <c r="BI251" s="7">
        <v>0.987097</v>
      </c>
      <c r="BJ251" s="7">
        <v>0.98744799999999999</v>
      </c>
      <c r="BK251" s="7">
        <v>0.98275900000000005</v>
      </c>
      <c r="BL251" s="7">
        <v>0.984456</v>
      </c>
      <c r="BM251" s="7">
        <v>0.98601399999999995</v>
      </c>
      <c r="BN251" s="7">
        <v>0.96491199999999999</v>
      </c>
      <c r="BO251" s="7">
        <v>0.98380599999999996</v>
      </c>
      <c r="BP251" s="7">
        <v>0.982684</v>
      </c>
      <c r="BQ251" s="4" t="s">
        <v>124</v>
      </c>
      <c r="BR251" s="7">
        <v>0.19464300000000001</v>
      </c>
      <c r="BS251" s="7">
        <v>21.071428999999998</v>
      </c>
      <c r="BT251" s="7">
        <v>50</v>
      </c>
      <c r="BU251" s="7">
        <v>0.20313999999999999</v>
      </c>
      <c r="BV251" s="7">
        <v>19.371932999999999</v>
      </c>
      <c r="BW251" s="7">
        <v>50</v>
      </c>
      <c r="BX251" s="4" t="s">
        <v>124</v>
      </c>
      <c r="BY251" s="4" t="s">
        <v>124</v>
      </c>
      <c r="BZ251" s="4" t="s">
        <v>124</v>
      </c>
      <c r="CA251" s="4" t="s">
        <v>124</v>
      </c>
      <c r="CB251" s="4" t="s">
        <v>124</v>
      </c>
      <c r="CC251" s="4" t="s">
        <v>124</v>
      </c>
      <c r="CD251" s="7">
        <v>0.730159</v>
      </c>
      <c r="CE251" s="7">
        <v>38.838230000000003</v>
      </c>
      <c r="CF251" s="7">
        <v>50</v>
      </c>
      <c r="CG251" s="4" t="s">
        <v>124</v>
      </c>
      <c r="CH251" s="4" t="s">
        <v>124</v>
      </c>
      <c r="CI251" s="4" t="s">
        <v>124</v>
      </c>
      <c r="CJ251" s="4" t="s">
        <v>124</v>
      </c>
      <c r="CK251" s="4" t="s">
        <v>124</v>
      </c>
      <c r="CL251" s="4" t="s">
        <v>124</v>
      </c>
      <c r="CM251" s="4" t="s">
        <v>124</v>
      </c>
      <c r="CN251" s="4" t="s">
        <v>124</v>
      </c>
      <c r="CO251" s="4" t="s">
        <v>124</v>
      </c>
      <c r="CP251" s="4" t="s">
        <v>124</v>
      </c>
      <c r="CQ251" s="7">
        <v>0.61764699999999995</v>
      </c>
      <c r="CR251" s="7">
        <v>0.93500000000000005</v>
      </c>
      <c r="CS251" s="7">
        <v>41.176470999999999</v>
      </c>
      <c r="CT251" s="7">
        <v>50</v>
      </c>
      <c r="CU251" s="4" t="s">
        <v>124</v>
      </c>
      <c r="CV251" s="4" t="s">
        <v>124</v>
      </c>
      <c r="CW251" s="4" t="s">
        <v>124</v>
      </c>
      <c r="CX251" s="4" t="s">
        <v>124</v>
      </c>
      <c r="CY251" s="4" t="s">
        <v>124</v>
      </c>
      <c r="CZ251" s="4" t="s">
        <v>124</v>
      </c>
      <c r="DA251" s="7">
        <v>15.314097</v>
      </c>
      <c r="DB251" s="7">
        <v>17.400950000000002</v>
      </c>
      <c r="DC251" s="7">
        <v>16.332519999999999</v>
      </c>
      <c r="DD251" s="4" t="s">
        <v>124</v>
      </c>
      <c r="DE251" s="7">
        <v>0</v>
      </c>
      <c r="DF251" s="6"/>
      <c r="DG251" s="6"/>
      <c r="DH251" s="6"/>
      <c r="DI251" s="6"/>
      <c r="DJ251" s="7">
        <v>0</v>
      </c>
      <c r="DK251" s="7">
        <v>0</v>
      </c>
      <c r="DL251" s="7">
        <v>0</v>
      </c>
      <c r="DM251" s="7">
        <v>0</v>
      </c>
      <c r="DN251" s="7">
        <v>0</v>
      </c>
      <c r="DO251" s="7">
        <v>0</v>
      </c>
      <c r="DP251" s="6"/>
      <c r="DQ251" s="4" t="s">
        <v>125</v>
      </c>
    </row>
    <row r="252" spans="1:121" ht="20" customHeight="1" x14ac:dyDescent="0.15">
      <c r="A252" s="5">
        <v>2018</v>
      </c>
      <c r="B252" s="3" t="s">
        <v>121</v>
      </c>
      <c r="C252" s="4" t="str">
        <f t="shared" si="0"/>
        <v>0150011</v>
      </c>
      <c r="D252" s="4" t="s">
        <v>389</v>
      </c>
      <c r="E252" s="4" t="str">
        <f>"0152111"</f>
        <v>0152111</v>
      </c>
      <c r="F252" s="4" t="s">
        <v>327</v>
      </c>
      <c r="G252" s="4" t="s">
        <v>328</v>
      </c>
      <c r="H252" s="7">
        <v>8</v>
      </c>
      <c r="I252" s="4" t="s">
        <v>335</v>
      </c>
      <c r="J252" s="4" t="s">
        <v>330</v>
      </c>
      <c r="K252" s="7">
        <v>636.61969199999999</v>
      </c>
      <c r="L252" s="7">
        <v>1000</v>
      </c>
      <c r="M252" s="7">
        <v>63.661968999999999</v>
      </c>
      <c r="N252" s="7">
        <v>3</v>
      </c>
      <c r="O252" s="7">
        <v>0</v>
      </c>
      <c r="P252" s="7">
        <v>60.193451000000003</v>
      </c>
      <c r="Q252" s="7">
        <v>40.128967000000003</v>
      </c>
      <c r="R252" s="7">
        <v>50</v>
      </c>
      <c r="S252" s="7">
        <v>58.535738000000002</v>
      </c>
      <c r="T252" s="7">
        <v>66.299361000000005</v>
      </c>
      <c r="U252" s="7">
        <v>39.023825000000002</v>
      </c>
      <c r="V252" s="7">
        <v>50</v>
      </c>
      <c r="W252" s="7">
        <v>48.970407000000002</v>
      </c>
      <c r="X252" s="7">
        <v>32.646937999999999</v>
      </c>
      <c r="Y252" s="7">
        <v>50</v>
      </c>
      <c r="Z252" s="7">
        <v>54.345256999999997</v>
      </c>
      <c r="AA252" s="7">
        <v>47.511172000000002</v>
      </c>
      <c r="AB252" s="7">
        <v>31.674113999999999</v>
      </c>
      <c r="AC252" s="7">
        <v>50</v>
      </c>
      <c r="AD252" s="7">
        <v>58.865831</v>
      </c>
      <c r="AE252" s="7">
        <v>39.243887000000001</v>
      </c>
      <c r="AF252" s="7">
        <v>50</v>
      </c>
      <c r="AG252" s="7">
        <v>57.390501999999998</v>
      </c>
      <c r="AH252" s="7">
        <v>62.861513000000002</v>
      </c>
      <c r="AI252" s="7">
        <v>38.260334999999998</v>
      </c>
      <c r="AJ252" s="7">
        <v>50</v>
      </c>
      <c r="AK252" s="7">
        <v>7.76</v>
      </c>
      <c r="AL252" s="7">
        <v>6.83</v>
      </c>
      <c r="AM252" s="7">
        <v>5.47</v>
      </c>
      <c r="AN252" s="7">
        <v>0.49912000000000001</v>
      </c>
      <c r="AO252" s="7">
        <v>49.911996000000002</v>
      </c>
      <c r="AP252" s="7">
        <v>100</v>
      </c>
      <c r="AQ252" s="7">
        <v>0.35202699999999998</v>
      </c>
      <c r="AR252" s="7">
        <v>35.202719999999999</v>
      </c>
      <c r="AS252" s="7">
        <v>100</v>
      </c>
      <c r="AT252" s="7">
        <v>0.50739699999999999</v>
      </c>
      <c r="AU252" s="7">
        <v>0.46820899999999999</v>
      </c>
      <c r="AV252" s="7">
        <v>50.739660000000001</v>
      </c>
      <c r="AW252" s="7">
        <v>100</v>
      </c>
      <c r="AX252" s="7">
        <v>0.35245500000000002</v>
      </c>
      <c r="AY252" s="7">
        <v>0.35042800000000002</v>
      </c>
      <c r="AZ252" s="7">
        <v>35.245545</v>
      </c>
      <c r="BA252" s="7">
        <v>100</v>
      </c>
      <c r="BB252" s="7">
        <v>0.80502899999999999</v>
      </c>
      <c r="BC252" s="7">
        <v>40.251432999999999</v>
      </c>
      <c r="BD252" s="7">
        <v>50</v>
      </c>
      <c r="BE252" s="7">
        <v>0.65653899999999998</v>
      </c>
      <c r="BF252" s="7">
        <v>32.826926</v>
      </c>
      <c r="BG252" s="7">
        <v>50</v>
      </c>
      <c r="BH252" s="7">
        <v>0</v>
      </c>
      <c r="BI252" s="7">
        <v>0.99655199999999999</v>
      </c>
      <c r="BJ252" s="7">
        <v>0.995614</v>
      </c>
      <c r="BK252" s="7">
        <v>1</v>
      </c>
      <c r="BL252" s="7">
        <v>0.99655199999999999</v>
      </c>
      <c r="BM252" s="7">
        <v>0.995614</v>
      </c>
      <c r="BN252" s="7">
        <v>1</v>
      </c>
      <c r="BO252" s="7">
        <v>1</v>
      </c>
      <c r="BP252" s="7">
        <v>1</v>
      </c>
      <c r="BQ252" s="7">
        <v>1</v>
      </c>
      <c r="BR252" s="7">
        <v>6.0046000000000002E-2</v>
      </c>
      <c r="BS252" s="7">
        <v>47.990761999999997</v>
      </c>
      <c r="BT252" s="7">
        <v>50</v>
      </c>
      <c r="BU252" s="7">
        <v>6.2315000000000002E-2</v>
      </c>
      <c r="BV252" s="7">
        <v>47.537092000000001</v>
      </c>
      <c r="BW252" s="7">
        <v>50</v>
      </c>
      <c r="BX252" s="4" t="s">
        <v>124</v>
      </c>
      <c r="BY252" s="4" t="s">
        <v>124</v>
      </c>
      <c r="BZ252" s="4" t="s">
        <v>124</v>
      </c>
      <c r="CA252" s="4" t="s">
        <v>124</v>
      </c>
      <c r="CB252" s="4" t="s">
        <v>124</v>
      </c>
      <c r="CC252" s="4" t="s">
        <v>124</v>
      </c>
      <c r="CD252" s="7">
        <v>0.87804899999999997</v>
      </c>
      <c r="CE252" s="7">
        <v>46.704721999999997</v>
      </c>
      <c r="CF252" s="7">
        <v>50</v>
      </c>
      <c r="CG252" s="4" t="s">
        <v>124</v>
      </c>
      <c r="CH252" s="4" t="s">
        <v>124</v>
      </c>
      <c r="CI252" s="4" t="s">
        <v>124</v>
      </c>
      <c r="CJ252" s="4" t="s">
        <v>124</v>
      </c>
      <c r="CK252" s="4" t="s">
        <v>124</v>
      </c>
      <c r="CL252" s="4" t="s">
        <v>124</v>
      </c>
      <c r="CM252" s="4" t="s">
        <v>124</v>
      </c>
      <c r="CN252" s="4" t="s">
        <v>124</v>
      </c>
      <c r="CO252" s="4" t="s">
        <v>124</v>
      </c>
      <c r="CP252" s="4" t="s">
        <v>124</v>
      </c>
      <c r="CQ252" s="7">
        <v>0.43846200000000002</v>
      </c>
      <c r="CR252" s="7">
        <v>0.92198599999999997</v>
      </c>
      <c r="CS252" s="7">
        <v>29.230768999999999</v>
      </c>
      <c r="CT252" s="7">
        <v>50</v>
      </c>
      <c r="CU252" s="4" t="s">
        <v>124</v>
      </c>
      <c r="CV252" s="4" t="s">
        <v>124</v>
      </c>
      <c r="CW252" s="4" t="s">
        <v>124</v>
      </c>
      <c r="CX252" s="4" t="s">
        <v>124</v>
      </c>
      <c r="CY252" s="4" t="s">
        <v>124</v>
      </c>
      <c r="CZ252" s="4" t="s">
        <v>124</v>
      </c>
      <c r="DA252" s="7">
        <v>15.314097</v>
      </c>
      <c r="DB252" s="7">
        <v>17.400950000000002</v>
      </c>
      <c r="DC252" s="7">
        <v>16.332519999999999</v>
      </c>
      <c r="DD252" s="4" t="s">
        <v>124</v>
      </c>
      <c r="DE252" s="7">
        <v>0</v>
      </c>
      <c r="DF252" s="6"/>
      <c r="DG252" s="6"/>
      <c r="DH252" s="6"/>
      <c r="DI252" s="6"/>
      <c r="DJ252" s="7">
        <v>0</v>
      </c>
      <c r="DK252" s="7">
        <v>0</v>
      </c>
      <c r="DL252" s="7">
        <v>0</v>
      </c>
      <c r="DM252" s="7">
        <v>0</v>
      </c>
      <c r="DN252" s="7">
        <v>0</v>
      </c>
      <c r="DO252" s="7">
        <v>0</v>
      </c>
      <c r="DP252" s="6"/>
      <c r="DQ252" s="4" t="s">
        <v>125</v>
      </c>
    </row>
    <row r="253" spans="1:121" ht="20" customHeight="1" x14ac:dyDescent="0.15">
      <c r="A253" s="5">
        <v>2018</v>
      </c>
      <c r="B253" s="3" t="s">
        <v>121</v>
      </c>
      <c r="C253" s="4" t="str">
        <f t="shared" si="0"/>
        <v>0150011</v>
      </c>
      <c r="D253" s="4" t="s">
        <v>390</v>
      </c>
      <c r="E253" s="4" t="str">
        <f>"0150511"</f>
        <v>0150511</v>
      </c>
      <c r="F253" s="4" t="s">
        <v>327</v>
      </c>
      <c r="G253" s="4" t="s">
        <v>328</v>
      </c>
      <c r="H253" s="7">
        <v>8</v>
      </c>
      <c r="I253" s="4" t="s">
        <v>335</v>
      </c>
      <c r="J253" s="4" t="s">
        <v>330</v>
      </c>
      <c r="K253" s="7">
        <v>468.88497000000001</v>
      </c>
      <c r="L253" s="7">
        <v>1000</v>
      </c>
      <c r="M253" s="7">
        <v>46.888497000000001</v>
      </c>
      <c r="N253" s="7">
        <v>3</v>
      </c>
      <c r="O253" s="7">
        <v>0</v>
      </c>
      <c r="P253" s="7">
        <v>45.598295</v>
      </c>
      <c r="Q253" s="7">
        <v>30.398862999999999</v>
      </c>
      <c r="R253" s="7">
        <v>50</v>
      </c>
      <c r="S253" s="7">
        <v>45.341061000000003</v>
      </c>
      <c r="T253" s="7">
        <v>48.720179000000002</v>
      </c>
      <c r="U253" s="7">
        <v>30.227374000000001</v>
      </c>
      <c r="V253" s="7">
        <v>50</v>
      </c>
      <c r="W253" s="7">
        <v>36.921863000000002</v>
      </c>
      <c r="X253" s="7">
        <v>24.614574999999999</v>
      </c>
      <c r="Y253" s="7">
        <v>50</v>
      </c>
      <c r="Z253" s="7">
        <v>38.158583</v>
      </c>
      <c r="AA253" s="7">
        <v>36.819960999999999</v>
      </c>
      <c r="AB253" s="7">
        <v>24.546641000000001</v>
      </c>
      <c r="AC253" s="7">
        <v>50</v>
      </c>
      <c r="AD253" s="7">
        <v>41.629309999999997</v>
      </c>
      <c r="AE253" s="7">
        <v>27.752873999999998</v>
      </c>
      <c r="AF253" s="7">
        <v>50</v>
      </c>
      <c r="AG253" s="7">
        <v>41.412273999999996</v>
      </c>
      <c r="AH253" s="4" t="s">
        <v>124</v>
      </c>
      <c r="AI253" s="7">
        <v>27.608183</v>
      </c>
      <c r="AJ253" s="7">
        <v>50</v>
      </c>
      <c r="AK253" s="7">
        <v>3.37</v>
      </c>
      <c r="AL253" s="7">
        <v>1.33</v>
      </c>
      <c r="AM253" s="4" t="s">
        <v>124</v>
      </c>
      <c r="AN253" s="7">
        <v>0.424124</v>
      </c>
      <c r="AO253" s="7">
        <v>42.412385999999998</v>
      </c>
      <c r="AP253" s="7">
        <v>100</v>
      </c>
      <c r="AQ253" s="7">
        <v>0.51102099999999995</v>
      </c>
      <c r="AR253" s="7">
        <v>51.102069</v>
      </c>
      <c r="AS253" s="7">
        <v>100</v>
      </c>
      <c r="AT253" s="7">
        <v>0.415767</v>
      </c>
      <c r="AU253" s="7">
        <v>0.49788300000000002</v>
      </c>
      <c r="AV253" s="7">
        <v>41.576689000000002</v>
      </c>
      <c r="AW253" s="7">
        <v>100</v>
      </c>
      <c r="AX253" s="7">
        <v>0.52282300000000004</v>
      </c>
      <c r="AY253" s="7">
        <v>0.40684999999999999</v>
      </c>
      <c r="AZ253" s="7">
        <v>52.282324000000003</v>
      </c>
      <c r="BA253" s="7">
        <v>100</v>
      </c>
      <c r="BB253" s="7">
        <v>0.50095299999999998</v>
      </c>
      <c r="BC253" s="7">
        <v>25.047656</v>
      </c>
      <c r="BD253" s="7">
        <v>50</v>
      </c>
      <c r="BE253" s="7">
        <v>0.39762500000000001</v>
      </c>
      <c r="BF253" s="7">
        <v>19.881239000000001</v>
      </c>
      <c r="BG253" s="7">
        <v>50</v>
      </c>
      <c r="BH253" s="7">
        <v>0</v>
      </c>
      <c r="BI253" s="7">
        <v>1</v>
      </c>
      <c r="BJ253" s="7">
        <v>1</v>
      </c>
      <c r="BK253" s="7">
        <v>1</v>
      </c>
      <c r="BL253" s="7">
        <v>1</v>
      </c>
      <c r="BM253" s="7">
        <v>1</v>
      </c>
      <c r="BN253" s="7">
        <v>1</v>
      </c>
      <c r="BO253" s="7">
        <v>1</v>
      </c>
      <c r="BP253" s="7">
        <v>1</v>
      </c>
      <c r="BQ253" s="4" t="s">
        <v>124</v>
      </c>
      <c r="BR253" s="7">
        <v>0.24956400000000001</v>
      </c>
      <c r="BS253" s="7">
        <v>10.087260000000001</v>
      </c>
      <c r="BT253" s="7">
        <v>50</v>
      </c>
      <c r="BU253" s="7">
        <v>0.25512099999999999</v>
      </c>
      <c r="BV253" s="7">
        <v>8.9757909999999992</v>
      </c>
      <c r="BW253" s="7">
        <v>50</v>
      </c>
      <c r="BX253" s="4" t="s">
        <v>124</v>
      </c>
      <c r="BY253" s="4" t="s">
        <v>124</v>
      </c>
      <c r="BZ253" s="4" t="s">
        <v>124</v>
      </c>
      <c r="CA253" s="4" t="s">
        <v>124</v>
      </c>
      <c r="CB253" s="4" t="s">
        <v>124</v>
      </c>
      <c r="CC253" s="4" t="s">
        <v>124</v>
      </c>
      <c r="CD253" s="7">
        <v>0.56410300000000002</v>
      </c>
      <c r="CE253" s="7">
        <v>30.005455999999999</v>
      </c>
      <c r="CF253" s="7">
        <v>50</v>
      </c>
      <c r="CG253" s="4" t="s">
        <v>124</v>
      </c>
      <c r="CH253" s="4" t="s">
        <v>124</v>
      </c>
      <c r="CI253" s="4" t="s">
        <v>124</v>
      </c>
      <c r="CJ253" s="4" t="s">
        <v>124</v>
      </c>
      <c r="CK253" s="4" t="s">
        <v>124</v>
      </c>
      <c r="CL253" s="4" t="s">
        <v>124</v>
      </c>
      <c r="CM253" s="4" t="s">
        <v>124</v>
      </c>
      <c r="CN253" s="4" t="s">
        <v>124</v>
      </c>
      <c r="CO253" s="4" t="s">
        <v>124</v>
      </c>
      <c r="CP253" s="4" t="s">
        <v>124</v>
      </c>
      <c r="CQ253" s="7">
        <v>0.67096800000000001</v>
      </c>
      <c r="CR253" s="7">
        <v>0.89595400000000003</v>
      </c>
      <c r="CS253" s="7">
        <v>22.365590999999998</v>
      </c>
      <c r="CT253" s="7">
        <v>50</v>
      </c>
      <c r="CU253" s="4" t="s">
        <v>124</v>
      </c>
      <c r="CV253" s="4" t="s">
        <v>124</v>
      </c>
      <c r="CW253" s="4" t="s">
        <v>124</v>
      </c>
      <c r="CX253" s="4" t="s">
        <v>124</v>
      </c>
      <c r="CY253" s="4" t="s">
        <v>124</v>
      </c>
      <c r="CZ253" s="4" t="s">
        <v>124</v>
      </c>
      <c r="DA253" s="7">
        <v>15.314097</v>
      </c>
      <c r="DB253" s="7">
        <v>17.400950000000002</v>
      </c>
      <c r="DC253" s="7">
        <v>16.332519999999999</v>
      </c>
      <c r="DD253" s="4" t="s">
        <v>124</v>
      </c>
      <c r="DE253" s="7">
        <v>0</v>
      </c>
      <c r="DF253" s="6"/>
      <c r="DG253" s="6"/>
      <c r="DH253" s="6"/>
      <c r="DI253" s="6"/>
      <c r="DJ253" s="7">
        <v>0</v>
      </c>
      <c r="DK253" s="7">
        <v>0</v>
      </c>
      <c r="DL253" s="7">
        <v>0</v>
      </c>
      <c r="DM253" s="7">
        <v>0</v>
      </c>
      <c r="DN253" s="7">
        <v>0</v>
      </c>
      <c r="DO253" s="7">
        <v>0</v>
      </c>
      <c r="DP253" s="6"/>
      <c r="DQ253" s="4" t="s">
        <v>125</v>
      </c>
    </row>
    <row r="254" spans="1:121" ht="20" customHeight="1" x14ac:dyDescent="0.15">
      <c r="A254" s="5">
        <v>2018</v>
      </c>
      <c r="B254" s="3" t="s">
        <v>121</v>
      </c>
      <c r="C254" s="4" t="str">
        <f t="shared" si="0"/>
        <v>0150011</v>
      </c>
      <c r="D254" s="4" t="s">
        <v>391</v>
      </c>
      <c r="E254" s="4" t="str">
        <f>"0150711"</f>
        <v>0150711</v>
      </c>
      <c r="F254" s="4" t="s">
        <v>327</v>
      </c>
      <c r="G254" s="4" t="s">
        <v>338</v>
      </c>
      <c r="H254" s="7">
        <v>6</v>
      </c>
      <c r="I254" s="4" t="s">
        <v>335</v>
      </c>
      <c r="J254" s="4" t="s">
        <v>330</v>
      </c>
      <c r="K254" s="7">
        <v>376.96737400000001</v>
      </c>
      <c r="L254" s="7">
        <v>800</v>
      </c>
      <c r="M254" s="7">
        <v>47.120922</v>
      </c>
      <c r="N254" s="7">
        <v>3</v>
      </c>
      <c r="O254" s="7">
        <v>0</v>
      </c>
      <c r="P254" s="7">
        <v>49.044060999999999</v>
      </c>
      <c r="Q254" s="7">
        <v>32.696041000000001</v>
      </c>
      <c r="R254" s="7">
        <v>50</v>
      </c>
      <c r="S254" s="7">
        <v>46.929056000000003</v>
      </c>
      <c r="T254" s="7">
        <v>56.158169999999998</v>
      </c>
      <c r="U254" s="7">
        <v>31.286037</v>
      </c>
      <c r="V254" s="7">
        <v>50</v>
      </c>
      <c r="W254" s="7">
        <v>41.579937000000001</v>
      </c>
      <c r="X254" s="7">
        <v>27.719957999999998</v>
      </c>
      <c r="Y254" s="7">
        <v>50</v>
      </c>
      <c r="Z254" s="7">
        <v>51.656877000000001</v>
      </c>
      <c r="AA254" s="7">
        <v>38.543052000000003</v>
      </c>
      <c r="AB254" s="7">
        <v>25.695367999999998</v>
      </c>
      <c r="AC254" s="7">
        <v>50</v>
      </c>
      <c r="AD254" s="7">
        <v>49.003225999999998</v>
      </c>
      <c r="AE254" s="7">
        <v>32.668816999999997</v>
      </c>
      <c r="AF254" s="7">
        <v>50</v>
      </c>
      <c r="AG254" s="4" t="s">
        <v>124</v>
      </c>
      <c r="AH254" s="4" t="s">
        <v>124</v>
      </c>
      <c r="AI254" s="4" t="s">
        <v>124</v>
      </c>
      <c r="AJ254" s="4" t="s">
        <v>124</v>
      </c>
      <c r="AK254" s="7">
        <v>9.2200000000000006</v>
      </c>
      <c r="AL254" s="7">
        <v>13.11</v>
      </c>
      <c r="AM254" s="4" t="s">
        <v>124</v>
      </c>
      <c r="AN254" s="7">
        <v>0.370118</v>
      </c>
      <c r="AO254" s="7">
        <v>37.011771000000003</v>
      </c>
      <c r="AP254" s="7">
        <v>100</v>
      </c>
      <c r="AQ254" s="7">
        <v>0.48557400000000001</v>
      </c>
      <c r="AR254" s="7">
        <v>48.557400999999999</v>
      </c>
      <c r="AS254" s="7">
        <v>100</v>
      </c>
      <c r="AT254" s="7">
        <v>0.36304799999999998</v>
      </c>
      <c r="AU254" s="4" t="s">
        <v>124</v>
      </c>
      <c r="AV254" s="7">
        <v>36.304751000000003</v>
      </c>
      <c r="AW254" s="7">
        <v>100</v>
      </c>
      <c r="AX254" s="7">
        <v>0.50138199999999999</v>
      </c>
      <c r="AY254" s="4" t="s">
        <v>124</v>
      </c>
      <c r="AZ254" s="7">
        <v>50.138191999999997</v>
      </c>
      <c r="BA254" s="7">
        <v>100</v>
      </c>
      <c r="BB254" s="4" t="s">
        <v>124</v>
      </c>
      <c r="BC254" s="4" t="s">
        <v>124</v>
      </c>
      <c r="BD254" s="4" t="s">
        <v>124</v>
      </c>
      <c r="BE254" s="4" t="s">
        <v>124</v>
      </c>
      <c r="BF254" s="4" t="s">
        <v>124</v>
      </c>
      <c r="BG254" s="4" t="s">
        <v>124</v>
      </c>
      <c r="BH254" s="7">
        <v>0</v>
      </c>
      <c r="BI254" s="7">
        <v>1</v>
      </c>
      <c r="BJ254" s="7">
        <v>1</v>
      </c>
      <c r="BK254" s="7">
        <v>1</v>
      </c>
      <c r="BL254" s="7">
        <v>0.99107100000000004</v>
      </c>
      <c r="BM254" s="7">
        <v>1</v>
      </c>
      <c r="BN254" s="7">
        <v>0.96296300000000001</v>
      </c>
      <c r="BO254" s="7">
        <v>1</v>
      </c>
      <c r="BP254" s="4" t="s">
        <v>124</v>
      </c>
      <c r="BQ254" s="4" t="s">
        <v>124</v>
      </c>
      <c r="BR254" s="7">
        <v>0.22033900000000001</v>
      </c>
      <c r="BS254" s="7">
        <v>15.932202999999999</v>
      </c>
      <c r="BT254" s="7">
        <v>50</v>
      </c>
      <c r="BU254" s="7">
        <v>0.230216</v>
      </c>
      <c r="BV254" s="7">
        <v>13.956835</v>
      </c>
      <c r="BW254" s="7">
        <v>50</v>
      </c>
      <c r="BX254" s="4" t="s">
        <v>124</v>
      </c>
      <c r="BY254" s="4" t="s">
        <v>124</v>
      </c>
      <c r="BZ254" s="4" t="s">
        <v>124</v>
      </c>
      <c r="CA254" s="4" t="s">
        <v>124</v>
      </c>
      <c r="CB254" s="4" t="s">
        <v>124</v>
      </c>
      <c r="CC254" s="4" t="s">
        <v>124</v>
      </c>
      <c r="CD254" s="4" t="s">
        <v>124</v>
      </c>
      <c r="CE254" s="4" t="s">
        <v>124</v>
      </c>
      <c r="CF254" s="4" t="s">
        <v>124</v>
      </c>
      <c r="CG254" s="4" t="s">
        <v>124</v>
      </c>
      <c r="CH254" s="4" t="s">
        <v>124</v>
      </c>
      <c r="CI254" s="4" t="s">
        <v>124</v>
      </c>
      <c r="CJ254" s="4" t="s">
        <v>124</v>
      </c>
      <c r="CK254" s="4" t="s">
        <v>124</v>
      </c>
      <c r="CL254" s="4" t="s">
        <v>124</v>
      </c>
      <c r="CM254" s="4" t="s">
        <v>124</v>
      </c>
      <c r="CN254" s="4" t="s">
        <v>124</v>
      </c>
      <c r="CO254" s="4" t="s">
        <v>124</v>
      </c>
      <c r="CP254" s="4" t="s">
        <v>124</v>
      </c>
      <c r="CQ254" s="7">
        <v>0.86956500000000003</v>
      </c>
      <c r="CR254" s="7">
        <v>0.85185200000000005</v>
      </c>
      <c r="CS254" s="7">
        <v>25</v>
      </c>
      <c r="CT254" s="7">
        <v>50</v>
      </c>
      <c r="CU254" s="4" t="s">
        <v>124</v>
      </c>
      <c r="CV254" s="4" t="s">
        <v>124</v>
      </c>
      <c r="CW254" s="4" t="s">
        <v>124</v>
      </c>
      <c r="CX254" s="4" t="s">
        <v>124</v>
      </c>
      <c r="CY254" s="4" t="s">
        <v>124</v>
      </c>
      <c r="CZ254" s="4" t="s">
        <v>124</v>
      </c>
      <c r="DA254" s="7">
        <v>15.314097</v>
      </c>
      <c r="DB254" s="7">
        <v>17.400950000000002</v>
      </c>
      <c r="DC254" s="7">
        <v>16.332519999999999</v>
      </c>
      <c r="DD254" s="4" t="s">
        <v>124</v>
      </c>
      <c r="DE254" s="7">
        <v>0</v>
      </c>
      <c r="DF254" s="6"/>
      <c r="DG254" s="6"/>
      <c r="DH254" s="6"/>
      <c r="DI254" s="6"/>
      <c r="DJ254" s="7">
        <v>0</v>
      </c>
      <c r="DK254" s="7">
        <v>0</v>
      </c>
      <c r="DL254" s="7">
        <v>0</v>
      </c>
      <c r="DM254" s="7">
        <v>0</v>
      </c>
      <c r="DN254" s="7">
        <v>0</v>
      </c>
      <c r="DO254" s="7">
        <v>0</v>
      </c>
      <c r="DP254" s="6"/>
      <c r="DQ254" s="4" t="s">
        <v>125</v>
      </c>
    </row>
    <row r="255" spans="1:121" ht="20" customHeight="1" x14ac:dyDescent="0.15">
      <c r="A255" s="5">
        <v>2018</v>
      </c>
      <c r="B255" s="3" t="s">
        <v>121</v>
      </c>
      <c r="C255" s="4" t="str">
        <f t="shared" si="0"/>
        <v>0150011</v>
      </c>
      <c r="D255" s="4" t="s">
        <v>392</v>
      </c>
      <c r="E255" s="4" t="str">
        <f>"0153111"</f>
        <v>0153111</v>
      </c>
      <c r="F255" s="4" t="s">
        <v>327</v>
      </c>
      <c r="G255" s="4" t="s">
        <v>328</v>
      </c>
      <c r="H255" s="7">
        <v>8</v>
      </c>
      <c r="I255" s="4" t="s">
        <v>335</v>
      </c>
      <c r="J255" s="4" t="s">
        <v>330</v>
      </c>
      <c r="K255" s="7">
        <v>533.81730300000004</v>
      </c>
      <c r="L255" s="7">
        <v>1000</v>
      </c>
      <c r="M255" s="7">
        <v>53.381729999999997</v>
      </c>
      <c r="N255" s="7">
        <v>3</v>
      </c>
      <c r="O255" s="7">
        <v>0</v>
      </c>
      <c r="P255" s="7">
        <v>52.173029999999997</v>
      </c>
      <c r="Q255" s="7">
        <v>34.782020000000003</v>
      </c>
      <c r="R255" s="7">
        <v>50</v>
      </c>
      <c r="S255" s="7">
        <v>52.093575000000001</v>
      </c>
      <c r="T255" s="4" t="s">
        <v>124</v>
      </c>
      <c r="U255" s="7">
        <v>34.729050000000001</v>
      </c>
      <c r="V255" s="7">
        <v>50</v>
      </c>
      <c r="W255" s="7">
        <v>44.139704000000002</v>
      </c>
      <c r="X255" s="7">
        <v>29.426469999999998</v>
      </c>
      <c r="Y255" s="7">
        <v>50</v>
      </c>
      <c r="Z255" s="4" t="s">
        <v>124</v>
      </c>
      <c r="AA255" s="7">
        <v>44.246206999999998</v>
      </c>
      <c r="AB255" s="7">
        <v>29.497471000000001</v>
      </c>
      <c r="AC255" s="7">
        <v>50</v>
      </c>
      <c r="AD255" s="7">
        <v>46.942714000000002</v>
      </c>
      <c r="AE255" s="7">
        <v>31.295142999999999</v>
      </c>
      <c r="AF255" s="7">
        <v>50</v>
      </c>
      <c r="AG255" s="7">
        <v>47.617770999999998</v>
      </c>
      <c r="AH255" s="4" t="s">
        <v>124</v>
      </c>
      <c r="AI255" s="7">
        <v>31.745180999999999</v>
      </c>
      <c r="AJ255" s="7">
        <v>50</v>
      </c>
      <c r="AK255" s="4" t="s">
        <v>124</v>
      </c>
      <c r="AL255" s="4" t="s">
        <v>124</v>
      </c>
      <c r="AM255" s="4" t="s">
        <v>124</v>
      </c>
      <c r="AN255" s="7">
        <v>0.55256700000000003</v>
      </c>
      <c r="AO255" s="7">
        <v>55.256667999999998</v>
      </c>
      <c r="AP255" s="7">
        <v>100</v>
      </c>
      <c r="AQ255" s="7">
        <v>0.499697</v>
      </c>
      <c r="AR255" s="7">
        <v>49.969735</v>
      </c>
      <c r="AS255" s="7">
        <v>100</v>
      </c>
      <c r="AT255" s="7">
        <v>0.55148399999999997</v>
      </c>
      <c r="AU255" s="4" t="s">
        <v>124</v>
      </c>
      <c r="AV255" s="7">
        <v>55.148394000000003</v>
      </c>
      <c r="AW255" s="7">
        <v>100</v>
      </c>
      <c r="AX255" s="7">
        <v>0.50232600000000005</v>
      </c>
      <c r="AY255" s="4" t="s">
        <v>124</v>
      </c>
      <c r="AZ255" s="7">
        <v>50.232599999999998</v>
      </c>
      <c r="BA255" s="7">
        <v>100</v>
      </c>
      <c r="BB255" s="7">
        <v>0.57586400000000004</v>
      </c>
      <c r="BC255" s="7">
        <v>28.793178000000001</v>
      </c>
      <c r="BD255" s="7">
        <v>50</v>
      </c>
      <c r="BE255" s="7">
        <v>0.549929</v>
      </c>
      <c r="BF255" s="7">
        <v>27.496454</v>
      </c>
      <c r="BG255" s="7">
        <v>50</v>
      </c>
      <c r="BH255" s="7">
        <v>0</v>
      </c>
      <c r="BI255" s="7">
        <v>0.99315100000000001</v>
      </c>
      <c r="BJ255" s="7">
        <v>0.99267399999999995</v>
      </c>
      <c r="BK255" s="4" t="s">
        <v>124</v>
      </c>
      <c r="BL255" s="7">
        <v>0.99315100000000001</v>
      </c>
      <c r="BM255" s="7">
        <v>0.99267399999999995</v>
      </c>
      <c r="BN255" s="4" t="s">
        <v>124</v>
      </c>
      <c r="BO255" s="7">
        <v>0.98924699999999999</v>
      </c>
      <c r="BP255" s="7">
        <v>0.98876399999999998</v>
      </c>
      <c r="BQ255" s="4" t="s">
        <v>124</v>
      </c>
      <c r="BR255" s="7">
        <v>0.22802900000000001</v>
      </c>
      <c r="BS255" s="7">
        <v>14.394299</v>
      </c>
      <c r="BT255" s="7">
        <v>50</v>
      </c>
      <c r="BU255" s="7">
        <v>0.23333300000000001</v>
      </c>
      <c r="BV255" s="7">
        <v>13.333333</v>
      </c>
      <c r="BW255" s="7">
        <v>50</v>
      </c>
      <c r="BX255" s="4" t="s">
        <v>124</v>
      </c>
      <c r="BY255" s="4" t="s">
        <v>124</v>
      </c>
      <c r="BZ255" s="4" t="s">
        <v>124</v>
      </c>
      <c r="CA255" s="4" t="s">
        <v>124</v>
      </c>
      <c r="CB255" s="4" t="s">
        <v>124</v>
      </c>
      <c r="CC255" s="4" t="s">
        <v>124</v>
      </c>
      <c r="CD255" s="7">
        <v>0.68181800000000004</v>
      </c>
      <c r="CE255" s="7">
        <v>36.266925000000001</v>
      </c>
      <c r="CF255" s="7">
        <v>50</v>
      </c>
      <c r="CG255" s="4" t="s">
        <v>124</v>
      </c>
      <c r="CH255" s="4" t="s">
        <v>124</v>
      </c>
      <c r="CI255" s="4" t="s">
        <v>124</v>
      </c>
      <c r="CJ255" s="4" t="s">
        <v>124</v>
      </c>
      <c r="CK255" s="4" t="s">
        <v>124</v>
      </c>
      <c r="CL255" s="4" t="s">
        <v>124</v>
      </c>
      <c r="CM255" s="4" t="s">
        <v>124</v>
      </c>
      <c r="CN255" s="4" t="s">
        <v>124</v>
      </c>
      <c r="CO255" s="4" t="s">
        <v>124</v>
      </c>
      <c r="CP255" s="4" t="s">
        <v>124</v>
      </c>
      <c r="CQ255" s="7">
        <v>0.34351100000000001</v>
      </c>
      <c r="CR255" s="7">
        <v>0.861842</v>
      </c>
      <c r="CS255" s="7">
        <v>11.450381999999999</v>
      </c>
      <c r="CT255" s="7">
        <v>50</v>
      </c>
      <c r="CU255" s="4" t="s">
        <v>124</v>
      </c>
      <c r="CV255" s="4" t="s">
        <v>124</v>
      </c>
      <c r="CW255" s="4" t="s">
        <v>124</v>
      </c>
      <c r="CX255" s="4" t="s">
        <v>124</v>
      </c>
      <c r="CY255" s="4" t="s">
        <v>124</v>
      </c>
      <c r="CZ255" s="4" t="s">
        <v>124</v>
      </c>
      <c r="DA255" s="7">
        <v>15.314097</v>
      </c>
      <c r="DB255" s="7">
        <v>17.400950000000002</v>
      </c>
      <c r="DC255" s="7">
        <v>16.332519999999999</v>
      </c>
      <c r="DD255" s="4" t="s">
        <v>124</v>
      </c>
      <c r="DE255" s="7">
        <v>0</v>
      </c>
      <c r="DF255" s="6"/>
      <c r="DG255" s="6"/>
      <c r="DH255" s="6"/>
      <c r="DI255" s="6"/>
      <c r="DJ255" s="7">
        <v>0</v>
      </c>
      <c r="DK255" s="7">
        <v>0</v>
      </c>
      <c r="DL255" s="7">
        <v>0</v>
      </c>
      <c r="DM255" s="7">
        <v>0</v>
      </c>
      <c r="DN255" s="7">
        <v>0</v>
      </c>
      <c r="DO255" s="7">
        <v>0</v>
      </c>
      <c r="DP255" s="6"/>
      <c r="DQ255" s="4" t="s">
        <v>125</v>
      </c>
    </row>
    <row r="256" spans="1:121" ht="20" customHeight="1" x14ac:dyDescent="0.15">
      <c r="A256" s="5">
        <v>2018</v>
      </c>
      <c r="B256" s="3" t="s">
        <v>121</v>
      </c>
      <c r="C256" s="4" t="str">
        <f t="shared" si="0"/>
        <v>0150011</v>
      </c>
      <c r="D256" s="4" t="s">
        <v>393</v>
      </c>
      <c r="E256" s="4" t="str">
        <f>"0153211"</f>
        <v>0153211</v>
      </c>
      <c r="F256" s="4" t="s">
        <v>327</v>
      </c>
      <c r="G256" s="4" t="s">
        <v>328</v>
      </c>
      <c r="H256" s="7">
        <v>8</v>
      </c>
      <c r="I256" s="4" t="s">
        <v>335</v>
      </c>
      <c r="J256" s="4" t="s">
        <v>330</v>
      </c>
      <c r="K256" s="7">
        <v>584.49403099999995</v>
      </c>
      <c r="L256" s="7">
        <v>1000</v>
      </c>
      <c r="M256" s="7">
        <v>58.449402999999997</v>
      </c>
      <c r="N256" s="7">
        <v>3</v>
      </c>
      <c r="O256" s="7">
        <v>0</v>
      </c>
      <c r="P256" s="7">
        <v>54.400610999999998</v>
      </c>
      <c r="Q256" s="7">
        <v>36.267074000000001</v>
      </c>
      <c r="R256" s="7">
        <v>50</v>
      </c>
      <c r="S256" s="7">
        <v>52.991059999999997</v>
      </c>
      <c r="T256" s="7">
        <v>64.290199999999999</v>
      </c>
      <c r="U256" s="7">
        <v>35.327373999999999</v>
      </c>
      <c r="V256" s="7">
        <v>50</v>
      </c>
      <c r="W256" s="7">
        <v>48.124561999999997</v>
      </c>
      <c r="X256" s="7">
        <v>32.083041000000001</v>
      </c>
      <c r="Y256" s="7">
        <v>50</v>
      </c>
      <c r="Z256" s="7">
        <v>57.310054999999998</v>
      </c>
      <c r="AA256" s="7">
        <v>46.809317999999998</v>
      </c>
      <c r="AB256" s="7">
        <v>31.206212000000001</v>
      </c>
      <c r="AC256" s="7">
        <v>50</v>
      </c>
      <c r="AD256" s="7">
        <v>52.178350999999999</v>
      </c>
      <c r="AE256" s="7">
        <v>34.785567</v>
      </c>
      <c r="AF256" s="7">
        <v>50</v>
      </c>
      <c r="AG256" s="7">
        <v>50.468755000000002</v>
      </c>
      <c r="AH256" s="7">
        <v>63.104899000000003</v>
      </c>
      <c r="AI256" s="7">
        <v>33.645837</v>
      </c>
      <c r="AJ256" s="7">
        <v>50</v>
      </c>
      <c r="AK256" s="7">
        <v>11.29</v>
      </c>
      <c r="AL256" s="7">
        <v>10.5</v>
      </c>
      <c r="AM256" s="7">
        <v>12.63</v>
      </c>
      <c r="AN256" s="7">
        <v>0.45264900000000002</v>
      </c>
      <c r="AO256" s="7">
        <v>45.264935000000001</v>
      </c>
      <c r="AP256" s="7">
        <v>100</v>
      </c>
      <c r="AQ256" s="7">
        <v>0.52004600000000001</v>
      </c>
      <c r="AR256" s="7">
        <v>52.004590999999998</v>
      </c>
      <c r="AS256" s="7">
        <v>100</v>
      </c>
      <c r="AT256" s="7">
        <v>0.42984800000000001</v>
      </c>
      <c r="AU256" s="7">
        <v>0.58345899999999995</v>
      </c>
      <c r="AV256" s="7">
        <v>42.984771000000002</v>
      </c>
      <c r="AW256" s="7">
        <v>100</v>
      </c>
      <c r="AX256" s="7">
        <v>0.496838</v>
      </c>
      <c r="AY256" s="7">
        <v>0.65277700000000005</v>
      </c>
      <c r="AZ256" s="7">
        <v>49.683832000000002</v>
      </c>
      <c r="BA256" s="7">
        <v>100</v>
      </c>
      <c r="BB256" s="7">
        <v>0.59051399999999998</v>
      </c>
      <c r="BC256" s="7">
        <v>29.525686</v>
      </c>
      <c r="BD256" s="7">
        <v>50</v>
      </c>
      <c r="BE256" s="7">
        <v>0.51678100000000005</v>
      </c>
      <c r="BF256" s="7">
        <v>25.839058999999999</v>
      </c>
      <c r="BG256" s="7">
        <v>50</v>
      </c>
      <c r="BH256" s="7">
        <v>0</v>
      </c>
      <c r="BI256" s="7">
        <v>1</v>
      </c>
      <c r="BJ256" s="7">
        <v>1</v>
      </c>
      <c r="BK256" s="7">
        <v>1</v>
      </c>
      <c r="BL256" s="7">
        <v>1</v>
      </c>
      <c r="BM256" s="7">
        <v>1</v>
      </c>
      <c r="BN256" s="7">
        <v>1</v>
      </c>
      <c r="BO256" s="7">
        <v>1</v>
      </c>
      <c r="BP256" s="7">
        <v>1</v>
      </c>
      <c r="BQ256" s="7">
        <v>1</v>
      </c>
      <c r="BR256" s="7">
        <v>9.9489999999999995E-2</v>
      </c>
      <c r="BS256" s="7">
        <v>40.102041</v>
      </c>
      <c r="BT256" s="7">
        <v>50</v>
      </c>
      <c r="BU256" s="7">
        <v>0.10465099999999999</v>
      </c>
      <c r="BV256" s="7">
        <v>39.069766999999999</v>
      </c>
      <c r="BW256" s="7">
        <v>50</v>
      </c>
      <c r="BX256" s="4" t="s">
        <v>124</v>
      </c>
      <c r="BY256" s="4" t="s">
        <v>124</v>
      </c>
      <c r="BZ256" s="4" t="s">
        <v>124</v>
      </c>
      <c r="CA256" s="4" t="s">
        <v>124</v>
      </c>
      <c r="CB256" s="4" t="s">
        <v>124</v>
      </c>
      <c r="CC256" s="4" t="s">
        <v>124</v>
      </c>
      <c r="CD256" s="7">
        <v>0.79746799999999995</v>
      </c>
      <c r="CE256" s="7">
        <v>42.418528999999999</v>
      </c>
      <c r="CF256" s="7">
        <v>50</v>
      </c>
      <c r="CG256" s="4" t="s">
        <v>124</v>
      </c>
      <c r="CH256" s="4" t="s">
        <v>124</v>
      </c>
      <c r="CI256" s="4" t="s">
        <v>124</v>
      </c>
      <c r="CJ256" s="4" t="s">
        <v>124</v>
      </c>
      <c r="CK256" s="4" t="s">
        <v>124</v>
      </c>
      <c r="CL256" s="4" t="s">
        <v>124</v>
      </c>
      <c r="CM256" s="4" t="s">
        <v>124</v>
      </c>
      <c r="CN256" s="4" t="s">
        <v>124</v>
      </c>
      <c r="CO256" s="4" t="s">
        <v>124</v>
      </c>
      <c r="CP256" s="4" t="s">
        <v>124</v>
      </c>
      <c r="CQ256" s="7">
        <v>0.42857099999999998</v>
      </c>
      <c r="CR256" s="7">
        <v>0.89090899999999995</v>
      </c>
      <c r="CS256" s="7">
        <v>14.285714</v>
      </c>
      <c r="CT256" s="7">
        <v>50</v>
      </c>
      <c r="CU256" s="4" t="s">
        <v>124</v>
      </c>
      <c r="CV256" s="4" t="s">
        <v>124</v>
      </c>
      <c r="CW256" s="4" t="s">
        <v>124</v>
      </c>
      <c r="CX256" s="4" t="s">
        <v>124</v>
      </c>
      <c r="CY256" s="4" t="s">
        <v>124</v>
      </c>
      <c r="CZ256" s="4" t="s">
        <v>124</v>
      </c>
      <c r="DA256" s="7">
        <v>15.314097</v>
      </c>
      <c r="DB256" s="7">
        <v>17.400950000000002</v>
      </c>
      <c r="DC256" s="7">
        <v>16.332519999999999</v>
      </c>
      <c r="DD256" s="4" t="s">
        <v>124</v>
      </c>
      <c r="DE256" s="7">
        <v>0</v>
      </c>
      <c r="DF256" s="6"/>
      <c r="DG256" s="6"/>
      <c r="DH256" s="6"/>
      <c r="DI256" s="6"/>
      <c r="DJ256" s="7">
        <v>0</v>
      </c>
      <c r="DK256" s="7">
        <v>0</v>
      </c>
      <c r="DL256" s="7">
        <v>0</v>
      </c>
      <c r="DM256" s="7">
        <v>0</v>
      </c>
      <c r="DN256" s="7">
        <v>0</v>
      </c>
      <c r="DO256" s="7">
        <v>0</v>
      </c>
      <c r="DP256" s="6"/>
      <c r="DQ256" s="4" t="s">
        <v>125</v>
      </c>
    </row>
    <row r="257" spans="1:121" ht="20" customHeight="1" x14ac:dyDescent="0.15">
      <c r="A257" s="5">
        <v>2018</v>
      </c>
      <c r="B257" s="3" t="s">
        <v>121</v>
      </c>
      <c r="C257" s="4" t="str">
        <f t="shared" ref="C257:C275" si="188">"0150011"</f>
        <v>0150011</v>
      </c>
      <c r="D257" s="4" t="s">
        <v>394</v>
      </c>
      <c r="E257" s="4" t="str">
        <f>"0151111"</f>
        <v>0151111</v>
      </c>
      <c r="F257" s="4" t="s">
        <v>327</v>
      </c>
      <c r="G257" s="4" t="s">
        <v>338</v>
      </c>
      <c r="H257" s="7">
        <v>6</v>
      </c>
      <c r="I257" s="4" t="s">
        <v>335</v>
      </c>
      <c r="J257" s="4" t="s">
        <v>330</v>
      </c>
      <c r="K257" s="7">
        <v>494.812074</v>
      </c>
      <c r="L257" s="7">
        <v>800</v>
      </c>
      <c r="M257" s="7">
        <v>61.851509</v>
      </c>
      <c r="N257" s="7">
        <v>3</v>
      </c>
      <c r="O257" s="7">
        <v>0</v>
      </c>
      <c r="P257" s="7">
        <v>58.683036999999999</v>
      </c>
      <c r="Q257" s="7">
        <v>39.122024000000003</v>
      </c>
      <c r="R257" s="7">
        <v>50</v>
      </c>
      <c r="S257" s="7">
        <v>57.182355999999999</v>
      </c>
      <c r="T257" s="4" t="s">
        <v>124</v>
      </c>
      <c r="U257" s="7">
        <v>38.121571000000003</v>
      </c>
      <c r="V257" s="7">
        <v>50</v>
      </c>
      <c r="W257" s="7">
        <v>48.392864000000003</v>
      </c>
      <c r="X257" s="7">
        <v>32.261909000000003</v>
      </c>
      <c r="Y257" s="7">
        <v>50</v>
      </c>
      <c r="Z257" s="4" t="s">
        <v>124</v>
      </c>
      <c r="AA257" s="7">
        <v>46.618034999999999</v>
      </c>
      <c r="AB257" s="7">
        <v>31.078690000000002</v>
      </c>
      <c r="AC257" s="7">
        <v>50</v>
      </c>
      <c r="AD257" s="7">
        <v>54.120617000000003</v>
      </c>
      <c r="AE257" s="7">
        <v>36.080410999999998</v>
      </c>
      <c r="AF257" s="7">
        <v>50</v>
      </c>
      <c r="AG257" s="4" t="s">
        <v>124</v>
      </c>
      <c r="AH257" s="4" t="s">
        <v>124</v>
      </c>
      <c r="AI257" s="4" t="s">
        <v>124</v>
      </c>
      <c r="AJ257" s="4" t="s">
        <v>124</v>
      </c>
      <c r="AK257" s="4" t="s">
        <v>124</v>
      </c>
      <c r="AL257" s="4" t="s">
        <v>124</v>
      </c>
      <c r="AM257" s="4" t="s">
        <v>124</v>
      </c>
      <c r="AN257" s="7">
        <v>0.51975300000000002</v>
      </c>
      <c r="AO257" s="7">
        <v>51.975333999999997</v>
      </c>
      <c r="AP257" s="7">
        <v>100</v>
      </c>
      <c r="AQ257" s="7">
        <v>0.42424200000000001</v>
      </c>
      <c r="AR257" s="7">
        <v>42.424218000000003</v>
      </c>
      <c r="AS257" s="7">
        <v>100</v>
      </c>
      <c r="AT257" s="7">
        <v>0.53251400000000004</v>
      </c>
      <c r="AU257" s="4" t="s">
        <v>124</v>
      </c>
      <c r="AV257" s="7">
        <v>53.251362999999998</v>
      </c>
      <c r="AW257" s="7">
        <v>100</v>
      </c>
      <c r="AX257" s="7">
        <v>0.43240099999999998</v>
      </c>
      <c r="AY257" s="4" t="s">
        <v>124</v>
      </c>
      <c r="AZ257" s="7">
        <v>43.240138999999999</v>
      </c>
      <c r="BA257" s="7">
        <v>100</v>
      </c>
      <c r="BB257" s="4" t="s">
        <v>124</v>
      </c>
      <c r="BC257" s="4" t="s">
        <v>124</v>
      </c>
      <c r="BD257" s="4" t="s">
        <v>124</v>
      </c>
      <c r="BE257" s="4" t="s">
        <v>124</v>
      </c>
      <c r="BF257" s="4" t="s">
        <v>124</v>
      </c>
      <c r="BG257" s="4" t="s">
        <v>124</v>
      </c>
      <c r="BH257" s="7">
        <v>0</v>
      </c>
      <c r="BI257" s="7">
        <v>1</v>
      </c>
      <c r="BJ257" s="7">
        <v>1</v>
      </c>
      <c r="BK257" s="4" t="s">
        <v>124</v>
      </c>
      <c r="BL257" s="7">
        <v>1</v>
      </c>
      <c r="BM257" s="7">
        <v>1</v>
      </c>
      <c r="BN257" s="4" t="s">
        <v>124</v>
      </c>
      <c r="BO257" s="7">
        <v>1</v>
      </c>
      <c r="BP257" s="7">
        <v>1</v>
      </c>
      <c r="BQ257" s="4" t="s">
        <v>124</v>
      </c>
      <c r="BR257" s="7">
        <v>6.2176000000000002E-2</v>
      </c>
      <c r="BS257" s="7">
        <v>47.564767000000003</v>
      </c>
      <c r="BT257" s="7">
        <v>50</v>
      </c>
      <c r="BU257" s="7">
        <v>6.5476000000000006E-2</v>
      </c>
      <c r="BV257" s="7">
        <v>46.904761999999998</v>
      </c>
      <c r="BW257" s="7">
        <v>50</v>
      </c>
      <c r="BX257" s="4" t="s">
        <v>124</v>
      </c>
      <c r="BY257" s="4" t="s">
        <v>124</v>
      </c>
      <c r="BZ257" s="4" t="s">
        <v>124</v>
      </c>
      <c r="CA257" s="4" t="s">
        <v>124</v>
      </c>
      <c r="CB257" s="4" t="s">
        <v>124</v>
      </c>
      <c r="CC257" s="4" t="s">
        <v>124</v>
      </c>
      <c r="CD257" s="4" t="s">
        <v>124</v>
      </c>
      <c r="CE257" s="4" t="s">
        <v>124</v>
      </c>
      <c r="CF257" s="4" t="s">
        <v>124</v>
      </c>
      <c r="CG257" s="4" t="s">
        <v>124</v>
      </c>
      <c r="CH257" s="4" t="s">
        <v>124</v>
      </c>
      <c r="CI257" s="4" t="s">
        <v>124</v>
      </c>
      <c r="CJ257" s="4" t="s">
        <v>124</v>
      </c>
      <c r="CK257" s="4" t="s">
        <v>124</v>
      </c>
      <c r="CL257" s="4" t="s">
        <v>124</v>
      </c>
      <c r="CM257" s="4" t="s">
        <v>124</v>
      </c>
      <c r="CN257" s="4" t="s">
        <v>124</v>
      </c>
      <c r="CO257" s="4" t="s">
        <v>124</v>
      </c>
      <c r="CP257" s="4" t="s">
        <v>124</v>
      </c>
      <c r="CQ257" s="7">
        <v>0.49180299999999999</v>
      </c>
      <c r="CR257" s="7">
        <v>1</v>
      </c>
      <c r="CS257" s="7">
        <v>32.786884999999998</v>
      </c>
      <c r="CT257" s="7">
        <v>50</v>
      </c>
      <c r="CU257" s="4" t="s">
        <v>124</v>
      </c>
      <c r="CV257" s="4" t="s">
        <v>124</v>
      </c>
      <c r="CW257" s="4" t="s">
        <v>124</v>
      </c>
      <c r="CX257" s="4" t="s">
        <v>124</v>
      </c>
      <c r="CY257" s="4" t="s">
        <v>124</v>
      </c>
      <c r="CZ257" s="4" t="s">
        <v>124</v>
      </c>
      <c r="DA257" s="7">
        <v>15.314097</v>
      </c>
      <c r="DB257" s="7">
        <v>17.400950000000002</v>
      </c>
      <c r="DC257" s="7">
        <v>16.332519999999999</v>
      </c>
      <c r="DD257" s="4" t="s">
        <v>124</v>
      </c>
      <c r="DE257" s="7">
        <v>0</v>
      </c>
      <c r="DF257" s="6"/>
      <c r="DG257" s="6"/>
      <c r="DH257" s="6"/>
      <c r="DI257" s="6"/>
      <c r="DJ257" s="7">
        <v>0</v>
      </c>
      <c r="DK257" s="7">
        <v>0</v>
      </c>
      <c r="DL257" s="7">
        <v>0</v>
      </c>
      <c r="DM257" s="7">
        <v>0</v>
      </c>
      <c r="DN257" s="7">
        <v>0</v>
      </c>
      <c r="DO257" s="7">
        <v>0</v>
      </c>
      <c r="DP257" s="6"/>
      <c r="DQ257" s="4" t="s">
        <v>125</v>
      </c>
    </row>
    <row r="258" spans="1:121" ht="20" customHeight="1" x14ac:dyDescent="0.15">
      <c r="A258" s="5">
        <v>2018</v>
      </c>
      <c r="B258" s="3" t="s">
        <v>121</v>
      </c>
      <c r="C258" s="4" t="str">
        <f t="shared" si="188"/>
        <v>0150011</v>
      </c>
      <c r="D258" s="4" t="s">
        <v>395</v>
      </c>
      <c r="E258" s="4" t="str">
        <f>"0151211"</f>
        <v>0151211</v>
      </c>
      <c r="F258" s="4" t="s">
        <v>327</v>
      </c>
      <c r="G258" s="4" t="s">
        <v>328</v>
      </c>
      <c r="H258" s="7">
        <v>6</v>
      </c>
      <c r="I258" s="4" t="s">
        <v>335</v>
      </c>
      <c r="J258" s="4" t="s">
        <v>330</v>
      </c>
      <c r="K258" s="7">
        <v>549.80839400000002</v>
      </c>
      <c r="L258" s="7">
        <v>850</v>
      </c>
      <c r="M258" s="7">
        <v>64.683340000000001</v>
      </c>
      <c r="N258" s="7">
        <v>3</v>
      </c>
      <c r="O258" s="7">
        <v>0</v>
      </c>
      <c r="P258" s="7">
        <v>58.073183</v>
      </c>
      <c r="Q258" s="7">
        <v>38.715454999999999</v>
      </c>
      <c r="R258" s="7">
        <v>50</v>
      </c>
      <c r="S258" s="7">
        <v>56.695630999999999</v>
      </c>
      <c r="T258" s="7">
        <v>64.661472000000003</v>
      </c>
      <c r="U258" s="7">
        <v>37.797086999999998</v>
      </c>
      <c r="V258" s="7">
        <v>50</v>
      </c>
      <c r="W258" s="7">
        <v>51.761949999999999</v>
      </c>
      <c r="X258" s="7">
        <v>34.507967000000001</v>
      </c>
      <c r="Y258" s="7">
        <v>50</v>
      </c>
      <c r="Z258" s="7">
        <v>61.080100000000002</v>
      </c>
      <c r="AA258" s="7">
        <v>49.813609999999997</v>
      </c>
      <c r="AB258" s="7">
        <v>33.209072999999997</v>
      </c>
      <c r="AC258" s="7">
        <v>50</v>
      </c>
      <c r="AD258" s="7">
        <v>55.987358</v>
      </c>
      <c r="AE258" s="7">
        <v>37.324905999999999</v>
      </c>
      <c r="AF258" s="7">
        <v>50</v>
      </c>
      <c r="AG258" s="7">
        <v>55.966073000000002</v>
      </c>
      <c r="AH258" s="4" t="s">
        <v>124</v>
      </c>
      <c r="AI258" s="7">
        <v>37.310715999999999</v>
      </c>
      <c r="AJ258" s="7">
        <v>50</v>
      </c>
      <c r="AK258" s="7">
        <v>7.96</v>
      </c>
      <c r="AL258" s="7">
        <v>11.26</v>
      </c>
      <c r="AM258" s="4" t="s">
        <v>124</v>
      </c>
      <c r="AN258" s="7">
        <v>0.59023099999999995</v>
      </c>
      <c r="AO258" s="7">
        <v>59.023051000000002</v>
      </c>
      <c r="AP258" s="7">
        <v>100</v>
      </c>
      <c r="AQ258" s="7">
        <v>0.65982099999999999</v>
      </c>
      <c r="AR258" s="7">
        <v>65.982089000000002</v>
      </c>
      <c r="AS258" s="7">
        <v>100</v>
      </c>
      <c r="AT258" s="7">
        <v>0.60416199999999998</v>
      </c>
      <c r="AU258" s="4" t="s">
        <v>124</v>
      </c>
      <c r="AV258" s="7">
        <v>60.41621</v>
      </c>
      <c r="AW258" s="7">
        <v>100</v>
      </c>
      <c r="AX258" s="7">
        <v>0.65958399999999995</v>
      </c>
      <c r="AY258" s="4" t="s">
        <v>124</v>
      </c>
      <c r="AZ258" s="7">
        <v>65.958430000000007</v>
      </c>
      <c r="BA258" s="7">
        <v>100</v>
      </c>
      <c r="BB258" s="4" t="s">
        <v>124</v>
      </c>
      <c r="BC258" s="4" t="s">
        <v>124</v>
      </c>
      <c r="BD258" s="4" t="s">
        <v>124</v>
      </c>
      <c r="BE258" s="4" t="s">
        <v>124</v>
      </c>
      <c r="BF258" s="4" t="s">
        <v>124</v>
      </c>
      <c r="BG258" s="4" t="s">
        <v>124</v>
      </c>
      <c r="BH258" s="7">
        <v>0</v>
      </c>
      <c r="BI258" s="7">
        <v>1</v>
      </c>
      <c r="BJ258" s="7">
        <v>1</v>
      </c>
      <c r="BK258" s="7">
        <v>1</v>
      </c>
      <c r="BL258" s="7">
        <v>1</v>
      </c>
      <c r="BM258" s="7">
        <v>1</v>
      </c>
      <c r="BN258" s="7">
        <v>1</v>
      </c>
      <c r="BO258" s="7">
        <v>1</v>
      </c>
      <c r="BP258" s="7">
        <v>1</v>
      </c>
      <c r="BQ258" s="4" t="s">
        <v>124</v>
      </c>
      <c r="BR258" s="7">
        <v>0.14801400000000001</v>
      </c>
      <c r="BS258" s="7">
        <v>30.397112</v>
      </c>
      <c r="BT258" s="7">
        <v>50</v>
      </c>
      <c r="BU258" s="7">
        <v>0.164384</v>
      </c>
      <c r="BV258" s="7">
        <v>27.123287999999999</v>
      </c>
      <c r="BW258" s="7">
        <v>50</v>
      </c>
      <c r="BX258" s="4" t="s">
        <v>124</v>
      </c>
      <c r="BY258" s="4" t="s">
        <v>124</v>
      </c>
      <c r="BZ258" s="4" t="s">
        <v>124</v>
      </c>
      <c r="CA258" s="4" t="s">
        <v>124</v>
      </c>
      <c r="CB258" s="4" t="s">
        <v>124</v>
      </c>
      <c r="CC258" s="4" t="s">
        <v>124</v>
      </c>
      <c r="CD258" s="4" t="s">
        <v>124</v>
      </c>
      <c r="CE258" s="4" t="s">
        <v>124</v>
      </c>
      <c r="CF258" s="4" t="s">
        <v>124</v>
      </c>
      <c r="CG258" s="4" t="s">
        <v>124</v>
      </c>
      <c r="CH258" s="4" t="s">
        <v>124</v>
      </c>
      <c r="CI258" s="4" t="s">
        <v>124</v>
      </c>
      <c r="CJ258" s="4" t="s">
        <v>124</v>
      </c>
      <c r="CK258" s="4" t="s">
        <v>124</v>
      </c>
      <c r="CL258" s="4" t="s">
        <v>124</v>
      </c>
      <c r="CM258" s="4" t="s">
        <v>124</v>
      </c>
      <c r="CN258" s="4" t="s">
        <v>124</v>
      </c>
      <c r="CO258" s="4" t="s">
        <v>124</v>
      </c>
      <c r="CP258" s="4" t="s">
        <v>124</v>
      </c>
      <c r="CQ258" s="7">
        <v>0.66129000000000004</v>
      </c>
      <c r="CR258" s="7">
        <v>0.86111099999999996</v>
      </c>
      <c r="CS258" s="7">
        <v>22.043011</v>
      </c>
      <c r="CT258" s="7">
        <v>50</v>
      </c>
      <c r="CU258" s="4" t="s">
        <v>124</v>
      </c>
      <c r="CV258" s="4" t="s">
        <v>124</v>
      </c>
      <c r="CW258" s="4" t="s">
        <v>124</v>
      </c>
      <c r="CX258" s="4" t="s">
        <v>124</v>
      </c>
      <c r="CY258" s="4" t="s">
        <v>124</v>
      </c>
      <c r="CZ258" s="4" t="s">
        <v>124</v>
      </c>
      <c r="DA258" s="7">
        <v>15.314097</v>
      </c>
      <c r="DB258" s="7">
        <v>17.400950000000002</v>
      </c>
      <c r="DC258" s="7">
        <v>16.332519999999999</v>
      </c>
      <c r="DD258" s="4" t="s">
        <v>124</v>
      </c>
      <c r="DE258" s="7">
        <v>0</v>
      </c>
      <c r="DF258" s="6"/>
      <c r="DG258" s="6"/>
      <c r="DH258" s="6"/>
      <c r="DI258" s="6"/>
      <c r="DJ258" s="7">
        <v>0</v>
      </c>
      <c r="DK258" s="7">
        <v>0</v>
      </c>
      <c r="DL258" s="7">
        <v>0</v>
      </c>
      <c r="DM258" s="7">
        <v>0</v>
      </c>
      <c r="DN258" s="7">
        <v>0</v>
      </c>
      <c r="DO258" s="7">
        <v>0</v>
      </c>
      <c r="DP258" s="6"/>
      <c r="DQ258" s="4" t="s">
        <v>125</v>
      </c>
    </row>
    <row r="259" spans="1:121" ht="20" customHeight="1" x14ac:dyDescent="0.15">
      <c r="A259" s="5">
        <v>2018</v>
      </c>
      <c r="B259" s="3" t="s">
        <v>121</v>
      </c>
      <c r="C259" s="4" t="str">
        <f t="shared" si="188"/>
        <v>0150011</v>
      </c>
      <c r="D259" s="4" t="s">
        <v>396</v>
      </c>
      <c r="E259" s="4" t="str">
        <f>"0154511"</f>
        <v>0154511</v>
      </c>
      <c r="F259" s="4" t="s">
        <v>327</v>
      </c>
      <c r="G259" s="4" t="s">
        <v>328</v>
      </c>
      <c r="H259" s="7">
        <v>8</v>
      </c>
      <c r="I259" s="4" t="s">
        <v>335</v>
      </c>
      <c r="J259" s="4" t="s">
        <v>330</v>
      </c>
      <c r="K259" s="7">
        <v>664.87892399999998</v>
      </c>
      <c r="L259" s="7">
        <v>900</v>
      </c>
      <c r="M259" s="7">
        <v>73.875435999999993</v>
      </c>
      <c r="N259" s="7">
        <v>2</v>
      </c>
      <c r="O259" s="7">
        <v>0</v>
      </c>
      <c r="P259" s="7">
        <v>65.533849000000004</v>
      </c>
      <c r="Q259" s="7">
        <v>43.689233000000002</v>
      </c>
      <c r="R259" s="7">
        <v>50</v>
      </c>
      <c r="S259" s="7">
        <v>62.844952999999997</v>
      </c>
      <c r="T259" s="7">
        <v>71.384414000000007</v>
      </c>
      <c r="U259" s="7">
        <v>41.896635000000003</v>
      </c>
      <c r="V259" s="7">
        <v>50</v>
      </c>
      <c r="W259" s="7">
        <v>57.288352000000003</v>
      </c>
      <c r="X259" s="7">
        <v>38.192234999999997</v>
      </c>
      <c r="Y259" s="7">
        <v>50</v>
      </c>
      <c r="Z259" s="7">
        <v>63.108919999999998</v>
      </c>
      <c r="AA259" s="7">
        <v>54.613242999999997</v>
      </c>
      <c r="AB259" s="7">
        <v>36.408828</v>
      </c>
      <c r="AC259" s="7">
        <v>50</v>
      </c>
      <c r="AD259" s="7">
        <v>58.189942000000002</v>
      </c>
      <c r="AE259" s="7">
        <v>38.793295000000001</v>
      </c>
      <c r="AF259" s="7">
        <v>50</v>
      </c>
      <c r="AG259" s="7">
        <v>54.907297999999997</v>
      </c>
      <c r="AH259" s="7">
        <v>63.569831000000001</v>
      </c>
      <c r="AI259" s="7">
        <v>36.604864999999997</v>
      </c>
      <c r="AJ259" s="7">
        <v>50</v>
      </c>
      <c r="AK259" s="7">
        <v>8.5299999999999994</v>
      </c>
      <c r="AL259" s="7">
        <v>8.49</v>
      </c>
      <c r="AM259" s="7">
        <v>8.66</v>
      </c>
      <c r="AN259" s="7">
        <v>0.68828</v>
      </c>
      <c r="AO259" s="7">
        <v>68.82799</v>
      </c>
      <c r="AP259" s="7">
        <v>100</v>
      </c>
      <c r="AQ259" s="7">
        <v>0.68138699999999996</v>
      </c>
      <c r="AR259" s="7">
        <v>68.138705000000002</v>
      </c>
      <c r="AS259" s="7">
        <v>100</v>
      </c>
      <c r="AT259" s="7">
        <v>0.67781599999999997</v>
      </c>
      <c r="AU259" s="7">
        <v>0.70804500000000004</v>
      </c>
      <c r="AV259" s="7">
        <v>67.781581000000003</v>
      </c>
      <c r="AW259" s="7">
        <v>100</v>
      </c>
      <c r="AX259" s="7">
        <v>0.63700900000000005</v>
      </c>
      <c r="AY259" s="7">
        <v>0.76521300000000003</v>
      </c>
      <c r="AZ259" s="7">
        <v>63.700857999999997</v>
      </c>
      <c r="BA259" s="7">
        <v>100</v>
      </c>
      <c r="BB259" s="4" t="s">
        <v>124</v>
      </c>
      <c r="BC259" s="4" t="s">
        <v>124</v>
      </c>
      <c r="BD259" s="4" t="s">
        <v>124</v>
      </c>
      <c r="BE259" s="4" t="s">
        <v>124</v>
      </c>
      <c r="BF259" s="4" t="s">
        <v>124</v>
      </c>
      <c r="BG259" s="4" t="s">
        <v>124</v>
      </c>
      <c r="BH259" s="7">
        <v>0</v>
      </c>
      <c r="BI259" s="7">
        <v>1</v>
      </c>
      <c r="BJ259" s="7">
        <v>1</v>
      </c>
      <c r="BK259" s="7">
        <v>1</v>
      </c>
      <c r="BL259" s="7">
        <v>1</v>
      </c>
      <c r="BM259" s="7">
        <v>1</v>
      </c>
      <c r="BN259" s="7">
        <v>1</v>
      </c>
      <c r="BO259" s="7">
        <v>1</v>
      </c>
      <c r="BP259" s="7">
        <v>1</v>
      </c>
      <c r="BQ259" s="7">
        <v>1</v>
      </c>
      <c r="BR259" s="7">
        <v>5.6689000000000003E-2</v>
      </c>
      <c r="BS259" s="7">
        <v>48.662132</v>
      </c>
      <c r="BT259" s="7">
        <v>50</v>
      </c>
      <c r="BU259" s="7">
        <v>7.4193999999999996E-2</v>
      </c>
      <c r="BV259" s="7">
        <v>45.161290000000001</v>
      </c>
      <c r="BW259" s="7">
        <v>50</v>
      </c>
      <c r="BX259" s="4" t="s">
        <v>124</v>
      </c>
      <c r="BY259" s="4" t="s">
        <v>124</v>
      </c>
      <c r="BZ259" s="4" t="s">
        <v>124</v>
      </c>
      <c r="CA259" s="4" t="s">
        <v>124</v>
      </c>
      <c r="CB259" s="4" t="s">
        <v>124</v>
      </c>
      <c r="CC259" s="4" t="s">
        <v>124</v>
      </c>
      <c r="CD259" s="7">
        <v>0.97435899999999998</v>
      </c>
      <c r="CE259" s="7">
        <v>50</v>
      </c>
      <c r="CF259" s="7">
        <v>50</v>
      </c>
      <c r="CG259" s="4" t="s">
        <v>124</v>
      </c>
      <c r="CH259" s="4" t="s">
        <v>124</v>
      </c>
      <c r="CI259" s="4" t="s">
        <v>124</v>
      </c>
      <c r="CJ259" s="4" t="s">
        <v>124</v>
      </c>
      <c r="CK259" s="4" t="s">
        <v>124</v>
      </c>
      <c r="CL259" s="4" t="s">
        <v>124</v>
      </c>
      <c r="CM259" s="4" t="s">
        <v>124</v>
      </c>
      <c r="CN259" s="4" t="s">
        <v>124</v>
      </c>
      <c r="CO259" s="4" t="s">
        <v>124</v>
      </c>
      <c r="CP259" s="4" t="s">
        <v>124</v>
      </c>
      <c r="CQ259" s="7">
        <v>0.25531900000000002</v>
      </c>
      <c r="CR259" s="7">
        <v>0.95918400000000004</v>
      </c>
      <c r="CS259" s="7">
        <v>17.021277000000001</v>
      </c>
      <c r="CT259" s="7">
        <v>50</v>
      </c>
      <c r="CU259" s="4" t="s">
        <v>124</v>
      </c>
      <c r="CV259" s="4" t="s">
        <v>124</v>
      </c>
      <c r="CW259" s="4" t="s">
        <v>124</v>
      </c>
      <c r="CX259" s="4" t="s">
        <v>124</v>
      </c>
      <c r="CY259" s="4" t="s">
        <v>124</v>
      </c>
      <c r="CZ259" s="4" t="s">
        <v>124</v>
      </c>
      <c r="DA259" s="7">
        <v>15.314097</v>
      </c>
      <c r="DB259" s="7">
        <v>17.400950000000002</v>
      </c>
      <c r="DC259" s="7">
        <v>16.332519999999999</v>
      </c>
      <c r="DD259" s="4" t="s">
        <v>124</v>
      </c>
      <c r="DE259" s="7">
        <v>0</v>
      </c>
      <c r="DF259" s="6"/>
      <c r="DG259" s="6"/>
      <c r="DH259" s="6"/>
      <c r="DI259" s="6"/>
      <c r="DJ259" s="7">
        <v>0</v>
      </c>
      <c r="DK259" s="7">
        <v>0</v>
      </c>
      <c r="DL259" s="7">
        <v>0</v>
      </c>
      <c r="DM259" s="7">
        <v>0</v>
      </c>
      <c r="DN259" s="7">
        <v>0</v>
      </c>
      <c r="DO259" s="7">
        <v>0</v>
      </c>
      <c r="DP259" s="6"/>
      <c r="DQ259" s="4" t="s">
        <v>125</v>
      </c>
    </row>
    <row r="260" spans="1:121" ht="20" customHeight="1" x14ac:dyDescent="0.15">
      <c r="A260" s="5">
        <v>2018</v>
      </c>
      <c r="B260" s="3" t="s">
        <v>121</v>
      </c>
      <c r="C260" s="4" t="str">
        <f t="shared" si="188"/>
        <v>0150011</v>
      </c>
      <c r="D260" s="4" t="s">
        <v>397</v>
      </c>
      <c r="E260" s="4" t="str">
        <f>"0151511"</f>
        <v>0151511</v>
      </c>
      <c r="F260" s="4" t="s">
        <v>327</v>
      </c>
      <c r="G260" s="7">
        <v>9</v>
      </c>
      <c r="H260" s="7">
        <v>12</v>
      </c>
      <c r="I260" s="6"/>
      <c r="J260" s="4" t="s">
        <v>330</v>
      </c>
      <c r="K260" s="7">
        <v>1016.616571</v>
      </c>
      <c r="L260" s="7">
        <v>1450</v>
      </c>
      <c r="M260" s="7">
        <v>70.111487999999994</v>
      </c>
      <c r="N260" s="7">
        <v>2</v>
      </c>
      <c r="O260" s="7">
        <v>0</v>
      </c>
      <c r="P260" s="7">
        <v>49.556122000000002</v>
      </c>
      <c r="Q260" s="7">
        <v>99.112245000000001</v>
      </c>
      <c r="R260" s="7">
        <v>150</v>
      </c>
      <c r="S260" s="7">
        <v>46.815475999999997</v>
      </c>
      <c r="T260" s="7">
        <v>53.210317000000003</v>
      </c>
      <c r="U260" s="7">
        <v>93.630951999999994</v>
      </c>
      <c r="V260" s="7">
        <v>150</v>
      </c>
      <c r="W260" s="7">
        <v>46.301020000000001</v>
      </c>
      <c r="X260" s="7">
        <v>92.602041</v>
      </c>
      <c r="Y260" s="7">
        <v>150</v>
      </c>
      <c r="Z260" s="7">
        <v>46.095238000000002</v>
      </c>
      <c r="AA260" s="7">
        <v>46.455356999999999</v>
      </c>
      <c r="AB260" s="7">
        <v>92.910713999999999</v>
      </c>
      <c r="AC260" s="7">
        <v>150</v>
      </c>
      <c r="AD260" s="7">
        <v>46.084853000000003</v>
      </c>
      <c r="AE260" s="7">
        <v>61.446471000000003</v>
      </c>
      <c r="AF260" s="7">
        <v>100</v>
      </c>
      <c r="AG260" s="7">
        <v>43.788462000000003</v>
      </c>
      <c r="AH260" s="7">
        <v>49.221387999999997</v>
      </c>
      <c r="AI260" s="7">
        <v>58.384614999999997</v>
      </c>
      <c r="AJ260" s="7">
        <v>100</v>
      </c>
      <c r="AK260" s="7">
        <v>6.39</v>
      </c>
      <c r="AL260" s="7">
        <v>-0.36</v>
      </c>
      <c r="AM260" s="7">
        <v>5.43</v>
      </c>
      <c r="AN260" s="4" t="s">
        <v>124</v>
      </c>
      <c r="AO260" s="4" t="s">
        <v>124</v>
      </c>
      <c r="AP260" s="4" t="s">
        <v>124</v>
      </c>
      <c r="AQ260" s="4" t="s">
        <v>124</v>
      </c>
      <c r="AR260" s="4" t="s">
        <v>124</v>
      </c>
      <c r="AS260" s="4" t="s">
        <v>124</v>
      </c>
      <c r="AT260" s="4" t="s">
        <v>124</v>
      </c>
      <c r="AU260" s="4" t="s">
        <v>124</v>
      </c>
      <c r="AV260" s="4" t="s">
        <v>124</v>
      </c>
      <c r="AW260" s="4" t="s">
        <v>124</v>
      </c>
      <c r="AX260" s="4" t="s">
        <v>124</v>
      </c>
      <c r="AY260" s="4" t="s">
        <v>124</v>
      </c>
      <c r="AZ260" s="4" t="s">
        <v>124</v>
      </c>
      <c r="BA260" s="4" t="s">
        <v>124</v>
      </c>
      <c r="BB260" s="4" t="s">
        <v>124</v>
      </c>
      <c r="BC260" s="4" t="s">
        <v>124</v>
      </c>
      <c r="BD260" s="4" t="s">
        <v>124</v>
      </c>
      <c r="BE260" s="4" t="s">
        <v>124</v>
      </c>
      <c r="BF260" s="4" t="s">
        <v>124</v>
      </c>
      <c r="BG260" s="4" t="s">
        <v>124</v>
      </c>
      <c r="BH260" s="7">
        <v>0</v>
      </c>
      <c r="BI260" s="7">
        <v>0.99009899999999995</v>
      </c>
      <c r="BJ260" s="7">
        <v>0.98305100000000001</v>
      </c>
      <c r="BK260" s="7">
        <v>1</v>
      </c>
      <c r="BL260" s="7">
        <v>0.99009899999999995</v>
      </c>
      <c r="BM260" s="7">
        <v>0.98305100000000001</v>
      </c>
      <c r="BN260" s="7">
        <v>1</v>
      </c>
      <c r="BO260" s="7">
        <v>0.98</v>
      </c>
      <c r="BP260" s="7">
        <v>0.98275900000000005</v>
      </c>
      <c r="BQ260" s="7">
        <v>0.97619</v>
      </c>
      <c r="BR260" s="7">
        <v>8.4633E-2</v>
      </c>
      <c r="BS260" s="7">
        <v>43.073497000000003</v>
      </c>
      <c r="BT260" s="7">
        <v>50</v>
      </c>
      <c r="BU260" s="7">
        <v>9.6234E-2</v>
      </c>
      <c r="BV260" s="7">
        <v>40.753138</v>
      </c>
      <c r="BW260" s="7">
        <v>50</v>
      </c>
      <c r="BX260" s="7">
        <v>0.96568600000000004</v>
      </c>
      <c r="BY260" s="7">
        <v>50</v>
      </c>
      <c r="BZ260" s="7">
        <v>50</v>
      </c>
      <c r="CA260" s="7">
        <v>0.30392200000000003</v>
      </c>
      <c r="CB260" s="7">
        <v>20.261437999999998</v>
      </c>
      <c r="CC260" s="7">
        <v>50</v>
      </c>
      <c r="CD260" s="7">
        <v>0.79166700000000001</v>
      </c>
      <c r="CE260" s="7">
        <v>42.109929000000001</v>
      </c>
      <c r="CF260" s="7">
        <v>50</v>
      </c>
      <c r="CG260" s="7">
        <v>0.93548399999999998</v>
      </c>
      <c r="CH260" s="7">
        <v>99.519560999999996</v>
      </c>
      <c r="CI260" s="7">
        <v>100</v>
      </c>
      <c r="CJ260" s="7">
        <v>0</v>
      </c>
      <c r="CK260" s="7">
        <v>0.95082</v>
      </c>
      <c r="CL260" s="7">
        <v>100</v>
      </c>
      <c r="CM260" s="7">
        <v>100</v>
      </c>
      <c r="CN260" s="7">
        <v>0.81896599999999997</v>
      </c>
      <c r="CO260" s="7">
        <v>100</v>
      </c>
      <c r="CP260" s="7">
        <v>100</v>
      </c>
      <c r="CQ260" s="7">
        <v>0.49504999999999999</v>
      </c>
      <c r="CR260" s="7">
        <v>0.89380499999999996</v>
      </c>
      <c r="CS260" s="7">
        <v>16.501650000000001</v>
      </c>
      <c r="CT260" s="7">
        <v>50</v>
      </c>
      <c r="CU260" s="7">
        <v>7.5724E-2</v>
      </c>
      <c r="CV260" s="7">
        <v>6.3103189999999998</v>
      </c>
      <c r="CW260" s="7">
        <v>50</v>
      </c>
      <c r="CX260" s="7">
        <v>0.95082</v>
      </c>
      <c r="CY260" s="4" t="s">
        <v>124</v>
      </c>
      <c r="CZ260" s="4" t="s">
        <v>124</v>
      </c>
      <c r="DA260" s="7">
        <v>15.314097</v>
      </c>
      <c r="DB260" s="7">
        <v>17.400950000000002</v>
      </c>
      <c r="DC260" s="7">
        <v>16.332519999999999</v>
      </c>
      <c r="DD260" s="7">
        <v>7.9891730000000001</v>
      </c>
      <c r="DE260" s="7">
        <v>0</v>
      </c>
      <c r="DF260" s="6"/>
      <c r="DG260" s="6"/>
      <c r="DH260" s="6"/>
      <c r="DI260" s="6"/>
      <c r="DJ260" s="7">
        <v>0</v>
      </c>
      <c r="DK260" s="7">
        <v>0</v>
      </c>
      <c r="DL260" s="7">
        <v>0</v>
      </c>
      <c r="DM260" s="7">
        <v>0</v>
      </c>
      <c r="DN260" s="7">
        <v>0</v>
      </c>
      <c r="DO260" s="7">
        <v>0</v>
      </c>
      <c r="DP260" s="6"/>
      <c r="DQ260" s="4" t="s">
        <v>125</v>
      </c>
    </row>
    <row r="261" spans="1:121" ht="20" customHeight="1" x14ac:dyDescent="0.15">
      <c r="A261" s="5">
        <v>2018</v>
      </c>
      <c r="B261" s="3" t="s">
        <v>121</v>
      </c>
      <c r="C261" s="4" t="str">
        <f t="shared" si="188"/>
        <v>0150011</v>
      </c>
      <c r="D261" s="4" t="s">
        <v>398</v>
      </c>
      <c r="E261" s="4" t="str">
        <f>"0153711"</f>
        <v>0153711</v>
      </c>
      <c r="F261" s="4" t="s">
        <v>327</v>
      </c>
      <c r="G261" s="4" t="s">
        <v>328</v>
      </c>
      <c r="H261" s="7">
        <v>8</v>
      </c>
      <c r="I261" s="4" t="s">
        <v>335</v>
      </c>
      <c r="J261" s="4" t="s">
        <v>330</v>
      </c>
      <c r="K261" s="7">
        <v>628.55086500000004</v>
      </c>
      <c r="L261" s="7">
        <v>900</v>
      </c>
      <c r="M261" s="7">
        <v>69.838984999999994</v>
      </c>
      <c r="N261" s="7">
        <v>3</v>
      </c>
      <c r="O261" s="7">
        <v>0</v>
      </c>
      <c r="P261" s="7">
        <v>68.964315999999997</v>
      </c>
      <c r="Q261" s="7">
        <v>45.976210999999999</v>
      </c>
      <c r="R261" s="7">
        <v>50</v>
      </c>
      <c r="S261" s="7">
        <v>64.399067000000002</v>
      </c>
      <c r="T261" s="7">
        <v>74.086303000000001</v>
      </c>
      <c r="U261" s="7">
        <v>42.932710999999998</v>
      </c>
      <c r="V261" s="7">
        <v>50</v>
      </c>
      <c r="W261" s="7">
        <v>57.423948000000003</v>
      </c>
      <c r="X261" s="7">
        <v>38.282632</v>
      </c>
      <c r="Y261" s="7">
        <v>50</v>
      </c>
      <c r="Z261" s="7">
        <v>61.211207000000002</v>
      </c>
      <c r="AA261" s="7">
        <v>54.048347</v>
      </c>
      <c r="AB261" s="7">
        <v>36.032231000000003</v>
      </c>
      <c r="AC261" s="7">
        <v>50</v>
      </c>
      <c r="AD261" s="7">
        <v>65.240253999999993</v>
      </c>
      <c r="AE261" s="7">
        <v>43.493502999999997</v>
      </c>
      <c r="AF261" s="7">
        <v>50</v>
      </c>
      <c r="AG261" s="7">
        <v>62.211485000000003</v>
      </c>
      <c r="AH261" s="7">
        <v>68.967969999999994</v>
      </c>
      <c r="AI261" s="7">
        <v>41.474322999999998</v>
      </c>
      <c r="AJ261" s="7">
        <v>50</v>
      </c>
      <c r="AK261" s="7">
        <v>9.68</v>
      </c>
      <c r="AL261" s="7">
        <v>7.16</v>
      </c>
      <c r="AM261" s="7">
        <v>6.75</v>
      </c>
      <c r="AN261" s="7">
        <v>0.56397699999999995</v>
      </c>
      <c r="AO261" s="7">
        <v>56.397703</v>
      </c>
      <c r="AP261" s="7">
        <v>100</v>
      </c>
      <c r="AQ261" s="7">
        <v>0.50826400000000005</v>
      </c>
      <c r="AR261" s="7">
        <v>50.826445</v>
      </c>
      <c r="AS261" s="7">
        <v>100</v>
      </c>
      <c r="AT261" s="7">
        <v>0.50647799999999998</v>
      </c>
      <c r="AU261" s="7">
        <v>0.62767700000000004</v>
      </c>
      <c r="AV261" s="7">
        <v>50.647806000000003</v>
      </c>
      <c r="AW261" s="7">
        <v>100</v>
      </c>
      <c r="AX261" s="7">
        <v>0.44122699999999998</v>
      </c>
      <c r="AY261" s="7">
        <v>0.58253100000000002</v>
      </c>
      <c r="AZ261" s="7">
        <v>44.122701999999997</v>
      </c>
      <c r="BA261" s="7">
        <v>100</v>
      </c>
      <c r="BB261" s="4" t="s">
        <v>124</v>
      </c>
      <c r="BC261" s="4" t="s">
        <v>124</v>
      </c>
      <c r="BD261" s="4" t="s">
        <v>124</v>
      </c>
      <c r="BE261" s="4" t="s">
        <v>124</v>
      </c>
      <c r="BF261" s="4" t="s">
        <v>124</v>
      </c>
      <c r="BG261" s="4" t="s">
        <v>124</v>
      </c>
      <c r="BH261" s="7">
        <v>0</v>
      </c>
      <c r="BI261" s="7">
        <v>0.99242399999999997</v>
      </c>
      <c r="BJ261" s="7">
        <v>0.99280599999999997</v>
      </c>
      <c r="BK261" s="7">
        <v>0.99199999999999999</v>
      </c>
      <c r="BL261" s="7">
        <v>0.99242399999999997</v>
      </c>
      <c r="BM261" s="7">
        <v>0.99280599999999997</v>
      </c>
      <c r="BN261" s="7">
        <v>0.99199999999999999</v>
      </c>
      <c r="BO261" s="7">
        <v>0.98863599999999996</v>
      </c>
      <c r="BP261" s="7">
        <v>1</v>
      </c>
      <c r="BQ261" s="7">
        <v>0.97499999999999998</v>
      </c>
      <c r="BR261" s="7">
        <v>5.5275999999999999E-2</v>
      </c>
      <c r="BS261" s="7">
        <v>48.944724000000001</v>
      </c>
      <c r="BT261" s="7">
        <v>50</v>
      </c>
      <c r="BU261" s="7">
        <v>9.8039000000000001E-2</v>
      </c>
      <c r="BV261" s="7">
        <v>40.392156999999997</v>
      </c>
      <c r="BW261" s="7">
        <v>50</v>
      </c>
      <c r="BX261" s="4" t="s">
        <v>124</v>
      </c>
      <c r="BY261" s="4" t="s">
        <v>124</v>
      </c>
      <c r="BZ261" s="4" t="s">
        <v>124</v>
      </c>
      <c r="CA261" s="4" t="s">
        <v>124</v>
      </c>
      <c r="CB261" s="4" t="s">
        <v>124</v>
      </c>
      <c r="CC261" s="4" t="s">
        <v>124</v>
      </c>
      <c r="CD261" s="7">
        <v>0.90243899999999999</v>
      </c>
      <c r="CE261" s="7">
        <v>48.002076000000002</v>
      </c>
      <c r="CF261" s="7">
        <v>50</v>
      </c>
      <c r="CG261" s="4" t="s">
        <v>124</v>
      </c>
      <c r="CH261" s="4" t="s">
        <v>124</v>
      </c>
      <c r="CI261" s="4" t="s">
        <v>124</v>
      </c>
      <c r="CJ261" s="4" t="s">
        <v>124</v>
      </c>
      <c r="CK261" s="4" t="s">
        <v>124</v>
      </c>
      <c r="CL261" s="4" t="s">
        <v>124</v>
      </c>
      <c r="CM261" s="4" t="s">
        <v>124</v>
      </c>
      <c r="CN261" s="4" t="s">
        <v>124</v>
      </c>
      <c r="CO261" s="4" t="s">
        <v>124</v>
      </c>
      <c r="CP261" s="4" t="s">
        <v>124</v>
      </c>
      <c r="CQ261" s="7">
        <v>0.61538499999999996</v>
      </c>
      <c r="CR261" s="7">
        <v>0.98484799999999995</v>
      </c>
      <c r="CS261" s="7">
        <v>41.025641</v>
      </c>
      <c r="CT261" s="7">
        <v>50</v>
      </c>
      <c r="CU261" s="4" t="s">
        <v>124</v>
      </c>
      <c r="CV261" s="4" t="s">
        <v>124</v>
      </c>
      <c r="CW261" s="4" t="s">
        <v>124</v>
      </c>
      <c r="CX261" s="4" t="s">
        <v>124</v>
      </c>
      <c r="CY261" s="4" t="s">
        <v>124</v>
      </c>
      <c r="CZ261" s="4" t="s">
        <v>124</v>
      </c>
      <c r="DA261" s="7">
        <v>15.314097</v>
      </c>
      <c r="DB261" s="7">
        <v>17.400950000000002</v>
      </c>
      <c r="DC261" s="7">
        <v>16.332519999999999</v>
      </c>
      <c r="DD261" s="4" t="s">
        <v>124</v>
      </c>
      <c r="DE261" s="7">
        <v>0</v>
      </c>
      <c r="DF261" s="6"/>
      <c r="DG261" s="6"/>
      <c r="DH261" s="6"/>
      <c r="DI261" s="6"/>
      <c r="DJ261" s="7">
        <v>0</v>
      </c>
      <c r="DK261" s="7">
        <v>0</v>
      </c>
      <c r="DL261" s="7">
        <v>0</v>
      </c>
      <c r="DM261" s="7">
        <v>0</v>
      </c>
      <c r="DN261" s="7">
        <v>0</v>
      </c>
      <c r="DO261" s="7">
        <v>0</v>
      </c>
      <c r="DP261" s="6"/>
      <c r="DQ261" s="4" t="s">
        <v>125</v>
      </c>
    </row>
    <row r="262" spans="1:121" ht="20" customHeight="1" x14ac:dyDescent="0.15">
      <c r="A262" s="5">
        <v>2018</v>
      </c>
      <c r="B262" s="3" t="s">
        <v>121</v>
      </c>
      <c r="C262" s="4" t="str">
        <f t="shared" si="188"/>
        <v>0150011</v>
      </c>
      <c r="D262" s="4" t="s">
        <v>399</v>
      </c>
      <c r="E262" s="4" t="str">
        <f>"0154211"</f>
        <v>0154211</v>
      </c>
      <c r="F262" s="4" t="s">
        <v>327</v>
      </c>
      <c r="G262" s="4" t="s">
        <v>338</v>
      </c>
      <c r="H262" s="7">
        <v>8</v>
      </c>
      <c r="I262" s="4" t="s">
        <v>335</v>
      </c>
      <c r="J262" s="4" t="s">
        <v>330</v>
      </c>
      <c r="K262" s="7">
        <v>537.88764600000002</v>
      </c>
      <c r="L262" s="7">
        <v>1000</v>
      </c>
      <c r="M262" s="7">
        <v>53.788764999999998</v>
      </c>
      <c r="N262" s="7">
        <v>3</v>
      </c>
      <c r="O262" s="7">
        <v>0</v>
      </c>
      <c r="P262" s="7">
        <v>50.424489000000001</v>
      </c>
      <c r="Q262" s="7">
        <v>33.616326000000001</v>
      </c>
      <c r="R262" s="7">
        <v>50</v>
      </c>
      <c r="S262" s="7">
        <v>49.72587</v>
      </c>
      <c r="T262" s="7">
        <v>58.861657000000001</v>
      </c>
      <c r="U262" s="7">
        <v>33.150579999999998</v>
      </c>
      <c r="V262" s="7">
        <v>50</v>
      </c>
      <c r="W262" s="7">
        <v>40.493606999999997</v>
      </c>
      <c r="X262" s="7">
        <v>26.995737999999999</v>
      </c>
      <c r="Y262" s="7">
        <v>50</v>
      </c>
      <c r="Z262" s="7">
        <v>46.804132000000003</v>
      </c>
      <c r="AA262" s="7">
        <v>39.969410000000003</v>
      </c>
      <c r="AB262" s="7">
        <v>26.646273000000001</v>
      </c>
      <c r="AC262" s="7">
        <v>50</v>
      </c>
      <c r="AD262" s="7">
        <v>47.350028000000002</v>
      </c>
      <c r="AE262" s="7">
        <v>31.566685</v>
      </c>
      <c r="AF262" s="7">
        <v>50</v>
      </c>
      <c r="AG262" s="7">
        <v>46.440938000000003</v>
      </c>
      <c r="AH262" s="4" t="s">
        <v>124</v>
      </c>
      <c r="AI262" s="7">
        <v>30.960626000000001</v>
      </c>
      <c r="AJ262" s="7">
        <v>50</v>
      </c>
      <c r="AK262" s="7">
        <v>9.1300000000000008</v>
      </c>
      <c r="AL262" s="7">
        <v>6.83</v>
      </c>
      <c r="AM262" s="4" t="s">
        <v>124</v>
      </c>
      <c r="AN262" s="7">
        <v>0.50554699999999997</v>
      </c>
      <c r="AO262" s="7">
        <v>50.554698999999999</v>
      </c>
      <c r="AP262" s="7">
        <v>100</v>
      </c>
      <c r="AQ262" s="7">
        <v>0.49273099999999997</v>
      </c>
      <c r="AR262" s="7">
        <v>49.273147000000002</v>
      </c>
      <c r="AS262" s="7">
        <v>100</v>
      </c>
      <c r="AT262" s="7">
        <v>0.50384899999999999</v>
      </c>
      <c r="AU262" s="7">
        <v>0.52453399999999994</v>
      </c>
      <c r="AV262" s="7">
        <v>50.384895</v>
      </c>
      <c r="AW262" s="7">
        <v>100</v>
      </c>
      <c r="AX262" s="7">
        <v>0.49501800000000001</v>
      </c>
      <c r="AY262" s="7">
        <v>0.46726400000000001</v>
      </c>
      <c r="AZ262" s="7">
        <v>49.501835999999997</v>
      </c>
      <c r="BA262" s="7">
        <v>100</v>
      </c>
      <c r="BB262" s="7">
        <v>0.60453900000000005</v>
      </c>
      <c r="BC262" s="7">
        <v>30.226934</v>
      </c>
      <c r="BD262" s="7">
        <v>50</v>
      </c>
      <c r="BE262" s="7">
        <v>0.44828200000000001</v>
      </c>
      <c r="BF262" s="7">
        <v>22.414102</v>
      </c>
      <c r="BG262" s="7">
        <v>50</v>
      </c>
      <c r="BH262" s="7">
        <v>0</v>
      </c>
      <c r="BI262" s="7">
        <v>0.97499999999999998</v>
      </c>
      <c r="BJ262" s="7">
        <v>0.972603</v>
      </c>
      <c r="BK262" s="7">
        <v>1</v>
      </c>
      <c r="BL262" s="7">
        <v>0.97738700000000001</v>
      </c>
      <c r="BM262" s="7">
        <v>0.97520700000000005</v>
      </c>
      <c r="BN262" s="7">
        <v>1</v>
      </c>
      <c r="BO262" s="7">
        <v>0.97872300000000001</v>
      </c>
      <c r="BP262" s="7">
        <v>0.97656299999999996</v>
      </c>
      <c r="BQ262" s="4" t="s">
        <v>124</v>
      </c>
      <c r="BR262" s="7">
        <v>0.22547300000000001</v>
      </c>
      <c r="BS262" s="7">
        <v>14.905336</v>
      </c>
      <c r="BT262" s="7">
        <v>50</v>
      </c>
      <c r="BU262" s="7">
        <v>0.22648799999999999</v>
      </c>
      <c r="BV262" s="7">
        <v>14.702495000000001</v>
      </c>
      <c r="BW262" s="7">
        <v>50</v>
      </c>
      <c r="BX262" s="4" t="s">
        <v>124</v>
      </c>
      <c r="BY262" s="4" t="s">
        <v>124</v>
      </c>
      <c r="BZ262" s="4" t="s">
        <v>124</v>
      </c>
      <c r="CA262" s="4" t="s">
        <v>124</v>
      </c>
      <c r="CB262" s="4" t="s">
        <v>124</v>
      </c>
      <c r="CC262" s="4" t="s">
        <v>124</v>
      </c>
      <c r="CD262" s="7">
        <v>0.65217400000000003</v>
      </c>
      <c r="CE262" s="7">
        <v>34.690102000000003</v>
      </c>
      <c r="CF262" s="7">
        <v>50</v>
      </c>
      <c r="CG262" s="4" t="s">
        <v>124</v>
      </c>
      <c r="CH262" s="4" t="s">
        <v>124</v>
      </c>
      <c r="CI262" s="4" t="s">
        <v>124</v>
      </c>
      <c r="CJ262" s="4" t="s">
        <v>124</v>
      </c>
      <c r="CK262" s="4" t="s">
        <v>124</v>
      </c>
      <c r="CL262" s="4" t="s">
        <v>124</v>
      </c>
      <c r="CM262" s="4" t="s">
        <v>124</v>
      </c>
      <c r="CN262" s="4" t="s">
        <v>124</v>
      </c>
      <c r="CO262" s="4" t="s">
        <v>124</v>
      </c>
      <c r="CP262" s="4" t="s">
        <v>124</v>
      </c>
      <c r="CQ262" s="7">
        <v>0.57446799999999998</v>
      </c>
      <c r="CR262" s="7">
        <v>0.98947399999999996</v>
      </c>
      <c r="CS262" s="7">
        <v>38.297871999999998</v>
      </c>
      <c r="CT262" s="7">
        <v>50</v>
      </c>
      <c r="CU262" s="4" t="s">
        <v>124</v>
      </c>
      <c r="CV262" s="4" t="s">
        <v>124</v>
      </c>
      <c r="CW262" s="4" t="s">
        <v>124</v>
      </c>
      <c r="CX262" s="4" t="s">
        <v>124</v>
      </c>
      <c r="CY262" s="4" t="s">
        <v>124</v>
      </c>
      <c r="CZ262" s="4" t="s">
        <v>124</v>
      </c>
      <c r="DA262" s="7">
        <v>15.314097</v>
      </c>
      <c r="DB262" s="7">
        <v>17.400950000000002</v>
      </c>
      <c r="DC262" s="7">
        <v>16.332519999999999</v>
      </c>
      <c r="DD262" s="4" t="s">
        <v>124</v>
      </c>
      <c r="DE262" s="7">
        <v>0</v>
      </c>
      <c r="DF262" s="6"/>
      <c r="DG262" s="6"/>
      <c r="DH262" s="6"/>
      <c r="DI262" s="6"/>
      <c r="DJ262" s="7">
        <v>0</v>
      </c>
      <c r="DK262" s="7">
        <v>0</v>
      </c>
      <c r="DL262" s="7">
        <v>0</v>
      </c>
      <c r="DM262" s="7">
        <v>0</v>
      </c>
      <c r="DN262" s="7">
        <v>0</v>
      </c>
      <c r="DO262" s="7">
        <v>0</v>
      </c>
      <c r="DP262" s="6"/>
      <c r="DQ262" s="4" t="s">
        <v>125</v>
      </c>
    </row>
    <row r="263" spans="1:121" ht="20" customHeight="1" x14ac:dyDescent="0.15">
      <c r="A263" s="5">
        <v>2018</v>
      </c>
      <c r="B263" s="3" t="s">
        <v>121</v>
      </c>
      <c r="C263" s="4" t="str">
        <f t="shared" si="188"/>
        <v>0150011</v>
      </c>
      <c r="D263" s="4" t="s">
        <v>400</v>
      </c>
      <c r="E263" s="4" t="str">
        <f>"0152211"</f>
        <v>0152211</v>
      </c>
      <c r="F263" s="4" t="s">
        <v>327</v>
      </c>
      <c r="G263" s="4" t="s">
        <v>328</v>
      </c>
      <c r="H263" s="7">
        <v>8</v>
      </c>
      <c r="I263" s="4" t="s">
        <v>335</v>
      </c>
      <c r="J263" s="4" t="s">
        <v>330</v>
      </c>
      <c r="K263" s="7">
        <v>482.33085899999998</v>
      </c>
      <c r="L263" s="7">
        <v>900</v>
      </c>
      <c r="M263" s="7">
        <v>53.592317999999999</v>
      </c>
      <c r="N263" s="7">
        <v>3</v>
      </c>
      <c r="O263" s="7">
        <v>0</v>
      </c>
      <c r="P263" s="7">
        <v>53.879826999999999</v>
      </c>
      <c r="Q263" s="7">
        <v>35.919884000000003</v>
      </c>
      <c r="R263" s="7">
        <v>50</v>
      </c>
      <c r="S263" s="7">
        <v>53.429071999999998</v>
      </c>
      <c r="T263" s="7">
        <v>56.242114999999998</v>
      </c>
      <c r="U263" s="7">
        <v>35.619380999999997</v>
      </c>
      <c r="V263" s="7">
        <v>50</v>
      </c>
      <c r="W263" s="7">
        <v>50.541688999999998</v>
      </c>
      <c r="X263" s="7">
        <v>33.694459000000002</v>
      </c>
      <c r="Y263" s="7">
        <v>50</v>
      </c>
      <c r="Z263" s="7">
        <v>55.670307000000001</v>
      </c>
      <c r="AA263" s="7">
        <v>49.563082999999999</v>
      </c>
      <c r="AB263" s="7">
        <v>33.042054999999998</v>
      </c>
      <c r="AC263" s="7">
        <v>50</v>
      </c>
      <c r="AD263" s="7">
        <v>46.182200999999999</v>
      </c>
      <c r="AE263" s="7">
        <v>30.788133999999999</v>
      </c>
      <c r="AF263" s="7">
        <v>50</v>
      </c>
      <c r="AG263" s="7">
        <v>46.430318</v>
      </c>
      <c r="AH263" s="7">
        <v>44.891990999999997</v>
      </c>
      <c r="AI263" s="7">
        <v>30.953544999999998</v>
      </c>
      <c r="AJ263" s="7">
        <v>50</v>
      </c>
      <c r="AK263" s="7">
        <v>2.81</v>
      </c>
      <c r="AL263" s="7">
        <v>6.1</v>
      </c>
      <c r="AM263" s="7">
        <v>-1.53</v>
      </c>
      <c r="AN263" s="7">
        <v>0.43567400000000001</v>
      </c>
      <c r="AO263" s="7">
        <v>43.567352999999997</v>
      </c>
      <c r="AP263" s="7">
        <v>100</v>
      </c>
      <c r="AQ263" s="7">
        <v>0.55953200000000003</v>
      </c>
      <c r="AR263" s="7">
        <v>55.953158000000002</v>
      </c>
      <c r="AS263" s="7">
        <v>100</v>
      </c>
      <c r="AT263" s="7">
        <v>0.44503599999999999</v>
      </c>
      <c r="AU263" s="7">
        <v>0.39483800000000002</v>
      </c>
      <c r="AV263" s="7">
        <v>44.503574999999998</v>
      </c>
      <c r="AW263" s="7">
        <v>100</v>
      </c>
      <c r="AX263" s="7">
        <v>0.55677299999999996</v>
      </c>
      <c r="AY263" s="7">
        <v>0.57150699999999999</v>
      </c>
      <c r="AZ263" s="7">
        <v>55.677263000000004</v>
      </c>
      <c r="BA263" s="7">
        <v>100</v>
      </c>
      <c r="BB263" s="4" t="s">
        <v>124</v>
      </c>
      <c r="BC263" s="4" t="s">
        <v>124</v>
      </c>
      <c r="BD263" s="4" t="s">
        <v>124</v>
      </c>
      <c r="BE263" s="4" t="s">
        <v>124</v>
      </c>
      <c r="BF263" s="4" t="s">
        <v>124</v>
      </c>
      <c r="BG263" s="4" t="s">
        <v>124</v>
      </c>
      <c r="BH263" s="7">
        <v>0</v>
      </c>
      <c r="BI263" s="7">
        <v>0.99508600000000003</v>
      </c>
      <c r="BJ263" s="7">
        <v>0.99421999999999999</v>
      </c>
      <c r="BK263" s="7">
        <v>1</v>
      </c>
      <c r="BL263" s="7">
        <v>0.995062</v>
      </c>
      <c r="BM263" s="7">
        <v>0.99420299999999995</v>
      </c>
      <c r="BN263" s="7">
        <v>1</v>
      </c>
      <c r="BO263" s="7">
        <v>0.98648599999999997</v>
      </c>
      <c r="BP263" s="7">
        <v>0.984375</v>
      </c>
      <c r="BQ263" s="7">
        <v>1</v>
      </c>
      <c r="BR263" s="7">
        <v>0.27302599999999999</v>
      </c>
      <c r="BS263" s="7">
        <v>5.3947370000000001</v>
      </c>
      <c r="BT263" s="7">
        <v>50</v>
      </c>
      <c r="BU263" s="7">
        <v>0.28381000000000001</v>
      </c>
      <c r="BV263" s="7">
        <v>3.2380949999999999</v>
      </c>
      <c r="BW263" s="7">
        <v>50</v>
      </c>
      <c r="BX263" s="4" t="s">
        <v>124</v>
      </c>
      <c r="BY263" s="4" t="s">
        <v>124</v>
      </c>
      <c r="BZ263" s="4" t="s">
        <v>124</v>
      </c>
      <c r="CA263" s="4" t="s">
        <v>124</v>
      </c>
      <c r="CB263" s="4" t="s">
        <v>124</v>
      </c>
      <c r="CC263" s="4" t="s">
        <v>124</v>
      </c>
      <c r="CD263" s="7">
        <v>0.78313299999999997</v>
      </c>
      <c r="CE263" s="7">
        <v>41.655985999999999</v>
      </c>
      <c r="CF263" s="7">
        <v>50</v>
      </c>
      <c r="CG263" s="4" t="s">
        <v>124</v>
      </c>
      <c r="CH263" s="4" t="s">
        <v>124</v>
      </c>
      <c r="CI263" s="4" t="s">
        <v>124</v>
      </c>
      <c r="CJ263" s="4" t="s">
        <v>124</v>
      </c>
      <c r="CK263" s="4" t="s">
        <v>124</v>
      </c>
      <c r="CL263" s="4" t="s">
        <v>124</v>
      </c>
      <c r="CM263" s="4" t="s">
        <v>124</v>
      </c>
      <c r="CN263" s="4" t="s">
        <v>124</v>
      </c>
      <c r="CO263" s="4" t="s">
        <v>124</v>
      </c>
      <c r="CP263" s="4" t="s">
        <v>124</v>
      </c>
      <c r="CQ263" s="7">
        <v>0.484848</v>
      </c>
      <c r="CR263" s="7">
        <v>0.94736799999999999</v>
      </c>
      <c r="CS263" s="7">
        <v>32.323231999999997</v>
      </c>
      <c r="CT263" s="7">
        <v>50</v>
      </c>
      <c r="CU263" s="4" t="s">
        <v>124</v>
      </c>
      <c r="CV263" s="4" t="s">
        <v>124</v>
      </c>
      <c r="CW263" s="4" t="s">
        <v>124</v>
      </c>
      <c r="CX263" s="4" t="s">
        <v>124</v>
      </c>
      <c r="CY263" s="4" t="s">
        <v>124</v>
      </c>
      <c r="CZ263" s="4" t="s">
        <v>124</v>
      </c>
      <c r="DA263" s="7">
        <v>15.314097</v>
      </c>
      <c r="DB263" s="7">
        <v>17.400950000000002</v>
      </c>
      <c r="DC263" s="7">
        <v>16.332519999999999</v>
      </c>
      <c r="DD263" s="4" t="s">
        <v>124</v>
      </c>
      <c r="DE263" s="7">
        <v>0</v>
      </c>
      <c r="DF263" s="6"/>
      <c r="DG263" s="6"/>
      <c r="DH263" s="6"/>
      <c r="DI263" s="6"/>
      <c r="DJ263" s="7">
        <v>0</v>
      </c>
      <c r="DK263" s="7">
        <v>0</v>
      </c>
      <c r="DL263" s="7">
        <v>0</v>
      </c>
      <c r="DM263" s="7">
        <v>0</v>
      </c>
      <c r="DN263" s="7">
        <v>0</v>
      </c>
      <c r="DO263" s="7">
        <v>0</v>
      </c>
      <c r="DP263" s="6"/>
      <c r="DQ263" s="4" t="s">
        <v>125</v>
      </c>
    </row>
    <row r="264" spans="1:121" ht="20" customHeight="1" x14ac:dyDescent="0.15">
      <c r="A264" s="5">
        <v>2018</v>
      </c>
      <c r="B264" s="3" t="s">
        <v>121</v>
      </c>
      <c r="C264" s="4" t="str">
        <f t="shared" si="188"/>
        <v>0150011</v>
      </c>
      <c r="D264" s="4" t="s">
        <v>401</v>
      </c>
      <c r="E264" s="4" t="str">
        <f>"0153611"</f>
        <v>0153611</v>
      </c>
      <c r="F264" s="4" t="s">
        <v>327</v>
      </c>
      <c r="G264" s="4" t="s">
        <v>328</v>
      </c>
      <c r="H264" s="7">
        <v>8</v>
      </c>
      <c r="I264" s="4" t="s">
        <v>335</v>
      </c>
      <c r="J264" s="4" t="s">
        <v>330</v>
      </c>
      <c r="K264" s="7">
        <v>719.88462900000002</v>
      </c>
      <c r="L264" s="7">
        <v>1000</v>
      </c>
      <c r="M264" s="7">
        <v>71.988462999999996</v>
      </c>
      <c r="N264" s="7">
        <v>2</v>
      </c>
      <c r="O264" s="7">
        <v>0</v>
      </c>
      <c r="P264" s="7">
        <v>67.854742000000002</v>
      </c>
      <c r="Q264" s="7">
        <v>45.236494999999998</v>
      </c>
      <c r="R264" s="7">
        <v>50</v>
      </c>
      <c r="S264" s="7">
        <v>65.393462</v>
      </c>
      <c r="T264" s="7">
        <v>72.956958999999998</v>
      </c>
      <c r="U264" s="7">
        <v>43.595641000000001</v>
      </c>
      <c r="V264" s="7">
        <v>50</v>
      </c>
      <c r="W264" s="7">
        <v>62.075935000000001</v>
      </c>
      <c r="X264" s="7">
        <v>41.383955999999998</v>
      </c>
      <c r="Y264" s="7">
        <v>50</v>
      </c>
      <c r="Z264" s="7">
        <v>64.816491999999997</v>
      </c>
      <c r="AA264" s="7">
        <v>60.749234000000001</v>
      </c>
      <c r="AB264" s="7">
        <v>40.499488999999997</v>
      </c>
      <c r="AC264" s="7">
        <v>50</v>
      </c>
      <c r="AD264" s="7">
        <v>62.261257000000001</v>
      </c>
      <c r="AE264" s="7">
        <v>41.507505000000002</v>
      </c>
      <c r="AF264" s="7">
        <v>50</v>
      </c>
      <c r="AG264" s="7">
        <v>59.693116000000003</v>
      </c>
      <c r="AH264" s="7">
        <v>67.898640999999998</v>
      </c>
      <c r="AI264" s="7">
        <v>39.795411000000001</v>
      </c>
      <c r="AJ264" s="7">
        <v>50</v>
      </c>
      <c r="AK264" s="7">
        <v>7.56</v>
      </c>
      <c r="AL264" s="7">
        <v>4.0599999999999996</v>
      </c>
      <c r="AM264" s="7">
        <v>8.1999999999999993</v>
      </c>
      <c r="AN264" s="7">
        <v>0.60715300000000005</v>
      </c>
      <c r="AO264" s="7">
        <v>60.715330999999999</v>
      </c>
      <c r="AP264" s="7">
        <v>100</v>
      </c>
      <c r="AQ264" s="7">
        <v>0.672404</v>
      </c>
      <c r="AR264" s="7">
        <v>67.240374000000003</v>
      </c>
      <c r="AS264" s="7">
        <v>100</v>
      </c>
      <c r="AT264" s="7">
        <v>0.58370599999999995</v>
      </c>
      <c r="AU264" s="7">
        <v>0.65324700000000002</v>
      </c>
      <c r="AV264" s="7">
        <v>58.370555000000003</v>
      </c>
      <c r="AW264" s="7">
        <v>100</v>
      </c>
      <c r="AX264" s="7">
        <v>0.64491299999999996</v>
      </c>
      <c r="AY264" s="7">
        <v>0.72644500000000001</v>
      </c>
      <c r="AZ264" s="7">
        <v>64.491298999999998</v>
      </c>
      <c r="BA264" s="7">
        <v>100</v>
      </c>
      <c r="BB264" s="7">
        <v>0.82457999999999998</v>
      </c>
      <c r="BC264" s="7">
        <v>41.228993000000003</v>
      </c>
      <c r="BD264" s="7">
        <v>50</v>
      </c>
      <c r="BE264" s="7">
        <v>0.47988199999999998</v>
      </c>
      <c r="BF264" s="7">
        <v>23.994076</v>
      </c>
      <c r="BG264" s="7">
        <v>50</v>
      </c>
      <c r="BH264" s="7">
        <v>0</v>
      </c>
      <c r="BI264" s="7">
        <v>1</v>
      </c>
      <c r="BJ264" s="7">
        <v>1</v>
      </c>
      <c r="BK264" s="7">
        <v>1</v>
      </c>
      <c r="BL264" s="7">
        <v>1</v>
      </c>
      <c r="BM264" s="7">
        <v>1</v>
      </c>
      <c r="BN264" s="7">
        <v>1</v>
      </c>
      <c r="BO264" s="7">
        <v>1</v>
      </c>
      <c r="BP264" s="7">
        <v>1</v>
      </c>
      <c r="BQ264" s="7">
        <v>1</v>
      </c>
      <c r="BR264" s="7">
        <v>4.6154000000000001E-2</v>
      </c>
      <c r="BS264" s="7">
        <v>50</v>
      </c>
      <c r="BT264" s="7">
        <v>50</v>
      </c>
      <c r="BU264" s="7">
        <v>6.5021999999999996E-2</v>
      </c>
      <c r="BV264" s="7">
        <v>46.995516000000002</v>
      </c>
      <c r="BW264" s="7">
        <v>50</v>
      </c>
      <c r="BX264" s="4" t="s">
        <v>124</v>
      </c>
      <c r="BY264" s="4" t="s">
        <v>124</v>
      </c>
      <c r="BZ264" s="4" t="s">
        <v>124</v>
      </c>
      <c r="CA264" s="4" t="s">
        <v>124</v>
      </c>
      <c r="CB264" s="4" t="s">
        <v>124</v>
      </c>
      <c r="CC264" s="4" t="s">
        <v>124</v>
      </c>
      <c r="CD264" s="7">
        <v>0.81355900000000003</v>
      </c>
      <c r="CE264" s="7">
        <v>43.274431999999997</v>
      </c>
      <c r="CF264" s="7">
        <v>50</v>
      </c>
      <c r="CG264" s="4" t="s">
        <v>124</v>
      </c>
      <c r="CH264" s="4" t="s">
        <v>124</v>
      </c>
      <c r="CI264" s="4" t="s">
        <v>124</v>
      </c>
      <c r="CJ264" s="4" t="s">
        <v>124</v>
      </c>
      <c r="CK264" s="4" t="s">
        <v>124</v>
      </c>
      <c r="CL264" s="4" t="s">
        <v>124</v>
      </c>
      <c r="CM264" s="4" t="s">
        <v>124</v>
      </c>
      <c r="CN264" s="4" t="s">
        <v>124</v>
      </c>
      <c r="CO264" s="4" t="s">
        <v>124</v>
      </c>
      <c r="CP264" s="4" t="s">
        <v>124</v>
      </c>
      <c r="CQ264" s="7">
        <v>0.69333299999999998</v>
      </c>
      <c r="CR264" s="7">
        <v>0.65502199999999999</v>
      </c>
      <c r="CS264" s="7">
        <v>11.555555999999999</v>
      </c>
      <c r="CT264" s="7">
        <v>50</v>
      </c>
      <c r="CU264" s="4" t="s">
        <v>124</v>
      </c>
      <c r="CV264" s="4" t="s">
        <v>124</v>
      </c>
      <c r="CW264" s="4" t="s">
        <v>124</v>
      </c>
      <c r="CX264" s="4" t="s">
        <v>124</v>
      </c>
      <c r="CY264" s="4" t="s">
        <v>124</v>
      </c>
      <c r="CZ264" s="4" t="s">
        <v>124</v>
      </c>
      <c r="DA264" s="7">
        <v>15.314097</v>
      </c>
      <c r="DB264" s="7">
        <v>17.400950000000002</v>
      </c>
      <c r="DC264" s="7">
        <v>16.332519999999999</v>
      </c>
      <c r="DD264" s="4" t="s">
        <v>124</v>
      </c>
      <c r="DE264" s="7">
        <v>0</v>
      </c>
      <c r="DF264" s="6"/>
      <c r="DG264" s="6"/>
      <c r="DH264" s="6"/>
      <c r="DI264" s="6"/>
      <c r="DJ264" s="7">
        <v>0</v>
      </c>
      <c r="DK264" s="7">
        <v>0</v>
      </c>
      <c r="DL264" s="7">
        <v>0</v>
      </c>
      <c r="DM264" s="7">
        <v>0</v>
      </c>
      <c r="DN264" s="7">
        <v>0</v>
      </c>
      <c r="DO264" s="7">
        <v>0</v>
      </c>
      <c r="DP264" s="6"/>
      <c r="DQ264" s="4" t="s">
        <v>125</v>
      </c>
    </row>
    <row r="265" spans="1:121" ht="20" customHeight="1" x14ac:dyDescent="0.15">
      <c r="A265" s="5">
        <v>2018</v>
      </c>
      <c r="B265" s="3" t="s">
        <v>121</v>
      </c>
      <c r="C265" s="4" t="str">
        <f t="shared" si="188"/>
        <v>0150011</v>
      </c>
      <c r="D265" s="4" t="s">
        <v>402</v>
      </c>
      <c r="E265" s="4" t="str">
        <f>"0151011"</f>
        <v>0151011</v>
      </c>
      <c r="F265" s="4" t="s">
        <v>327</v>
      </c>
      <c r="G265" s="4" t="s">
        <v>328</v>
      </c>
      <c r="H265" s="7">
        <v>8</v>
      </c>
      <c r="I265" s="4" t="s">
        <v>335</v>
      </c>
      <c r="J265" s="4" t="s">
        <v>330</v>
      </c>
      <c r="K265" s="7">
        <v>488.28310699999997</v>
      </c>
      <c r="L265" s="7">
        <v>1000</v>
      </c>
      <c r="M265" s="7">
        <v>48.828310999999999</v>
      </c>
      <c r="N265" s="7">
        <v>5</v>
      </c>
      <c r="O265" s="7">
        <v>0</v>
      </c>
      <c r="P265" s="7">
        <v>45.140895</v>
      </c>
      <c r="Q265" s="7">
        <v>30.09393</v>
      </c>
      <c r="R265" s="7">
        <v>50</v>
      </c>
      <c r="S265" s="7">
        <v>44.594082999999998</v>
      </c>
      <c r="T265" s="7">
        <v>51.577661999999997</v>
      </c>
      <c r="U265" s="7">
        <v>29.729388</v>
      </c>
      <c r="V265" s="7">
        <v>50</v>
      </c>
      <c r="W265" s="7">
        <v>36.241961000000003</v>
      </c>
      <c r="X265" s="7">
        <v>24.161307000000001</v>
      </c>
      <c r="Y265" s="7">
        <v>50</v>
      </c>
      <c r="Z265" s="7">
        <v>44.616475000000001</v>
      </c>
      <c r="AA265" s="7">
        <v>35.530534000000003</v>
      </c>
      <c r="AB265" s="7">
        <v>23.687023</v>
      </c>
      <c r="AC265" s="7">
        <v>50</v>
      </c>
      <c r="AD265" s="7">
        <v>42.190047999999997</v>
      </c>
      <c r="AE265" s="7">
        <v>28.126698000000001</v>
      </c>
      <c r="AF265" s="7">
        <v>50</v>
      </c>
      <c r="AG265" s="7">
        <v>41.052764000000003</v>
      </c>
      <c r="AH265" s="4" t="s">
        <v>124</v>
      </c>
      <c r="AI265" s="7">
        <v>27.368509</v>
      </c>
      <c r="AJ265" s="7">
        <v>50</v>
      </c>
      <c r="AK265" s="7">
        <v>6.98</v>
      </c>
      <c r="AL265" s="7">
        <v>9.08</v>
      </c>
      <c r="AM265" s="4" t="s">
        <v>124</v>
      </c>
      <c r="AN265" s="7">
        <v>0.51802899999999996</v>
      </c>
      <c r="AO265" s="7">
        <v>51.802936000000003</v>
      </c>
      <c r="AP265" s="7">
        <v>100</v>
      </c>
      <c r="AQ265" s="7">
        <v>0.48853600000000003</v>
      </c>
      <c r="AR265" s="7">
        <v>48.853599000000003</v>
      </c>
      <c r="AS265" s="7">
        <v>100</v>
      </c>
      <c r="AT265" s="7">
        <v>0.51576200000000005</v>
      </c>
      <c r="AU265" s="7">
        <v>0.54269800000000001</v>
      </c>
      <c r="AV265" s="7">
        <v>51.576248999999997</v>
      </c>
      <c r="AW265" s="7">
        <v>100</v>
      </c>
      <c r="AX265" s="7">
        <v>0.482126</v>
      </c>
      <c r="AY265" s="7">
        <v>0.55828800000000001</v>
      </c>
      <c r="AZ265" s="7">
        <v>48.212629999999997</v>
      </c>
      <c r="BA265" s="7">
        <v>100</v>
      </c>
      <c r="BB265" s="7">
        <v>0.46020800000000001</v>
      </c>
      <c r="BC265" s="7">
        <v>23.010394000000002</v>
      </c>
      <c r="BD265" s="7">
        <v>50</v>
      </c>
      <c r="BE265" s="7">
        <v>0.39430500000000002</v>
      </c>
      <c r="BF265" s="7">
        <v>19.715267999999998</v>
      </c>
      <c r="BG265" s="7">
        <v>50</v>
      </c>
      <c r="BH265" s="7">
        <v>0</v>
      </c>
      <c r="BI265" s="7">
        <v>0.99668900000000005</v>
      </c>
      <c r="BJ265" s="7">
        <v>0.99646599999999996</v>
      </c>
      <c r="BK265" s="7">
        <v>1</v>
      </c>
      <c r="BL265" s="7">
        <v>0.99504099999999995</v>
      </c>
      <c r="BM265" s="7">
        <v>0.99470899999999995</v>
      </c>
      <c r="BN265" s="7">
        <v>1</v>
      </c>
      <c r="BO265" s="7">
        <v>0.97883600000000004</v>
      </c>
      <c r="BP265" s="7">
        <v>0.97701099999999996</v>
      </c>
      <c r="BQ265" s="4" t="s">
        <v>124</v>
      </c>
      <c r="BR265" s="7">
        <v>0.226077</v>
      </c>
      <c r="BS265" s="7">
        <v>14.784689</v>
      </c>
      <c r="BT265" s="7">
        <v>50</v>
      </c>
      <c r="BU265" s="7">
        <v>0.233766</v>
      </c>
      <c r="BV265" s="7">
        <v>13.246753</v>
      </c>
      <c r="BW265" s="7">
        <v>50</v>
      </c>
      <c r="BX265" s="4" t="s">
        <v>124</v>
      </c>
      <c r="BY265" s="4" t="s">
        <v>124</v>
      </c>
      <c r="BZ265" s="4" t="s">
        <v>124</v>
      </c>
      <c r="CA265" s="4" t="s">
        <v>124</v>
      </c>
      <c r="CB265" s="4" t="s">
        <v>124</v>
      </c>
      <c r="CC265" s="4" t="s">
        <v>124</v>
      </c>
      <c r="CD265" s="7">
        <v>0.68131900000000001</v>
      </c>
      <c r="CE265" s="7">
        <v>36.240355000000001</v>
      </c>
      <c r="CF265" s="7">
        <v>50</v>
      </c>
      <c r="CG265" s="4" t="s">
        <v>124</v>
      </c>
      <c r="CH265" s="4" t="s">
        <v>124</v>
      </c>
      <c r="CI265" s="4" t="s">
        <v>124</v>
      </c>
      <c r="CJ265" s="4" t="s">
        <v>124</v>
      </c>
      <c r="CK265" s="4" t="s">
        <v>124</v>
      </c>
      <c r="CL265" s="4" t="s">
        <v>124</v>
      </c>
      <c r="CM265" s="4" t="s">
        <v>124</v>
      </c>
      <c r="CN265" s="4" t="s">
        <v>124</v>
      </c>
      <c r="CO265" s="4" t="s">
        <v>124</v>
      </c>
      <c r="CP265" s="4" t="s">
        <v>124</v>
      </c>
      <c r="CQ265" s="7">
        <v>0.26510099999999998</v>
      </c>
      <c r="CR265" s="7">
        <v>0.95512799999999998</v>
      </c>
      <c r="CS265" s="7">
        <v>17.673378</v>
      </c>
      <c r="CT265" s="7">
        <v>50</v>
      </c>
      <c r="CU265" s="4" t="s">
        <v>124</v>
      </c>
      <c r="CV265" s="4" t="s">
        <v>124</v>
      </c>
      <c r="CW265" s="4" t="s">
        <v>124</v>
      </c>
      <c r="CX265" s="4" t="s">
        <v>124</v>
      </c>
      <c r="CY265" s="4" t="s">
        <v>124</v>
      </c>
      <c r="CZ265" s="4" t="s">
        <v>124</v>
      </c>
      <c r="DA265" s="7">
        <v>15.314097</v>
      </c>
      <c r="DB265" s="7">
        <v>17.400950000000002</v>
      </c>
      <c r="DC265" s="7">
        <v>16.332519999999999</v>
      </c>
      <c r="DD265" s="4" t="s">
        <v>124</v>
      </c>
      <c r="DE265" s="7">
        <v>0</v>
      </c>
      <c r="DF265" s="4" t="s">
        <v>375</v>
      </c>
      <c r="DG265" s="4" t="s">
        <v>376</v>
      </c>
      <c r="DH265" s="6"/>
      <c r="DI265" s="6"/>
      <c r="DJ265" s="7">
        <v>0</v>
      </c>
      <c r="DK265" s="7">
        <v>0</v>
      </c>
      <c r="DL265" s="7">
        <v>0</v>
      </c>
      <c r="DM265" s="7">
        <v>0</v>
      </c>
      <c r="DN265" s="7">
        <v>0</v>
      </c>
      <c r="DO265" s="7">
        <v>0</v>
      </c>
      <c r="DP265" s="6"/>
      <c r="DQ265" s="4" t="s">
        <v>125</v>
      </c>
    </row>
    <row r="266" spans="1:121" ht="20" customHeight="1" x14ac:dyDescent="0.15">
      <c r="A266" s="5">
        <v>2018</v>
      </c>
      <c r="B266" s="3" t="s">
        <v>121</v>
      </c>
      <c r="C266" s="4" t="str">
        <f>"0150011"</f>
        <v>0150011</v>
      </c>
      <c r="D266" s="4" t="s">
        <v>403</v>
      </c>
      <c r="E266" s="4" t="str">
        <f>"0152011"</f>
        <v>0152011</v>
      </c>
      <c r="F266" s="4" t="s">
        <v>327</v>
      </c>
      <c r="G266" s="4" t="s">
        <v>338</v>
      </c>
      <c r="H266" s="7">
        <v>6</v>
      </c>
      <c r="I266" s="4" t="s">
        <v>335</v>
      </c>
      <c r="J266" s="4" t="s">
        <v>330</v>
      </c>
      <c r="K266" s="7">
        <v>541.53439900000001</v>
      </c>
      <c r="L266" s="7">
        <v>950</v>
      </c>
      <c r="M266" s="7">
        <v>57.003621000000003</v>
      </c>
      <c r="N266" s="7">
        <v>3</v>
      </c>
      <c r="O266" s="7">
        <v>0</v>
      </c>
      <c r="P266" s="7">
        <v>61.484848</v>
      </c>
      <c r="Q266" s="7">
        <v>40.989897999999997</v>
      </c>
      <c r="R266" s="7">
        <v>50</v>
      </c>
      <c r="S266" s="7">
        <v>59.758628999999999</v>
      </c>
      <c r="T266" s="7">
        <v>72.299098999999998</v>
      </c>
      <c r="U266" s="7">
        <v>39.839086000000002</v>
      </c>
      <c r="V266" s="7">
        <v>50</v>
      </c>
      <c r="W266" s="7">
        <v>54.429217999999999</v>
      </c>
      <c r="X266" s="7">
        <v>36.286144999999998</v>
      </c>
      <c r="Y266" s="7">
        <v>50</v>
      </c>
      <c r="Z266" s="7">
        <v>62.880707999999998</v>
      </c>
      <c r="AA266" s="7">
        <v>53.080154</v>
      </c>
      <c r="AB266" s="7">
        <v>35.386769000000001</v>
      </c>
      <c r="AC266" s="7">
        <v>50</v>
      </c>
      <c r="AD266" s="7">
        <v>50.608144000000003</v>
      </c>
      <c r="AE266" s="7">
        <v>33.738762999999999</v>
      </c>
      <c r="AF266" s="7">
        <v>50</v>
      </c>
      <c r="AG266" s="7">
        <v>49.109676999999998</v>
      </c>
      <c r="AH266" s="4" t="s">
        <v>124</v>
      </c>
      <c r="AI266" s="7">
        <v>32.739784999999998</v>
      </c>
      <c r="AJ266" s="7">
        <v>50</v>
      </c>
      <c r="AK266" s="7">
        <v>12.54</v>
      </c>
      <c r="AL266" s="7">
        <v>9.8000000000000007</v>
      </c>
      <c r="AM266" s="4" t="s">
        <v>124</v>
      </c>
      <c r="AN266" s="7">
        <v>0.49277700000000002</v>
      </c>
      <c r="AO266" s="7">
        <v>49.277709000000002</v>
      </c>
      <c r="AP266" s="7">
        <v>100</v>
      </c>
      <c r="AQ266" s="7">
        <v>0.46910499999999999</v>
      </c>
      <c r="AR266" s="7">
        <v>46.910449999999997</v>
      </c>
      <c r="AS266" s="7">
        <v>100</v>
      </c>
      <c r="AT266" s="7">
        <v>0.49967</v>
      </c>
      <c r="AU266" s="7">
        <v>0.44482899999999997</v>
      </c>
      <c r="AV266" s="7">
        <v>49.966960999999998</v>
      </c>
      <c r="AW266" s="7">
        <v>100</v>
      </c>
      <c r="AX266" s="7">
        <v>0.46598299999999998</v>
      </c>
      <c r="AY266" s="7">
        <v>0.490817</v>
      </c>
      <c r="AZ266" s="7">
        <v>46.598326999999998</v>
      </c>
      <c r="BA266" s="7">
        <v>100</v>
      </c>
      <c r="BB266" s="7">
        <v>0.68317499999999998</v>
      </c>
      <c r="BC266" s="7">
        <v>34.158731000000003</v>
      </c>
      <c r="BD266" s="7">
        <v>50</v>
      </c>
      <c r="BE266" s="7">
        <v>0.47808499999999998</v>
      </c>
      <c r="BF266" s="7">
        <v>23.904250999999999</v>
      </c>
      <c r="BG266" s="7">
        <v>50</v>
      </c>
      <c r="BH266" s="7">
        <v>0</v>
      </c>
      <c r="BI266" s="7">
        <v>1</v>
      </c>
      <c r="BJ266" s="7">
        <v>1</v>
      </c>
      <c r="BK266" s="7">
        <v>1</v>
      </c>
      <c r="BL266" s="7">
        <v>1</v>
      </c>
      <c r="BM266" s="7">
        <v>1</v>
      </c>
      <c r="BN266" s="7">
        <v>1</v>
      </c>
      <c r="BO266" s="7">
        <v>1</v>
      </c>
      <c r="BP266" s="7">
        <v>1</v>
      </c>
      <c r="BQ266" s="4" t="s">
        <v>124</v>
      </c>
      <c r="BR266" s="7">
        <v>0.12307700000000001</v>
      </c>
      <c r="BS266" s="7">
        <v>35.384614999999997</v>
      </c>
      <c r="BT266" s="7">
        <v>50</v>
      </c>
      <c r="BU266" s="7">
        <v>0.13212399999999999</v>
      </c>
      <c r="BV266" s="7">
        <v>33.575130000000001</v>
      </c>
      <c r="BW266" s="7">
        <v>50</v>
      </c>
      <c r="BX266" s="4" t="s">
        <v>124</v>
      </c>
      <c r="BY266" s="4" t="s">
        <v>124</v>
      </c>
      <c r="BZ266" s="4" t="s">
        <v>124</v>
      </c>
      <c r="CA266" s="4" t="s">
        <v>124</v>
      </c>
      <c r="CB266" s="4" t="s">
        <v>124</v>
      </c>
      <c r="CC266" s="4" t="s">
        <v>124</v>
      </c>
      <c r="CD266" s="4" t="s">
        <v>124</v>
      </c>
      <c r="CE266" s="4" t="s">
        <v>124</v>
      </c>
      <c r="CF266" s="4" t="s">
        <v>124</v>
      </c>
      <c r="CG266" s="4" t="s">
        <v>124</v>
      </c>
      <c r="CH266" s="4" t="s">
        <v>124</v>
      </c>
      <c r="CI266" s="4" t="s">
        <v>124</v>
      </c>
      <c r="CJ266" s="4" t="s">
        <v>124</v>
      </c>
      <c r="CK266" s="4" t="s">
        <v>124</v>
      </c>
      <c r="CL266" s="4" t="s">
        <v>124</v>
      </c>
      <c r="CM266" s="4" t="s">
        <v>124</v>
      </c>
      <c r="CN266" s="4" t="s">
        <v>124</v>
      </c>
      <c r="CO266" s="4" t="s">
        <v>124</v>
      </c>
      <c r="CP266" s="4" t="s">
        <v>124</v>
      </c>
      <c r="CQ266" s="7">
        <v>8.3333000000000004E-2</v>
      </c>
      <c r="CR266" s="7">
        <v>0.83333299999999999</v>
      </c>
      <c r="CS266" s="7">
        <v>2.7777780000000001</v>
      </c>
      <c r="CT266" s="7">
        <v>50</v>
      </c>
      <c r="CU266" s="4" t="s">
        <v>124</v>
      </c>
      <c r="CV266" s="4" t="s">
        <v>124</v>
      </c>
      <c r="CW266" s="4" t="s">
        <v>124</v>
      </c>
      <c r="CX266" s="4" t="s">
        <v>124</v>
      </c>
      <c r="CY266" s="4" t="s">
        <v>124</v>
      </c>
      <c r="CZ266" s="4" t="s">
        <v>124</v>
      </c>
      <c r="DA266" s="7">
        <v>15.314097</v>
      </c>
      <c r="DB266" s="7">
        <v>17.400950000000002</v>
      </c>
      <c r="DC266" s="7">
        <v>16.332519999999999</v>
      </c>
      <c r="DD266" s="4" t="s">
        <v>124</v>
      </c>
      <c r="DE266" s="7">
        <v>0</v>
      </c>
      <c r="DF266" s="6"/>
      <c r="DG266" s="6"/>
      <c r="DH266" s="6"/>
      <c r="DI266" s="6"/>
      <c r="DJ266" s="7">
        <v>0</v>
      </c>
      <c r="DK266" s="7">
        <v>0</v>
      </c>
      <c r="DL266" s="7">
        <v>0</v>
      </c>
      <c r="DM266" s="7">
        <v>0</v>
      </c>
      <c r="DN266" s="7">
        <v>0</v>
      </c>
      <c r="DO266" s="7">
        <v>0</v>
      </c>
      <c r="DP266" s="6"/>
      <c r="DQ266" s="4" t="s">
        <v>125</v>
      </c>
    </row>
    <row r="267" spans="1:121" ht="20" customHeight="1" x14ac:dyDescent="0.15">
      <c r="A267" s="5">
        <v>2018</v>
      </c>
      <c r="B267" s="3" t="s">
        <v>121</v>
      </c>
      <c r="C267" s="4" t="str">
        <f t="shared" si="188"/>
        <v>0150011</v>
      </c>
      <c r="D267" s="4" t="s">
        <v>404</v>
      </c>
      <c r="E267" s="4" t="str">
        <f>"0154611"</f>
        <v>0154611</v>
      </c>
      <c r="F267" s="4" t="s">
        <v>327</v>
      </c>
      <c r="G267" s="4" t="s">
        <v>338</v>
      </c>
      <c r="H267" s="7">
        <v>8</v>
      </c>
      <c r="I267" s="4" t="s">
        <v>335</v>
      </c>
      <c r="J267" s="4" t="s">
        <v>330</v>
      </c>
      <c r="K267" s="7">
        <v>714.12544200000002</v>
      </c>
      <c r="L267" s="7">
        <v>1000</v>
      </c>
      <c r="M267" s="7">
        <v>71.412543999999997</v>
      </c>
      <c r="N267" s="7">
        <v>2</v>
      </c>
      <c r="O267" s="7">
        <v>0</v>
      </c>
      <c r="P267" s="7">
        <v>74.114090000000004</v>
      </c>
      <c r="Q267" s="7">
        <v>49.409393999999999</v>
      </c>
      <c r="R267" s="7">
        <v>50</v>
      </c>
      <c r="S267" s="7">
        <v>71.971433000000005</v>
      </c>
      <c r="T267" s="7">
        <v>75</v>
      </c>
      <c r="U267" s="7">
        <v>47.980955000000002</v>
      </c>
      <c r="V267" s="7">
        <v>50</v>
      </c>
      <c r="W267" s="7">
        <v>67.328625000000002</v>
      </c>
      <c r="X267" s="7">
        <v>44.885750000000002</v>
      </c>
      <c r="Y267" s="7">
        <v>50</v>
      </c>
      <c r="Z267" s="7">
        <v>75</v>
      </c>
      <c r="AA267" s="7">
        <v>65.207952000000006</v>
      </c>
      <c r="AB267" s="7">
        <v>43.471967999999997</v>
      </c>
      <c r="AC267" s="7">
        <v>50</v>
      </c>
      <c r="AD267" s="7">
        <v>63.868043999999998</v>
      </c>
      <c r="AE267" s="7">
        <v>42.578696000000001</v>
      </c>
      <c r="AF267" s="7">
        <v>50</v>
      </c>
      <c r="AG267" s="7">
        <v>61.852328999999997</v>
      </c>
      <c r="AH267" s="7">
        <v>72.314847</v>
      </c>
      <c r="AI267" s="7">
        <v>41.234886000000003</v>
      </c>
      <c r="AJ267" s="7">
        <v>50</v>
      </c>
      <c r="AK267" s="7">
        <v>3.02</v>
      </c>
      <c r="AL267" s="7">
        <v>9.7899999999999991</v>
      </c>
      <c r="AM267" s="7">
        <v>10.46</v>
      </c>
      <c r="AN267" s="7">
        <v>0.59354499999999999</v>
      </c>
      <c r="AO267" s="7">
        <v>59.354548999999999</v>
      </c>
      <c r="AP267" s="7">
        <v>100</v>
      </c>
      <c r="AQ267" s="7">
        <v>0.49750499999999998</v>
      </c>
      <c r="AR267" s="7">
        <v>49.750515999999998</v>
      </c>
      <c r="AS267" s="7">
        <v>100</v>
      </c>
      <c r="AT267" s="7">
        <v>0.59419699999999998</v>
      </c>
      <c r="AU267" s="7">
        <v>0.59173600000000004</v>
      </c>
      <c r="AV267" s="7">
        <v>59.419694999999997</v>
      </c>
      <c r="AW267" s="7">
        <v>100</v>
      </c>
      <c r="AX267" s="7">
        <v>0.45786900000000003</v>
      </c>
      <c r="AY267" s="7">
        <v>0.60760599999999998</v>
      </c>
      <c r="AZ267" s="7">
        <v>45.786901999999998</v>
      </c>
      <c r="BA267" s="7">
        <v>100</v>
      </c>
      <c r="BB267" s="7">
        <v>0.83879400000000004</v>
      </c>
      <c r="BC267" s="7">
        <v>41.939689000000001</v>
      </c>
      <c r="BD267" s="7">
        <v>50</v>
      </c>
      <c r="BE267" s="7">
        <v>0.69419299999999995</v>
      </c>
      <c r="BF267" s="7">
        <v>34.709654</v>
      </c>
      <c r="BG267" s="7">
        <v>50</v>
      </c>
      <c r="BH267" s="7">
        <v>0</v>
      </c>
      <c r="BI267" s="7">
        <v>0.99689399999999995</v>
      </c>
      <c r="BJ267" s="7">
        <v>0.99616899999999997</v>
      </c>
      <c r="BK267" s="7">
        <v>1</v>
      </c>
      <c r="BL267" s="7">
        <v>0.99378900000000003</v>
      </c>
      <c r="BM267" s="7">
        <v>0.99233700000000002</v>
      </c>
      <c r="BN267" s="7">
        <v>1</v>
      </c>
      <c r="BO267" s="7">
        <v>0.98214299999999999</v>
      </c>
      <c r="BP267" s="7">
        <v>0.97802199999999995</v>
      </c>
      <c r="BQ267" s="7">
        <v>1</v>
      </c>
      <c r="BR267" s="7">
        <v>3.2051000000000003E-2</v>
      </c>
      <c r="BS267" s="7">
        <v>50</v>
      </c>
      <c r="BT267" s="7">
        <v>50</v>
      </c>
      <c r="BU267" s="7">
        <v>3.5616000000000002E-2</v>
      </c>
      <c r="BV267" s="7">
        <v>50</v>
      </c>
      <c r="BW267" s="7">
        <v>50</v>
      </c>
      <c r="BX267" s="4" t="s">
        <v>124</v>
      </c>
      <c r="BY267" s="4" t="s">
        <v>124</v>
      </c>
      <c r="BZ267" s="4" t="s">
        <v>124</v>
      </c>
      <c r="CA267" s="4" t="s">
        <v>124</v>
      </c>
      <c r="CB267" s="4" t="s">
        <v>124</v>
      </c>
      <c r="CC267" s="4" t="s">
        <v>124</v>
      </c>
      <c r="CD267" s="7">
        <v>0.85</v>
      </c>
      <c r="CE267" s="7">
        <v>45.212766000000002</v>
      </c>
      <c r="CF267" s="7">
        <v>50</v>
      </c>
      <c r="CG267" s="4" t="s">
        <v>124</v>
      </c>
      <c r="CH267" s="4" t="s">
        <v>124</v>
      </c>
      <c r="CI267" s="4" t="s">
        <v>124</v>
      </c>
      <c r="CJ267" s="4" t="s">
        <v>124</v>
      </c>
      <c r="CK267" s="4" t="s">
        <v>124</v>
      </c>
      <c r="CL267" s="4" t="s">
        <v>124</v>
      </c>
      <c r="CM267" s="4" t="s">
        <v>124</v>
      </c>
      <c r="CN267" s="4" t="s">
        <v>124</v>
      </c>
      <c r="CO267" s="4" t="s">
        <v>124</v>
      </c>
      <c r="CP267" s="4" t="s">
        <v>124</v>
      </c>
      <c r="CQ267" s="7">
        <v>0.25170100000000001</v>
      </c>
      <c r="CR267" s="7">
        <v>0.89090899999999995</v>
      </c>
      <c r="CS267" s="7">
        <v>8.3900229999999993</v>
      </c>
      <c r="CT267" s="7">
        <v>50</v>
      </c>
      <c r="CU267" s="4" t="s">
        <v>124</v>
      </c>
      <c r="CV267" s="4" t="s">
        <v>124</v>
      </c>
      <c r="CW267" s="4" t="s">
        <v>124</v>
      </c>
      <c r="CX267" s="4" t="s">
        <v>124</v>
      </c>
      <c r="CY267" s="4" t="s">
        <v>124</v>
      </c>
      <c r="CZ267" s="4" t="s">
        <v>124</v>
      </c>
      <c r="DA267" s="7">
        <v>15.314097</v>
      </c>
      <c r="DB267" s="7">
        <v>17.400950000000002</v>
      </c>
      <c r="DC267" s="7">
        <v>16.332519999999999</v>
      </c>
      <c r="DD267" s="4" t="s">
        <v>124</v>
      </c>
      <c r="DE267" s="7">
        <v>0</v>
      </c>
      <c r="DF267" s="6"/>
      <c r="DG267" s="6"/>
      <c r="DH267" s="6"/>
      <c r="DI267" s="6"/>
      <c r="DJ267" s="7">
        <v>0</v>
      </c>
      <c r="DK267" s="7">
        <v>0</v>
      </c>
      <c r="DL267" s="7">
        <v>0</v>
      </c>
      <c r="DM267" s="7">
        <v>0</v>
      </c>
      <c r="DN267" s="7">
        <v>0</v>
      </c>
      <c r="DO267" s="7">
        <v>0</v>
      </c>
      <c r="DP267" s="6"/>
      <c r="DQ267" s="4" t="s">
        <v>125</v>
      </c>
    </row>
    <row r="268" spans="1:121" ht="20" customHeight="1" x14ac:dyDescent="0.15">
      <c r="A268" s="5">
        <v>2018</v>
      </c>
      <c r="B268" s="3" t="s">
        <v>121</v>
      </c>
      <c r="C268" s="4" t="str">
        <f>"0150011"</f>
        <v>0150011</v>
      </c>
      <c r="D268" s="4" t="s">
        <v>405</v>
      </c>
      <c r="E268" s="4" t="str">
        <f>"0151711"</f>
        <v>0151711</v>
      </c>
      <c r="F268" s="4" t="s">
        <v>327</v>
      </c>
      <c r="G268" s="4" t="s">
        <v>328</v>
      </c>
      <c r="H268" s="7">
        <v>8</v>
      </c>
      <c r="I268" s="4" t="s">
        <v>335</v>
      </c>
      <c r="J268" s="4" t="s">
        <v>330</v>
      </c>
      <c r="K268" s="7">
        <v>627.24614499999996</v>
      </c>
      <c r="L268" s="7">
        <v>900</v>
      </c>
      <c r="M268" s="7">
        <v>69.694016000000005</v>
      </c>
      <c r="N268" s="7">
        <v>3</v>
      </c>
      <c r="O268" s="7">
        <v>0</v>
      </c>
      <c r="P268" s="7">
        <v>63.399782000000002</v>
      </c>
      <c r="Q268" s="7">
        <v>42.266520999999997</v>
      </c>
      <c r="R268" s="7">
        <v>50</v>
      </c>
      <c r="S268" s="7">
        <v>61.234532999999999</v>
      </c>
      <c r="T268" s="7">
        <v>67.143094000000005</v>
      </c>
      <c r="U268" s="7">
        <v>40.823022000000002</v>
      </c>
      <c r="V268" s="7">
        <v>50</v>
      </c>
      <c r="W268" s="7">
        <v>53.359256000000002</v>
      </c>
      <c r="X268" s="7">
        <v>35.572837999999997</v>
      </c>
      <c r="Y268" s="7">
        <v>50</v>
      </c>
      <c r="Z268" s="7">
        <v>55.111569000000003</v>
      </c>
      <c r="AA268" s="7">
        <v>52.345663999999999</v>
      </c>
      <c r="AB268" s="7">
        <v>34.897109</v>
      </c>
      <c r="AC268" s="7">
        <v>50</v>
      </c>
      <c r="AD268" s="7">
        <v>59.316642999999999</v>
      </c>
      <c r="AE268" s="7">
        <v>39.544428000000003</v>
      </c>
      <c r="AF268" s="7">
        <v>50</v>
      </c>
      <c r="AG268" s="7">
        <v>60.497681</v>
      </c>
      <c r="AH268" s="7">
        <v>57.696148000000001</v>
      </c>
      <c r="AI268" s="7">
        <v>40.331786999999998</v>
      </c>
      <c r="AJ268" s="7">
        <v>50</v>
      </c>
      <c r="AK268" s="7">
        <v>5.9</v>
      </c>
      <c r="AL268" s="7">
        <v>2.76</v>
      </c>
      <c r="AM268" s="7">
        <v>-2.8</v>
      </c>
      <c r="AN268" s="7">
        <v>0.51472899999999999</v>
      </c>
      <c r="AO268" s="7">
        <v>51.47289</v>
      </c>
      <c r="AP268" s="7">
        <v>100</v>
      </c>
      <c r="AQ268" s="7">
        <v>0.44440099999999999</v>
      </c>
      <c r="AR268" s="7">
        <v>44.440123999999997</v>
      </c>
      <c r="AS268" s="7">
        <v>100</v>
      </c>
      <c r="AT268" s="7">
        <v>0.53115599999999996</v>
      </c>
      <c r="AU268" s="7">
        <v>0.49287799999999998</v>
      </c>
      <c r="AV268" s="7">
        <v>53.115572</v>
      </c>
      <c r="AW268" s="7">
        <v>100</v>
      </c>
      <c r="AX268" s="7">
        <v>0.46619899999999997</v>
      </c>
      <c r="AY268" s="7">
        <v>0.41540700000000003</v>
      </c>
      <c r="AZ268" s="7">
        <v>46.619858999999998</v>
      </c>
      <c r="BA268" s="7">
        <v>100</v>
      </c>
      <c r="BB268" s="4" t="s">
        <v>124</v>
      </c>
      <c r="BC268" s="4" t="s">
        <v>124</v>
      </c>
      <c r="BD268" s="4" t="s">
        <v>124</v>
      </c>
      <c r="BE268" s="4" t="s">
        <v>124</v>
      </c>
      <c r="BF268" s="4" t="s">
        <v>124</v>
      </c>
      <c r="BG268" s="4" t="s">
        <v>124</v>
      </c>
      <c r="BH268" s="7">
        <v>0</v>
      </c>
      <c r="BI268" s="7">
        <v>0.99082599999999998</v>
      </c>
      <c r="BJ268" s="7">
        <v>0.98557700000000004</v>
      </c>
      <c r="BK268" s="7">
        <v>1</v>
      </c>
      <c r="BL268" s="7">
        <v>0.99082599999999998</v>
      </c>
      <c r="BM268" s="7">
        <v>0.98557700000000004</v>
      </c>
      <c r="BN268" s="7">
        <v>1</v>
      </c>
      <c r="BO268" s="7">
        <v>1</v>
      </c>
      <c r="BP268" s="7">
        <v>1</v>
      </c>
      <c r="BQ268" s="7">
        <v>1</v>
      </c>
      <c r="BR268" s="7">
        <v>4.2596000000000002E-2</v>
      </c>
      <c r="BS268" s="7">
        <v>50</v>
      </c>
      <c r="BT268" s="7">
        <v>50</v>
      </c>
      <c r="BU268" s="7">
        <v>5.919E-2</v>
      </c>
      <c r="BV268" s="7">
        <v>48.161994</v>
      </c>
      <c r="BW268" s="7">
        <v>50</v>
      </c>
      <c r="BX268" s="4" t="s">
        <v>124</v>
      </c>
      <c r="BY268" s="4" t="s">
        <v>124</v>
      </c>
      <c r="BZ268" s="4" t="s">
        <v>124</v>
      </c>
      <c r="CA268" s="4" t="s">
        <v>124</v>
      </c>
      <c r="CB268" s="4" t="s">
        <v>124</v>
      </c>
      <c r="CC268" s="4" t="s">
        <v>124</v>
      </c>
      <c r="CD268" s="7">
        <v>1</v>
      </c>
      <c r="CE268" s="7">
        <v>50</v>
      </c>
      <c r="CF268" s="7">
        <v>50</v>
      </c>
      <c r="CG268" s="4" t="s">
        <v>124</v>
      </c>
      <c r="CH268" s="4" t="s">
        <v>124</v>
      </c>
      <c r="CI268" s="4" t="s">
        <v>124</v>
      </c>
      <c r="CJ268" s="4" t="s">
        <v>124</v>
      </c>
      <c r="CK268" s="4" t="s">
        <v>124</v>
      </c>
      <c r="CL268" s="4" t="s">
        <v>124</v>
      </c>
      <c r="CM268" s="4" t="s">
        <v>124</v>
      </c>
      <c r="CN268" s="4" t="s">
        <v>124</v>
      </c>
      <c r="CO268" s="4" t="s">
        <v>124</v>
      </c>
      <c r="CP268" s="4" t="s">
        <v>124</v>
      </c>
      <c r="CQ268" s="7">
        <v>0.75155300000000003</v>
      </c>
      <c r="CR268" s="7">
        <v>0.96407200000000004</v>
      </c>
      <c r="CS268" s="7">
        <v>50</v>
      </c>
      <c r="CT268" s="7">
        <v>50</v>
      </c>
      <c r="CU268" s="4" t="s">
        <v>124</v>
      </c>
      <c r="CV268" s="4" t="s">
        <v>124</v>
      </c>
      <c r="CW268" s="4" t="s">
        <v>124</v>
      </c>
      <c r="CX268" s="4" t="s">
        <v>124</v>
      </c>
      <c r="CY268" s="4" t="s">
        <v>124</v>
      </c>
      <c r="CZ268" s="4" t="s">
        <v>124</v>
      </c>
      <c r="DA268" s="7">
        <v>15.314097</v>
      </c>
      <c r="DB268" s="7">
        <v>17.400950000000002</v>
      </c>
      <c r="DC268" s="7">
        <v>16.332519999999999</v>
      </c>
      <c r="DD268" s="4" t="s">
        <v>124</v>
      </c>
      <c r="DE268" s="7">
        <v>0</v>
      </c>
      <c r="DF268" s="6"/>
      <c r="DG268" s="6"/>
      <c r="DH268" s="6"/>
      <c r="DI268" s="6"/>
      <c r="DJ268" s="7">
        <v>0</v>
      </c>
      <c r="DK268" s="7">
        <v>0</v>
      </c>
      <c r="DL268" s="7">
        <v>0</v>
      </c>
      <c r="DM268" s="7">
        <v>0</v>
      </c>
      <c r="DN268" s="7">
        <v>0</v>
      </c>
      <c r="DO268" s="7">
        <v>0</v>
      </c>
      <c r="DP268" s="6"/>
      <c r="DQ268" s="4" t="s">
        <v>125</v>
      </c>
    </row>
    <row r="269" spans="1:121" ht="20" customHeight="1" x14ac:dyDescent="0.15">
      <c r="A269" s="5">
        <v>2018</v>
      </c>
      <c r="B269" s="3" t="s">
        <v>121</v>
      </c>
      <c r="C269" s="4" t="str">
        <f t="shared" si="188"/>
        <v>0150011</v>
      </c>
      <c r="D269" s="4" t="s">
        <v>406</v>
      </c>
      <c r="E269" s="4" t="str">
        <f>"0154111"</f>
        <v>0154111</v>
      </c>
      <c r="F269" s="4" t="s">
        <v>327</v>
      </c>
      <c r="G269" s="4" t="s">
        <v>328</v>
      </c>
      <c r="H269" s="7">
        <v>8</v>
      </c>
      <c r="I269" s="4" t="s">
        <v>335</v>
      </c>
      <c r="J269" s="4" t="s">
        <v>330</v>
      </c>
      <c r="K269" s="7">
        <v>524.51701000000003</v>
      </c>
      <c r="L269" s="7">
        <v>1000</v>
      </c>
      <c r="M269" s="7">
        <v>52.451701</v>
      </c>
      <c r="N269" s="7">
        <v>5</v>
      </c>
      <c r="O269" s="7">
        <v>0</v>
      </c>
      <c r="P269" s="7">
        <v>50.738759999999999</v>
      </c>
      <c r="Q269" s="7">
        <v>33.825839999999999</v>
      </c>
      <c r="R269" s="7">
        <v>50</v>
      </c>
      <c r="S269" s="7">
        <v>50.393244000000003</v>
      </c>
      <c r="T269" s="4" t="s">
        <v>124</v>
      </c>
      <c r="U269" s="7">
        <v>33.595495999999997</v>
      </c>
      <c r="V269" s="7">
        <v>50</v>
      </c>
      <c r="W269" s="7">
        <v>41.937201000000002</v>
      </c>
      <c r="X269" s="7">
        <v>27.958134000000001</v>
      </c>
      <c r="Y269" s="7">
        <v>50</v>
      </c>
      <c r="Z269" s="4" t="s">
        <v>124</v>
      </c>
      <c r="AA269" s="7">
        <v>41.696922999999998</v>
      </c>
      <c r="AB269" s="7">
        <v>27.797948999999999</v>
      </c>
      <c r="AC269" s="7">
        <v>50</v>
      </c>
      <c r="AD269" s="7">
        <v>45.024521</v>
      </c>
      <c r="AE269" s="7">
        <v>30.016348000000001</v>
      </c>
      <c r="AF269" s="7">
        <v>50</v>
      </c>
      <c r="AG269" s="7">
        <v>44.341379000000003</v>
      </c>
      <c r="AH269" s="4" t="s">
        <v>124</v>
      </c>
      <c r="AI269" s="7">
        <v>29.560919999999999</v>
      </c>
      <c r="AJ269" s="7">
        <v>50</v>
      </c>
      <c r="AK269" s="4" t="s">
        <v>124</v>
      </c>
      <c r="AL269" s="4" t="s">
        <v>124</v>
      </c>
      <c r="AM269" s="4" t="s">
        <v>124</v>
      </c>
      <c r="AN269" s="7">
        <v>0.59769499999999998</v>
      </c>
      <c r="AO269" s="7">
        <v>59.769525999999999</v>
      </c>
      <c r="AP269" s="7">
        <v>100</v>
      </c>
      <c r="AQ269" s="7">
        <v>0.54449499999999995</v>
      </c>
      <c r="AR269" s="7">
        <v>54.449463000000002</v>
      </c>
      <c r="AS269" s="7">
        <v>100</v>
      </c>
      <c r="AT269" s="7">
        <v>0.58133199999999996</v>
      </c>
      <c r="AU269" s="4" t="s">
        <v>124</v>
      </c>
      <c r="AV269" s="7">
        <v>58.133201</v>
      </c>
      <c r="AW269" s="7">
        <v>100</v>
      </c>
      <c r="AX269" s="7">
        <v>0.55566099999999996</v>
      </c>
      <c r="AY269" s="4" t="s">
        <v>124</v>
      </c>
      <c r="AZ269" s="7">
        <v>55.566125</v>
      </c>
      <c r="BA269" s="7">
        <v>100</v>
      </c>
      <c r="BB269" s="7">
        <v>0.41691400000000001</v>
      </c>
      <c r="BC269" s="7">
        <v>20.845694999999999</v>
      </c>
      <c r="BD269" s="7">
        <v>50</v>
      </c>
      <c r="BE269" s="7">
        <v>0.422292</v>
      </c>
      <c r="BF269" s="7">
        <v>21.114615000000001</v>
      </c>
      <c r="BG269" s="7">
        <v>50</v>
      </c>
      <c r="BH269" s="7">
        <v>0</v>
      </c>
      <c r="BI269" s="7">
        <v>1</v>
      </c>
      <c r="BJ269" s="7">
        <v>1</v>
      </c>
      <c r="BK269" s="4" t="s">
        <v>124</v>
      </c>
      <c r="BL269" s="7">
        <v>0.99507400000000001</v>
      </c>
      <c r="BM269" s="7">
        <v>0.99459500000000001</v>
      </c>
      <c r="BN269" s="4" t="s">
        <v>124</v>
      </c>
      <c r="BO269" s="7">
        <v>0.98734200000000005</v>
      </c>
      <c r="BP269" s="7">
        <v>0.98611099999999996</v>
      </c>
      <c r="BQ269" s="4" t="s">
        <v>124</v>
      </c>
      <c r="BR269" s="7">
        <v>0.30340600000000001</v>
      </c>
      <c r="BS269" s="7">
        <v>0</v>
      </c>
      <c r="BT269" s="7">
        <v>50</v>
      </c>
      <c r="BU269" s="7">
        <v>0.30272100000000002</v>
      </c>
      <c r="BV269" s="7">
        <v>0</v>
      </c>
      <c r="BW269" s="7">
        <v>50</v>
      </c>
      <c r="BX269" s="4" t="s">
        <v>124</v>
      </c>
      <c r="BY269" s="4" t="s">
        <v>124</v>
      </c>
      <c r="BZ269" s="4" t="s">
        <v>124</v>
      </c>
      <c r="CA269" s="4" t="s">
        <v>124</v>
      </c>
      <c r="CB269" s="4" t="s">
        <v>124</v>
      </c>
      <c r="CC269" s="4" t="s">
        <v>124</v>
      </c>
      <c r="CD269" s="7">
        <v>0.67857100000000004</v>
      </c>
      <c r="CE269" s="7">
        <v>36.094225000000002</v>
      </c>
      <c r="CF269" s="7">
        <v>50</v>
      </c>
      <c r="CG269" s="4" t="s">
        <v>124</v>
      </c>
      <c r="CH269" s="4" t="s">
        <v>124</v>
      </c>
      <c r="CI269" s="4" t="s">
        <v>124</v>
      </c>
      <c r="CJ269" s="4" t="s">
        <v>124</v>
      </c>
      <c r="CK269" s="4" t="s">
        <v>124</v>
      </c>
      <c r="CL269" s="4" t="s">
        <v>124</v>
      </c>
      <c r="CM269" s="4" t="s">
        <v>124</v>
      </c>
      <c r="CN269" s="4" t="s">
        <v>124</v>
      </c>
      <c r="CO269" s="4" t="s">
        <v>124</v>
      </c>
      <c r="CP269" s="4" t="s">
        <v>124</v>
      </c>
      <c r="CQ269" s="7">
        <v>0.53684200000000004</v>
      </c>
      <c r="CR269" s="7">
        <v>0.96938800000000003</v>
      </c>
      <c r="CS269" s="7">
        <v>35.789473999999998</v>
      </c>
      <c r="CT269" s="7">
        <v>50</v>
      </c>
      <c r="CU269" s="4" t="s">
        <v>124</v>
      </c>
      <c r="CV269" s="4" t="s">
        <v>124</v>
      </c>
      <c r="CW269" s="4" t="s">
        <v>124</v>
      </c>
      <c r="CX269" s="4" t="s">
        <v>124</v>
      </c>
      <c r="CY269" s="4" t="s">
        <v>124</v>
      </c>
      <c r="CZ269" s="4" t="s">
        <v>124</v>
      </c>
      <c r="DA269" s="7">
        <v>15.314097</v>
      </c>
      <c r="DB269" s="7">
        <v>17.400950000000002</v>
      </c>
      <c r="DC269" s="7">
        <v>16.332519999999999</v>
      </c>
      <c r="DD269" s="4" t="s">
        <v>124</v>
      </c>
      <c r="DE269" s="7">
        <v>0</v>
      </c>
      <c r="DF269" s="4" t="s">
        <v>375</v>
      </c>
      <c r="DG269" s="4" t="s">
        <v>376</v>
      </c>
      <c r="DH269" s="6"/>
      <c r="DI269" s="6"/>
      <c r="DJ269" s="7">
        <v>0</v>
      </c>
      <c r="DK269" s="7">
        <v>0</v>
      </c>
      <c r="DL269" s="7">
        <v>0</v>
      </c>
      <c r="DM269" s="7">
        <v>0</v>
      </c>
      <c r="DN269" s="7">
        <v>0</v>
      </c>
      <c r="DO269" s="7">
        <v>0</v>
      </c>
      <c r="DP269" s="6"/>
      <c r="DQ269" s="4" t="s">
        <v>125</v>
      </c>
    </row>
    <row r="270" spans="1:121" ht="20" customHeight="1" x14ac:dyDescent="0.15">
      <c r="A270" s="5">
        <v>2018</v>
      </c>
      <c r="B270" s="3" t="s">
        <v>121</v>
      </c>
      <c r="C270" s="4" t="str">
        <f t="shared" si="188"/>
        <v>0150011</v>
      </c>
      <c r="D270" s="4" t="s">
        <v>407</v>
      </c>
      <c r="E270" s="4" t="str">
        <f>"0152511"</f>
        <v>0152511</v>
      </c>
      <c r="F270" s="4" t="s">
        <v>327</v>
      </c>
      <c r="G270" s="4" t="s">
        <v>328</v>
      </c>
      <c r="H270" s="7">
        <v>8</v>
      </c>
      <c r="I270" s="4" t="s">
        <v>335</v>
      </c>
      <c r="J270" s="4" t="s">
        <v>330</v>
      </c>
      <c r="K270" s="7">
        <v>591.416653</v>
      </c>
      <c r="L270" s="7">
        <v>1000</v>
      </c>
      <c r="M270" s="7">
        <v>59.141665000000003</v>
      </c>
      <c r="N270" s="7">
        <v>3</v>
      </c>
      <c r="O270" s="7">
        <v>0</v>
      </c>
      <c r="P270" s="7">
        <v>56.877025000000003</v>
      </c>
      <c r="Q270" s="7">
        <v>37.918016999999999</v>
      </c>
      <c r="R270" s="7">
        <v>50</v>
      </c>
      <c r="S270" s="7">
        <v>55.606834999999997</v>
      </c>
      <c r="T270" s="7">
        <v>62.243222000000003</v>
      </c>
      <c r="U270" s="7">
        <v>37.071223000000003</v>
      </c>
      <c r="V270" s="7">
        <v>50</v>
      </c>
      <c r="W270" s="7">
        <v>45.805481</v>
      </c>
      <c r="X270" s="7">
        <v>30.536987</v>
      </c>
      <c r="Y270" s="7">
        <v>50</v>
      </c>
      <c r="Z270" s="7">
        <v>50.554186000000001</v>
      </c>
      <c r="AA270" s="7">
        <v>44.678455</v>
      </c>
      <c r="AB270" s="7">
        <v>29.785637000000001</v>
      </c>
      <c r="AC270" s="7">
        <v>50</v>
      </c>
      <c r="AD270" s="7">
        <v>53.022058999999999</v>
      </c>
      <c r="AE270" s="7">
        <v>35.348039</v>
      </c>
      <c r="AF270" s="7">
        <v>50</v>
      </c>
      <c r="AG270" s="7">
        <v>52.305481</v>
      </c>
      <c r="AH270" s="7">
        <v>55.519846999999999</v>
      </c>
      <c r="AI270" s="7">
        <v>34.87032</v>
      </c>
      <c r="AJ270" s="7">
        <v>50</v>
      </c>
      <c r="AK270" s="7">
        <v>6.63</v>
      </c>
      <c r="AL270" s="7">
        <v>5.87</v>
      </c>
      <c r="AM270" s="7">
        <v>3.21</v>
      </c>
      <c r="AN270" s="7">
        <v>0.56040400000000001</v>
      </c>
      <c r="AO270" s="7">
        <v>56.040405</v>
      </c>
      <c r="AP270" s="7">
        <v>100</v>
      </c>
      <c r="AQ270" s="7">
        <v>0.54105400000000003</v>
      </c>
      <c r="AR270" s="7">
        <v>54.105370000000001</v>
      </c>
      <c r="AS270" s="7">
        <v>100</v>
      </c>
      <c r="AT270" s="7">
        <v>0.53500000000000003</v>
      </c>
      <c r="AU270" s="7">
        <v>0.64707499999999996</v>
      </c>
      <c r="AV270" s="7">
        <v>53.500044000000003</v>
      </c>
      <c r="AW270" s="7">
        <v>100</v>
      </c>
      <c r="AX270" s="7">
        <v>0.54372299999999996</v>
      </c>
      <c r="AY270" s="7">
        <v>0.53200899999999995</v>
      </c>
      <c r="AZ270" s="7">
        <v>54.372309999999999</v>
      </c>
      <c r="BA270" s="7">
        <v>100</v>
      </c>
      <c r="BB270" s="7">
        <v>0.68868499999999999</v>
      </c>
      <c r="BC270" s="7">
        <v>34.434238999999998</v>
      </c>
      <c r="BD270" s="7">
        <v>50</v>
      </c>
      <c r="BE270" s="7">
        <v>0.47193200000000002</v>
      </c>
      <c r="BF270" s="7">
        <v>23.596623999999998</v>
      </c>
      <c r="BG270" s="7">
        <v>50</v>
      </c>
      <c r="BH270" s="7">
        <v>0</v>
      </c>
      <c r="BI270" s="7">
        <v>0.99426400000000004</v>
      </c>
      <c r="BJ270" s="7">
        <v>0.99287400000000003</v>
      </c>
      <c r="BK270" s="7">
        <v>1</v>
      </c>
      <c r="BL270" s="7">
        <v>0.99238099999999996</v>
      </c>
      <c r="BM270" s="7">
        <v>0.99054399999999998</v>
      </c>
      <c r="BN270" s="7">
        <v>1</v>
      </c>
      <c r="BO270" s="7">
        <v>0.98314599999999996</v>
      </c>
      <c r="BP270" s="7">
        <v>0.97810200000000003</v>
      </c>
      <c r="BQ270" s="7">
        <v>1</v>
      </c>
      <c r="BR270" s="7">
        <v>0.184555</v>
      </c>
      <c r="BS270" s="7">
        <v>23.089005</v>
      </c>
      <c r="BT270" s="7">
        <v>50</v>
      </c>
      <c r="BU270" s="7">
        <v>0.20846899999999999</v>
      </c>
      <c r="BV270" s="7">
        <v>18.306189</v>
      </c>
      <c r="BW270" s="7">
        <v>50</v>
      </c>
      <c r="BX270" s="4" t="s">
        <v>124</v>
      </c>
      <c r="BY270" s="4" t="s">
        <v>124</v>
      </c>
      <c r="BZ270" s="4" t="s">
        <v>124</v>
      </c>
      <c r="CA270" s="4" t="s">
        <v>124</v>
      </c>
      <c r="CB270" s="4" t="s">
        <v>124</v>
      </c>
      <c r="CC270" s="4" t="s">
        <v>124</v>
      </c>
      <c r="CD270" s="7">
        <v>0.71951200000000004</v>
      </c>
      <c r="CE270" s="7">
        <v>38.271925000000003</v>
      </c>
      <c r="CF270" s="7">
        <v>50</v>
      </c>
      <c r="CG270" s="4" t="s">
        <v>124</v>
      </c>
      <c r="CH270" s="4" t="s">
        <v>124</v>
      </c>
      <c r="CI270" s="4" t="s">
        <v>124</v>
      </c>
      <c r="CJ270" s="4" t="s">
        <v>124</v>
      </c>
      <c r="CK270" s="4" t="s">
        <v>124</v>
      </c>
      <c r="CL270" s="4" t="s">
        <v>124</v>
      </c>
      <c r="CM270" s="4" t="s">
        <v>124</v>
      </c>
      <c r="CN270" s="4" t="s">
        <v>124</v>
      </c>
      <c r="CO270" s="4" t="s">
        <v>124</v>
      </c>
      <c r="CP270" s="4" t="s">
        <v>124</v>
      </c>
      <c r="CQ270" s="7">
        <v>0.45255499999999999</v>
      </c>
      <c r="CR270" s="7">
        <v>0.96478900000000001</v>
      </c>
      <c r="CS270" s="7">
        <v>30.170316</v>
      </c>
      <c r="CT270" s="7">
        <v>50</v>
      </c>
      <c r="CU270" s="4" t="s">
        <v>124</v>
      </c>
      <c r="CV270" s="4" t="s">
        <v>124</v>
      </c>
      <c r="CW270" s="4" t="s">
        <v>124</v>
      </c>
      <c r="CX270" s="4" t="s">
        <v>124</v>
      </c>
      <c r="CY270" s="4" t="s">
        <v>124</v>
      </c>
      <c r="CZ270" s="4" t="s">
        <v>124</v>
      </c>
      <c r="DA270" s="7">
        <v>15.314097</v>
      </c>
      <c r="DB270" s="7">
        <v>17.400950000000002</v>
      </c>
      <c r="DC270" s="7">
        <v>16.332519999999999</v>
      </c>
      <c r="DD270" s="4" t="s">
        <v>124</v>
      </c>
      <c r="DE270" s="7">
        <v>0</v>
      </c>
      <c r="DF270" s="6"/>
      <c r="DG270" s="6"/>
      <c r="DH270" s="6"/>
      <c r="DI270" s="6"/>
      <c r="DJ270" s="7">
        <v>0</v>
      </c>
      <c r="DK270" s="7">
        <v>0</v>
      </c>
      <c r="DL270" s="7">
        <v>0</v>
      </c>
      <c r="DM270" s="7">
        <v>0</v>
      </c>
      <c r="DN270" s="7">
        <v>0</v>
      </c>
      <c r="DO270" s="7">
        <v>0</v>
      </c>
      <c r="DP270" s="6"/>
      <c r="DQ270" s="4" t="s">
        <v>125</v>
      </c>
    </row>
    <row r="271" spans="1:121" ht="20" customHeight="1" x14ac:dyDescent="0.15">
      <c r="A271" s="5">
        <v>2018</v>
      </c>
      <c r="B271" s="3" t="s">
        <v>121</v>
      </c>
      <c r="C271" s="4" t="str">
        <f t="shared" si="188"/>
        <v>0150011</v>
      </c>
      <c r="D271" s="4" t="s">
        <v>408</v>
      </c>
      <c r="E271" s="4" t="str">
        <f>"0152611"</f>
        <v>0152611</v>
      </c>
      <c r="F271" s="4" t="s">
        <v>327</v>
      </c>
      <c r="G271" s="4" t="s">
        <v>328</v>
      </c>
      <c r="H271" s="7">
        <v>8</v>
      </c>
      <c r="I271" s="4" t="s">
        <v>335</v>
      </c>
      <c r="J271" s="4" t="s">
        <v>330</v>
      </c>
      <c r="K271" s="7">
        <v>531.74210400000004</v>
      </c>
      <c r="L271" s="7">
        <v>1000</v>
      </c>
      <c r="M271" s="7">
        <v>53.174210000000002</v>
      </c>
      <c r="N271" s="7">
        <v>5</v>
      </c>
      <c r="O271" s="7">
        <v>0</v>
      </c>
      <c r="P271" s="7">
        <v>50.132528999999998</v>
      </c>
      <c r="Q271" s="7">
        <v>33.421686000000001</v>
      </c>
      <c r="R271" s="7">
        <v>50</v>
      </c>
      <c r="S271" s="7">
        <v>49.812469999999998</v>
      </c>
      <c r="T271" s="7">
        <v>53.226438999999999</v>
      </c>
      <c r="U271" s="7">
        <v>33.208312999999997</v>
      </c>
      <c r="V271" s="7">
        <v>50</v>
      </c>
      <c r="W271" s="7">
        <v>40.008777000000002</v>
      </c>
      <c r="X271" s="7">
        <v>26.672518</v>
      </c>
      <c r="Y271" s="7">
        <v>50</v>
      </c>
      <c r="Z271" s="7">
        <v>43.530572999999997</v>
      </c>
      <c r="AA271" s="7">
        <v>39.644452999999999</v>
      </c>
      <c r="AB271" s="7">
        <v>26.429635000000001</v>
      </c>
      <c r="AC271" s="7">
        <v>50</v>
      </c>
      <c r="AD271" s="7">
        <v>45.736018000000001</v>
      </c>
      <c r="AE271" s="7">
        <v>30.490679</v>
      </c>
      <c r="AF271" s="7">
        <v>50</v>
      </c>
      <c r="AG271" s="7">
        <v>45.585706999999999</v>
      </c>
      <c r="AH271" s="4" t="s">
        <v>124</v>
      </c>
      <c r="AI271" s="7">
        <v>30.390471000000002</v>
      </c>
      <c r="AJ271" s="7">
        <v>50</v>
      </c>
      <c r="AK271" s="7">
        <v>3.41</v>
      </c>
      <c r="AL271" s="7">
        <v>3.88</v>
      </c>
      <c r="AM271" s="4" t="s">
        <v>124</v>
      </c>
      <c r="AN271" s="7">
        <v>0.56099699999999997</v>
      </c>
      <c r="AO271" s="7">
        <v>56.099651999999999</v>
      </c>
      <c r="AP271" s="7">
        <v>100</v>
      </c>
      <c r="AQ271" s="7">
        <v>0.41845700000000002</v>
      </c>
      <c r="AR271" s="7">
        <v>41.845744000000003</v>
      </c>
      <c r="AS271" s="7">
        <v>100</v>
      </c>
      <c r="AT271" s="7">
        <v>0.58663100000000001</v>
      </c>
      <c r="AU271" s="7">
        <v>0.31579699999999999</v>
      </c>
      <c r="AV271" s="7">
        <v>58.663103</v>
      </c>
      <c r="AW271" s="7">
        <v>100</v>
      </c>
      <c r="AX271" s="7">
        <v>0.43885800000000003</v>
      </c>
      <c r="AY271" s="7">
        <v>0.223325</v>
      </c>
      <c r="AZ271" s="7">
        <v>43.885762999999997</v>
      </c>
      <c r="BA271" s="7">
        <v>100</v>
      </c>
      <c r="BB271" s="7">
        <v>0.55647599999999997</v>
      </c>
      <c r="BC271" s="7">
        <v>27.823810999999999</v>
      </c>
      <c r="BD271" s="7">
        <v>50</v>
      </c>
      <c r="BE271" s="7">
        <v>0.39471099999999998</v>
      </c>
      <c r="BF271" s="7">
        <v>19.73554</v>
      </c>
      <c r="BG271" s="7">
        <v>50</v>
      </c>
      <c r="BH271" s="7">
        <v>0</v>
      </c>
      <c r="BI271" s="7">
        <v>1</v>
      </c>
      <c r="BJ271" s="7">
        <v>1</v>
      </c>
      <c r="BK271" s="7">
        <v>1</v>
      </c>
      <c r="BL271" s="7">
        <v>1</v>
      </c>
      <c r="BM271" s="7">
        <v>1</v>
      </c>
      <c r="BN271" s="7">
        <v>1</v>
      </c>
      <c r="BO271" s="7">
        <v>1</v>
      </c>
      <c r="BP271" s="7">
        <v>1</v>
      </c>
      <c r="BQ271" s="4" t="s">
        <v>124</v>
      </c>
      <c r="BR271" s="7">
        <v>0.13914699999999999</v>
      </c>
      <c r="BS271" s="7">
        <v>32.170686000000003</v>
      </c>
      <c r="BT271" s="7">
        <v>50</v>
      </c>
      <c r="BU271" s="7">
        <v>0.14574899999999999</v>
      </c>
      <c r="BV271" s="7">
        <v>30.850201999999999</v>
      </c>
      <c r="BW271" s="7">
        <v>50</v>
      </c>
      <c r="BX271" s="4" t="s">
        <v>124</v>
      </c>
      <c r="BY271" s="4" t="s">
        <v>124</v>
      </c>
      <c r="BZ271" s="4" t="s">
        <v>124</v>
      </c>
      <c r="CA271" s="4" t="s">
        <v>124</v>
      </c>
      <c r="CB271" s="4" t="s">
        <v>124</v>
      </c>
      <c r="CC271" s="4" t="s">
        <v>124</v>
      </c>
      <c r="CD271" s="7">
        <v>0.71875</v>
      </c>
      <c r="CE271" s="7">
        <v>38.231383000000001</v>
      </c>
      <c r="CF271" s="7">
        <v>50</v>
      </c>
      <c r="CG271" s="4" t="s">
        <v>124</v>
      </c>
      <c r="CH271" s="4" t="s">
        <v>124</v>
      </c>
      <c r="CI271" s="4" t="s">
        <v>124</v>
      </c>
      <c r="CJ271" s="4" t="s">
        <v>124</v>
      </c>
      <c r="CK271" s="4" t="s">
        <v>124</v>
      </c>
      <c r="CL271" s="4" t="s">
        <v>124</v>
      </c>
      <c r="CM271" s="4" t="s">
        <v>124</v>
      </c>
      <c r="CN271" s="4" t="s">
        <v>124</v>
      </c>
      <c r="CO271" s="4" t="s">
        <v>124</v>
      </c>
      <c r="CP271" s="4" t="s">
        <v>124</v>
      </c>
      <c r="CQ271" s="7">
        <v>0.109375</v>
      </c>
      <c r="CR271" s="7">
        <v>0.69945400000000002</v>
      </c>
      <c r="CS271" s="7">
        <v>1.8229169999999999</v>
      </c>
      <c r="CT271" s="7">
        <v>50</v>
      </c>
      <c r="CU271" s="4" t="s">
        <v>124</v>
      </c>
      <c r="CV271" s="4" t="s">
        <v>124</v>
      </c>
      <c r="CW271" s="4" t="s">
        <v>124</v>
      </c>
      <c r="CX271" s="4" t="s">
        <v>124</v>
      </c>
      <c r="CY271" s="4" t="s">
        <v>124</v>
      </c>
      <c r="CZ271" s="4" t="s">
        <v>124</v>
      </c>
      <c r="DA271" s="7">
        <v>15.314097</v>
      </c>
      <c r="DB271" s="7">
        <v>17.400950000000002</v>
      </c>
      <c r="DC271" s="7">
        <v>16.332519999999999</v>
      </c>
      <c r="DD271" s="4" t="s">
        <v>124</v>
      </c>
      <c r="DE271" s="7">
        <v>0</v>
      </c>
      <c r="DF271" s="4" t="s">
        <v>375</v>
      </c>
      <c r="DG271" s="4" t="s">
        <v>376</v>
      </c>
      <c r="DH271" s="6"/>
      <c r="DI271" s="6"/>
      <c r="DJ271" s="7">
        <v>0</v>
      </c>
      <c r="DK271" s="7">
        <v>0</v>
      </c>
      <c r="DL271" s="7">
        <v>0</v>
      </c>
      <c r="DM271" s="7">
        <v>0</v>
      </c>
      <c r="DN271" s="7">
        <v>0</v>
      </c>
      <c r="DO271" s="7">
        <v>0</v>
      </c>
      <c r="DP271" s="6"/>
      <c r="DQ271" s="4" t="s">
        <v>125</v>
      </c>
    </row>
    <row r="272" spans="1:121" ht="20" customHeight="1" x14ac:dyDescent="0.15">
      <c r="A272" s="5">
        <v>2018</v>
      </c>
      <c r="B272" s="3" t="s">
        <v>121</v>
      </c>
      <c r="C272" s="4" t="str">
        <f>"0150011"</f>
        <v>0150011</v>
      </c>
      <c r="D272" s="4" t="s">
        <v>409</v>
      </c>
      <c r="E272" s="4" t="str">
        <f>"0151311"</f>
        <v>0151311</v>
      </c>
      <c r="F272" s="4" t="s">
        <v>327</v>
      </c>
      <c r="G272" s="4" t="s">
        <v>338</v>
      </c>
      <c r="H272" s="7">
        <v>8</v>
      </c>
      <c r="I272" s="4" t="s">
        <v>335</v>
      </c>
      <c r="J272" s="4" t="s">
        <v>330</v>
      </c>
      <c r="K272" s="7">
        <v>573.55321400000003</v>
      </c>
      <c r="L272" s="7">
        <v>900</v>
      </c>
      <c r="M272" s="7">
        <v>63.728135000000002</v>
      </c>
      <c r="N272" s="7">
        <v>3</v>
      </c>
      <c r="O272" s="7">
        <v>0</v>
      </c>
      <c r="P272" s="7">
        <v>60.620860999999998</v>
      </c>
      <c r="Q272" s="7">
        <v>40.413907000000002</v>
      </c>
      <c r="R272" s="7">
        <v>50</v>
      </c>
      <c r="S272" s="7">
        <v>57.379085000000003</v>
      </c>
      <c r="T272" s="7">
        <v>68.094956999999994</v>
      </c>
      <c r="U272" s="7">
        <v>38.252723000000003</v>
      </c>
      <c r="V272" s="7">
        <v>50</v>
      </c>
      <c r="W272" s="7">
        <v>49.745485000000002</v>
      </c>
      <c r="X272" s="7">
        <v>33.163656000000003</v>
      </c>
      <c r="Y272" s="7">
        <v>50</v>
      </c>
      <c r="Z272" s="7">
        <v>57.350295000000003</v>
      </c>
      <c r="AA272" s="7">
        <v>46.427022000000001</v>
      </c>
      <c r="AB272" s="7">
        <v>30.951347999999999</v>
      </c>
      <c r="AC272" s="7">
        <v>50</v>
      </c>
      <c r="AD272" s="7">
        <v>49.194254000000001</v>
      </c>
      <c r="AE272" s="7">
        <v>32.796168999999999</v>
      </c>
      <c r="AF272" s="7">
        <v>50</v>
      </c>
      <c r="AG272" s="7">
        <v>47.552799999999998</v>
      </c>
      <c r="AH272" s="7">
        <v>53.962285999999999</v>
      </c>
      <c r="AI272" s="7">
        <v>31.701867</v>
      </c>
      <c r="AJ272" s="7">
        <v>50</v>
      </c>
      <c r="AK272" s="7">
        <v>10.71</v>
      </c>
      <c r="AL272" s="7">
        <v>10.92</v>
      </c>
      <c r="AM272" s="7">
        <v>6.4</v>
      </c>
      <c r="AN272" s="7">
        <v>0.59150899999999995</v>
      </c>
      <c r="AO272" s="7">
        <v>59.150897999999998</v>
      </c>
      <c r="AP272" s="7">
        <v>100</v>
      </c>
      <c r="AQ272" s="7">
        <v>0.49947999999999998</v>
      </c>
      <c r="AR272" s="7">
        <v>49.947997000000001</v>
      </c>
      <c r="AS272" s="7">
        <v>100</v>
      </c>
      <c r="AT272" s="7">
        <v>0.60729200000000005</v>
      </c>
      <c r="AU272" s="7">
        <v>0.55520800000000003</v>
      </c>
      <c r="AV272" s="7">
        <v>60.729190000000003</v>
      </c>
      <c r="AW272" s="7">
        <v>100</v>
      </c>
      <c r="AX272" s="7">
        <v>0.48647200000000002</v>
      </c>
      <c r="AY272" s="7">
        <v>0.52918200000000004</v>
      </c>
      <c r="AZ272" s="7">
        <v>48.647191999999997</v>
      </c>
      <c r="BA272" s="7">
        <v>100</v>
      </c>
      <c r="BB272" s="4" t="s">
        <v>124</v>
      </c>
      <c r="BC272" s="4" t="s">
        <v>124</v>
      </c>
      <c r="BD272" s="4" t="s">
        <v>124</v>
      </c>
      <c r="BE272" s="4" t="s">
        <v>124</v>
      </c>
      <c r="BF272" s="4" t="s">
        <v>124</v>
      </c>
      <c r="BG272" s="4" t="s">
        <v>124</v>
      </c>
      <c r="BH272" s="7">
        <v>0</v>
      </c>
      <c r="BI272" s="7">
        <v>1</v>
      </c>
      <c r="BJ272" s="7">
        <v>1</v>
      </c>
      <c r="BK272" s="7">
        <v>1</v>
      </c>
      <c r="BL272" s="7">
        <v>1</v>
      </c>
      <c r="BM272" s="7">
        <v>1</v>
      </c>
      <c r="BN272" s="7">
        <v>1</v>
      </c>
      <c r="BO272" s="7">
        <v>1</v>
      </c>
      <c r="BP272" s="7">
        <v>1</v>
      </c>
      <c r="BQ272" s="7">
        <v>1</v>
      </c>
      <c r="BR272" s="7">
        <v>0.13559299999999999</v>
      </c>
      <c r="BS272" s="7">
        <v>32.881355999999997</v>
      </c>
      <c r="BT272" s="7">
        <v>50</v>
      </c>
      <c r="BU272" s="7">
        <v>0.15354300000000001</v>
      </c>
      <c r="BV272" s="7">
        <v>29.291339000000001</v>
      </c>
      <c r="BW272" s="7">
        <v>50</v>
      </c>
      <c r="BX272" s="4" t="s">
        <v>124</v>
      </c>
      <c r="BY272" s="4" t="s">
        <v>124</v>
      </c>
      <c r="BZ272" s="4" t="s">
        <v>124</v>
      </c>
      <c r="CA272" s="4" t="s">
        <v>124</v>
      </c>
      <c r="CB272" s="4" t="s">
        <v>124</v>
      </c>
      <c r="CC272" s="4" t="s">
        <v>124</v>
      </c>
      <c r="CD272" s="7">
        <v>0.81818199999999996</v>
      </c>
      <c r="CE272" s="7">
        <v>43.520308999999997</v>
      </c>
      <c r="CF272" s="7">
        <v>50</v>
      </c>
      <c r="CG272" s="4" t="s">
        <v>124</v>
      </c>
      <c r="CH272" s="4" t="s">
        <v>124</v>
      </c>
      <c r="CI272" s="4" t="s">
        <v>124</v>
      </c>
      <c r="CJ272" s="4" t="s">
        <v>124</v>
      </c>
      <c r="CK272" s="4" t="s">
        <v>124</v>
      </c>
      <c r="CL272" s="4" t="s">
        <v>124</v>
      </c>
      <c r="CM272" s="4" t="s">
        <v>124</v>
      </c>
      <c r="CN272" s="4" t="s">
        <v>124</v>
      </c>
      <c r="CO272" s="4" t="s">
        <v>124</v>
      </c>
      <c r="CP272" s="4" t="s">
        <v>124</v>
      </c>
      <c r="CQ272" s="7">
        <v>0.631579</v>
      </c>
      <c r="CR272" s="7">
        <v>1.007576</v>
      </c>
      <c r="CS272" s="7">
        <v>42.105263000000001</v>
      </c>
      <c r="CT272" s="7">
        <v>50</v>
      </c>
      <c r="CU272" s="4" t="s">
        <v>124</v>
      </c>
      <c r="CV272" s="4" t="s">
        <v>124</v>
      </c>
      <c r="CW272" s="4" t="s">
        <v>124</v>
      </c>
      <c r="CX272" s="4" t="s">
        <v>124</v>
      </c>
      <c r="CY272" s="4" t="s">
        <v>124</v>
      </c>
      <c r="CZ272" s="4" t="s">
        <v>124</v>
      </c>
      <c r="DA272" s="7">
        <v>15.314097</v>
      </c>
      <c r="DB272" s="7">
        <v>17.400950000000002</v>
      </c>
      <c r="DC272" s="7">
        <v>16.332519999999999</v>
      </c>
      <c r="DD272" s="4" t="s">
        <v>124</v>
      </c>
      <c r="DE272" s="7">
        <v>0</v>
      </c>
      <c r="DF272" s="6"/>
      <c r="DG272" s="6"/>
      <c r="DH272" s="6"/>
      <c r="DI272" s="6"/>
      <c r="DJ272" s="7">
        <v>0</v>
      </c>
      <c r="DK272" s="7">
        <v>0</v>
      </c>
      <c r="DL272" s="7">
        <v>0</v>
      </c>
      <c r="DM272" s="7">
        <v>0</v>
      </c>
      <c r="DN272" s="7">
        <v>0</v>
      </c>
      <c r="DO272" s="7">
        <v>0</v>
      </c>
      <c r="DP272" s="6"/>
      <c r="DQ272" s="4" t="s">
        <v>125</v>
      </c>
    </row>
    <row r="273" spans="1:121" ht="20" customHeight="1" x14ac:dyDescent="0.15">
      <c r="A273" s="5">
        <v>2018</v>
      </c>
      <c r="B273" s="3" t="s">
        <v>121</v>
      </c>
      <c r="C273" s="4" t="str">
        <f t="shared" si="188"/>
        <v>0150011</v>
      </c>
      <c r="D273" s="4" t="s">
        <v>410</v>
      </c>
      <c r="E273" s="4" t="str">
        <f>"0153011"</f>
        <v>0153011</v>
      </c>
      <c r="F273" s="4" t="s">
        <v>327</v>
      </c>
      <c r="G273" s="4" t="s">
        <v>328</v>
      </c>
      <c r="H273" s="7">
        <v>8</v>
      </c>
      <c r="I273" s="4" t="s">
        <v>335</v>
      </c>
      <c r="J273" s="4" t="s">
        <v>330</v>
      </c>
      <c r="K273" s="7">
        <v>554.84887600000002</v>
      </c>
      <c r="L273" s="7">
        <v>1000</v>
      </c>
      <c r="M273" s="7">
        <v>55.484887999999998</v>
      </c>
      <c r="N273" s="7">
        <v>3</v>
      </c>
      <c r="O273" s="7">
        <v>0</v>
      </c>
      <c r="P273" s="7">
        <v>54.304583999999998</v>
      </c>
      <c r="Q273" s="7">
        <v>36.203055999999997</v>
      </c>
      <c r="R273" s="7">
        <v>50</v>
      </c>
      <c r="S273" s="7">
        <v>53.361669999999997</v>
      </c>
      <c r="T273" s="7">
        <v>66.185298000000003</v>
      </c>
      <c r="U273" s="7">
        <v>35.574446999999999</v>
      </c>
      <c r="V273" s="7">
        <v>50</v>
      </c>
      <c r="W273" s="7">
        <v>47.127350999999997</v>
      </c>
      <c r="X273" s="7">
        <v>31.418234000000002</v>
      </c>
      <c r="Y273" s="7">
        <v>50</v>
      </c>
      <c r="Z273" s="7">
        <v>58.896548000000003</v>
      </c>
      <c r="AA273" s="7">
        <v>46.189565999999999</v>
      </c>
      <c r="AB273" s="7">
        <v>30.793043999999998</v>
      </c>
      <c r="AC273" s="7">
        <v>50</v>
      </c>
      <c r="AD273" s="7">
        <v>50.836863999999998</v>
      </c>
      <c r="AE273" s="7">
        <v>33.891243000000003</v>
      </c>
      <c r="AF273" s="7">
        <v>50</v>
      </c>
      <c r="AG273" s="7">
        <v>49.021687</v>
      </c>
      <c r="AH273" s="4" t="s">
        <v>124</v>
      </c>
      <c r="AI273" s="7">
        <v>32.681125000000002</v>
      </c>
      <c r="AJ273" s="7">
        <v>50</v>
      </c>
      <c r="AK273" s="7">
        <v>12.82</v>
      </c>
      <c r="AL273" s="7">
        <v>12.7</v>
      </c>
      <c r="AM273" s="4" t="s">
        <v>124</v>
      </c>
      <c r="AN273" s="7">
        <v>0.51465799999999995</v>
      </c>
      <c r="AO273" s="7">
        <v>51.465755999999999</v>
      </c>
      <c r="AP273" s="7">
        <v>100</v>
      </c>
      <c r="AQ273" s="7">
        <v>0.54271000000000003</v>
      </c>
      <c r="AR273" s="7">
        <v>54.271003</v>
      </c>
      <c r="AS273" s="7">
        <v>100</v>
      </c>
      <c r="AT273" s="7">
        <v>0.49951299999999998</v>
      </c>
      <c r="AU273" s="4" t="s">
        <v>124</v>
      </c>
      <c r="AV273" s="7">
        <v>49.951326000000002</v>
      </c>
      <c r="AW273" s="7">
        <v>100</v>
      </c>
      <c r="AX273" s="7">
        <v>0.53138600000000002</v>
      </c>
      <c r="AY273" s="4" t="s">
        <v>124</v>
      </c>
      <c r="AZ273" s="7">
        <v>53.138589000000003</v>
      </c>
      <c r="BA273" s="7">
        <v>100</v>
      </c>
      <c r="BB273" s="7">
        <v>0.56928900000000004</v>
      </c>
      <c r="BC273" s="7">
        <v>28.464448000000001</v>
      </c>
      <c r="BD273" s="7">
        <v>50</v>
      </c>
      <c r="BE273" s="7">
        <v>0.35891000000000001</v>
      </c>
      <c r="BF273" s="7">
        <v>17.945508</v>
      </c>
      <c r="BG273" s="7">
        <v>50</v>
      </c>
      <c r="BH273" s="7">
        <v>0</v>
      </c>
      <c r="BI273" s="7">
        <v>0.98697100000000004</v>
      </c>
      <c r="BJ273" s="7">
        <v>0.98591499999999999</v>
      </c>
      <c r="BK273" s="7">
        <v>1</v>
      </c>
      <c r="BL273" s="7">
        <v>0.98688500000000001</v>
      </c>
      <c r="BM273" s="7">
        <v>0.98581600000000003</v>
      </c>
      <c r="BN273" s="7">
        <v>1</v>
      </c>
      <c r="BO273" s="7">
        <v>0.95698899999999998</v>
      </c>
      <c r="BP273" s="7">
        <v>0.95402299999999995</v>
      </c>
      <c r="BQ273" s="4" t="s">
        <v>124</v>
      </c>
      <c r="BR273" s="7">
        <v>0.2</v>
      </c>
      <c r="BS273" s="7">
        <v>20</v>
      </c>
      <c r="BT273" s="7">
        <v>50</v>
      </c>
      <c r="BU273" s="7">
        <v>0.207459</v>
      </c>
      <c r="BV273" s="7">
        <v>18.508158999999999</v>
      </c>
      <c r="BW273" s="7">
        <v>50</v>
      </c>
      <c r="BX273" s="4" t="s">
        <v>124</v>
      </c>
      <c r="BY273" s="4" t="s">
        <v>124</v>
      </c>
      <c r="BZ273" s="4" t="s">
        <v>124</v>
      </c>
      <c r="CA273" s="4" t="s">
        <v>124</v>
      </c>
      <c r="CB273" s="4" t="s">
        <v>124</v>
      </c>
      <c r="CC273" s="4" t="s">
        <v>124</v>
      </c>
      <c r="CD273" s="7">
        <v>0.71428599999999998</v>
      </c>
      <c r="CE273" s="7">
        <v>37.993921</v>
      </c>
      <c r="CF273" s="7">
        <v>50</v>
      </c>
      <c r="CG273" s="4" t="s">
        <v>124</v>
      </c>
      <c r="CH273" s="4" t="s">
        <v>124</v>
      </c>
      <c r="CI273" s="4" t="s">
        <v>124</v>
      </c>
      <c r="CJ273" s="4" t="s">
        <v>124</v>
      </c>
      <c r="CK273" s="4" t="s">
        <v>124</v>
      </c>
      <c r="CL273" s="4" t="s">
        <v>124</v>
      </c>
      <c r="CM273" s="4" t="s">
        <v>124</v>
      </c>
      <c r="CN273" s="4" t="s">
        <v>124</v>
      </c>
      <c r="CO273" s="4" t="s">
        <v>124</v>
      </c>
      <c r="CP273" s="4" t="s">
        <v>124</v>
      </c>
      <c r="CQ273" s="7">
        <v>0.33823500000000001</v>
      </c>
      <c r="CR273" s="7">
        <v>0.95774599999999999</v>
      </c>
      <c r="CS273" s="7">
        <v>22.549019999999999</v>
      </c>
      <c r="CT273" s="7">
        <v>50</v>
      </c>
      <c r="CU273" s="4" t="s">
        <v>124</v>
      </c>
      <c r="CV273" s="4" t="s">
        <v>124</v>
      </c>
      <c r="CW273" s="4" t="s">
        <v>124</v>
      </c>
      <c r="CX273" s="4" t="s">
        <v>124</v>
      </c>
      <c r="CY273" s="4" t="s">
        <v>124</v>
      </c>
      <c r="CZ273" s="4" t="s">
        <v>124</v>
      </c>
      <c r="DA273" s="7">
        <v>15.314097</v>
      </c>
      <c r="DB273" s="7">
        <v>17.400950000000002</v>
      </c>
      <c r="DC273" s="7">
        <v>16.332519999999999</v>
      </c>
      <c r="DD273" s="4" t="s">
        <v>124</v>
      </c>
      <c r="DE273" s="7">
        <v>0</v>
      </c>
      <c r="DF273" s="6"/>
      <c r="DG273" s="6"/>
      <c r="DH273" s="6"/>
      <c r="DI273" s="6"/>
      <c r="DJ273" s="7">
        <v>0</v>
      </c>
      <c r="DK273" s="7">
        <v>0</v>
      </c>
      <c r="DL273" s="7">
        <v>0</v>
      </c>
      <c r="DM273" s="7">
        <v>0</v>
      </c>
      <c r="DN273" s="7">
        <v>0</v>
      </c>
      <c r="DO273" s="7">
        <v>0</v>
      </c>
      <c r="DP273" s="6"/>
      <c r="DQ273" s="4" t="s">
        <v>125</v>
      </c>
    </row>
    <row r="274" spans="1:121" ht="20" customHeight="1" x14ac:dyDescent="0.15">
      <c r="A274" s="5">
        <v>2018</v>
      </c>
      <c r="B274" s="3" t="s">
        <v>121</v>
      </c>
      <c r="C274" s="4" t="str">
        <f t="shared" si="188"/>
        <v>0150011</v>
      </c>
      <c r="D274" s="4" t="s">
        <v>411</v>
      </c>
      <c r="E274" s="4" t="str">
        <f>"0156311"</f>
        <v>0156311</v>
      </c>
      <c r="F274" s="4" t="s">
        <v>327</v>
      </c>
      <c r="G274" s="7">
        <v>9</v>
      </c>
      <c r="H274" s="7">
        <v>12</v>
      </c>
      <c r="I274" s="6"/>
      <c r="J274" s="4" t="s">
        <v>330</v>
      </c>
      <c r="K274" s="7">
        <v>700.60668999999996</v>
      </c>
      <c r="L274" s="7">
        <v>1550</v>
      </c>
      <c r="M274" s="7">
        <v>45.200431999999999</v>
      </c>
      <c r="N274" s="7">
        <v>5</v>
      </c>
      <c r="O274" s="7">
        <v>0</v>
      </c>
      <c r="P274" s="7">
        <v>35.759039999999999</v>
      </c>
      <c r="Q274" s="7">
        <v>71.518079999999998</v>
      </c>
      <c r="R274" s="7">
        <v>150</v>
      </c>
      <c r="S274" s="7">
        <v>34.837698000000003</v>
      </c>
      <c r="T274" s="7">
        <v>40.206896999999998</v>
      </c>
      <c r="U274" s="7">
        <v>69.675397000000004</v>
      </c>
      <c r="V274" s="7">
        <v>150</v>
      </c>
      <c r="W274" s="7">
        <v>30.019935</v>
      </c>
      <c r="X274" s="7">
        <v>60.039869000000003</v>
      </c>
      <c r="Y274" s="7">
        <v>150</v>
      </c>
      <c r="Z274" s="7">
        <v>29.965516999999998</v>
      </c>
      <c r="AA274" s="7">
        <v>30.031127000000001</v>
      </c>
      <c r="AB274" s="7">
        <v>60.062254000000003</v>
      </c>
      <c r="AC274" s="7">
        <v>150</v>
      </c>
      <c r="AD274" s="7">
        <v>33.615395999999997</v>
      </c>
      <c r="AE274" s="7">
        <v>44.820528000000003</v>
      </c>
      <c r="AF274" s="7">
        <v>100</v>
      </c>
      <c r="AG274" s="7">
        <v>32.858223000000002</v>
      </c>
      <c r="AH274" s="7">
        <v>37.114058</v>
      </c>
      <c r="AI274" s="7">
        <v>43.810963000000001</v>
      </c>
      <c r="AJ274" s="7">
        <v>100</v>
      </c>
      <c r="AK274" s="7">
        <v>5.36</v>
      </c>
      <c r="AL274" s="7">
        <v>-0.06</v>
      </c>
      <c r="AM274" s="7">
        <v>4.25</v>
      </c>
      <c r="AN274" s="4" t="s">
        <v>124</v>
      </c>
      <c r="AO274" s="4" t="s">
        <v>124</v>
      </c>
      <c r="AP274" s="4" t="s">
        <v>124</v>
      </c>
      <c r="AQ274" s="4" t="s">
        <v>124</v>
      </c>
      <c r="AR274" s="4" t="s">
        <v>124</v>
      </c>
      <c r="AS274" s="4" t="s">
        <v>124</v>
      </c>
      <c r="AT274" s="4" t="s">
        <v>124</v>
      </c>
      <c r="AU274" s="4" t="s">
        <v>124</v>
      </c>
      <c r="AV274" s="4" t="s">
        <v>124</v>
      </c>
      <c r="AW274" s="4" t="s">
        <v>124</v>
      </c>
      <c r="AX274" s="4" t="s">
        <v>124</v>
      </c>
      <c r="AY274" s="4" t="s">
        <v>124</v>
      </c>
      <c r="AZ274" s="4" t="s">
        <v>124</v>
      </c>
      <c r="BA274" s="4" t="s">
        <v>124</v>
      </c>
      <c r="BB274" s="7">
        <v>0.30245300000000003</v>
      </c>
      <c r="BC274" s="7">
        <v>15.122669</v>
      </c>
      <c r="BD274" s="7">
        <v>50</v>
      </c>
      <c r="BE274" s="7">
        <v>0.38539800000000002</v>
      </c>
      <c r="BF274" s="7">
        <v>19.269919999999999</v>
      </c>
      <c r="BG274" s="7">
        <v>50</v>
      </c>
      <c r="BH274" s="7">
        <v>1</v>
      </c>
      <c r="BI274" s="7">
        <v>0.90987099999999999</v>
      </c>
      <c r="BJ274" s="7">
        <v>0.90452299999999997</v>
      </c>
      <c r="BK274" s="7">
        <v>0.94117600000000001</v>
      </c>
      <c r="BL274" s="7">
        <v>0.91416299999999995</v>
      </c>
      <c r="BM274" s="7">
        <v>0.90954800000000002</v>
      </c>
      <c r="BN274" s="7">
        <v>0.94117600000000001</v>
      </c>
      <c r="BO274" s="7">
        <v>0.94690300000000005</v>
      </c>
      <c r="BP274" s="7">
        <v>0.94764400000000004</v>
      </c>
      <c r="BQ274" s="7">
        <v>0.94285699999999995</v>
      </c>
      <c r="BR274" s="7">
        <v>0.42275699999999999</v>
      </c>
      <c r="BS274" s="7">
        <v>0</v>
      </c>
      <c r="BT274" s="7">
        <v>50</v>
      </c>
      <c r="BU274" s="7">
        <v>0.4375</v>
      </c>
      <c r="BV274" s="7">
        <v>0</v>
      </c>
      <c r="BW274" s="7">
        <v>50</v>
      </c>
      <c r="BX274" s="7">
        <v>0.58958299999999997</v>
      </c>
      <c r="BY274" s="7">
        <v>39.305556000000003</v>
      </c>
      <c r="BZ274" s="7">
        <v>50</v>
      </c>
      <c r="CA274" s="7">
        <v>8.7499999999999994E-2</v>
      </c>
      <c r="CB274" s="7">
        <v>5.8333329999999997</v>
      </c>
      <c r="CC274" s="7">
        <v>50</v>
      </c>
      <c r="CD274" s="7">
        <v>0.52978099999999995</v>
      </c>
      <c r="CE274" s="7">
        <v>28.179817</v>
      </c>
      <c r="CF274" s="7">
        <v>50</v>
      </c>
      <c r="CG274" s="7">
        <v>0.59706999999999999</v>
      </c>
      <c r="CH274" s="7">
        <v>63.518042000000001</v>
      </c>
      <c r="CI274" s="7">
        <v>100</v>
      </c>
      <c r="CJ274" s="7">
        <v>0</v>
      </c>
      <c r="CK274" s="7">
        <v>0.62745099999999998</v>
      </c>
      <c r="CL274" s="7">
        <v>66.750103999999993</v>
      </c>
      <c r="CM274" s="7">
        <v>100</v>
      </c>
      <c r="CN274" s="7">
        <v>0.34054099999999998</v>
      </c>
      <c r="CO274" s="7">
        <v>45.405405000000002</v>
      </c>
      <c r="CP274" s="7">
        <v>100</v>
      </c>
      <c r="CQ274" s="7">
        <v>0.33527699999999999</v>
      </c>
      <c r="CR274" s="7">
        <v>1.1868510000000001</v>
      </c>
      <c r="CS274" s="7">
        <v>22.351797999999999</v>
      </c>
      <c r="CT274" s="7">
        <v>50</v>
      </c>
      <c r="CU274" s="7">
        <v>0.53931499999999999</v>
      </c>
      <c r="CV274" s="7">
        <v>44.942954</v>
      </c>
      <c r="CW274" s="7">
        <v>50</v>
      </c>
      <c r="CX274" s="7">
        <v>0.62745099999999998</v>
      </c>
      <c r="CY274" s="4" t="s">
        <v>124</v>
      </c>
      <c r="CZ274" s="4" t="s">
        <v>124</v>
      </c>
      <c r="DA274" s="7">
        <v>15.314097</v>
      </c>
      <c r="DB274" s="7">
        <v>17.400950000000002</v>
      </c>
      <c r="DC274" s="7">
        <v>16.332519999999999</v>
      </c>
      <c r="DD274" s="7">
        <v>7.9891730000000001</v>
      </c>
      <c r="DE274" s="7">
        <v>1</v>
      </c>
      <c r="DF274" s="4" t="s">
        <v>375</v>
      </c>
      <c r="DG274" s="4" t="s">
        <v>376</v>
      </c>
      <c r="DH274" s="6"/>
      <c r="DI274" s="6"/>
      <c r="DJ274" s="7">
        <v>0</v>
      </c>
      <c r="DK274" s="7">
        <v>0</v>
      </c>
      <c r="DL274" s="7">
        <v>0</v>
      </c>
      <c r="DM274" s="7">
        <v>0</v>
      </c>
      <c r="DN274" s="7">
        <v>0</v>
      </c>
      <c r="DO274" s="7">
        <v>0</v>
      </c>
      <c r="DP274" s="6"/>
      <c r="DQ274" s="4" t="s">
        <v>125</v>
      </c>
    </row>
    <row r="275" spans="1:121" ht="20" customHeight="1" x14ac:dyDescent="0.15">
      <c r="A275" s="5">
        <v>2018</v>
      </c>
      <c r="B275" s="3" t="s">
        <v>121</v>
      </c>
      <c r="C275" s="4" t="str">
        <f t="shared" si="188"/>
        <v>0150011</v>
      </c>
      <c r="D275" s="4" t="s">
        <v>412</v>
      </c>
      <c r="E275" s="4" t="str">
        <f>"0153911"</f>
        <v>0153911</v>
      </c>
      <c r="F275" s="4" t="s">
        <v>327</v>
      </c>
      <c r="G275" s="4" t="s">
        <v>328</v>
      </c>
      <c r="H275" s="7">
        <v>8</v>
      </c>
      <c r="I275" s="4" t="s">
        <v>335</v>
      </c>
      <c r="J275" s="4" t="s">
        <v>330</v>
      </c>
      <c r="K275" s="7">
        <v>442.691013</v>
      </c>
      <c r="L275" s="7">
        <v>900</v>
      </c>
      <c r="M275" s="7">
        <v>49.187890000000003</v>
      </c>
      <c r="N275" s="7">
        <v>5</v>
      </c>
      <c r="O275" s="7">
        <v>0</v>
      </c>
      <c r="P275" s="7">
        <v>44.090138000000003</v>
      </c>
      <c r="Q275" s="7">
        <v>29.393426000000002</v>
      </c>
      <c r="R275" s="7">
        <v>50</v>
      </c>
      <c r="S275" s="7">
        <v>43.610880999999999</v>
      </c>
      <c r="T275" s="7">
        <v>47.581871999999997</v>
      </c>
      <c r="U275" s="7">
        <v>29.073920999999999</v>
      </c>
      <c r="V275" s="7">
        <v>50</v>
      </c>
      <c r="W275" s="7">
        <v>35.861021000000001</v>
      </c>
      <c r="X275" s="7">
        <v>23.907347000000001</v>
      </c>
      <c r="Y275" s="7">
        <v>50</v>
      </c>
      <c r="Z275" s="7">
        <v>39.015619999999998</v>
      </c>
      <c r="AA275" s="7">
        <v>35.422302000000002</v>
      </c>
      <c r="AB275" s="7">
        <v>23.614868000000001</v>
      </c>
      <c r="AC275" s="7">
        <v>50</v>
      </c>
      <c r="AD275" s="7">
        <v>41.979267999999998</v>
      </c>
      <c r="AE275" s="7">
        <v>27.986177999999999</v>
      </c>
      <c r="AF275" s="7">
        <v>50</v>
      </c>
      <c r="AG275" s="7">
        <v>41.479422</v>
      </c>
      <c r="AH275" s="4" t="s">
        <v>124</v>
      </c>
      <c r="AI275" s="7">
        <v>27.652947999999999</v>
      </c>
      <c r="AJ275" s="7">
        <v>50</v>
      </c>
      <c r="AK275" s="7">
        <v>3.97</v>
      </c>
      <c r="AL275" s="7">
        <v>3.59</v>
      </c>
      <c r="AM275" s="4" t="s">
        <v>124</v>
      </c>
      <c r="AN275" s="7">
        <v>0.57779700000000001</v>
      </c>
      <c r="AO275" s="7">
        <v>57.779662999999999</v>
      </c>
      <c r="AP275" s="7">
        <v>100</v>
      </c>
      <c r="AQ275" s="7">
        <v>0.57343900000000003</v>
      </c>
      <c r="AR275" s="7">
        <v>57.343898000000003</v>
      </c>
      <c r="AS275" s="7">
        <v>100</v>
      </c>
      <c r="AT275" s="7">
        <v>0.57359099999999996</v>
      </c>
      <c r="AU275" s="4" t="s">
        <v>124</v>
      </c>
      <c r="AV275" s="7">
        <v>57.359062000000002</v>
      </c>
      <c r="AW275" s="7">
        <v>100</v>
      </c>
      <c r="AX275" s="7">
        <v>0.58781700000000003</v>
      </c>
      <c r="AY275" s="4" t="s">
        <v>124</v>
      </c>
      <c r="AZ275" s="7">
        <v>58.781680999999999</v>
      </c>
      <c r="BA275" s="7">
        <v>100</v>
      </c>
      <c r="BB275" s="4" t="s">
        <v>124</v>
      </c>
      <c r="BC275" s="4" t="s">
        <v>124</v>
      </c>
      <c r="BD275" s="4" t="s">
        <v>124</v>
      </c>
      <c r="BE275" s="4" t="s">
        <v>124</v>
      </c>
      <c r="BF275" s="4" t="s">
        <v>124</v>
      </c>
      <c r="BG275" s="4" t="s">
        <v>124</v>
      </c>
      <c r="BH275" s="7">
        <v>0</v>
      </c>
      <c r="BI275" s="7">
        <v>1</v>
      </c>
      <c r="BJ275" s="7">
        <v>1</v>
      </c>
      <c r="BK275" s="7">
        <v>1</v>
      </c>
      <c r="BL275" s="7">
        <v>1</v>
      </c>
      <c r="BM275" s="7">
        <v>1</v>
      </c>
      <c r="BN275" s="7">
        <v>1</v>
      </c>
      <c r="BO275" s="7">
        <v>0.98148100000000005</v>
      </c>
      <c r="BP275" s="7">
        <v>0.97727299999999995</v>
      </c>
      <c r="BQ275" s="4" t="s">
        <v>124</v>
      </c>
      <c r="BR275" s="7">
        <v>0.28125</v>
      </c>
      <c r="BS275" s="7">
        <v>3.75</v>
      </c>
      <c r="BT275" s="7">
        <v>50</v>
      </c>
      <c r="BU275" s="7">
        <v>0.30241899999999999</v>
      </c>
      <c r="BV275" s="7">
        <v>0</v>
      </c>
      <c r="BW275" s="7">
        <v>50</v>
      </c>
      <c r="BX275" s="4" t="s">
        <v>124</v>
      </c>
      <c r="BY275" s="4" t="s">
        <v>124</v>
      </c>
      <c r="BZ275" s="4" t="s">
        <v>124</v>
      </c>
      <c r="CA275" s="4" t="s">
        <v>124</v>
      </c>
      <c r="CB275" s="4" t="s">
        <v>124</v>
      </c>
      <c r="CC275" s="4" t="s">
        <v>124</v>
      </c>
      <c r="CD275" s="7">
        <v>0.76</v>
      </c>
      <c r="CE275" s="7">
        <v>40.425531999999997</v>
      </c>
      <c r="CF275" s="7">
        <v>50</v>
      </c>
      <c r="CG275" s="4" t="s">
        <v>124</v>
      </c>
      <c r="CH275" s="4" t="s">
        <v>124</v>
      </c>
      <c r="CI275" s="4" t="s">
        <v>124</v>
      </c>
      <c r="CJ275" s="4" t="s">
        <v>124</v>
      </c>
      <c r="CK275" s="4" t="s">
        <v>124</v>
      </c>
      <c r="CL275" s="4" t="s">
        <v>124</v>
      </c>
      <c r="CM275" s="4" t="s">
        <v>124</v>
      </c>
      <c r="CN275" s="4" t="s">
        <v>124</v>
      </c>
      <c r="CO275" s="4" t="s">
        <v>124</v>
      </c>
      <c r="CP275" s="4" t="s">
        <v>124</v>
      </c>
      <c r="CQ275" s="7">
        <v>0.16867499999999999</v>
      </c>
      <c r="CR275" s="7">
        <v>0.88297899999999996</v>
      </c>
      <c r="CS275" s="7">
        <v>5.62249</v>
      </c>
      <c r="CT275" s="7">
        <v>50</v>
      </c>
      <c r="CU275" s="4" t="s">
        <v>124</v>
      </c>
      <c r="CV275" s="4" t="s">
        <v>124</v>
      </c>
      <c r="CW275" s="4" t="s">
        <v>124</v>
      </c>
      <c r="CX275" s="4" t="s">
        <v>124</v>
      </c>
      <c r="CY275" s="4" t="s">
        <v>124</v>
      </c>
      <c r="CZ275" s="4" t="s">
        <v>124</v>
      </c>
      <c r="DA275" s="7">
        <v>15.314097</v>
      </c>
      <c r="DB275" s="7">
        <v>17.400950000000002</v>
      </c>
      <c r="DC275" s="7">
        <v>16.332519999999999</v>
      </c>
      <c r="DD275" s="4" t="s">
        <v>124</v>
      </c>
      <c r="DE275" s="7">
        <v>0</v>
      </c>
      <c r="DF275" s="4" t="s">
        <v>375</v>
      </c>
      <c r="DG275" s="4" t="s">
        <v>376</v>
      </c>
      <c r="DH275" s="6"/>
      <c r="DI275" s="6"/>
      <c r="DJ275" s="7">
        <v>0</v>
      </c>
      <c r="DK275" s="7">
        <v>0</v>
      </c>
      <c r="DL275" s="7">
        <v>0</v>
      </c>
      <c r="DM275" s="7">
        <v>0</v>
      </c>
      <c r="DN275" s="7">
        <v>0</v>
      </c>
      <c r="DO275" s="7">
        <v>0</v>
      </c>
      <c r="DP275" s="6"/>
      <c r="DQ275" s="4" t="s">
        <v>125</v>
      </c>
    </row>
    <row r="276" spans="1:121" ht="20" customHeight="1" x14ac:dyDescent="0.15">
      <c r="A276" s="5">
        <v>2018</v>
      </c>
      <c r="B276" s="3" t="s">
        <v>225</v>
      </c>
      <c r="C276" s="4" t="str">
        <f t="shared" si="100"/>
        <v>0170011</v>
      </c>
      <c r="D276" s="4" t="s">
        <v>413</v>
      </c>
      <c r="E276" s="4" t="str">
        <f>"0176111"</f>
        <v>0176111</v>
      </c>
      <c r="F276" s="4" t="s">
        <v>327</v>
      </c>
      <c r="G276" s="7">
        <v>9</v>
      </c>
      <c r="H276" s="7">
        <v>12</v>
      </c>
      <c r="I276" s="6"/>
      <c r="J276" s="4" t="s">
        <v>330</v>
      </c>
      <c r="K276" s="7">
        <v>1146.5184830000001</v>
      </c>
      <c r="L276" s="7">
        <v>1550</v>
      </c>
      <c r="M276" s="7">
        <v>73.968934000000004</v>
      </c>
      <c r="N276" s="7">
        <v>3</v>
      </c>
      <c r="O276" s="7">
        <v>0</v>
      </c>
      <c r="P276" s="7">
        <v>55.170923999999999</v>
      </c>
      <c r="Q276" s="7">
        <v>110.341848</v>
      </c>
      <c r="R276" s="7">
        <v>150</v>
      </c>
      <c r="S276" s="7">
        <v>49.798864999999999</v>
      </c>
      <c r="T276" s="7">
        <v>61.106183000000001</v>
      </c>
      <c r="U276" s="7">
        <v>99.597729000000001</v>
      </c>
      <c r="V276" s="7">
        <v>150</v>
      </c>
      <c r="W276" s="7">
        <v>52.672626999999999</v>
      </c>
      <c r="X276" s="7">
        <v>105.345253</v>
      </c>
      <c r="Y276" s="7">
        <v>150</v>
      </c>
      <c r="Z276" s="7">
        <v>58.962366000000003</v>
      </c>
      <c r="AA276" s="7">
        <v>46.979723999999997</v>
      </c>
      <c r="AB276" s="7">
        <v>93.959447999999995</v>
      </c>
      <c r="AC276" s="7">
        <v>150</v>
      </c>
      <c r="AD276" s="7">
        <v>56.585515000000001</v>
      </c>
      <c r="AE276" s="7">
        <v>75.447354000000004</v>
      </c>
      <c r="AF276" s="7">
        <v>100</v>
      </c>
      <c r="AG276" s="7">
        <v>50.350580000000001</v>
      </c>
      <c r="AH276" s="7">
        <v>63.222704999999998</v>
      </c>
      <c r="AI276" s="7">
        <v>67.134107</v>
      </c>
      <c r="AJ276" s="7">
        <v>100</v>
      </c>
      <c r="AK276" s="7">
        <v>11.3</v>
      </c>
      <c r="AL276" s="7">
        <v>11.98</v>
      </c>
      <c r="AM276" s="7">
        <v>12.87</v>
      </c>
      <c r="AN276" s="4" t="s">
        <v>124</v>
      </c>
      <c r="AO276" s="4" t="s">
        <v>124</v>
      </c>
      <c r="AP276" s="4" t="s">
        <v>124</v>
      </c>
      <c r="AQ276" s="4" t="s">
        <v>124</v>
      </c>
      <c r="AR276" s="4" t="s">
        <v>124</v>
      </c>
      <c r="AS276" s="4" t="s">
        <v>124</v>
      </c>
      <c r="AT276" s="4" t="s">
        <v>124</v>
      </c>
      <c r="AU276" s="4" t="s">
        <v>124</v>
      </c>
      <c r="AV276" s="4" t="s">
        <v>124</v>
      </c>
      <c r="AW276" s="4" t="s">
        <v>124</v>
      </c>
      <c r="AX276" s="4" t="s">
        <v>124</v>
      </c>
      <c r="AY276" s="4" t="s">
        <v>124</v>
      </c>
      <c r="AZ276" s="4" t="s">
        <v>124</v>
      </c>
      <c r="BA276" s="4" t="s">
        <v>124</v>
      </c>
      <c r="BB276" s="7">
        <v>0.58411400000000002</v>
      </c>
      <c r="BC276" s="7">
        <v>29.205714</v>
      </c>
      <c r="BD276" s="7">
        <v>50</v>
      </c>
      <c r="BE276" s="7">
        <v>0.66331600000000002</v>
      </c>
      <c r="BF276" s="7">
        <v>33.165802999999997</v>
      </c>
      <c r="BG276" s="7">
        <v>50</v>
      </c>
      <c r="BH276" s="7">
        <v>0</v>
      </c>
      <c r="BI276" s="7">
        <v>0.98540099999999997</v>
      </c>
      <c r="BJ276" s="7">
        <v>0.97315399999999996</v>
      </c>
      <c r="BK276" s="7">
        <v>1</v>
      </c>
      <c r="BL276" s="7">
        <v>0.98540099999999997</v>
      </c>
      <c r="BM276" s="7">
        <v>0.97315399999999996</v>
      </c>
      <c r="BN276" s="7">
        <v>1</v>
      </c>
      <c r="BO276" s="7">
        <v>0.97426500000000005</v>
      </c>
      <c r="BP276" s="7">
        <v>0.95238100000000003</v>
      </c>
      <c r="BQ276" s="7">
        <v>1</v>
      </c>
      <c r="BR276" s="7">
        <v>0.143482</v>
      </c>
      <c r="BS276" s="7">
        <v>31.303587</v>
      </c>
      <c r="BT276" s="7">
        <v>50</v>
      </c>
      <c r="BU276" s="7">
        <v>0.20807500000000001</v>
      </c>
      <c r="BV276" s="7">
        <v>18.385093000000001</v>
      </c>
      <c r="BW276" s="7">
        <v>50</v>
      </c>
      <c r="BX276" s="7">
        <v>0.79566000000000003</v>
      </c>
      <c r="BY276" s="7">
        <v>50</v>
      </c>
      <c r="BZ276" s="7">
        <v>50</v>
      </c>
      <c r="CA276" s="7">
        <v>0.37070500000000001</v>
      </c>
      <c r="CB276" s="7">
        <v>24.713683</v>
      </c>
      <c r="CC276" s="7">
        <v>50</v>
      </c>
      <c r="CD276" s="7">
        <v>0.92063499999999998</v>
      </c>
      <c r="CE276" s="7">
        <v>48.969943000000001</v>
      </c>
      <c r="CF276" s="7">
        <v>50</v>
      </c>
      <c r="CG276" s="7">
        <v>0.89733799999999997</v>
      </c>
      <c r="CH276" s="7">
        <v>95.461532000000005</v>
      </c>
      <c r="CI276" s="7">
        <v>100</v>
      </c>
      <c r="CJ276" s="7">
        <v>1</v>
      </c>
      <c r="CK276" s="7">
        <v>0.82142899999999996</v>
      </c>
      <c r="CL276" s="7">
        <v>87.386018000000007</v>
      </c>
      <c r="CM276" s="7">
        <v>100</v>
      </c>
      <c r="CN276" s="7">
        <v>0.65163899999999997</v>
      </c>
      <c r="CO276" s="7">
        <v>86.885245999999995</v>
      </c>
      <c r="CP276" s="7">
        <v>100</v>
      </c>
      <c r="CQ276" s="7">
        <v>0.67441899999999999</v>
      </c>
      <c r="CR276" s="7">
        <v>0.93140800000000001</v>
      </c>
      <c r="CS276" s="7">
        <v>44.961239999999997</v>
      </c>
      <c r="CT276" s="7">
        <v>50</v>
      </c>
      <c r="CU276" s="7">
        <v>0.53105899999999995</v>
      </c>
      <c r="CV276" s="7">
        <v>44.254885000000002</v>
      </c>
      <c r="CW276" s="7">
        <v>50</v>
      </c>
      <c r="CX276" s="7">
        <v>0.82142899999999996</v>
      </c>
      <c r="CY276" s="7">
        <v>0.94</v>
      </c>
      <c r="CZ276" s="7">
        <v>0.118571</v>
      </c>
      <c r="DA276" s="7">
        <v>15.314097</v>
      </c>
      <c r="DB276" s="7">
        <v>17.400950000000002</v>
      </c>
      <c r="DC276" s="7">
        <v>16.332519999999999</v>
      </c>
      <c r="DD276" s="7">
        <v>7.9891730000000001</v>
      </c>
      <c r="DE276" s="7">
        <v>1</v>
      </c>
      <c r="DF276" s="6"/>
      <c r="DG276" s="6"/>
      <c r="DH276" s="6"/>
      <c r="DI276" s="6"/>
      <c r="DJ276" s="7">
        <v>0</v>
      </c>
      <c r="DK276" s="7">
        <v>0</v>
      </c>
      <c r="DL276" s="7">
        <v>0</v>
      </c>
      <c r="DM276" s="7">
        <v>0</v>
      </c>
      <c r="DN276" s="7">
        <v>0</v>
      </c>
      <c r="DO276" s="7">
        <v>0</v>
      </c>
      <c r="DP276" s="6"/>
      <c r="DQ276" s="4" t="s">
        <v>125</v>
      </c>
    </row>
    <row r="277" spans="1:121" ht="20" customHeight="1" x14ac:dyDescent="0.15">
      <c r="A277" s="5">
        <v>2018</v>
      </c>
      <c r="B277" s="3" t="s">
        <v>225</v>
      </c>
      <c r="C277" s="4" t="str">
        <f t="shared" si="100"/>
        <v>0170011</v>
      </c>
      <c r="D277" s="4" t="s">
        <v>414</v>
      </c>
      <c r="E277" s="4" t="str">
        <f>"0176211"</f>
        <v>0176211</v>
      </c>
      <c r="F277" s="4" t="s">
        <v>327</v>
      </c>
      <c r="G277" s="7">
        <v>9</v>
      </c>
      <c r="H277" s="7">
        <v>12</v>
      </c>
      <c r="I277" s="6"/>
      <c r="J277" s="4" t="s">
        <v>330</v>
      </c>
      <c r="K277" s="7">
        <v>1119.71947</v>
      </c>
      <c r="L277" s="7">
        <v>1450</v>
      </c>
      <c r="M277" s="7">
        <v>77.222031999999999</v>
      </c>
      <c r="N277" s="7">
        <v>3</v>
      </c>
      <c r="O277" s="7">
        <v>0</v>
      </c>
      <c r="P277" s="7">
        <v>56.843735000000002</v>
      </c>
      <c r="Q277" s="7">
        <v>113.68747</v>
      </c>
      <c r="R277" s="7">
        <v>150</v>
      </c>
      <c r="S277" s="7">
        <v>52.072487000000002</v>
      </c>
      <c r="T277" s="7">
        <v>60.697436000000003</v>
      </c>
      <c r="U277" s="7">
        <v>104.144974</v>
      </c>
      <c r="V277" s="7">
        <v>150</v>
      </c>
      <c r="W277" s="7">
        <v>52.727187000000001</v>
      </c>
      <c r="X277" s="7">
        <v>105.454374</v>
      </c>
      <c r="Y277" s="7">
        <v>150</v>
      </c>
      <c r="Z277" s="7">
        <v>56.452564000000002</v>
      </c>
      <c r="AA277" s="7">
        <v>48.114815</v>
      </c>
      <c r="AB277" s="7">
        <v>96.22963</v>
      </c>
      <c r="AC277" s="7">
        <v>150</v>
      </c>
      <c r="AD277" s="7">
        <v>55.754486999999997</v>
      </c>
      <c r="AE277" s="7">
        <v>74.339315999999997</v>
      </c>
      <c r="AF277" s="7">
        <v>100</v>
      </c>
      <c r="AG277" s="7">
        <v>49.643613000000002</v>
      </c>
      <c r="AH277" s="7">
        <v>60.839106999999998</v>
      </c>
      <c r="AI277" s="7">
        <v>66.191484000000003</v>
      </c>
      <c r="AJ277" s="7">
        <v>100</v>
      </c>
      <c r="AK277" s="7">
        <v>8.6199999999999992</v>
      </c>
      <c r="AL277" s="7">
        <v>8.33</v>
      </c>
      <c r="AM277" s="7">
        <v>11.19</v>
      </c>
      <c r="AN277" s="4" t="s">
        <v>124</v>
      </c>
      <c r="AO277" s="4" t="s">
        <v>124</v>
      </c>
      <c r="AP277" s="4" t="s">
        <v>124</v>
      </c>
      <c r="AQ277" s="4" t="s">
        <v>124</v>
      </c>
      <c r="AR277" s="4" t="s">
        <v>124</v>
      </c>
      <c r="AS277" s="4" t="s">
        <v>124</v>
      </c>
      <c r="AT277" s="4" t="s">
        <v>124</v>
      </c>
      <c r="AU277" s="4" t="s">
        <v>124</v>
      </c>
      <c r="AV277" s="4" t="s">
        <v>124</v>
      </c>
      <c r="AW277" s="4" t="s">
        <v>124</v>
      </c>
      <c r="AX277" s="4" t="s">
        <v>124</v>
      </c>
      <c r="AY277" s="4" t="s">
        <v>124</v>
      </c>
      <c r="AZ277" s="4" t="s">
        <v>124</v>
      </c>
      <c r="BA277" s="4" t="s">
        <v>124</v>
      </c>
      <c r="BB277" s="4" t="s">
        <v>124</v>
      </c>
      <c r="BC277" s="4" t="s">
        <v>124</v>
      </c>
      <c r="BD277" s="4" t="s">
        <v>124</v>
      </c>
      <c r="BE277" s="4" t="s">
        <v>124</v>
      </c>
      <c r="BF277" s="4" t="s">
        <v>124</v>
      </c>
      <c r="BG277" s="4" t="s">
        <v>124</v>
      </c>
      <c r="BH277" s="7">
        <v>1</v>
      </c>
      <c r="BI277" s="7">
        <v>0.96370999999999996</v>
      </c>
      <c r="BJ277" s="7">
        <v>0.93913000000000002</v>
      </c>
      <c r="BK277" s="7">
        <v>0.984962</v>
      </c>
      <c r="BL277" s="7">
        <v>0.96370999999999996</v>
      </c>
      <c r="BM277" s="7">
        <v>0.93913000000000002</v>
      </c>
      <c r="BN277" s="7">
        <v>0.984962</v>
      </c>
      <c r="BO277" s="7">
        <v>0.99593500000000001</v>
      </c>
      <c r="BP277" s="7">
        <v>0.99114999999999998</v>
      </c>
      <c r="BQ277" s="7">
        <v>1</v>
      </c>
      <c r="BR277" s="7">
        <v>0.112069</v>
      </c>
      <c r="BS277" s="7">
        <v>37.586207000000002</v>
      </c>
      <c r="BT277" s="7">
        <v>50</v>
      </c>
      <c r="BU277" s="7">
        <v>0.16448599999999999</v>
      </c>
      <c r="BV277" s="7">
        <v>27.102803999999999</v>
      </c>
      <c r="BW277" s="7">
        <v>50</v>
      </c>
      <c r="BX277" s="7">
        <v>0.70099</v>
      </c>
      <c r="BY277" s="7">
        <v>46.732672999999998</v>
      </c>
      <c r="BZ277" s="7">
        <v>50</v>
      </c>
      <c r="CA277" s="7">
        <v>0.37623800000000002</v>
      </c>
      <c r="CB277" s="7">
        <v>25.082508000000001</v>
      </c>
      <c r="CC277" s="7">
        <v>50</v>
      </c>
      <c r="CD277" s="7">
        <v>0.899254</v>
      </c>
      <c r="CE277" s="7">
        <v>47.832644999999999</v>
      </c>
      <c r="CF277" s="7">
        <v>50</v>
      </c>
      <c r="CG277" s="7">
        <v>0.92957699999999999</v>
      </c>
      <c r="CH277" s="7">
        <v>98.891220000000004</v>
      </c>
      <c r="CI277" s="7">
        <v>100</v>
      </c>
      <c r="CJ277" s="7">
        <v>0</v>
      </c>
      <c r="CK277" s="7">
        <v>0.89441000000000004</v>
      </c>
      <c r="CL277" s="7">
        <v>95.149992999999995</v>
      </c>
      <c r="CM277" s="7">
        <v>100</v>
      </c>
      <c r="CN277" s="7">
        <v>0.67518199999999995</v>
      </c>
      <c r="CO277" s="7">
        <v>90.024331000000004</v>
      </c>
      <c r="CP277" s="7">
        <v>100</v>
      </c>
      <c r="CQ277" s="7">
        <v>0.61904800000000004</v>
      </c>
      <c r="CR277" s="7">
        <v>0.98912999999999995</v>
      </c>
      <c r="CS277" s="7">
        <v>41.269841</v>
      </c>
      <c r="CT277" s="7">
        <v>50</v>
      </c>
      <c r="CU277" s="7">
        <v>0.62356299999999998</v>
      </c>
      <c r="CV277" s="7">
        <v>50</v>
      </c>
      <c r="CW277" s="7">
        <v>50</v>
      </c>
      <c r="CX277" s="7">
        <v>0.89441000000000004</v>
      </c>
      <c r="CY277" s="7">
        <v>0.94</v>
      </c>
      <c r="CZ277" s="7">
        <v>4.5589999999999999E-2</v>
      </c>
      <c r="DA277" s="7">
        <v>15.314097</v>
      </c>
      <c r="DB277" s="7">
        <v>17.400950000000002</v>
      </c>
      <c r="DC277" s="7">
        <v>16.332519999999999</v>
      </c>
      <c r="DD277" s="7">
        <v>7.9891730000000001</v>
      </c>
      <c r="DE277" s="7">
        <v>1</v>
      </c>
      <c r="DF277" s="6"/>
      <c r="DG277" s="6"/>
      <c r="DH277" s="6"/>
      <c r="DI277" s="6"/>
      <c r="DJ277" s="7">
        <v>0</v>
      </c>
      <c r="DK277" s="7">
        <v>0</v>
      </c>
      <c r="DL277" s="7">
        <v>0</v>
      </c>
      <c r="DM277" s="7">
        <v>0</v>
      </c>
      <c r="DN277" s="7">
        <v>0</v>
      </c>
      <c r="DO277" s="7">
        <v>0</v>
      </c>
      <c r="DP277" s="6"/>
      <c r="DQ277" s="4" t="s">
        <v>125</v>
      </c>
    </row>
    <row r="278" spans="1:121" ht="20" customHeight="1" x14ac:dyDescent="0.15">
      <c r="A278" s="5">
        <v>2018</v>
      </c>
      <c r="B278" s="3" t="s">
        <v>225</v>
      </c>
      <c r="C278" s="4" t="str">
        <f t="shared" si="100"/>
        <v>0170011</v>
      </c>
      <c r="D278" s="4" t="s">
        <v>415</v>
      </c>
      <c r="E278" s="4" t="str">
        <f>"0175111"</f>
        <v>0175111</v>
      </c>
      <c r="F278" s="4" t="s">
        <v>327</v>
      </c>
      <c r="G278" s="7">
        <v>6</v>
      </c>
      <c r="H278" s="7">
        <v>8</v>
      </c>
      <c r="I278" s="4" t="s">
        <v>335</v>
      </c>
      <c r="J278" s="4" t="s">
        <v>330</v>
      </c>
      <c r="K278" s="7">
        <v>636.68109200000004</v>
      </c>
      <c r="L278" s="7">
        <v>1000</v>
      </c>
      <c r="M278" s="7">
        <v>63.668109000000001</v>
      </c>
      <c r="N278" s="7">
        <v>3</v>
      </c>
      <c r="O278" s="7">
        <v>1</v>
      </c>
      <c r="P278" s="7">
        <v>63.904173</v>
      </c>
      <c r="Q278" s="7">
        <v>42.602781999999998</v>
      </c>
      <c r="R278" s="7">
        <v>50</v>
      </c>
      <c r="S278" s="7">
        <v>56.42521</v>
      </c>
      <c r="T278" s="7">
        <v>72.551023000000001</v>
      </c>
      <c r="U278" s="7">
        <v>37.616807000000001</v>
      </c>
      <c r="V278" s="7">
        <v>50</v>
      </c>
      <c r="W278" s="7">
        <v>54.856431999999998</v>
      </c>
      <c r="X278" s="7">
        <v>36.570954</v>
      </c>
      <c r="Y278" s="7">
        <v>50</v>
      </c>
      <c r="Z278" s="7">
        <v>63.539498000000002</v>
      </c>
      <c r="AA278" s="7">
        <v>47.326585000000001</v>
      </c>
      <c r="AB278" s="7">
        <v>31.551055999999999</v>
      </c>
      <c r="AC278" s="7">
        <v>50</v>
      </c>
      <c r="AD278" s="7">
        <v>65.734627000000003</v>
      </c>
      <c r="AE278" s="7">
        <v>43.823084999999999</v>
      </c>
      <c r="AF278" s="7">
        <v>50</v>
      </c>
      <c r="AG278" s="7">
        <v>57.745753999999998</v>
      </c>
      <c r="AH278" s="7">
        <v>74.033146000000002</v>
      </c>
      <c r="AI278" s="7">
        <v>38.497169</v>
      </c>
      <c r="AJ278" s="7">
        <v>50</v>
      </c>
      <c r="AK278" s="7">
        <v>16.12</v>
      </c>
      <c r="AL278" s="7">
        <v>16.21</v>
      </c>
      <c r="AM278" s="7">
        <v>16.28</v>
      </c>
      <c r="AN278" s="7">
        <v>0.45660699999999999</v>
      </c>
      <c r="AO278" s="7">
        <v>45.660699000000001</v>
      </c>
      <c r="AP278" s="7">
        <v>100</v>
      </c>
      <c r="AQ278" s="7">
        <v>0.41764499999999999</v>
      </c>
      <c r="AR278" s="7">
        <v>41.764454000000001</v>
      </c>
      <c r="AS278" s="7">
        <v>100</v>
      </c>
      <c r="AT278" s="7">
        <v>0.44592300000000001</v>
      </c>
      <c r="AU278" s="7">
        <v>0.468698</v>
      </c>
      <c r="AV278" s="7">
        <v>44.592300999999999</v>
      </c>
      <c r="AW278" s="7">
        <v>100</v>
      </c>
      <c r="AX278" s="7">
        <v>0.403194</v>
      </c>
      <c r="AY278" s="7">
        <v>0.43395600000000001</v>
      </c>
      <c r="AZ278" s="7">
        <v>40.319358000000001</v>
      </c>
      <c r="BA278" s="7">
        <v>100</v>
      </c>
      <c r="BB278" s="7">
        <v>0.51702899999999996</v>
      </c>
      <c r="BC278" s="7">
        <v>25.851469999999999</v>
      </c>
      <c r="BD278" s="7">
        <v>50</v>
      </c>
      <c r="BE278" s="7">
        <v>0.57641699999999996</v>
      </c>
      <c r="BF278" s="7">
        <v>28.820841999999999</v>
      </c>
      <c r="BG278" s="7">
        <v>50</v>
      </c>
      <c r="BH278" s="7">
        <v>0</v>
      </c>
      <c r="BI278" s="7">
        <v>0.99736800000000003</v>
      </c>
      <c r="BJ278" s="7">
        <v>0.99760800000000005</v>
      </c>
      <c r="BK278" s="7">
        <v>0.99707599999999996</v>
      </c>
      <c r="BL278" s="7">
        <v>0.99737200000000004</v>
      </c>
      <c r="BM278" s="7">
        <v>0.99760199999999999</v>
      </c>
      <c r="BN278" s="7">
        <v>0.99709300000000001</v>
      </c>
      <c r="BO278" s="7">
        <v>0.98932399999999998</v>
      </c>
      <c r="BP278" s="7">
        <v>0.980132</v>
      </c>
      <c r="BQ278" s="7">
        <v>1</v>
      </c>
      <c r="BR278" s="7">
        <v>6.5531000000000006E-2</v>
      </c>
      <c r="BS278" s="7">
        <v>46.893839999999997</v>
      </c>
      <c r="BT278" s="7">
        <v>50</v>
      </c>
      <c r="BU278" s="7">
        <v>9.6851999999999994E-2</v>
      </c>
      <c r="BV278" s="7">
        <v>40.629539999999999</v>
      </c>
      <c r="BW278" s="7">
        <v>50</v>
      </c>
      <c r="BX278" s="4" t="s">
        <v>124</v>
      </c>
      <c r="BY278" s="4" t="s">
        <v>124</v>
      </c>
      <c r="BZ278" s="4" t="s">
        <v>124</v>
      </c>
      <c r="CA278" s="4" t="s">
        <v>124</v>
      </c>
      <c r="CB278" s="4" t="s">
        <v>124</v>
      </c>
      <c r="CC278" s="4" t="s">
        <v>124</v>
      </c>
      <c r="CD278" s="7">
        <v>0.937778</v>
      </c>
      <c r="CE278" s="7">
        <v>49.881796999999999</v>
      </c>
      <c r="CF278" s="7">
        <v>50</v>
      </c>
      <c r="CG278" s="4" t="s">
        <v>124</v>
      </c>
      <c r="CH278" s="4" t="s">
        <v>124</v>
      </c>
      <c r="CI278" s="4" t="s">
        <v>124</v>
      </c>
      <c r="CJ278" s="4" t="s">
        <v>124</v>
      </c>
      <c r="CK278" s="4" t="s">
        <v>124</v>
      </c>
      <c r="CL278" s="4" t="s">
        <v>124</v>
      </c>
      <c r="CM278" s="4" t="s">
        <v>124</v>
      </c>
      <c r="CN278" s="4" t="s">
        <v>124</v>
      </c>
      <c r="CO278" s="4" t="s">
        <v>124</v>
      </c>
      <c r="CP278" s="4" t="s">
        <v>124</v>
      </c>
      <c r="CQ278" s="7">
        <v>0.62407400000000002</v>
      </c>
      <c r="CR278" s="7">
        <v>1.026616</v>
      </c>
      <c r="CS278" s="7">
        <v>41.604937999999997</v>
      </c>
      <c r="CT278" s="7">
        <v>50</v>
      </c>
      <c r="CU278" s="4" t="s">
        <v>124</v>
      </c>
      <c r="CV278" s="4" t="s">
        <v>124</v>
      </c>
      <c r="CW278" s="4" t="s">
        <v>124</v>
      </c>
      <c r="CX278" s="4" t="s">
        <v>124</v>
      </c>
      <c r="CY278" s="4" t="s">
        <v>124</v>
      </c>
      <c r="CZ278" s="4" t="s">
        <v>124</v>
      </c>
      <c r="DA278" s="7">
        <v>15.314097</v>
      </c>
      <c r="DB278" s="7">
        <v>17.400950000000002</v>
      </c>
      <c r="DC278" s="7">
        <v>16.332519999999999</v>
      </c>
      <c r="DD278" s="4" t="s">
        <v>124</v>
      </c>
      <c r="DE278" s="7">
        <v>1</v>
      </c>
      <c r="DF278" s="6"/>
      <c r="DG278" s="6"/>
      <c r="DH278" s="6"/>
      <c r="DI278" s="6"/>
      <c r="DJ278" s="7">
        <v>0</v>
      </c>
      <c r="DK278" s="7">
        <v>0</v>
      </c>
      <c r="DL278" s="7">
        <v>0</v>
      </c>
      <c r="DM278" s="7">
        <v>0</v>
      </c>
      <c r="DN278" s="7">
        <v>0</v>
      </c>
      <c r="DO278" s="7">
        <v>0</v>
      </c>
      <c r="DP278" s="6"/>
      <c r="DQ278" s="4" t="s">
        <v>125</v>
      </c>
    </row>
    <row r="279" spans="1:121" ht="20" customHeight="1" x14ac:dyDescent="0.15">
      <c r="A279" s="5">
        <v>2018</v>
      </c>
      <c r="B279" s="3" t="s">
        <v>225</v>
      </c>
      <c r="C279" s="4" t="str">
        <f t="shared" si="100"/>
        <v>0170011</v>
      </c>
      <c r="D279" s="4" t="s">
        <v>416</v>
      </c>
      <c r="E279" s="4" t="str">
        <f>"0170311"</f>
        <v>0170311</v>
      </c>
      <c r="F279" s="4" t="s">
        <v>327</v>
      </c>
      <c r="G279" s="4" t="s">
        <v>328</v>
      </c>
      <c r="H279" s="7">
        <v>5</v>
      </c>
      <c r="I279" s="6"/>
      <c r="J279" s="4" t="s">
        <v>330</v>
      </c>
      <c r="K279" s="7">
        <v>601.55988500000001</v>
      </c>
      <c r="L279" s="7">
        <v>800</v>
      </c>
      <c r="M279" s="7">
        <v>75.194986</v>
      </c>
      <c r="N279" s="7">
        <v>4</v>
      </c>
      <c r="O279" s="7">
        <v>0</v>
      </c>
      <c r="P279" s="7">
        <v>74.146600000000007</v>
      </c>
      <c r="Q279" s="7">
        <v>49.431066000000001</v>
      </c>
      <c r="R279" s="7">
        <v>50</v>
      </c>
      <c r="S279" s="7">
        <v>67.076982000000001</v>
      </c>
      <c r="T279" s="7">
        <v>75</v>
      </c>
      <c r="U279" s="7">
        <v>44.717987999999998</v>
      </c>
      <c r="V279" s="7">
        <v>50</v>
      </c>
      <c r="W279" s="7">
        <v>67.807903999999994</v>
      </c>
      <c r="X279" s="7">
        <v>45.205269000000001</v>
      </c>
      <c r="Y279" s="7">
        <v>50</v>
      </c>
      <c r="Z279" s="7">
        <v>75</v>
      </c>
      <c r="AA279" s="7">
        <v>59.066567999999997</v>
      </c>
      <c r="AB279" s="7">
        <v>39.377712000000002</v>
      </c>
      <c r="AC279" s="7">
        <v>50</v>
      </c>
      <c r="AD279" s="7">
        <v>66.922580999999994</v>
      </c>
      <c r="AE279" s="7">
        <v>44.615054000000001</v>
      </c>
      <c r="AF279" s="7">
        <v>50</v>
      </c>
      <c r="AG279" s="4" t="s">
        <v>124</v>
      </c>
      <c r="AH279" s="7">
        <v>75</v>
      </c>
      <c r="AI279" s="4" t="s">
        <v>124</v>
      </c>
      <c r="AJ279" s="4" t="s">
        <v>124</v>
      </c>
      <c r="AK279" s="7">
        <v>7.92</v>
      </c>
      <c r="AL279" s="7">
        <v>15.93</v>
      </c>
      <c r="AM279" s="4" t="s">
        <v>124</v>
      </c>
      <c r="AN279" s="7">
        <v>0.69750199999999996</v>
      </c>
      <c r="AO279" s="7">
        <v>69.750157000000002</v>
      </c>
      <c r="AP279" s="7">
        <v>100</v>
      </c>
      <c r="AQ279" s="7">
        <v>0.52998599999999996</v>
      </c>
      <c r="AR279" s="7">
        <v>52.998631000000003</v>
      </c>
      <c r="AS279" s="7">
        <v>100</v>
      </c>
      <c r="AT279" s="7">
        <v>0.71857599999999999</v>
      </c>
      <c r="AU279" s="7">
        <v>0.67943799999999999</v>
      </c>
      <c r="AV279" s="7">
        <v>71.857556000000002</v>
      </c>
      <c r="AW279" s="7">
        <v>100</v>
      </c>
      <c r="AX279" s="7">
        <v>0.480491</v>
      </c>
      <c r="AY279" s="7">
        <v>0.572411</v>
      </c>
      <c r="AZ279" s="7">
        <v>48.049053000000001</v>
      </c>
      <c r="BA279" s="7">
        <v>100</v>
      </c>
      <c r="BB279" s="4" t="s">
        <v>124</v>
      </c>
      <c r="BC279" s="4" t="s">
        <v>124</v>
      </c>
      <c r="BD279" s="4" t="s">
        <v>124</v>
      </c>
      <c r="BE279" s="4" t="s">
        <v>124</v>
      </c>
      <c r="BF279" s="4" t="s">
        <v>124</v>
      </c>
      <c r="BG279" s="4" t="s">
        <v>124</v>
      </c>
      <c r="BH279" s="7">
        <v>0</v>
      </c>
      <c r="BI279" s="7">
        <v>1</v>
      </c>
      <c r="BJ279" s="7">
        <v>1</v>
      </c>
      <c r="BK279" s="7">
        <v>1</v>
      </c>
      <c r="BL279" s="7">
        <v>1</v>
      </c>
      <c r="BM279" s="7">
        <v>1</v>
      </c>
      <c r="BN279" s="7">
        <v>1</v>
      </c>
      <c r="BO279" s="7">
        <v>1</v>
      </c>
      <c r="BP279" s="7">
        <v>1</v>
      </c>
      <c r="BQ279" s="7">
        <v>1</v>
      </c>
      <c r="BR279" s="7">
        <v>4.6762999999999999E-2</v>
      </c>
      <c r="BS279" s="7">
        <v>50</v>
      </c>
      <c r="BT279" s="7">
        <v>50</v>
      </c>
      <c r="BU279" s="7">
        <v>8.2089999999999996E-2</v>
      </c>
      <c r="BV279" s="7">
        <v>43.582090000000001</v>
      </c>
      <c r="BW279" s="7">
        <v>50</v>
      </c>
      <c r="BX279" s="4" t="s">
        <v>124</v>
      </c>
      <c r="BY279" s="4" t="s">
        <v>124</v>
      </c>
      <c r="BZ279" s="4" t="s">
        <v>124</v>
      </c>
      <c r="CA279" s="4" t="s">
        <v>124</v>
      </c>
      <c r="CB279" s="4" t="s">
        <v>124</v>
      </c>
      <c r="CC279" s="4" t="s">
        <v>124</v>
      </c>
      <c r="CD279" s="4" t="s">
        <v>124</v>
      </c>
      <c r="CE279" s="4" t="s">
        <v>124</v>
      </c>
      <c r="CF279" s="4" t="s">
        <v>124</v>
      </c>
      <c r="CG279" s="4" t="s">
        <v>124</v>
      </c>
      <c r="CH279" s="4" t="s">
        <v>124</v>
      </c>
      <c r="CI279" s="4" t="s">
        <v>124</v>
      </c>
      <c r="CJ279" s="4" t="s">
        <v>124</v>
      </c>
      <c r="CK279" s="4" t="s">
        <v>124</v>
      </c>
      <c r="CL279" s="4" t="s">
        <v>124</v>
      </c>
      <c r="CM279" s="4" t="s">
        <v>124</v>
      </c>
      <c r="CN279" s="4" t="s">
        <v>124</v>
      </c>
      <c r="CO279" s="4" t="s">
        <v>124</v>
      </c>
      <c r="CP279" s="4" t="s">
        <v>124</v>
      </c>
      <c r="CQ279" s="7">
        <v>0.62963000000000002</v>
      </c>
      <c r="CR279" s="7">
        <v>1</v>
      </c>
      <c r="CS279" s="7">
        <v>41.975309000000003</v>
      </c>
      <c r="CT279" s="7">
        <v>50</v>
      </c>
      <c r="CU279" s="4" t="s">
        <v>124</v>
      </c>
      <c r="CV279" s="4" t="s">
        <v>124</v>
      </c>
      <c r="CW279" s="4" t="s">
        <v>124</v>
      </c>
      <c r="CX279" s="4" t="s">
        <v>124</v>
      </c>
      <c r="CY279" s="4" t="s">
        <v>124</v>
      </c>
      <c r="CZ279" s="4" t="s">
        <v>124</v>
      </c>
      <c r="DA279" s="7">
        <v>15.314097</v>
      </c>
      <c r="DB279" s="7">
        <v>17.400950000000002</v>
      </c>
      <c r="DC279" s="7">
        <v>16.332519999999999</v>
      </c>
      <c r="DD279" s="4" t="s">
        <v>124</v>
      </c>
      <c r="DE279" s="7">
        <v>0</v>
      </c>
      <c r="DF279" s="4" t="s">
        <v>384</v>
      </c>
      <c r="DG279" s="4" t="s">
        <v>417</v>
      </c>
      <c r="DH279" s="6"/>
      <c r="DI279" s="6"/>
      <c r="DJ279" s="7">
        <v>0</v>
      </c>
      <c r="DK279" s="7">
        <v>0</v>
      </c>
      <c r="DL279" s="7">
        <v>0</v>
      </c>
      <c r="DM279" s="7">
        <v>0</v>
      </c>
      <c r="DN279" s="7">
        <v>0</v>
      </c>
      <c r="DO279" s="7">
        <v>0</v>
      </c>
      <c r="DP279" s="6"/>
      <c r="DQ279" s="4" t="s">
        <v>125</v>
      </c>
    </row>
    <row r="280" spans="1:121" ht="20" customHeight="1" x14ac:dyDescent="0.15">
      <c r="A280" s="5">
        <v>2018</v>
      </c>
      <c r="B280" s="3" t="s">
        <v>225</v>
      </c>
      <c r="C280" s="4" t="str">
        <f t="shared" si="100"/>
        <v>0170011</v>
      </c>
      <c r="D280" s="4" t="s">
        <v>418</v>
      </c>
      <c r="E280" s="4" t="str">
        <f>"0171411"</f>
        <v>0171411</v>
      </c>
      <c r="F280" s="4" t="s">
        <v>327</v>
      </c>
      <c r="G280" s="4" t="s">
        <v>328</v>
      </c>
      <c r="H280" s="7">
        <v>5</v>
      </c>
      <c r="I280" s="4" t="s">
        <v>335</v>
      </c>
      <c r="J280" s="4" t="s">
        <v>330</v>
      </c>
      <c r="K280" s="7">
        <v>706.15548000000001</v>
      </c>
      <c r="L280" s="7">
        <v>950</v>
      </c>
      <c r="M280" s="7">
        <v>74.332155999999998</v>
      </c>
      <c r="N280" s="7">
        <v>2</v>
      </c>
      <c r="O280" s="7">
        <v>0</v>
      </c>
      <c r="P280" s="7">
        <v>68.787235999999993</v>
      </c>
      <c r="Q280" s="7">
        <v>45.858156999999999</v>
      </c>
      <c r="R280" s="7">
        <v>50</v>
      </c>
      <c r="S280" s="7">
        <v>65.613388</v>
      </c>
      <c r="T280" s="7">
        <v>75</v>
      </c>
      <c r="U280" s="7">
        <v>43.742258999999997</v>
      </c>
      <c r="V280" s="7">
        <v>50</v>
      </c>
      <c r="W280" s="7">
        <v>63.811117000000003</v>
      </c>
      <c r="X280" s="7">
        <v>42.540743999999997</v>
      </c>
      <c r="Y280" s="7">
        <v>50</v>
      </c>
      <c r="Z280" s="7">
        <v>72.865561999999997</v>
      </c>
      <c r="AA280" s="7">
        <v>60.339111000000003</v>
      </c>
      <c r="AB280" s="7">
        <v>40.226073999999997</v>
      </c>
      <c r="AC280" s="7">
        <v>50</v>
      </c>
      <c r="AD280" s="7">
        <v>62.257024000000001</v>
      </c>
      <c r="AE280" s="7">
        <v>41.504683</v>
      </c>
      <c r="AF280" s="7">
        <v>50</v>
      </c>
      <c r="AG280" s="7">
        <v>58.654839000000003</v>
      </c>
      <c r="AH280" s="7">
        <v>68.806451999999993</v>
      </c>
      <c r="AI280" s="7">
        <v>39.103225999999999</v>
      </c>
      <c r="AJ280" s="7">
        <v>50</v>
      </c>
      <c r="AK280" s="7">
        <v>9.3800000000000008</v>
      </c>
      <c r="AL280" s="7">
        <v>12.52</v>
      </c>
      <c r="AM280" s="7">
        <v>10.15</v>
      </c>
      <c r="AN280" s="7">
        <v>0.55085600000000001</v>
      </c>
      <c r="AO280" s="7">
        <v>55.085580999999998</v>
      </c>
      <c r="AP280" s="7">
        <v>100</v>
      </c>
      <c r="AQ280" s="7">
        <v>0.74407299999999998</v>
      </c>
      <c r="AR280" s="7">
        <v>74.407340000000005</v>
      </c>
      <c r="AS280" s="7">
        <v>100</v>
      </c>
      <c r="AT280" s="7">
        <v>0.47208</v>
      </c>
      <c r="AU280" s="7">
        <v>0.72254799999999997</v>
      </c>
      <c r="AV280" s="7">
        <v>47.207959000000002</v>
      </c>
      <c r="AW280" s="7">
        <v>100</v>
      </c>
      <c r="AX280" s="7">
        <v>0.72308099999999997</v>
      </c>
      <c r="AY280" s="7">
        <v>0.78928699999999996</v>
      </c>
      <c r="AZ280" s="7">
        <v>72.308120000000002</v>
      </c>
      <c r="BA280" s="7">
        <v>100</v>
      </c>
      <c r="BB280" s="7">
        <v>0.80983300000000003</v>
      </c>
      <c r="BC280" s="7">
        <v>40.491652000000002</v>
      </c>
      <c r="BD280" s="7">
        <v>50</v>
      </c>
      <c r="BE280" s="7">
        <v>0.50651599999999997</v>
      </c>
      <c r="BF280" s="7">
        <v>25.325779000000001</v>
      </c>
      <c r="BG280" s="7">
        <v>50</v>
      </c>
      <c r="BH280" s="7">
        <v>0</v>
      </c>
      <c r="BI280" s="7">
        <v>1</v>
      </c>
      <c r="BJ280" s="7">
        <v>1</v>
      </c>
      <c r="BK280" s="7">
        <v>1</v>
      </c>
      <c r="BL280" s="7">
        <v>0.995</v>
      </c>
      <c r="BM280" s="7">
        <v>0.993197</v>
      </c>
      <c r="BN280" s="7">
        <v>1</v>
      </c>
      <c r="BO280" s="7">
        <v>1</v>
      </c>
      <c r="BP280" s="7">
        <v>1</v>
      </c>
      <c r="BQ280" s="7">
        <v>1</v>
      </c>
      <c r="BR280" s="7">
        <v>5.6911000000000003E-2</v>
      </c>
      <c r="BS280" s="7">
        <v>48.617885999999999</v>
      </c>
      <c r="BT280" s="7">
        <v>50</v>
      </c>
      <c r="BU280" s="7">
        <v>8.1712000000000007E-2</v>
      </c>
      <c r="BV280" s="7">
        <v>43.657587999999997</v>
      </c>
      <c r="BW280" s="7">
        <v>50</v>
      </c>
      <c r="BX280" s="4" t="s">
        <v>124</v>
      </c>
      <c r="BY280" s="4" t="s">
        <v>124</v>
      </c>
      <c r="BZ280" s="4" t="s">
        <v>124</v>
      </c>
      <c r="CA280" s="4" t="s">
        <v>124</v>
      </c>
      <c r="CB280" s="4" t="s">
        <v>124</v>
      </c>
      <c r="CC280" s="4" t="s">
        <v>124</v>
      </c>
      <c r="CD280" s="4" t="s">
        <v>124</v>
      </c>
      <c r="CE280" s="4" t="s">
        <v>124</v>
      </c>
      <c r="CF280" s="4" t="s">
        <v>124</v>
      </c>
      <c r="CG280" s="4" t="s">
        <v>124</v>
      </c>
      <c r="CH280" s="4" t="s">
        <v>124</v>
      </c>
      <c r="CI280" s="4" t="s">
        <v>124</v>
      </c>
      <c r="CJ280" s="4" t="s">
        <v>124</v>
      </c>
      <c r="CK280" s="4" t="s">
        <v>124</v>
      </c>
      <c r="CL280" s="4" t="s">
        <v>124</v>
      </c>
      <c r="CM280" s="4" t="s">
        <v>124</v>
      </c>
      <c r="CN280" s="4" t="s">
        <v>124</v>
      </c>
      <c r="CO280" s="4" t="s">
        <v>124</v>
      </c>
      <c r="CP280" s="4" t="s">
        <v>124</v>
      </c>
      <c r="CQ280" s="7">
        <v>0.69117600000000001</v>
      </c>
      <c r="CR280" s="7">
        <v>0.95774599999999999</v>
      </c>
      <c r="CS280" s="7">
        <v>46.078431000000002</v>
      </c>
      <c r="CT280" s="7">
        <v>50</v>
      </c>
      <c r="CU280" s="4" t="s">
        <v>124</v>
      </c>
      <c r="CV280" s="4" t="s">
        <v>124</v>
      </c>
      <c r="CW280" s="4" t="s">
        <v>124</v>
      </c>
      <c r="CX280" s="4" t="s">
        <v>124</v>
      </c>
      <c r="CY280" s="4" t="s">
        <v>124</v>
      </c>
      <c r="CZ280" s="4" t="s">
        <v>124</v>
      </c>
      <c r="DA280" s="7">
        <v>15.314097</v>
      </c>
      <c r="DB280" s="7">
        <v>17.400950000000002</v>
      </c>
      <c r="DC280" s="7">
        <v>16.332519999999999</v>
      </c>
      <c r="DD280" s="4" t="s">
        <v>124</v>
      </c>
      <c r="DE280" s="7">
        <v>0</v>
      </c>
      <c r="DF280" s="6"/>
      <c r="DG280" s="6"/>
      <c r="DH280" s="6"/>
      <c r="DI280" s="6"/>
      <c r="DJ280" s="7">
        <v>0</v>
      </c>
      <c r="DK280" s="7">
        <v>0</v>
      </c>
      <c r="DL280" s="7">
        <v>0</v>
      </c>
      <c r="DM280" s="7">
        <v>0</v>
      </c>
      <c r="DN280" s="7">
        <v>0</v>
      </c>
      <c r="DO280" s="7">
        <v>0</v>
      </c>
      <c r="DP280" s="6"/>
      <c r="DQ280" s="4" t="s">
        <v>125</v>
      </c>
    </row>
    <row r="281" spans="1:121" ht="20" customHeight="1" x14ac:dyDescent="0.15">
      <c r="A281" s="5">
        <v>2018</v>
      </c>
      <c r="B281" s="3" t="s">
        <v>225</v>
      </c>
      <c r="C281" s="4" t="str">
        <f t="shared" si="100"/>
        <v>0170011</v>
      </c>
      <c r="D281" s="4" t="s">
        <v>419</v>
      </c>
      <c r="E281" s="4" t="str">
        <f>"0170511"</f>
        <v>0170511</v>
      </c>
      <c r="F281" s="4" t="s">
        <v>327</v>
      </c>
      <c r="G281" s="4" t="s">
        <v>328</v>
      </c>
      <c r="H281" s="7">
        <v>8</v>
      </c>
      <c r="I281" s="4" t="s">
        <v>335</v>
      </c>
      <c r="J281" s="4" t="s">
        <v>330</v>
      </c>
      <c r="K281" s="7">
        <v>704.38237900000001</v>
      </c>
      <c r="L281" s="7">
        <v>1000</v>
      </c>
      <c r="M281" s="7">
        <v>70.438237999999998</v>
      </c>
      <c r="N281" s="7">
        <v>2</v>
      </c>
      <c r="O281" s="7">
        <v>0</v>
      </c>
      <c r="P281" s="7">
        <v>63.364597000000003</v>
      </c>
      <c r="Q281" s="7">
        <v>42.243065000000001</v>
      </c>
      <c r="R281" s="7">
        <v>50</v>
      </c>
      <c r="S281" s="7">
        <v>58.911563999999998</v>
      </c>
      <c r="T281" s="7">
        <v>71.278651999999994</v>
      </c>
      <c r="U281" s="7">
        <v>39.274375999999997</v>
      </c>
      <c r="V281" s="7">
        <v>50</v>
      </c>
      <c r="W281" s="7">
        <v>58.683135</v>
      </c>
      <c r="X281" s="7">
        <v>39.12209</v>
      </c>
      <c r="Y281" s="7">
        <v>50</v>
      </c>
      <c r="Z281" s="7">
        <v>65.258071999999999</v>
      </c>
      <c r="AA281" s="7">
        <v>54.983587999999997</v>
      </c>
      <c r="AB281" s="7">
        <v>36.655724999999997</v>
      </c>
      <c r="AC281" s="7">
        <v>50</v>
      </c>
      <c r="AD281" s="7">
        <v>63.589981999999999</v>
      </c>
      <c r="AE281" s="7">
        <v>42.393321</v>
      </c>
      <c r="AF281" s="7">
        <v>50</v>
      </c>
      <c r="AG281" s="7">
        <v>60.260728</v>
      </c>
      <c r="AH281" s="7">
        <v>68.385693000000003</v>
      </c>
      <c r="AI281" s="7">
        <v>40.173819000000002</v>
      </c>
      <c r="AJ281" s="7">
        <v>50</v>
      </c>
      <c r="AK281" s="7">
        <v>12.36</v>
      </c>
      <c r="AL281" s="7">
        <v>10.27</v>
      </c>
      <c r="AM281" s="7">
        <v>8.1199999999999992</v>
      </c>
      <c r="AN281" s="7">
        <v>0.50298900000000002</v>
      </c>
      <c r="AO281" s="7">
        <v>50.298914000000003</v>
      </c>
      <c r="AP281" s="7">
        <v>100</v>
      </c>
      <c r="AQ281" s="7">
        <v>0.56365500000000002</v>
      </c>
      <c r="AR281" s="7">
        <v>56.365488999999997</v>
      </c>
      <c r="AS281" s="7">
        <v>100</v>
      </c>
      <c r="AT281" s="7">
        <v>0.48602200000000001</v>
      </c>
      <c r="AU281" s="7">
        <v>0.53056099999999995</v>
      </c>
      <c r="AV281" s="7">
        <v>48.602167000000001</v>
      </c>
      <c r="AW281" s="7">
        <v>100</v>
      </c>
      <c r="AX281" s="7">
        <v>0.562276</v>
      </c>
      <c r="AY281" s="7">
        <v>0.565909</v>
      </c>
      <c r="AZ281" s="7">
        <v>56.227556</v>
      </c>
      <c r="BA281" s="7">
        <v>100</v>
      </c>
      <c r="BB281" s="7">
        <v>0.76120299999999996</v>
      </c>
      <c r="BC281" s="7">
        <v>38.060161000000001</v>
      </c>
      <c r="BD281" s="7">
        <v>50</v>
      </c>
      <c r="BE281" s="7">
        <v>0.63840600000000003</v>
      </c>
      <c r="BF281" s="7">
        <v>31.920302</v>
      </c>
      <c r="BG281" s="7">
        <v>50</v>
      </c>
      <c r="BH281" s="7">
        <v>0</v>
      </c>
      <c r="BI281" s="7">
        <v>0.99831599999999998</v>
      </c>
      <c r="BJ281" s="7">
        <v>0.99740899999999999</v>
      </c>
      <c r="BK281" s="7">
        <v>1</v>
      </c>
      <c r="BL281" s="7">
        <v>0.99831899999999996</v>
      </c>
      <c r="BM281" s="7">
        <v>0.99741599999999997</v>
      </c>
      <c r="BN281" s="7">
        <v>1</v>
      </c>
      <c r="BO281" s="7">
        <v>0.995305</v>
      </c>
      <c r="BP281" s="7">
        <v>0.99218799999999996</v>
      </c>
      <c r="BQ281" s="7">
        <v>1</v>
      </c>
      <c r="BR281" s="7">
        <v>6.7929000000000003E-2</v>
      </c>
      <c r="BS281" s="7">
        <v>46.414254</v>
      </c>
      <c r="BT281" s="7">
        <v>50</v>
      </c>
      <c r="BU281" s="7">
        <v>9.2333999999999999E-2</v>
      </c>
      <c r="BV281" s="7">
        <v>41.533101000000002</v>
      </c>
      <c r="BW281" s="7">
        <v>50</v>
      </c>
      <c r="BX281" s="4" t="s">
        <v>124</v>
      </c>
      <c r="BY281" s="4" t="s">
        <v>124</v>
      </c>
      <c r="BZ281" s="4" t="s">
        <v>124</v>
      </c>
      <c r="CA281" s="4" t="s">
        <v>124</v>
      </c>
      <c r="CB281" s="4" t="s">
        <v>124</v>
      </c>
      <c r="CC281" s="4" t="s">
        <v>124</v>
      </c>
      <c r="CD281" s="7">
        <v>0.978495</v>
      </c>
      <c r="CE281" s="7">
        <v>50</v>
      </c>
      <c r="CF281" s="7">
        <v>50</v>
      </c>
      <c r="CG281" s="4" t="s">
        <v>124</v>
      </c>
      <c r="CH281" s="4" t="s">
        <v>124</v>
      </c>
      <c r="CI281" s="4" t="s">
        <v>124</v>
      </c>
      <c r="CJ281" s="4" t="s">
        <v>124</v>
      </c>
      <c r="CK281" s="4" t="s">
        <v>124</v>
      </c>
      <c r="CL281" s="4" t="s">
        <v>124</v>
      </c>
      <c r="CM281" s="4" t="s">
        <v>124</v>
      </c>
      <c r="CN281" s="4" t="s">
        <v>124</v>
      </c>
      <c r="CO281" s="4" t="s">
        <v>124</v>
      </c>
      <c r="CP281" s="4" t="s">
        <v>124</v>
      </c>
      <c r="CQ281" s="7">
        <v>0.67647100000000004</v>
      </c>
      <c r="CR281" s="7">
        <v>1.030303</v>
      </c>
      <c r="CS281" s="7">
        <v>45.098039</v>
      </c>
      <c r="CT281" s="7">
        <v>50</v>
      </c>
      <c r="CU281" s="4" t="s">
        <v>124</v>
      </c>
      <c r="CV281" s="4" t="s">
        <v>124</v>
      </c>
      <c r="CW281" s="4" t="s">
        <v>124</v>
      </c>
      <c r="CX281" s="4" t="s">
        <v>124</v>
      </c>
      <c r="CY281" s="4" t="s">
        <v>124</v>
      </c>
      <c r="CZ281" s="4" t="s">
        <v>124</v>
      </c>
      <c r="DA281" s="7">
        <v>15.314097</v>
      </c>
      <c r="DB281" s="7">
        <v>17.400950000000002</v>
      </c>
      <c r="DC281" s="7">
        <v>16.332519999999999</v>
      </c>
      <c r="DD281" s="4" t="s">
        <v>124</v>
      </c>
      <c r="DE281" s="7">
        <v>0</v>
      </c>
      <c r="DF281" s="6"/>
      <c r="DG281" s="6"/>
      <c r="DH281" s="6"/>
      <c r="DI281" s="6"/>
      <c r="DJ281" s="7">
        <v>0</v>
      </c>
      <c r="DK281" s="7">
        <v>0</v>
      </c>
      <c r="DL281" s="7">
        <v>0</v>
      </c>
      <c r="DM281" s="7">
        <v>0</v>
      </c>
      <c r="DN281" s="7">
        <v>0</v>
      </c>
      <c r="DO281" s="7">
        <v>0</v>
      </c>
      <c r="DP281" s="6"/>
      <c r="DQ281" s="4" t="s">
        <v>125</v>
      </c>
    </row>
    <row r="282" spans="1:121" ht="20" customHeight="1" x14ac:dyDescent="0.15">
      <c r="A282" s="5">
        <v>2018</v>
      </c>
      <c r="B282" s="3" t="s">
        <v>225</v>
      </c>
      <c r="C282" s="4" t="str">
        <f t="shared" si="100"/>
        <v>0170011</v>
      </c>
      <c r="D282" s="4" t="s">
        <v>420</v>
      </c>
      <c r="E282" s="4" t="str">
        <f>"0171911"</f>
        <v>0171911</v>
      </c>
      <c r="F282" s="4" t="s">
        <v>327</v>
      </c>
      <c r="G282" s="4" t="s">
        <v>328</v>
      </c>
      <c r="H282" s="7">
        <v>5</v>
      </c>
      <c r="I282" s="6"/>
      <c r="J282" s="4" t="s">
        <v>330</v>
      </c>
      <c r="K282" s="7">
        <v>601.73003700000004</v>
      </c>
      <c r="L282" s="7">
        <v>850</v>
      </c>
      <c r="M282" s="7">
        <v>70.791769000000002</v>
      </c>
      <c r="N282" s="7">
        <v>2</v>
      </c>
      <c r="O282" s="7">
        <v>0</v>
      </c>
      <c r="P282" s="7">
        <v>68.203804000000005</v>
      </c>
      <c r="Q282" s="7">
        <v>45.469202000000003</v>
      </c>
      <c r="R282" s="7">
        <v>50</v>
      </c>
      <c r="S282" s="7">
        <v>60.816015999999998</v>
      </c>
      <c r="T282" s="7">
        <v>75</v>
      </c>
      <c r="U282" s="7">
        <v>40.544010999999998</v>
      </c>
      <c r="V282" s="7">
        <v>50</v>
      </c>
      <c r="W282" s="7">
        <v>64.222406000000007</v>
      </c>
      <c r="X282" s="7">
        <v>42.814937</v>
      </c>
      <c r="Y282" s="7">
        <v>50</v>
      </c>
      <c r="Z282" s="7">
        <v>73.736063000000001</v>
      </c>
      <c r="AA282" s="7">
        <v>57.061588999999998</v>
      </c>
      <c r="AB282" s="7">
        <v>38.041058999999997</v>
      </c>
      <c r="AC282" s="7">
        <v>50</v>
      </c>
      <c r="AD282" s="7">
        <v>62.966078000000003</v>
      </c>
      <c r="AE282" s="7">
        <v>41.977384999999998</v>
      </c>
      <c r="AF282" s="7">
        <v>50</v>
      </c>
      <c r="AG282" s="7">
        <v>58.153225999999997</v>
      </c>
      <c r="AH282" s="7">
        <v>71.935484000000002</v>
      </c>
      <c r="AI282" s="7">
        <v>38.768816999999999</v>
      </c>
      <c r="AJ282" s="7">
        <v>50</v>
      </c>
      <c r="AK282" s="7">
        <v>14.18</v>
      </c>
      <c r="AL282" s="7">
        <v>16.670000000000002</v>
      </c>
      <c r="AM282" s="7">
        <v>13.78</v>
      </c>
      <c r="AN282" s="7">
        <v>0.63731300000000002</v>
      </c>
      <c r="AO282" s="7">
        <v>63.731268</v>
      </c>
      <c r="AP282" s="7">
        <v>100</v>
      </c>
      <c r="AQ282" s="7">
        <v>0.623641</v>
      </c>
      <c r="AR282" s="7">
        <v>62.364078999999997</v>
      </c>
      <c r="AS282" s="7">
        <v>100</v>
      </c>
      <c r="AT282" s="7">
        <v>0.57913499999999996</v>
      </c>
      <c r="AU282" s="7">
        <v>0.69920400000000005</v>
      </c>
      <c r="AV282" s="7">
        <v>57.913454999999999</v>
      </c>
      <c r="AW282" s="7">
        <v>100</v>
      </c>
      <c r="AX282" s="7">
        <v>0.49920599999999998</v>
      </c>
      <c r="AY282" s="7">
        <v>0.75601799999999997</v>
      </c>
      <c r="AZ282" s="7">
        <v>49.920636999999999</v>
      </c>
      <c r="BA282" s="7">
        <v>100</v>
      </c>
      <c r="BB282" s="4" t="s">
        <v>124</v>
      </c>
      <c r="BC282" s="4" t="s">
        <v>124</v>
      </c>
      <c r="BD282" s="4" t="s">
        <v>124</v>
      </c>
      <c r="BE282" s="4" t="s">
        <v>124</v>
      </c>
      <c r="BF282" s="4" t="s">
        <v>124</v>
      </c>
      <c r="BG282" s="4" t="s">
        <v>124</v>
      </c>
      <c r="BH282" s="7">
        <v>0</v>
      </c>
      <c r="BI282" s="7">
        <v>1</v>
      </c>
      <c r="BJ282" s="7">
        <v>1</v>
      </c>
      <c r="BK282" s="7">
        <v>1</v>
      </c>
      <c r="BL282" s="7">
        <v>1</v>
      </c>
      <c r="BM282" s="7">
        <v>1</v>
      </c>
      <c r="BN282" s="7">
        <v>1</v>
      </c>
      <c r="BO282" s="7">
        <v>1</v>
      </c>
      <c r="BP282" s="7">
        <v>1</v>
      </c>
      <c r="BQ282" s="7">
        <v>1</v>
      </c>
      <c r="BR282" s="7">
        <v>4.3732E-2</v>
      </c>
      <c r="BS282" s="7">
        <v>50</v>
      </c>
      <c r="BT282" s="7">
        <v>50</v>
      </c>
      <c r="BU282" s="7">
        <v>7.4074000000000001E-2</v>
      </c>
      <c r="BV282" s="7">
        <v>45.185184999999997</v>
      </c>
      <c r="BW282" s="7">
        <v>50</v>
      </c>
      <c r="BX282" s="4" t="s">
        <v>124</v>
      </c>
      <c r="BY282" s="4" t="s">
        <v>124</v>
      </c>
      <c r="BZ282" s="4" t="s">
        <v>124</v>
      </c>
      <c r="CA282" s="4" t="s">
        <v>124</v>
      </c>
      <c r="CB282" s="4" t="s">
        <v>124</v>
      </c>
      <c r="CC282" s="4" t="s">
        <v>124</v>
      </c>
      <c r="CD282" s="4" t="s">
        <v>124</v>
      </c>
      <c r="CE282" s="4" t="s">
        <v>124</v>
      </c>
      <c r="CF282" s="4" t="s">
        <v>124</v>
      </c>
      <c r="CG282" s="4" t="s">
        <v>124</v>
      </c>
      <c r="CH282" s="4" t="s">
        <v>124</v>
      </c>
      <c r="CI282" s="4" t="s">
        <v>124</v>
      </c>
      <c r="CJ282" s="4" t="s">
        <v>124</v>
      </c>
      <c r="CK282" s="4" t="s">
        <v>124</v>
      </c>
      <c r="CL282" s="4" t="s">
        <v>124</v>
      </c>
      <c r="CM282" s="4" t="s">
        <v>124</v>
      </c>
      <c r="CN282" s="4" t="s">
        <v>124</v>
      </c>
      <c r="CO282" s="4" t="s">
        <v>124</v>
      </c>
      <c r="CP282" s="4" t="s">
        <v>124</v>
      </c>
      <c r="CQ282" s="7">
        <v>0.375</v>
      </c>
      <c r="CR282" s="7">
        <v>1.025641</v>
      </c>
      <c r="CS282" s="7">
        <v>25</v>
      </c>
      <c r="CT282" s="7">
        <v>50</v>
      </c>
      <c r="CU282" s="4" t="s">
        <v>124</v>
      </c>
      <c r="CV282" s="4" t="s">
        <v>124</v>
      </c>
      <c r="CW282" s="4" t="s">
        <v>124</v>
      </c>
      <c r="CX282" s="4" t="s">
        <v>124</v>
      </c>
      <c r="CY282" s="4" t="s">
        <v>124</v>
      </c>
      <c r="CZ282" s="4" t="s">
        <v>124</v>
      </c>
      <c r="DA282" s="7">
        <v>15.314097</v>
      </c>
      <c r="DB282" s="7">
        <v>17.400950000000002</v>
      </c>
      <c r="DC282" s="7">
        <v>16.332519999999999</v>
      </c>
      <c r="DD282" s="4" t="s">
        <v>124</v>
      </c>
      <c r="DE282" s="7">
        <v>0</v>
      </c>
      <c r="DF282" s="6"/>
      <c r="DG282" s="6"/>
      <c r="DH282" s="6"/>
      <c r="DI282" s="6"/>
      <c r="DJ282" s="7">
        <v>0</v>
      </c>
      <c r="DK282" s="7">
        <v>0</v>
      </c>
      <c r="DL282" s="7">
        <v>0</v>
      </c>
      <c r="DM282" s="7">
        <v>0</v>
      </c>
      <c r="DN282" s="7">
        <v>0</v>
      </c>
      <c r="DO282" s="7">
        <v>0</v>
      </c>
      <c r="DP282" s="6"/>
      <c r="DQ282" s="4" t="s">
        <v>125</v>
      </c>
    </row>
    <row r="283" spans="1:121" ht="20" customHeight="1" x14ac:dyDescent="0.15">
      <c r="A283" s="5">
        <v>2018</v>
      </c>
      <c r="B283" s="3" t="s">
        <v>225</v>
      </c>
      <c r="C283" s="4" t="str">
        <f t="shared" si="100"/>
        <v>0170011</v>
      </c>
      <c r="D283" s="4" t="s">
        <v>421</v>
      </c>
      <c r="E283" s="4" t="str">
        <f>"0171711"</f>
        <v>0171711</v>
      </c>
      <c r="F283" s="4" t="s">
        <v>327</v>
      </c>
      <c r="G283" s="4" t="s">
        <v>328</v>
      </c>
      <c r="H283" s="7">
        <v>5</v>
      </c>
      <c r="I283" s="6"/>
      <c r="J283" s="4" t="s">
        <v>330</v>
      </c>
      <c r="K283" s="7">
        <v>605.93687599999998</v>
      </c>
      <c r="L283" s="7">
        <v>850</v>
      </c>
      <c r="M283" s="7">
        <v>71.286691000000005</v>
      </c>
      <c r="N283" s="7">
        <v>2</v>
      </c>
      <c r="O283" s="7">
        <v>0</v>
      </c>
      <c r="P283" s="7">
        <v>73.565681999999995</v>
      </c>
      <c r="Q283" s="7">
        <v>49.043787999999999</v>
      </c>
      <c r="R283" s="7">
        <v>50</v>
      </c>
      <c r="S283" s="7">
        <v>70.251002999999997</v>
      </c>
      <c r="T283" s="7">
        <v>75</v>
      </c>
      <c r="U283" s="7">
        <v>46.834001999999998</v>
      </c>
      <c r="V283" s="7">
        <v>50</v>
      </c>
      <c r="W283" s="7">
        <v>67.372795999999994</v>
      </c>
      <c r="X283" s="7">
        <v>44.915196999999999</v>
      </c>
      <c r="Y283" s="7">
        <v>50</v>
      </c>
      <c r="Z283" s="7">
        <v>71.636317000000005</v>
      </c>
      <c r="AA283" s="7">
        <v>63.870618999999998</v>
      </c>
      <c r="AB283" s="7">
        <v>42.580412000000003</v>
      </c>
      <c r="AC283" s="7">
        <v>50</v>
      </c>
      <c r="AD283" s="7">
        <v>66.901882000000001</v>
      </c>
      <c r="AE283" s="7">
        <v>44.601253999999997</v>
      </c>
      <c r="AF283" s="7">
        <v>50</v>
      </c>
      <c r="AG283" s="7">
        <v>60.947096999999999</v>
      </c>
      <c r="AH283" s="7">
        <v>73.374474000000006</v>
      </c>
      <c r="AI283" s="7">
        <v>40.631397999999997</v>
      </c>
      <c r="AJ283" s="7">
        <v>50</v>
      </c>
      <c r="AK283" s="7">
        <v>4.74</v>
      </c>
      <c r="AL283" s="7">
        <v>7.76</v>
      </c>
      <c r="AM283" s="7">
        <v>12.42</v>
      </c>
      <c r="AN283" s="7">
        <v>0.60726500000000005</v>
      </c>
      <c r="AO283" s="7">
        <v>60.726477000000003</v>
      </c>
      <c r="AP283" s="7">
        <v>100</v>
      </c>
      <c r="AQ283" s="7">
        <v>0.49480400000000002</v>
      </c>
      <c r="AR283" s="7">
        <v>49.480438999999997</v>
      </c>
      <c r="AS283" s="7">
        <v>100</v>
      </c>
      <c r="AT283" s="7">
        <v>0.56986199999999998</v>
      </c>
      <c r="AU283" s="7">
        <v>0.64772099999999999</v>
      </c>
      <c r="AV283" s="7">
        <v>56.986167000000002</v>
      </c>
      <c r="AW283" s="7">
        <v>100</v>
      </c>
      <c r="AX283" s="7">
        <v>0.49531700000000001</v>
      </c>
      <c r="AY283" s="7">
        <v>0.49423899999999998</v>
      </c>
      <c r="AZ283" s="7">
        <v>49.531680000000001</v>
      </c>
      <c r="BA283" s="7">
        <v>100</v>
      </c>
      <c r="BB283" s="4" t="s">
        <v>124</v>
      </c>
      <c r="BC283" s="4" t="s">
        <v>124</v>
      </c>
      <c r="BD283" s="4" t="s">
        <v>124</v>
      </c>
      <c r="BE283" s="4" t="s">
        <v>124</v>
      </c>
      <c r="BF283" s="4" t="s">
        <v>124</v>
      </c>
      <c r="BG283" s="4" t="s">
        <v>124</v>
      </c>
      <c r="BH283" s="7">
        <v>0</v>
      </c>
      <c r="BI283" s="7">
        <v>1</v>
      </c>
      <c r="BJ283" s="7">
        <v>1</v>
      </c>
      <c r="BK283" s="7">
        <v>1</v>
      </c>
      <c r="BL283" s="7">
        <v>0.99375000000000002</v>
      </c>
      <c r="BM283" s="7">
        <v>1</v>
      </c>
      <c r="BN283" s="7">
        <v>0.98630099999999998</v>
      </c>
      <c r="BO283" s="7">
        <v>1</v>
      </c>
      <c r="BP283" s="7">
        <v>1</v>
      </c>
      <c r="BQ283" s="7">
        <v>1</v>
      </c>
      <c r="BR283" s="7">
        <v>3.125E-2</v>
      </c>
      <c r="BS283" s="7">
        <v>50</v>
      </c>
      <c r="BT283" s="7">
        <v>50</v>
      </c>
      <c r="BU283" s="7">
        <v>4.0697999999999998E-2</v>
      </c>
      <c r="BV283" s="7">
        <v>50</v>
      </c>
      <c r="BW283" s="7">
        <v>50</v>
      </c>
      <c r="BX283" s="4" t="s">
        <v>124</v>
      </c>
      <c r="BY283" s="4" t="s">
        <v>124</v>
      </c>
      <c r="BZ283" s="4" t="s">
        <v>124</v>
      </c>
      <c r="CA283" s="4" t="s">
        <v>124</v>
      </c>
      <c r="CB283" s="4" t="s">
        <v>124</v>
      </c>
      <c r="CC283" s="4" t="s">
        <v>124</v>
      </c>
      <c r="CD283" s="4" t="s">
        <v>124</v>
      </c>
      <c r="CE283" s="4" t="s">
        <v>124</v>
      </c>
      <c r="CF283" s="4" t="s">
        <v>124</v>
      </c>
      <c r="CG283" s="4" t="s">
        <v>124</v>
      </c>
      <c r="CH283" s="4" t="s">
        <v>124</v>
      </c>
      <c r="CI283" s="4" t="s">
        <v>124</v>
      </c>
      <c r="CJ283" s="4" t="s">
        <v>124</v>
      </c>
      <c r="CK283" s="4" t="s">
        <v>124</v>
      </c>
      <c r="CL283" s="4" t="s">
        <v>124</v>
      </c>
      <c r="CM283" s="4" t="s">
        <v>124</v>
      </c>
      <c r="CN283" s="4" t="s">
        <v>124</v>
      </c>
      <c r="CO283" s="4" t="s">
        <v>124</v>
      </c>
      <c r="CP283" s="4" t="s">
        <v>124</v>
      </c>
      <c r="CQ283" s="7">
        <v>0.309091</v>
      </c>
      <c r="CR283" s="7">
        <v>0.98214299999999999</v>
      </c>
      <c r="CS283" s="7">
        <v>20.606061</v>
      </c>
      <c r="CT283" s="7">
        <v>50</v>
      </c>
      <c r="CU283" s="4" t="s">
        <v>124</v>
      </c>
      <c r="CV283" s="4" t="s">
        <v>124</v>
      </c>
      <c r="CW283" s="4" t="s">
        <v>124</v>
      </c>
      <c r="CX283" s="4" t="s">
        <v>124</v>
      </c>
      <c r="CY283" s="4" t="s">
        <v>124</v>
      </c>
      <c r="CZ283" s="4" t="s">
        <v>124</v>
      </c>
      <c r="DA283" s="7">
        <v>15.314097</v>
      </c>
      <c r="DB283" s="7">
        <v>17.400950000000002</v>
      </c>
      <c r="DC283" s="7">
        <v>16.332519999999999</v>
      </c>
      <c r="DD283" s="4" t="s">
        <v>124</v>
      </c>
      <c r="DE283" s="7">
        <v>0</v>
      </c>
      <c r="DF283" s="6"/>
      <c r="DG283" s="6"/>
      <c r="DH283" s="6"/>
      <c r="DI283" s="6"/>
      <c r="DJ283" s="7">
        <v>0</v>
      </c>
      <c r="DK283" s="7">
        <v>0</v>
      </c>
      <c r="DL283" s="7">
        <v>0</v>
      </c>
      <c r="DM283" s="7">
        <v>0</v>
      </c>
      <c r="DN283" s="7">
        <v>0</v>
      </c>
      <c r="DO283" s="7">
        <v>0</v>
      </c>
      <c r="DP283" s="6"/>
      <c r="DQ283" s="4" t="s">
        <v>125</v>
      </c>
    </row>
    <row r="284" spans="1:121" ht="20" customHeight="1" x14ac:dyDescent="0.15">
      <c r="A284" s="5">
        <v>2018</v>
      </c>
      <c r="B284" s="3" t="s">
        <v>225</v>
      </c>
      <c r="C284" s="4" t="str">
        <f t="shared" si="100"/>
        <v>0170011</v>
      </c>
      <c r="D284" s="4" t="s">
        <v>422</v>
      </c>
      <c r="E284" s="4" t="str">
        <f>"0175211"</f>
        <v>0175211</v>
      </c>
      <c r="F284" s="4" t="s">
        <v>327</v>
      </c>
      <c r="G284" s="7">
        <v>6</v>
      </c>
      <c r="H284" s="7">
        <v>8</v>
      </c>
      <c r="I284" s="6"/>
      <c r="J284" s="4" t="s">
        <v>330</v>
      </c>
      <c r="K284" s="7">
        <v>707.18175499999995</v>
      </c>
      <c r="L284" s="7">
        <v>900</v>
      </c>
      <c r="M284" s="7">
        <v>78.575750999999997</v>
      </c>
      <c r="N284" s="7">
        <v>2</v>
      </c>
      <c r="O284" s="7">
        <v>0</v>
      </c>
      <c r="P284" s="7">
        <v>72.025171999999998</v>
      </c>
      <c r="Q284" s="7">
        <v>48.016781000000002</v>
      </c>
      <c r="R284" s="7">
        <v>50</v>
      </c>
      <c r="S284" s="7">
        <v>66.707521999999997</v>
      </c>
      <c r="T284" s="7">
        <v>75</v>
      </c>
      <c r="U284" s="7">
        <v>44.471680999999997</v>
      </c>
      <c r="V284" s="7">
        <v>50</v>
      </c>
      <c r="W284" s="7">
        <v>66.025175000000004</v>
      </c>
      <c r="X284" s="7">
        <v>44.016782999999997</v>
      </c>
      <c r="Y284" s="7">
        <v>50</v>
      </c>
      <c r="Z284" s="7">
        <v>73.088386</v>
      </c>
      <c r="AA284" s="7">
        <v>59.448095000000002</v>
      </c>
      <c r="AB284" s="7">
        <v>39.632063000000002</v>
      </c>
      <c r="AC284" s="7">
        <v>50</v>
      </c>
      <c r="AD284" s="7">
        <v>71.269514999999998</v>
      </c>
      <c r="AE284" s="7">
        <v>47.513010000000001</v>
      </c>
      <c r="AF284" s="7">
        <v>50</v>
      </c>
      <c r="AG284" s="7">
        <v>63.677990999999999</v>
      </c>
      <c r="AH284" s="7">
        <v>75</v>
      </c>
      <c r="AI284" s="7">
        <v>42.451993999999999</v>
      </c>
      <c r="AJ284" s="7">
        <v>50</v>
      </c>
      <c r="AK284" s="7">
        <v>8.2899999999999991</v>
      </c>
      <c r="AL284" s="7">
        <v>13.64</v>
      </c>
      <c r="AM284" s="7">
        <v>11.32</v>
      </c>
      <c r="AN284" s="7">
        <v>0.64809000000000005</v>
      </c>
      <c r="AO284" s="7">
        <v>64.809049000000002</v>
      </c>
      <c r="AP284" s="7">
        <v>100</v>
      </c>
      <c r="AQ284" s="7">
        <v>0.64363700000000001</v>
      </c>
      <c r="AR284" s="7">
        <v>64.363726</v>
      </c>
      <c r="AS284" s="7">
        <v>100</v>
      </c>
      <c r="AT284" s="7">
        <v>0.61769300000000005</v>
      </c>
      <c r="AU284" s="7">
        <v>0.67927099999999996</v>
      </c>
      <c r="AV284" s="7">
        <v>61.769255999999999</v>
      </c>
      <c r="AW284" s="7">
        <v>100</v>
      </c>
      <c r="AX284" s="7">
        <v>0.62347300000000005</v>
      </c>
      <c r="AY284" s="7">
        <v>0.664327</v>
      </c>
      <c r="AZ284" s="7">
        <v>62.347315000000002</v>
      </c>
      <c r="BA284" s="7">
        <v>100</v>
      </c>
      <c r="BB284" s="4" t="s">
        <v>124</v>
      </c>
      <c r="BC284" s="4" t="s">
        <v>124</v>
      </c>
      <c r="BD284" s="4" t="s">
        <v>124</v>
      </c>
      <c r="BE284" s="4" t="s">
        <v>124</v>
      </c>
      <c r="BF284" s="4" t="s">
        <v>124</v>
      </c>
      <c r="BG284" s="4" t="s">
        <v>124</v>
      </c>
      <c r="BH284" s="7">
        <v>0</v>
      </c>
      <c r="BI284" s="7">
        <v>0.99801200000000001</v>
      </c>
      <c r="BJ284" s="7">
        <v>0.99628300000000003</v>
      </c>
      <c r="BK284" s="7">
        <v>1</v>
      </c>
      <c r="BL284" s="7">
        <v>0.99399999999999999</v>
      </c>
      <c r="BM284" s="7">
        <v>0.98880599999999996</v>
      </c>
      <c r="BN284" s="7">
        <v>1</v>
      </c>
      <c r="BO284" s="7">
        <v>0.994286</v>
      </c>
      <c r="BP284" s="7">
        <v>0.98876399999999998</v>
      </c>
      <c r="BQ284" s="7">
        <v>1</v>
      </c>
      <c r="BR284" s="7">
        <v>4.8000000000000001E-2</v>
      </c>
      <c r="BS284" s="7">
        <v>50</v>
      </c>
      <c r="BT284" s="7">
        <v>50</v>
      </c>
      <c r="BU284" s="7">
        <v>7.9545000000000005E-2</v>
      </c>
      <c r="BV284" s="7">
        <v>44.090909000000003</v>
      </c>
      <c r="BW284" s="7">
        <v>50</v>
      </c>
      <c r="BX284" s="4" t="s">
        <v>124</v>
      </c>
      <c r="BY284" s="4" t="s">
        <v>124</v>
      </c>
      <c r="BZ284" s="4" t="s">
        <v>124</v>
      </c>
      <c r="CA284" s="4" t="s">
        <v>124</v>
      </c>
      <c r="CB284" s="4" t="s">
        <v>124</v>
      </c>
      <c r="CC284" s="4" t="s">
        <v>124</v>
      </c>
      <c r="CD284" s="7">
        <v>0.95</v>
      </c>
      <c r="CE284" s="7">
        <v>50</v>
      </c>
      <c r="CF284" s="7">
        <v>50</v>
      </c>
      <c r="CG284" s="4" t="s">
        <v>124</v>
      </c>
      <c r="CH284" s="4" t="s">
        <v>124</v>
      </c>
      <c r="CI284" s="4" t="s">
        <v>124</v>
      </c>
      <c r="CJ284" s="4" t="s">
        <v>124</v>
      </c>
      <c r="CK284" s="4" t="s">
        <v>124</v>
      </c>
      <c r="CL284" s="4" t="s">
        <v>124</v>
      </c>
      <c r="CM284" s="4" t="s">
        <v>124</v>
      </c>
      <c r="CN284" s="4" t="s">
        <v>124</v>
      </c>
      <c r="CO284" s="4" t="s">
        <v>124</v>
      </c>
      <c r="CP284" s="4" t="s">
        <v>124</v>
      </c>
      <c r="CQ284" s="7">
        <v>0.65548799999999996</v>
      </c>
      <c r="CR284" s="7">
        <v>0.96755199999999997</v>
      </c>
      <c r="CS284" s="7">
        <v>43.699187000000002</v>
      </c>
      <c r="CT284" s="7">
        <v>50</v>
      </c>
      <c r="CU284" s="4" t="s">
        <v>124</v>
      </c>
      <c r="CV284" s="4" t="s">
        <v>124</v>
      </c>
      <c r="CW284" s="4" t="s">
        <v>124</v>
      </c>
      <c r="CX284" s="4" t="s">
        <v>124</v>
      </c>
      <c r="CY284" s="4" t="s">
        <v>124</v>
      </c>
      <c r="CZ284" s="4" t="s">
        <v>124</v>
      </c>
      <c r="DA284" s="7">
        <v>15.314097</v>
      </c>
      <c r="DB284" s="7">
        <v>17.400950000000002</v>
      </c>
      <c r="DC284" s="7">
        <v>16.332519999999999</v>
      </c>
      <c r="DD284" s="4" t="s">
        <v>124</v>
      </c>
      <c r="DE284" s="7">
        <v>0</v>
      </c>
      <c r="DF284" s="6"/>
      <c r="DG284" s="6"/>
      <c r="DH284" s="6"/>
      <c r="DI284" s="6"/>
      <c r="DJ284" s="7">
        <v>0</v>
      </c>
      <c r="DK284" s="7">
        <v>0</v>
      </c>
      <c r="DL284" s="7">
        <v>0</v>
      </c>
      <c r="DM284" s="7">
        <v>0</v>
      </c>
      <c r="DN284" s="7">
        <v>0</v>
      </c>
      <c r="DO284" s="7">
        <v>0</v>
      </c>
      <c r="DP284" s="6"/>
      <c r="DQ284" s="4" t="s">
        <v>125</v>
      </c>
    </row>
    <row r="285" spans="1:121" ht="20" customHeight="1" x14ac:dyDescent="0.15">
      <c r="A285" s="5">
        <v>2018</v>
      </c>
      <c r="B285" s="3" t="s">
        <v>225</v>
      </c>
      <c r="C285" s="4" t="str">
        <f t="shared" si="100"/>
        <v>0170011</v>
      </c>
      <c r="D285" s="4" t="s">
        <v>423</v>
      </c>
      <c r="E285" s="4" t="str">
        <f>"0171111"</f>
        <v>0171111</v>
      </c>
      <c r="F285" s="4" t="s">
        <v>327</v>
      </c>
      <c r="G285" s="4" t="s">
        <v>328</v>
      </c>
      <c r="H285" s="7">
        <v>5</v>
      </c>
      <c r="I285" s="4" t="s">
        <v>335</v>
      </c>
      <c r="J285" s="4" t="s">
        <v>330</v>
      </c>
      <c r="K285" s="7">
        <v>603.56769199999997</v>
      </c>
      <c r="L285" s="7">
        <v>850</v>
      </c>
      <c r="M285" s="7">
        <v>71.007964000000001</v>
      </c>
      <c r="N285" s="7">
        <v>2</v>
      </c>
      <c r="O285" s="7">
        <v>0</v>
      </c>
      <c r="P285" s="7">
        <v>70.484402000000003</v>
      </c>
      <c r="Q285" s="7">
        <v>46.989601999999998</v>
      </c>
      <c r="R285" s="7">
        <v>50</v>
      </c>
      <c r="S285" s="7">
        <v>65.596863999999997</v>
      </c>
      <c r="T285" s="7">
        <v>75</v>
      </c>
      <c r="U285" s="7">
        <v>43.731242000000002</v>
      </c>
      <c r="V285" s="7">
        <v>50</v>
      </c>
      <c r="W285" s="7">
        <v>65.369901999999996</v>
      </c>
      <c r="X285" s="7">
        <v>43.579934000000002</v>
      </c>
      <c r="Y285" s="7">
        <v>50</v>
      </c>
      <c r="Z285" s="7">
        <v>73.579652999999993</v>
      </c>
      <c r="AA285" s="7">
        <v>59.851872</v>
      </c>
      <c r="AB285" s="7">
        <v>39.901248000000002</v>
      </c>
      <c r="AC285" s="7">
        <v>50</v>
      </c>
      <c r="AD285" s="7">
        <v>70.218082999999993</v>
      </c>
      <c r="AE285" s="7">
        <v>46.812055000000001</v>
      </c>
      <c r="AF285" s="7">
        <v>50</v>
      </c>
      <c r="AG285" s="7">
        <v>65.887096999999997</v>
      </c>
      <c r="AH285" s="7">
        <v>75</v>
      </c>
      <c r="AI285" s="7">
        <v>43.924731000000001</v>
      </c>
      <c r="AJ285" s="7">
        <v>50</v>
      </c>
      <c r="AK285" s="7">
        <v>9.4</v>
      </c>
      <c r="AL285" s="7">
        <v>13.72</v>
      </c>
      <c r="AM285" s="7">
        <v>9.11</v>
      </c>
      <c r="AN285" s="7">
        <v>0.53623699999999996</v>
      </c>
      <c r="AO285" s="7">
        <v>53.623714999999997</v>
      </c>
      <c r="AP285" s="7">
        <v>100</v>
      </c>
      <c r="AQ285" s="7">
        <v>0.56005099999999997</v>
      </c>
      <c r="AR285" s="7">
        <v>56.005124000000002</v>
      </c>
      <c r="AS285" s="7">
        <v>100</v>
      </c>
      <c r="AT285" s="7">
        <v>0.48586400000000002</v>
      </c>
      <c r="AU285" s="7">
        <v>0.61047200000000001</v>
      </c>
      <c r="AV285" s="7">
        <v>48.586354999999998</v>
      </c>
      <c r="AW285" s="7">
        <v>100</v>
      </c>
      <c r="AX285" s="7">
        <v>0.537107</v>
      </c>
      <c r="AY285" s="7">
        <v>0.59386399999999995</v>
      </c>
      <c r="AZ285" s="7">
        <v>53.710653999999998</v>
      </c>
      <c r="BA285" s="7">
        <v>100</v>
      </c>
      <c r="BB285" s="4" t="s">
        <v>124</v>
      </c>
      <c r="BC285" s="4" t="s">
        <v>124</v>
      </c>
      <c r="BD285" s="4" t="s">
        <v>124</v>
      </c>
      <c r="BE285" s="4" t="s">
        <v>124</v>
      </c>
      <c r="BF285" s="4" t="s">
        <v>124</v>
      </c>
      <c r="BG285" s="4" t="s">
        <v>124</v>
      </c>
      <c r="BH285" s="7">
        <v>0</v>
      </c>
      <c r="BI285" s="7">
        <v>1</v>
      </c>
      <c r="BJ285" s="7">
        <v>1</v>
      </c>
      <c r="BK285" s="7">
        <v>1</v>
      </c>
      <c r="BL285" s="7">
        <v>1</v>
      </c>
      <c r="BM285" s="7">
        <v>1</v>
      </c>
      <c r="BN285" s="7">
        <v>1</v>
      </c>
      <c r="BO285" s="7">
        <v>1</v>
      </c>
      <c r="BP285" s="7">
        <v>1</v>
      </c>
      <c r="BQ285" s="7">
        <v>1</v>
      </c>
      <c r="BR285" s="7">
        <v>4.8611000000000001E-2</v>
      </c>
      <c r="BS285" s="7">
        <v>50</v>
      </c>
      <c r="BT285" s="7">
        <v>50</v>
      </c>
      <c r="BU285" s="7">
        <v>6.8000000000000005E-2</v>
      </c>
      <c r="BV285" s="7">
        <v>46.4</v>
      </c>
      <c r="BW285" s="7">
        <v>50</v>
      </c>
      <c r="BX285" s="4" t="s">
        <v>124</v>
      </c>
      <c r="BY285" s="4" t="s">
        <v>124</v>
      </c>
      <c r="BZ285" s="4" t="s">
        <v>124</v>
      </c>
      <c r="CA285" s="4" t="s">
        <v>124</v>
      </c>
      <c r="CB285" s="4" t="s">
        <v>124</v>
      </c>
      <c r="CC285" s="4" t="s">
        <v>124</v>
      </c>
      <c r="CD285" s="4" t="s">
        <v>124</v>
      </c>
      <c r="CE285" s="4" t="s">
        <v>124</v>
      </c>
      <c r="CF285" s="4" t="s">
        <v>124</v>
      </c>
      <c r="CG285" s="4" t="s">
        <v>124</v>
      </c>
      <c r="CH285" s="4" t="s">
        <v>124</v>
      </c>
      <c r="CI285" s="4" t="s">
        <v>124</v>
      </c>
      <c r="CJ285" s="4" t="s">
        <v>124</v>
      </c>
      <c r="CK285" s="4" t="s">
        <v>124</v>
      </c>
      <c r="CL285" s="4" t="s">
        <v>124</v>
      </c>
      <c r="CM285" s="4" t="s">
        <v>124</v>
      </c>
      <c r="CN285" s="4" t="s">
        <v>124</v>
      </c>
      <c r="CO285" s="4" t="s">
        <v>124</v>
      </c>
      <c r="CP285" s="4" t="s">
        <v>124</v>
      </c>
      <c r="CQ285" s="7">
        <v>0.45454499999999998</v>
      </c>
      <c r="CR285" s="7">
        <v>1.0694440000000001</v>
      </c>
      <c r="CS285" s="7">
        <v>30.30303</v>
      </c>
      <c r="CT285" s="7">
        <v>50</v>
      </c>
      <c r="CU285" s="4" t="s">
        <v>124</v>
      </c>
      <c r="CV285" s="4" t="s">
        <v>124</v>
      </c>
      <c r="CW285" s="4" t="s">
        <v>124</v>
      </c>
      <c r="CX285" s="4" t="s">
        <v>124</v>
      </c>
      <c r="CY285" s="4" t="s">
        <v>124</v>
      </c>
      <c r="CZ285" s="4" t="s">
        <v>124</v>
      </c>
      <c r="DA285" s="7">
        <v>15.314097</v>
      </c>
      <c r="DB285" s="7">
        <v>17.400950000000002</v>
      </c>
      <c r="DC285" s="7">
        <v>16.332519999999999</v>
      </c>
      <c r="DD285" s="4" t="s">
        <v>124</v>
      </c>
      <c r="DE285" s="7">
        <v>0</v>
      </c>
      <c r="DF285" s="6"/>
      <c r="DG285" s="6"/>
      <c r="DH285" s="6"/>
      <c r="DI285" s="6"/>
      <c r="DJ285" s="7">
        <v>0</v>
      </c>
      <c r="DK285" s="7">
        <v>0</v>
      </c>
      <c r="DL285" s="7">
        <v>0</v>
      </c>
      <c r="DM285" s="7">
        <v>0</v>
      </c>
      <c r="DN285" s="7">
        <v>0</v>
      </c>
      <c r="DO285" s="7">
        <v>0</v>
      </c>
      <c r="DP285" s="6"/>
      <c r="DQ285" s="4" t="s">
        <v>125</v>
      </c>
    </row>
    <row r="286" spans="1:121" ht="20" customHeight="1" x14ac:dyDescent="0.15">
      <c r="A286" s="5">
        <v>2018</v>
      </c>
      <c r="B286" s="3" t="s">
        <v>225</v>
      </c>
      <c r="C286" s="4" t="str">
        <f t="shared" si="100"/>
        <v>0170011</v>
      </c>
      <c r="D286" s="4" t="s">
        <v>424</v>
      </c>
      <c r="E286" s="4" t="str">
        <f>"0171211"</f>
        <v>0171211</v>
      </c>
      <c r="F286" s="4" t="s">
        <v>327</v>
      </c>
      <c r="G286" s="4" t="s">
        <v>328</v>
      </c>
      <c r="H286" s="7">
        <v>5</v>
      </c>
      <c r="I286" s="4" t="s">
        <v>335</v>
      </c>
      <c r="J286" s="4" t="s">
        <v>330</v>
      </c>
      <c r="K286" s="7">
        <v>551.481675</v>
      </c>
      <c r="L286" s="7">
        <v>850</v>
      </c>
      <c r="M286" s="7">
        <v>64.880196999999995</v>
      </c>
      <c r="N286" s="7">
        <v>3</v>
      </c>
      <c r="O286" s="7">
        <v>0</v>
      </c>
      <c r="P286" s="7">
        <v>62.900132999999997</v>
      </c>
      <c r="Q286" s="7">
        <v>41.933422</v>
      </c>
      <c r="R286" s="7">
        <v>50</v>
      </c>
      <c r="S286" s="7">
        <v>58.225126000000003</v>
      </c>
      <c r="T286" s="7">
        <v>71.470979999999997</v>
      </c>
      <c r="U286" s="7">
        <v>38.816749999999999</v>
      </c>
      <c r="V286" s="7">
        <v>50</v>
      </c>
      <c r="W286" s="7">
        <v>57.889890000000001</v>
      </c>
      <c r="X286" s="7">
        <v>38.593260000000001</v>
      </c>
      <c r="Y286" s="7">
        <v>50</v>
      </c>
      <c r="Z286" s="7">
        <v>67.797596999999996</v>
      </c>
      <c r="AA286" s="7">
        <v>52.394858999999997</v>
      </c>
      <c r="AB286" s="7">
        <v>34.929906000000003</v>
      </c>
      <c r="AC286" s="7">
        <v>50</v>
      </c>
      <c r="AD286" s="7">
        <v>63.353745000000004</v>
      </c>
      <c r="AE286" s="7">
        <v>42.23583</v>
      </c>
      <c r="AF286" s="7">
        <v>50</v>
      </c>
      <c r="AG286" s="7">
        <v>58.972462999999998</v>
      </c>
      <c r="AH286" s="4" t="s">
        <v>124</v>
      </c>
      <c r="AI286" s="7">
        <v>39.314974999999997</v>
      </c>
      <c r="AJ286" s="7">
        <v>50</v>
      </c>
      <c r="AK286" s="7">
        <v>13.24</v>
      </c>
      <c r="AL286" s="7">
        <v>15.4</v>
      </c>
      <c r="AM286" s="4" t="s">
        <v>124</v>
      </c>
      <c r="AN286" s="7">
        <v>0.53216300000000005</v>
      </c>
      <c r="AO286" s="7">
        <v>53.216278000000003</v>
      </c>
      <c r="AP286" s="7">
        <v>100</v>
      </c>
      <c r="AQ286" s="7">
        <v>0.55562199999999995</v>
      </c>
      <c r="AR286" s="7">
        <v>55.562196</v>
      </c>
      <c r="AS286" s="7">
        <v>100</v>
      </c>
      <c r="AT286" s="7">
        <v>0.51499099999999998</v>
      </c>
      <c r="AU286" s="7">
        <v>0.56091500000000005</v>
      </c>
      <c r="AV286" s="7">
        <v>51.499144000000001</v>
      </c>
      <c r="AW286" s="7">
        <v>100</v>
      </c>
      <c r="AX286" s="7">
        <v>0.53822099999999995</v>
      </c>
      <c r="AY286" s="7">
        <v>0.58394900000000005</v>
      </c>
      <c r="AZ286" s="7">
        <v>53.822130999999999</v>
      </c>
      <c r="BA286" s="7">
        <v>100</v>
      </c>
      <c r="BB286" s="4" t="s">
        <v>124</v>
      </c>
      <c r="BC286" s="4" t="s">
        <v>124</v>
      </c>
      <c r="BD286" s="4" t="s">
        <v>124</v>
      </c>
      <c r="BE286" s="4" t="s">
        <v>124</v>
      </c>
      <c r="BF286" s="4" t="s">
        <v>124</v>
      </c>
      <c r="BG286" s="4" t="s">
        <v>124</v>
      </c>
      <c r="BH286" s="7">
        <v>0</v>
      </c>
      <c r="BI286" s="7">
        <v>0.99512199999999995</v>
      </c>
      <c r="BJ286" s="7">
        <v>0.99275400000000003</v>
      </c>
      <c r="BK286" s="7">
        <v>1</v>
      </c>
      <c r="BL286" s="7">
        <v>0.99019599999999997</v>
      </c>
      <c r="BM286" s="7">
        <v>0.98540099999999997</v>
      </c>
      <c r="BN286" s="7">
        <v>1</v>
      </c>
      <c r="BO286" s="7">
        <v>1</v>
      </c>
      <c r="BP286" s="7">
        <v>1</v>
      </c>
      <c r="BQ286" s="4" t="s">
        <v>124</v>
      </c>
      <c r="BR286" s="7">
        <v>6.5041000000000002E-2</v>
      </c>
      <c r="BS286" s="7">
        <v>46.991869999999999</v>
      </c>
      <c r="BT286" s="7">
        <v>50</v>
      </c>
      <c r="BU286" s="7">
        <v>9.2827000000000007E-2</v>
      </c>
      <c r="BV286" s="7">
        <v>41.434598999999999</v>
      </c>
      <c r="BW286" s="7">
        <v>50</v>
      </c>
      <c r="BX286" s="4" t="s">
        <v>124</v>
      </c>
      <c r="BY286" s="4" t="s">
        <v>124</v>
      </c>
      <c r="BZ286" s="4" t="s">
        <v>124</v>
      </c>
      <c r="CA286" s="4" t="s">
        <v>124</v>
      </c>
      <c r="CB286" s="4" t="s">
        <v>124</v>
      </c>
      <c r="CC286" s="4" t="s">
        <v>124</v>
      </c>
      <c r="CD286" s="4" t="s">
        <v>124</v>
      </c>
      <c r="CE286" s="4" t="s">
        <v>124</v>
      </c>
      <c r="CF286" s="4" t="s">
        <v>124</v>
      </c>
      <c r="CG286" s="4" t="s">
        <v>124</v>
      </c>
      <c r="CH286" s="4" t="s">
        <v>124</v>
      </c>
      <c r="CI286" s="4" t="s">
        <v>124</v>
      </c>
      <c r="CJ286" s="4" t="s">
        <v>124</v>
      </c>
      <c r="CK286" s="4" t="s">
        <v>124</v>
      </c>
      <c r="CL286" s="4" t="s">
        <v>124</v>
      </c>
      <c r="CM286" s="4" t="s">
        <v>124</v>
      </c>
      <c r="CN286" s="4" t="s">
        <v>124</v>
      </c>
      <c r="CO286" s="4" t="s">
        <v>124</v>
      </c>
      <c r="CP286" s="4" t="s">
        <v>124</v>
      </c>
      <c r="CQ286" s="7">
        <v>0.19697000000000001</v>
      </c>
      <c r="CR286" s="7">
        <v>0.97058800000000001</v>
      </c>
      <c r="CS286" s="7">
        <v>13.131313</v>
      </c>
      <c r="CT286" s="7">
        <v>50</v>
      </c>
      <c r="CU286" s="4" t="s">
        <v>124</v>
      </c>
      <c r="CV286" s="4" t="s">
        <v>124</v>
      </c>
      <c r="CW286" s="4" t="s">
        <v>124</v>
      </c>
      <c r="CX286" s="4" t="s">
        <v>124</v>
      </c>
      <c r="CY286" s="4" t="s">
        <v>124</v>
      </c>
      <c r="CZ286" s="4" t="s">
        <v>124</v>
      </c>
      <c r="DA286" s="7">
        <v>15.314097</v>
      </c>
      <c r="DB286" s="7">
        <v>17.400950000000002</v>
      </c>
      <c r="DC286" s="7">
        <v>16.332519999999999</v>
      </c>
      <c r="DD286" s="4" t="s">
        <v>124</v>
      </c>
      <c r="DE286" s="7">
        <v>0</v>
      </c>
      <c r="DF286" s="6"/>
      <c r="DG286" s="6"/>
      <c r="DH286" s="6"/>
      <c r="DI286" s="6"/>
      <c r="DJ286" s="7">
        <v>0</v>
      </c>
      <c r="DK286" s="7">
        <v>0</v>
      </c>
      <c r="DL286" s="7">
        <v>0</v>
      </c>
      <c r="DM286" s="7">
        <v>0</v>
      </c>
      <c r="DN286" s="7">
        <v>0</v>
      </c>
      <c r="DO286" s="7">
        <v>0</v>
      </c>
      <c r="DP286" s="6"/>
      <c r="DQ286" s="4" t="s">
        <v>125</v>
      </c>
    </row>
    <row r="287" spans="1:121" ht="20" customHeight="1" x14ac:dyDescent="0.15">
      <c r="A287" s="5">
        <v>2018</v>
      </c>
      <c r="B287" s="3" t="s">
        <v>225</v>
      </c>
      <c r="C287" s="4" t="str">
        <f t="shared" si="100"/>
        <v>0170011</v>
      </c>
      <c r="D287" s="4" t="s">
        <v>425</v>
      </c>
      <c r="E287" s="4" t="str">
        <f>"0172011"</f>
        <v>0172011</v>
      </c>
      <c r="F287" s="4" t="s">
        <v>327</v>
      </c>
      <c r="G287" s="4" t="s">
        <v>338</v>
      </c>
      <c r="H287" s="7">
        <v>8</v>
      </c>
      <c r="I287" s="4" t="s">
        <v>335</v>
      </c>
      <c r="J287" s="4" t="s">
        <v>330</v>
      </c>
      <c r="K287" s="7">
        <v>696.27884200000005</v>
      </c>
      <c r="L287" s="7">
        <v>1000</v>
      </c>
      <c r="M287" s="7">
        <v>69.627883999999995</v>
      </c>
      <c r="N287" s="7">
        <v>3</v>
      </c>
      <c r="O287" s="7">
        <v>1</v>
      </c>
      <c r="P287" s="7">
        <v>64.581349000000003</v>
      </c>
      <c r="Q287" s="7">
        <v>43.054231999999999</v>
      </c>
      <c r="R287" s="7">
        <v>50</v>
      </c>
      <c r="S287" s="7">
        <v>59.359057999999997</v>
      </c>
      <c r="T287" s="7">
        <v>75</v>
      </c>
      <c r="U287" s="7">
        <v>39.572704999999999</v>
      </c>
      <c r="V287" s="7">
        <v>50</v>
      </c>
      <c r="W287" s="7">
        <v>59.397593000000001</v>
      </c>
      <c r="X287" s="7">
        <v>39.598394999999996</v>
      </c>
      <c r="Y287" s="7">
        <v>50</v>
      </c>
      <c r="Z287" s="7">
        <v>69.650630000000007</v>
      </c>
      <c r="AA287" s="7">
        <v>54.389682999999998</v>
      </c>
      <c r="AB287" s="7">
        <v>36.259788999999998</v>
      </c>
      <c r="AC287" s="7">
        <v>50</v>
      </c>
      <c r="AD287" s="7">
        <v>64.430368000000001</v>
      </c>
      <c r="AE287" s="7">
        <v>42.953578999999998</v>
      </c>
      <c r="AF287" s="7">
        <v>50</v>
      </c>
      <c r="AG287" s="7">
        <v>57.692475999999999</v>
      </c>
      <c r="AH287" s="7">
        <v>75</v>
      </c>
      <c r="AI287" s="7">
        <v>38.461651000000003</v>
      </c>
      <c r="AJ287" s="7">
        <v>50</v>
      </c>
      <c r="AK287" s="7">
        <v>15.64</v>
      </c>
      <c r="AL287" s="7">
        <v>15.26</v>
      </c>
      <c r="AM287" s="7">
        <v>17.3</v>
      </c>
      <c r="AN287" s="7">
        <v>0.53151800000000005</v>
      </c>
      <c r="AO287" s="7">
        <v>53.151823</v>
      </c>
      <c r="AP287" s="7">
        <v>100</v>
      </c>
      <c r="AQ287" s="7">
        <v>0.60247300000000004</v>
      </c>
      <c r="AR287" s="7">
        <v>60.247312999999998</v>
      </c>
      <c r="AS287" s="7">
        <v>100</v>
      </c>
      <c r="AT287" s="7">
        <v>0.52576500000000004</v>
      </c>
      <c r="AU287" s="7">
        <v>0.542408</v>
      </c>
      <c r="AV287" s="7">
        <v>52.576524999999997</v>
      </c>
      <c r="AW287" s="7">
        <v>100</v>
      </c>
      <c r="AX287" s="7">
        <v>0.59641900000000003</v>
      </c>
      <c r="AY287" s="7">
        <v>0.61371600000000004</v>
      </c>
      <c r="AZ287" s="7">
        <v>59.641941000000003</v>
      </c>
      <c r="BA287" s="7">
        <v>100</v>
      </c>
      <c r="BB287" s="7">
        <v>0.72177899999999995</v>
      </c>
      <c r="BC287" s="7">
        <v>36.088970000000003</v>
      </c>
      <c r="BD287" s="7">
        <v>50</v>
      </c>
      <c r="BE287" s="7">
        <v>0.50223700000000004</v>
      </c>
      <c r="BF287" s="7">
        <v>25.111841999999999</v>
      </c>
      <c r="BG287" s="7">
        <v>50</v>
      </c>
      <c r="BH287" s="7">
        <v>0</v>
      </c>
      <c r="BI287" s="7">
        <v>0.98894199999999999</v>
      </c>
      <c r="BJ287" s="7">
        <v>0.98626999999999998</v>
      </c>
      <c r="BK287" s="7">
        <v>0.99489799999999995</v>
      </c>
      <c r="BL287" s="7">
        <v>0.98885400000000001</v>
      </c>
      <c r="BM287" s="7">
        <v>0.98611099999999996</v>
      </c>
      <c r="BN287" s="7">
        <v>0.99489799999999995</v>
      </c>
      <c r="BO287" s="7">
        <v>0.98130799999999996</v>
      </c>
      <c r="BP287" s="7">
        <v>0.97036999999999995</v>
      </c>
      <c r="BQ287" s="7">
        <v>1</v>
      </c>
      <c r="BR287" s="7">
        <v>9.6070000000000003E-2</v>
      </c>
      <c r="BS287" s="7">
        <v>40.786026</v>
      </c>
      <c r="BT287" s="7">
        <v>50</v>
      </c>
      <c r="BU287" s="7">
        <v>0.12578600000000001</v>
      </c>
      <c r="BV287" s="7">
        <v>34.842767000000002</v>
      </c>
      <c r="BW287" s="7">
        <v>50</v>
      </c>
      <c r="BX287" s="4" t="s">
        <v>124</v>
      </c>
      <c r="BY287" s="4" t="s">
        <v>124</v>
      </c>
      <c r="BZ287" s="4" t="s">
        <v>124</v>
      </c>
      <c r="CA287" s="4" t="s">
        <v>124</v>
      </c>
      <c r="CB287" s="4" t="s">
        <v>124</v>
      </c>
      <c r="CC287" s="4" t="s">
        <v>124</v>
      </c>
      <c r="CD287" s="7">
        <v>0.90625</v>
      </c>
      <c r="CE287" s="7">
        <v>48.204787000000003</v>
      </c>
      <c r="CF287" s="7">
        <v>50</v>
      </c>
      <c r="CG287" s="4" t="s">
        <v>124</v>
      </c>
      <c r="CH287" s="4" t="s">
        <v>124</v>
      </c>
      <c r="CI287" s="4" t="s">
        <v>124</v>
      </c>
      <c r="CJ287" s="4" t="s">
        <v>124</v>
      </c>
      <c r="CK287" s="4" t="s">
        <v>124</v>
      </c>
      <c r="CL287" s="4" t="s">
        <v>124</v>
      </c>
      <c r="CM287" s="4" t="s">
        <v>124</v>
      </c>
      <c r="CN287" s="4" t="s">
        <v>124</v>
      </c>
      <c r="CO287" s="4" t="s">
        <v>124</v>
      </c>
      <c r="CP287" s="4" t="s">
        <v>124</v>
      </c>
      <c r="CQ287" s="7">
        <v>0.68589699999999998</v>
      </c>
      <c r="CR287" s="7">
        <v>0.99047600000000002</v>
      </c>
      <c r="CS287" s="7">
        <v>45.726495999999997</v>
      </c>
      <c r="CT287" s="7">
        <v>50</v>
      </c>
      <c r="CU287" s="4" t="s">
        <v>124</v>
      </c>
      <c r="CV287" s="4" t="s">
        <v>124</v>
      </c>
      <c r="CW287" s="4" t="s">
        <v>124</v>
      </c>
      <c r="CX287" s="4" t="s">
        <v>124</v>
      </c>
      <c r="CY287" s="4" t="s">
        <v>124</v>
      </c>
      <c r="CZ287" s="4" t="s">
        <v>124</v>
      </c>
      <c r="DA287" s="7">
        <v>15.314097</v>
      </c>
      <c r="DB287" s="7">
        <v>17.400950000000002</v>
      </c>
      <c r="DC287" s="7">
        <v>16.332519999999999</v>
      </c>
      <c r="DD287" s="4" t="s">
        <v>124</v>
      </c>
      <c r="DE287" s="7">
        <v>1</v>
      </c>
      <c r="DF287" s="6"/>
      <c r="DG287" s="6"/>
      <c r="DH287" s="6"/>
      <c r="DI287" s="6"/>
      <c r="DJ287" s="7">
        <v>0</v>
      </c>
      <c r="DK287" s="7">
        <v>0</v>
      </c>
      <c r="DL287" s="7">
        <v>0</v>
      </c>
      <c r="DM287" s="7">
        <v>0</v>
      </c>
      <c r="DN287" s="7">
        <v>0</v>
      </c>
      <c r="DO287" s="7">
        <v>0</v>
      </c>
      <c r="DP287" s="6"/>
      <c r="DQ287" s="4" t="s">
        <v>125</v>
      </c>
    </row>
    <row r="288" spans="1:121" ht="20" customHeight="1" x14ac:dyDescent="0.15">
      <c r="A288" s="5">
        <v>2018</v>
      </c>
      <c r="B288" s="3" t="s">
        <v>126</v>
      </c>
      <c r="C288" s="4" t="str">
        <f t="shared" si="2"/>
        <v>0180011</v>
      </c>
      <c r="D288" s="4" t="s">
        <v>426</v>
      </c>
      <c r="E288" s="4" t="str">
        <f>"0186111"</f>
        <v>0186111</v>
      </c>
      <c r="F288" s="4" t="s">
        <v>327</v>
      </c>
      <c r="G288" s="7">
        <v>9</v>
      </c>
      <c r="H288" s="7">
        <v>12</v>
      </c>
      <c r="I288" s="6"/>
      <c r="J288" s="4" t="s">
        <v>330</v>
      </c>
      <c r="K288" s="7">
        <v>1252.3949769999999</v>
      </c>
      <c r="L288" s="7">
        <v>1450</v>
      </c>
      <c r="M288" s="7">
        <v>86.372067000000001</v>
      </c>
      <c r="N288" s="7">
        <v>2</v>
      </c>
      <c r="O288" s="7">
        <v>1</v>
      </c>
      <c r="P288" s="7">
        <v>64.513172999999995</v>
      </c>
      <c r="Q288" s="7">
        <v>129.02634599999999</v>
      </c>
      <c r="R288" s="7">
        <v>150</v>
      </c>
      <c r="S288" s="7">
        <v>54.486311999999998</v>
      </c>
      <c r="T288" s="7">
        <v>70.048000000000002</v>
      </c>
      <c r="U288" s="7">
        <v>108.97262499999999</v>
      </c>
      <c r="V288" s="7">
        <v>150</v>
      </c>
      <c r="W288" s="7">
        <v>64.689576000000002</v>
      </c>
      <c r="X288" s="7">
        <v>129.379152</v>
      </c>
      <c r="Y288" s="7">
        <v>150</v>
      </c>
      <c r="Z288" s="7">
        <v>69.52</v>
      </c>
      <c r="AA288" s="7">
        <v>55.938808000000002</v>
      </c>
      <c r="AB288" s="7">
        <v>111.877617</v>
      </c>
      <c r="AC288" s="7">
        <v>150</v>
      </c>
      <c r="AD288" s="7">
        <v>63.511643999999997</v>
      </c>
      <c r="AE288" s="7">
        <v>84.682192000000001</v>
      </c>
      <c r="AF288" s="7">
        <v>100</v>
      </c>
      <c r="AG288" s="7">
        <v>56.795667999999999</v>
      </c>
      <c r="AH288" s="7">
        <v>67.248759000000007</v>
      </c>
      <c r="AI288" s="7">
        <v>75.727557000000004</v>
      </c>
      <c r="AJ288" s="7">
        <v>100</v>
      </c>
      <c r="AK288" s="7">
        <v>15.56</v>
      </c>
      <c r="AL288" s="7">
        <v>13.58</v>
      </c>
      <c r="AM288" s="7">
        <v>10.45</v>
      </c>
      <c r="AN288" s="4" t="s">
        <v>124</v>
      </c>
      <c r="AO288" s="4" t="s">
        <v>124</v>
      </c>
      <c r="AP288" s="4" t="s">
        <v>124</v>
      </c>
      <c r="AQ288" s="4" t="s">
        <v>124</v>
      </c>
      <c r="AR288" s="4" t="s">
        <v>124</v>
      </c>
      <c r="AS288" s="4" t="s">
        <v>124</v>
      </c>
      <c r="AT288" s="4" t="s">
        <v>124</v>
      </c>
      <c r="AU288" s="4" t="s">
        <v>124</v>
      </c>
      <c r="AV288" s="4" t="s">
        <v>124</v>
      </c>
      <c r="AW288" s="4" t="s">
        <v>124</v>
      </c>
      <c r="AX288" s="4" t="s">
        <v>124</v>
      </c>
      <c r="AY288" s="4" t="s">
        <v>124</v>
      </c>
      <c r="AZ288" s="4" t="s">
        <v>124</v>
      </c>
      <c r="BA288" s="4" t="s">
        <v>124</v>
      </c>
      <c r="BB288" s="4" t="s">
        <v>124</v>
      </c>
      <c r="BC288" s="4" t="s">
        <v>124</v>
      </c>
      <c r="BD288" s="4" t="s">
        <v>124</v>
      </c>
      <c r="BE288" s="4" t="s">
        <v>124</v>
      </c>
      <c r="BF288" s="4" t="s">
        <v>124</v>
      </c>
      <c r="BG288" s="4" t="s">
        <v>124</v>
      </c>
      <c r="BH288" s="7">
        <v>0</v>
      </c>
      <c r="BI288" s="7">
        <v>0.97560999999999998</v>
      </c>
      <c r="BJ288" s="7">
        <v>0.96</v>
      </c>
      <c r="BK288" s="7">
        <v>0.98461500000000002</v>
      </c>
      <c r="BL288" s="7">
        <v>0.97560999999999998</v>
      </c>
      <c r="BM288" s="7">
        <v>0.96</v>
      </c>
      <c r="BN288" s="7">
        <v>0.98461500000000002</v>
      </c>
      <c r="BO288" s="7">
        <v>0.97087400000000001</v>
      </c>
      <c r="BP288" s="7">
        <v>0.96052599999999999</v>
      </c>
      <c r="BQ288" s="7">
        <v>0.97692299999999999</v>
      </c>
      <c r="BR288" s="7">
        <v>6.0780000000000001E-2</v>
      </c>
      <c r="BS288" s="7">
        <v>47.844037</v>
      </c>
      <c r="BT288" s="7">
        <v>50</v>
      </c>
      <c r="BU288" s="7">
        <v>0.12851399999999999</v>
      </c>
      <c r="BV288" s="7">
        <v>34.297189000000003</v>
      </c>
      <c r="BW288" s="7">
        <v>50</v>
      </c>
      <c r="BX288" s="7">
        <v>0.95145599999999997</v>
      </c>
      <c r="BY288" s="7">
        <v>50</v>
      </c>
      <c r="BZ288" s="7">
        <v>50</v>
      </c>
      <c r="CA288" s="7">
        <v>0.68932000000000004</v>
      </c>
      <c r="CB288" s="7">
        <v>45.954692999999999</v>
      </c>
      <c r="CC288" s="7">
        <v>50</v>
      </c>
      <c r="CD288" s="7">
        <v>0.94957999999999998</v>
      </c>
      <c r="CE288" s="7">
        <v>50</v>
      </c>
      <c r="CF288" s="7">
        <v>50</v>
      </c>
      <c r="CG288" s="7">
        <v>0.96650700000000001</v>
      </c>
      <c r="CH288" s="7">
        <v>100</v>
      </c>
      <c r="CI288" s="7">
        <v>100</v>
      </c>
      <c r="CJ288" s="7">
        <v>0</v>
      </c>
      <c r="CK288" s="7">
        <v>0.9</v>
      </c>
      <c r="CL288" s="7">
        <v>95.744681</v>
      </c>
      <c r="CM288" s="7">
        <v>100</v>
      </c>
      <c r="CN288" s="7">
        <v>0.864734</v>
      </c>
      <c r="CO288" s="7">
        <v>100</v>
      </c>
      <c r="CP288" s="7">
        <v>100</v>
      </c>
      <c r="CQ288" s="7">
        <v>0.58333299999999999</v>
      </c>
      <c r="CR288" s="7">
        <v>0.97297299999999998</v>
      </c>
      <c r="CS288" s="7">
        <v>38.888888999999999</v>
      </c>
      <c r="CT288" s="7">
        <v>50</v>
      </c>
      <c r="CU288" s="7">
        <v>0.60321100000000005</v>
      </c>
      <c r="CV288" s="7">
        <v>50</v>
      </c>
      <c r="CW288" s="7">
        <v>50</v>
      </c>
      <c r="CX288" s="7">
        <v>0.9</v>
      </c>
      <c r="CY288" s="7">
        <v>0.94</v>
      </c>
      <c r="CZ288" s="7">
        <v>0.04</v>
      </c>
      <c r="DA288" s="7">
        <v>15.314097</v>
      </c>
      <c r="DB288" s="7">
        <v>17.400950000000002</v>
      </c>
      <c r="DC288" s="7">
        <v>16.332519999999999</v>
      </c>
      <c r="DD288" s="7">
        <v>7.9891730000000001</v>
      </c>
      <c r="DE288" s="7">
        <v>1</v>
      </c>
      <c r="DF288" s="6"/>
      <c r="DG288" s="6"/>
      <c r="DH288" s="6"/>
      <c r="DI288" s="6"/>
      <c r="DJ288" s="7">
        <v>0</v>
      </c>
      <c r="DK288" s="7">
        <v>0</v>
      </c>
      <c r="DL288" s="7">
        <v>0</v>
      </c>
      <c r="DM288" s="7">
        <v>0</v>
      </c>
      <c r="DN288" s="7">
        <v>0</v>
      </c>
      <c r="DO288" s="7">
        <v>0</v>
      </c>
      <c r="DP288" s="6"/>
      <c r="DQ288" s="4" t="s">
        <v>125</v>
      </c>
    </row>
    <row r="289" spans="1:121" ht="20" customHeight="1" x14ac:dyDescent="0.15">
      <c r="A289" s="5">
        <v>2018</v>
      </c>
      <c r="B289" s="3" t="s">
        <v>126</v>
      </c>
      <c r="C289" s="4" t="str">
        <f t="shared" ref="C289:C291" si="189">"0180011"</f>
        <v>0180011</v>
      </c>
      <c r="D289" s="4" t="s">
        <v>427</v>
      </c>
      <c r="E289" s="4" t="str">
        <f>"0180311"</f>
        <v>0180311</v>
      </c>
      <c r="F289" s="4" t="s">
        <v>327</v>
      </c>
      <c r="G289" s="4" t="s">
        <v>328</v>
      </c>
      <c r="H289" s="7">
        <v>1</v>
      </c>
      <c r="I289" s="6"/>
      <c r="J289" s="4" t="s">
        <v>330</v>
      </c>
      <c r="K289" s="7">
        <v>96.125</v>
      </c>
      <c r="L289" s="7">
        <v>100</v>
      </c>
      <c r="M289" s="7">
        <v>96.125</v>
      </c>
      <c r="N289" s="4" t="s">
        <v>124</v>
      </c>
      <c r="O289" s="4" t="s">
        <v>124</v>
      </c>
      <c r="P289" s="4" t="s">
        <v>124</v>
      </c>
      <c r="Q289" s="4" t="s">
        <v>124</v>
      </c>
      <c r="R289" s="4" t="s">
        <v>124</v>
      </c>
      <c r="S289" s="4" t="s">
        <v>124</v>
      </c>
      <c r="T289" s="4" t="s">
        <v>124</v>
      </c>
      <c r="U289" s="4" t="s">
        <v>124</v>
      </c>
      <c r="V289" s="4" t="s">
        <v>124</v>
      </c>
      <c r="W289" s="4" t="s">
        <v>124</v>
      </c>
      <c r="X289" s="4" t="s">
        <v>124</v>
      </c>
      <c r="Y289" s="4" t="s">
        <v>124</v>
      </c>
      <c r="Z289" s="4" t="s">
        <v>124</v>
      </c>
      <c r="AA289" s="4" t="s">
        <v>124</v>
      </c>
      <c r="AB289" s="4" t="s">
        <v>124</v>
      </c>
      <c r="AC289" s="4" t="s">
        <v>124</v>
      </c>
      <c r="AD289" s="4" t="s">
        <v>124</v>
      </c>
      <c r="AE289" s="4" t="s">
        <v>124</v>
      </c>
      <c r="AF289" s="4" t="s">
        <v>124</v>
      </c>
      <c r="AG289" s="4" t="s">
        <v>124</v>
      </c>
      <c r="AH289" s="4" t="s">
        <v>124</v>
      </c>
      <c r="AI289" s="4" t="s">
        <v>124</v>
      </c>
      <c r="AJ289" s="4" t="s">
        <v>124</v>
      </c>
      <c r="AK289" s="4" t="s">
        <v>124</v>
      </c>
      <c r="AL289" s="4" t="s">
        <v>124</v>
      </c>
      <c r="AM289" s="4" t="s">
        <v>124</v>
      </c>
      <c r="AN289" s="4" t="s">
        <v>124</v>
      </c>
      <c r="AO289" s="4" t="s">
        <v>124</v>
      </c>
      <c r="AP289" s="4" t="s">
        <v>124</v>
      </c>
      <c r="AQ289" s="4" t="s">
        <v>124</v>
      </c>
      <c r="AR289" s="4" t="s">
        <v>124</v>
      </c>
      <c r="AS289" s="4" t="s">
        <v>124</v>
      </c>
      <c r="AT289" s="4" t="s">
        <v>124</v>
      </c>
      <c r="AU289" s="4" t="s">
        <v>124</v>
      </c>
      <c r="AV289" s="4" t="s">
        <v>124</v>
      </c>
      <c r="AW289" s="4" t="s">
        <v>124</v>
      </c>
      <c r="AX289" s="4" t="s">
        <v>124</v>
      </c>
      <c r="AY289" s="4" t="s">
        <v>124</v>
      </c>
      <c r="AZ289" s="4" t="s">
        <v>124</v>
      </c>
      <c r="BA289" s="4" t="s">
        <v>124</v>
      </c>
      <c r="BB289" s="4" t="s">
        <v>124</v>
      </c>
      <c r="BC289" s="4" t="s">
        <v>124</v>
      </c>
      <c r="BD289" s="4" t="s">
        <v>124</v>
      </c>
      <c r="BE289" s="4" t="s">
        <v>124</v>
      </c>
      <c r="BF289" s="4" t="s">
        <v>124</v>
      </c>
      <c r="BG289" s="4" t="s">
        <v>124</v>
      </c>
      <c r="BH289" s="4" t="s">
        <v>124</v>
      </c>
      <c r="BI289" s="4" t="s">
        <v>124</v>
      </c>
      <c r="BJ289" s="4" t="s">
        <v>124</v>
      </c>
      <c r="BK289" s="4" t="s">
        <v>124</v>
      </c>
      <c r="BL289" s="4" t="s">
        <v>124</v>
      </c>
      <c r="BM289" s="4" t="s">
        <v>124</v>
      </c>
      <c r="BN289" s="4" t="s">
        <v>124</v>
      </c>
      <c r="BO289" s="4" t="s">
        <v>124</v>
      </c>
      <c r="BP289" s="4" t="s">
        <v>124</v>
      </c>
      <c r="BQ289" s="4" t="s">
        <v>124</v>
      </c>
      <c r="BR289" s="7">
        <v>5.9374999999999997E-2</v>
      </c>
      <c r="BS289" s="7">
        <v>48.125</v>
      </c>
      <c r="BT289" s="7">
        <v>50</v>
      </c>
      <c r="BU289" s="7">
        <v>0.06</v>
      </c>
      <c r="BV289" s="7">
        <v>48</v>
      </c>
      <c r="BW289" s="7">
        <v>50</v>
      </c>
      <c r="BX289" s="4" t="s">
        <v>124</v>
      </c>
      <c r="BY289" s="4" t="s">
        <v>124</v>
      </c>
      <c r="BZ289" s="4" t="s">
        <v>124</v>
      </c>
      <c r="CA289" s="4" t="s">
        <v>124</v>
      </c>
      <c r="CB289" s="4" t="s">
        <v>124</v>
      </c>
      <c r="CC289" s="4" t="s">
        <v>124</v>
      </c>
      <c r="CD289" s="4" t="s">
        <v>124</v>
      </c>
      <c r="CE289" s="4" t="s">
        <v>124</v>
      </c>
      <c r="CF289" s="4" t="s">
        <v>124</v>
      </c>
      <c r="CG289" s="4" t="s">
        <v>124</v>
      </c>
      <c r="CH289" s="4" t="s">
        <v>124</v>
      </c>
      <c r="CI289" s="4" t="s">
        <v>124</v>
      </c>
      <c r="CJ289" s="4" t="s">
        <v>124</v>
      </c>
      <c r="CK289" s="4" t="s">
        <v>124</v>
      </c>
      <c r="CL289" s="4" t="s">
        <v>124</v>
      </c>
      <c r="CM289" s="4" t="s">
        <v>124</v>
      </c>
      <c r="CN289" s="4" t="s">
        <v>124</v>
      </c>
      <c r="CO289" s="4" t="s">
        <v>124</v>
      </c>
      <c r="CP289" s="4" t="s">
        <v>124</v>
      </c>
      <c r="CQ289" s="4" t="s">
        <v>124</v>
      </c>
      <c r="CR289" s="4" t="s">
        <v>124</v>
      </c>
      <c r="CS289" s="4" t="s">
        <v>124</v>
      </c>
      <c r="CT289" s="4" t="s">
        <v>124</v>
      </c>
      <c r="CU289" s="4" t="s">
        <v>124</v>
      </c>
      <c r="CV289" s="4" t="s">
        <v>124</v>
      </c>
      <c r="CW289" s="4" t="s">
        <v>124</v>
      </c>
      <c r="CX289" s="4" t="s">
        <v>124</v>
      </c>
      <c r="CY289" s="4" t="s">
        <v>124</v>
      </c>
      <c r="CZ289" s="4" t="s">
        <v>124</v>
      </c>
      <c r="DA289" s="4" t="s">
        <v>124</v>
      </c>
      <c r="DB289" s="4" t="s">
        <v>124</v>
      </c>
      <c r="DC289" s="4" t="s">
        <v>124</v>
      </c>
      <c r="DD289" s="4" t="s">
        <v>124</v>
      </c>
      <c r="DE289" s="4" t="s">
        <v>124</v>
      </c>
      <c r="DF289" s="6"/>
      <c r="DG289" s="6"/>
      <c r="DH289" s="6"/>
      <c r="DI289" s="6"/>
      <c r="DJ289" s="4" t="s">
        <v>124</v>
      </c>
      <c r="DK289" s="4" t="s">
        <v>124</v>
      </c>
      <c r="DL289" s="4" t="s">
        <v>124</v>
      </c>
      <c r="DM289" s="4" t="s">
        <v>124</v>
      </c>
      <c r="DN289" s="4" t="s">
        <v>124</v>
      </c>
      <c r="DO289" s="4" t="s">
        <v>124</v>
      </c>
      <c r="DP289" s="6"/>
      <c r="DQ289" s="4" t="s">
        <v>125</v>
      </c>
    </row>
    <row r="290" spans="1:121" ht="20" customHeight="1" x14ac:dyDescent="0.15">
      <c r="A290" s="5">
        <v>2018</v>
      </c>
      <c r="B290" s="3" t="s">
        <v>126</v>
      </c>
      <c r="C290" s="4" t="str">
        <f t="shared" si="189"/>
        <v>0180011</v>
      </c>
      <c r="D290" s="4" t="s">
        <v>428</v>
      </c>
      <c r="E290" s="4" t="str">
        <f>"0180411"</f>
        <v>0180411</v>
      </c>
      <c r="F290" s="4" t="s">
        <v>327</v>
      </c>
      <c r="G290" s="7">
        <v>2</v>
      </c>
      <c r="H290" s="7">
        <v>4</v>
      </c>
      <c r="I290" s="6"/>
      <c r="J290" s="4" t="s">
        <v>330</v>
      </c>
      <c r="K290" s="7">
        <v>652.72818900000004</v>
      </c>
      <c r="L290" s="7">
        <v>850</v>
      </c>
      <c r="M290" s="7">
        <v>76.791551999999996</v>
      </c>
      <c r="N290" s="7">
        <v>2</v>
      </c>
      <c r="O290" s="7">
        <v>0</v>
      </c>
      <c r="P290" s="7">
        <v>73.278891999999999</v>
      </c>
      <c r="Q290" s="7">
        <v>48.852595000000001</v>
      </c>
      <c r="R290" s="7">
        <v>50</v>
      </c>
      <c r="S290" s="7">
        <v>64.623125999999999</v>
      </c>
      <c r="T290" s="7">
        <v>75</v>
      </c>
      <c r="U290" s="7">
        <v>43.082084000000002</v>
      </c>
      <c r="V290" s="7">
        <v>50</v>
      </c>
      <c r="W290" s="7">
        <v>68.506097999999994</v>
      </c>
      <c r="X290" s="7">
        <v>45.670732000000001</v>
      </c>
      <c r="Y290" s="7">
        <v>50</v>
      </c>
      <c r="Z290" s="7">
        <v>71.903018000000003</v>
      </c>
      <c r="AA290" s="7">
        <v>60.489367000000001</v>
      </c>
      <c r="AB290" s="7">
        <v>40.326245</v>
      </c>
      <c r="AC290" s="7">
        <v>50</v>
      </c>
      <c r="AD290" s="4" t="s">
        <v>124</v>
      </c>
      <c r="AE290" s="4" t="s">
        <v>124</v>
      </c>
      <c r="AF290" s="4" t="s">
        <v>124</v>
      </c>
      <c r="AG290" s="4" t="s">
        <v>124</v>
      </c>
      <c r="AH290" s="4" t="s">
        <v>124</v>
      </c>
      <c r="AI290" s="4" t="s">
        <v>124</v>
      </c>
      <c r="AJ290" s="4" t="s">
        <v>124</v>
      </c>
      <c r="AK290" s="7">
        <v>10.37</v>
      </c>
      <c r="AL290" s="7">
        <v>11.41</v>
      </c>
      <c r="AM290" s="4" t="s">
        <v>124</v>
      </c>
      <c r="AN290" s="7">
        <v>0.64453199999999999</v>
      </c>
      <c r="AO290" s="7">
        <v>64.453226999999998</v>
      </c>
      <c r="AP290" s="7">
        <v>100</v>
      </c>
      <c r="AQ290" s="7">
        <v>0.78026399999999996</v>
      </c>
      <c r="AR290" s="7">
        <v>78.026411999999993</v>
      </c>
      <c r="AS290" s="7">
        <v>100</v>
      </c>
      <c r="AT290" s="7">
        <v>0.58856900000000001</v>
      </c>
      <c r="AU290" s="7">
        <v>0.66558300000000004</v>
      </c>
      <c r="AV290" s="7">
        <v>58.856938999999997</v>
      </c>
      <c r="AW290" s="7">
        <v>100</v>
      </c>
      <c r="AX290" s="7">
        <v>0.735873</v>
      </c>
      <c r="AY290" s="7">
        <v>0.79696199999999995</v>
      </c>
      <c r="AZ290" s="7">
        <v>73.587275000000005</v>
      </c>
      <c r="BA290" s="7">
        <v>100</v>
      </c>
      <c r="BB290" s="7">
        <v>0.85531000000000001</v>
      </c>
      <c r="BC290" s="7">
        <v>42.765492999999999</v>
      </c>
      <c r="BD290" s="7">
        <v>50</v>
      </c>
      <c r="BE290" s="7">
        <v>0.522536</v>
      </c>
      <c r="BF290" s="7">
        <v>26.126795000000001</v>
      </c>
      <c r="BG290" s="7">
        <v>50</v>
      </c>
      <c r="BH290" s="7">
        <v>0</v>
      </c>
      <c r="BI290" s="7">
        <v>0.97752799999999995</v>
      </c>
      <c r="BJ290" s="7">
        <v>0.98198200000000002</v>
      </c>
      <c r="BK290" s="7">
        <v>0.97550999999999999</v>
      </c>
      <c r="BL290" s="7">
        <v>0.97752799999999995</v>
      </c>
      <c r="BM290" s="7">
        <v>0.98198200000000002</v>
      </c>
      <c r="BN290" s="7">
        <v>0.97550999999999999</v>
      </c>
      <c r="BO290" s="4" t="s">
        <v>124</v>
      </c>
      <c r="BP290" s="4" t="s">
        <v>124</v>
      </c>
      <c r="BQ290" s="4" t="s">
        <v>124</v>
      </c>
      <c r="BR290" s="7">
        <v>2.2346000000000001E-2</v>
      </c>
      <c r="BS290" s="7">
        <v>50</v>
      </c>
      <c r="BT290" s="7">
        <v>50</v>
      </c>
      <c r="BU290" s="7">
        <v>2.9239999999999999E-2</v>
      </c>
      <c r="BV290" s="7">
        <v>50</v>
      </c>
      <c r="BW290" s="7">
        <v>50</v>
      </c>
      <c r="BX290" s="4" t="s">
        <v>124</v>
      </c>
      <c r="BY290" s="4" t="s">
        <v>124</v>
      </c>
      <c r="BZ290" s="4" t="s">
        <v>124</v>
      </c>
      <c r="CA290" s="4" t="s">
        <v>124</v>
      </c>
      <c r="CB290" s="4" t="s">
        <v>124</v>
      </c>
      <c r="CC290" s="4" t="s">
        <v>124</v>
      </c>
      <c r="CD290" s="4" t="s">
        <v>124</v>
      </c>
      <c r="CE290" s="4" t="s">
        <v>124</v>
      </c>
      <c r="CF290" s="4" t="s">
        <v>124</v>
      </c>
      <c r="CG290" s="4" t="s">
        <v>124</v>
      </c>
      <c r="CH290" s="4" t="s">
        <v>124</v>
      </c>
      <c r="CI290" s="4" t="s">
        <v>124</v>
      </c>
      <c r="CJ290" s="4" t="s">
        <v>124</v>
      </c>
      <c r="CK290" s="4" t="s">
        <v>124</v>
      </c>
      <c r="CL290" s="4" t="s">
        <v>124</v>
      </c>
      <c r="CM290" s="4" t="s">
        <v>124</v>
      </c>
      <c r="CN290" s="4" t="s">
        <v>124</v>
      </c>
      <c r="CO290" s="4" t="s">
        <v>124</v>
      </c>
      <c r="CP290" s="4" t="s">
        <v>124</v>
      </c>
      <c r="CQ290" s="7">
        <v>0.46470600000000001</v>
      </c>
      <c r="CR290" s="7">
        <v>1.005917</v>
      </c>
      <c r="CS290" s="7">
        <v>30.980391999999998</v>
      </c>
      <c r="CT290" s="7">
        <v>50</v>
      </c>
      <c r="CU290" s="4" t="s">
        <v>124</v>
      </c>
      <c r="CV290" s="4" t="s">
        <v>124</v>
      </c>
      <c r="CW290" s="4" t="s">
        <v>124</v>
      </c>
      <c r="CX290" s="4" t="s">
        <v>124</v>
      </c>
      <c r="CY290" s="4" t="s">
        <v>124</v>
      </c>
      <c r="CZ290" s="4" t="s">
        <v>124</v>
      </c>
      <c r="DA290" s="7">
        <v>15.314097</v>
      </c>
      <c r="DB290" s="7">
        <v>17.400950000000002</v>
      </c>
      <c r="DC290" s="7">
        <v>16.332519999999999</v>
      </c>
      <c r="DD290" s="4" t="s">
        <v>124</v>
      </c>
      <c r="DE290" s="7">
        <v>0</v>
      </c>
      <c r="DF290" s="6"/>
      <c r="DG290" s="6"/>
      <c r="DH290" s="6"/>
      <c r="DI290" s="6"/>
      <c r="DJ290" s="7">
        <v>0</v>
      </c>
      <c r="DK290" s="7">
        <v>0</v>
      </c>
      <c r="DL290" s="7">
        <v>0</v>
      </c>
      <c r="DM290" s="7">
        <v>0</v>
      </c>
      <c r="DN290" s="7">
        <v>0</v>
      </c>
      <c r="DO290" s="7">
        <v>0</v>
      </c>
      <c r="DP290" s="6"/>
      <c r="DQ290" s="4" t="s">
        <v>125</v>
      </c>
    </row>
    <row r="291" spans="1:121" ht="20" customHeight="1" x14ac:dyDescent="0.15">
      <c r="A291" s="5">
        <v>2018</v>
      </c>
      <c r="B291" s="3" t="s">
        <v>126</v>
      </c>
      <c r="C291" s="4" t="str">
        <f t="shared" si="189"/>
        <v>0180011</v>
      </c>
      <c r="D291" s="4" t="s">
        <v>429</v>
      </c>
      <c r="E291" s="4" t="str">
        <f>"0185311"</f>
        <v>0185311</v>
      </c>
      <c r="F291" s="4" t="s">
        <v>327</v>
      </c>
      <c r="G291" s="7">
        <v>5</v>
      </c>
      <c r="H291" s="7">
        <v>8</v>
      </c>
      <c r="I291" s="4" t="s">
        <v>329</v>
      </c>
      <c r="J291" s="4" t="s">
        <v>330</v>
      </c>
      <c r="K291" s="7">
        <v>809.96916199999998</v>
      </c>
      <c r="L291" s="7">
        <v>1000</v>
      </c>
      <c r="M291" s="7">
        <v>80.996915999999999</v>
      </c>
      <c r="N291" s="7">
        <v>3</v>
      </c>
      <c r="O291" s="7">
        <v>0</v>
      </c>
      <c r="P291" s="7">
        <v>75.151200000000003</v>
      </c>
      <c r="Q291" s="7">
        <v>50</v>
      </c>
      <c r="R291" s="7">
        <v>50</v>
      </c>
      <c r="S291" s="7">
        <v>64.612409</v>
      </c>
      <c r="T291" s="7">
        <v>75</v>
      </c>
      <c r="U291" s="7">
        <v>43.074939000000001</v>
      </c>
      <c r="V291" s="7">
        <v>50</v>
      </c>
      <c r="W291" s="7">
        <v>73.156349000000006</v>
      </c>
      <c r="X291" s="7">
        <v>48.770899</v>
      </c>
      <c r="Y291" s="7">
        <v>50</v>
      </c>
      <c r="Z291" s="7">
        <v>75</v>
      </c>
      <c r="AA291" s="7">
        <v>63.695509999999999</v>
      </c>
      <c r="AB291" s="7">
        <v>42.463673</v>
      </c>
      <c r="AC291" s="7">
        <v>50</v>
      </c>
      <c r="AD291" s="7">
        <v>74.262281000000002</v>
      </c>
      <c r="AE291" s="7">
        <v>49.508187</v>
      </c>
      <c r="AF291" s="7">
        <v>50</v>
      </c>
      <c r="AG291" s="7">
        <v>64.073998000000003</v>
      </c>
      <c r="AH291" s="7">
        <v>75</v>
      </c>
      <c r="AI291" s="7">
        <v>42.715998999999996</v>
      </c>
      <c r="AJ291" s="7">
        <v>50</v>
      </c>
      <c r="AK291" s="7">
        <v>10.38</v>
      </c>
      <c r="AL291" s="7">
        <v>11.3</v>
      </c>
      <c r="AM291" s="7">
        <v>10.92</v>
      </c>
      <c r="AN291" s="7">
        <v>0.65338399999999996</v>
      </c>
      <c r="AO291" s="7">
        <v>65.338412000000005</v>
      </c>
      <c r="AP291" s="7">
        <v>100</v>
      </c>
      <c r="AQ291" s="7">
        <v>0.76574399999999998</v>
      </c>
      <c r="AR291" s="7">
        <v>76.574374000000006</v>
      </c>
      <c r="AS291" s="7">
        <v>100</v>
      </c>
      <c r="AT291" s="7">
        <v>0.58025700000000002</v>
      </c>
      <c r="AU291" s="7">
        <v>0.68563399999999997</v>
      </c>
      <c r="AV291" s="7">
        <v>58.025706999999997</v>
      </c>
      <c r="AW291" s="7">
        <v>100</v>
      </c>
      <c r="AX291" s="7">
        <v>0.74211800000000006</v>
      </c>
      <c r="AY291" s="7">
        <v>0.77613699999999997</v>
      </c>
      <c r="AZ291" s="7">
        <v>74.211843000000002</v>
      </c>
      <c r="BA291" s="7">
        <v>100</v>
      </c>
      <c r="BB291" s="7">
        <v>0.86715600000000004</v>
      </c>
      <c r="BC291" s="7">
        <v>43.357821999999999</v>
      </c>
      <c r="BD291" s="7">
        <v>50</v>
      </c>
      <c r="BE291" s="7">
        <v>0.82581700000000002</v>
      </c>
      <c r="BF291" s="7">
        <v>41.290855000000001</v>
      </c>
      <c r="BG291" s="7">
        <v>50</v>
      </c>
      <c r="BH291" s="7">
        <v>1</v>
      </c>
      <c r="BI291" s="7">
        <v>0.95555599999999996</v>
      </c>
      <c r="BJ291" s="7">
        <v>0.94576300000000002</v>
      </c>
      <c r="BK291" s="7">
        <v>0.96071399999999996</v>
      </c>
      <c r="BL291" s="7">
        <v>0.95204699999999998</v>
      </c>
      <c r="BM291" s="7">
        <v>0.93898300000000001</v>
      </c>
      <c r="BN291" s="7">
        <v>0.95892900000000003</v>
      </c>
      <c r="BO291" s="7">
        <v>0.969773</v>
      </c>
      <c r="BP291" s="7">
        <v>0.98412699999999997</v>
      </c>
      <c r="BQ291" s="7">
        <v>0.96309999999999996</v>
      </c>
      <c r="BR291" s="7">
        <v>4.3326000000000003E-2</v>
      </c>
      <c r="BS291" s="7">
        <v>50</v>
      </c>
      <c r="BT291" s="7">
        <v>50</v>
      </c>
      <c r="BU291" s="7">
        <v>8.4506999999999999E-2</v>
      </c>
      <c r="BV291" s="7">
        <v>43.098591999999996</v>
      </c>
      <c r="BW291" s="7">
        <v>50</v>
      </c>
      <c r="BX291" s="4" t="s">
        <v>124</v>
      </c>
      <c r="BY291" s="4" t="s">
        <v>124</v>
      </c>
      <c r="BZ291" s="4" t="s">
        <v>124</v>
      </c>
      <c r="CA291" s="4" t="s">
        <v>124</v>
      </c>
      <c r="CB291" s="4" t="s">
        <v>124</v>
      </c>
      <c r="CC291" s="4" t="s">
        <v>124</v>
      </c>
      <c r="CD291" s="7">
        <v>0.968889</v>
      </c>
      <c r="CE291" s="7">
        <v>50</v>
      </c>
      <c r="CF291" s="7">
        <v>50</v>
      </c>
      <c r="CG291" s="4" t="s">
        <v>124</v>
      </c>
      <c r="CH291" s="4" t="s">
        <v>124</v>
      </c>
      <c r="CI291" s="4" t="s">
        <v>124</v>
      </c>
      <c r="CJ291" s="4" t="s">
        <v>124</v>
      </c>
      <c r="CK291" s="4" t="s">
        <v>124</v>
      </c>
      <c r="CL291" s="4" t="s">
        <v>124</v>
      </c>
      <c r="CM291" s="4" t="s">
        <v>124</v>
      </c>
      <c r="CN291" s="4" t="s">
        <v>124</v>
      </c>
      <c r="CO291" s="4" t="s">
        <v>124</v>
      </c>
      <c r="CP291" s="4" t="s">
        <v>124</v>
      </c>
      <c r="CQ291" s="7">
        <v>0.47306799999999999</v>
      </c>
      <c r="CR291" s="7">
        <v>0.99302299999999999</v>
      </c>
      <c r="CS291" s="7">
        <v>31.537860999999999</v>
      </c>
      <c r="CT291" s="7">
        <v>50</v>
      </c>
      <c r="CU291" s="4" t="s">
        <v>124</v>
      </c>
      <c r="CV291" s="4" t="s">
        <v>124</v>
      </c>
      <c r="CW291" s="4" t="s">
        <v>124</v>
      </c>
      <c r="CX291" s="4" t="s">
        <v>124</v>
      </c>
      <c r="CY291" s="4" t="s">
        <v>124</v>
      </c>
      <c r="CZ291" s="4" t="s">
        <v>124</v>
      </c>
      <c r="DA291" s="7">
        <v>15.314097</v>
      </c>
      <c r="DB291" s="7">
        <v>17.400950000000002</v>
      </c>
      <c r="DC291" s="7">
        <v>16.332519999999999</v>
      </c>
      <c r="DD291" s="4" t="s">
        <v>124</v>
      </c>
      <c r="DE291" s="7">
        <v>1</v>
      </c>
      <c r="DF291" s="6"/>
      <c r="DG291" s="6"/>
      <c r="DH291" s="6"/>
      <c r="DI291" s="6"/>
      <c r="DJ291" s="7">
        <v>0</v>
      </c>
      <c r="DK291" s="7">
        <v>0</v>
      </c>
      <c r="DL291" s="7">
        <v>0</v>
      </c>
      <c r="DM291" s="7">
        <v>0</v>
      </c>
      <c r="DN291" s="7">
        <v>0</v>
      </c>
      <c r="DO291" s="7">
        <v>0</v>
      </c>
      <c r="DP291" s="6"/>
      <c r="DQ291" s="4" t="s">
        <v>125</v>
      </c>
    </row>
    <row r="292" spans="1:121" ht="20" customHeight="1" x14ac:dyDescent="0.15">
      <c r="A292" s="5">
        <v>2018</v>
      </c>
      <c r="B292" s="3" t="s">
        <v>139</v>
      </c>
      <c r="C292" s="4" t="str">
        <f t="shared" si="15"/>
        <v>0190011</v>
      </c>
      <c r="D292" s="4" t="s">
        <v>430</v>
      </c>
      <c r="E292" s="4" t="str">
        <f>"0190111"</f>
        <v>0190111</v>
      </c>
      <c r="F292" s="4" t="s">
        <v>327</v>
      </c>
      <c r="G292" s="4" t="s">
        <v>328</v>
      </c>
      <c r="H292" s="7">
        <v>4</v>
      </c>
      <c r="I292" s="4" t="s">
        <v>329</v>
      </c>
      <c r="J292" s="4" t="s">
        <v>330</v>
      </c>
      <c r="K292" s="7">
        <v>556.43506300000001</v>
      </c>
      <c r="L292" s="7">
        <v>750</v>
      </c>
      <c r="M292" s="7">
        <v>74.191342000000006</v>
      </c>
      <c r="N292" s="7">
        <v>2</v>
      </c>
      <c r="O292" s="7">
        <v>0</v>
      </c>
      <c r="P292" s="7">
        <v>68.275384000000003</v>
      </c>
      <c r="Q292" s="7">
        <v>45.516922999999998</v>
      </c>
      <c r="R292" s="7">
        <v>50</v>
      </c>
      <c r="S292" s="7">
        <v>62.835016000000003</v>
      </c>
      <c r="T292" s="7">
        <v>74.395797999999999</v>
      </c>
      <c r="U292" s="7">
        <v>41.890011000000001</v>
      </c>
      <c r="V292" s="7">
        <v>50</v>
      </c>
      <c r="W292" s="7">
        <v>63.049756000000002</v>
      </c>
      <c r="X292" s="7">
        <v>42.033171000000003</v>
      </c>
      <c r="Y292" s="7">
        <v>50</v>
      </c>
      <c r="Z292" s="7">
        <v>69.431686999999997</v>
      </c>
      <c r="AA292" s="7">
        <v>57.376928999999997</v>
      </c>
      <c r="AB292" s="7">
        <v>38.251286</v>
      </c>
      <c r="AC292" s="7">
        <v>50</v>
      </c>
      <c r="AD292" s="4" t="s">
        <v>124</v>
      </c>
      <c r="AE292" s="4" t="s">
        <v>124</v>
      </c>
      <c r="AF292" s="4" t="s">
        <v>124</v>
      </c>
      <c r="AG292" s="4" t="s">
        <v>124</v>
      </c>
      <c r="AH292" s="4" t="s">
        <v>124</v>
      </c>
      <c r="AI292" s="4" t="s">
        <v>124</v>
      </c>
      <c r="AJ292" s="4" t="s">
        <v>124</v>
      </c>
      <c r="AK292" s="7">
        <v>11.56</v>
      </c>
      <c r="AL292" s="7">
        <v>12.05</v>
      </c>
      <c r="AM292" s="4" t="s">
        <v>124</v>
      </c>
      <c r="AN292" s="7">
        <v>0.592387</v>
      </c>
      <c r="AO292" s="7">
        <v>59.238692</v>
      </c>
      <c r="AP292" s="7">
        <v>100</v>
      </c>
      <c r="AQ292" s="7">
        <v>0.716804</v>
      </c>
      <c r="AR292" s="7">
        <v>71.680357999999998</v>
      </c>
      <c r="AS292" s="7">
        <v>100</v>
      </c>
      <c r="AT292" s="7">
        <v>0.55989599999999995</v>
      </c>
      <c r="AU292" s="7">
        <v>0.62321199999999999</v>
      </c>
      <c r="AV292" s="7">
        <v>55.989567000000001</v>
      </c>
      <c r="AW292" s="7">
        <v>100</v>
      </c>
      <c r="AX292" s="7">
        <v>0.787771</v>
      </c>
      <c r="AY292" s="7">
        <v>0.64947600000000005</v>
      </c>
      <c r="AZ292" s="7">
        <v>78.777090999999999</v>
      </c>
      <c r="BA292" s="7">
        <v>100</v>
      </c>
      <c r="BB292" s="4" t="s">
        <v>124</v>
      </c>
      <c r="BC292" s="4" t="s">
        <v>124</v>
      </c>
      <c r="BD292" s="4" t="s">
        <v>124</v>
      </c>
      <c r="BE292" s="4" t="s">
        <v>124</v>
      </c>
      <c r="BF292" s="4" t="s">
        <v>124</v>
      </c>
      <c r="BG292" s="4" t="s">
        <v>124</v>
      </c>
      <c r="BH292" s="7">
        <v>0</v>
      </c>
      <c r="BI292" s="7">
        <v>1</v>
      </c>
      <c r="BJ292" s="7">
        <v>1</v>
      </c>
      <c r="BK292" s="7">
        <v>1</v>
      </c>
      <c r="BL292" s="7">
        <v>1</v>
      </c>
      <c r="BM292" s="7">
        <v>1</v>
      </c>
      <c r="BN292" s="7">
        <v>1</v>
      </c>
      <c r="BO292" s="4" t="s">
        <v>124</v>
      </c>
      <c r="BP292" s="4" t="s">
        <v>124</v>
      </c>
      <c r="BQ292" s="4" t="s">
        <v>124</v>
      </c>
      <c r="BR292" s="7">
        <v>5.8824000000000001E-2</v>
      </c>
      <c r="BS292" s="7">
        <v>48.235294000000003</v>
      </c>
      <c r="BT292" s="7">
        <v>50</v>
      </c>
      <c r="BU292" s="7">
        <v>9.6617999999999996E-2</v>
      </c>
      <c r="BV292" s="7">
        <v>40.676329000000003</v>
      </c>
      <c r="BW292" s="7">
        <v>50</v>
      </c>
      <c r="BX292" s="4" t="s">
        <v>124</v>
      </c>
      <c r="BY292" s="4" t="s">
        <v>124</v>
      </c>
      <c r="BZ292" s="4" t="s">
        <v>124</v>
      </c>
      <c r="CA292" s="4" t="s">
        <v>124</v>
      </c>
      <c r="CB292" s="4" t="s">
        <v>124</v>
      </c>
      <c r="CC292" s="4" t="s">
        <v>124</v>
      </c>
      <c r="CD292" s="4" t="s">
        <v>124</v>
      </c>
      <c r="CE292" s="4" t="s">
        <v>124</v>
      </c>
      <c r="CF292" s="4" t="s">
        <v>124</v>
      </c>
      <c r="CG292" s="4" t="s">
        <v>124</v>
      </c>
      <c r="CH292" s="4" t="s">
        <v>124</v>
      </c>
      <c r="CI292" s="4" t="s">
        <v>124</v>
      </c>
      <c r="CJ292" s="4" t="s">
        <v>124</v>
      </c>
      <c r="CK292" s="4" t="s">
        <v>124</v>
      </c>
      <c r="CL292" s="4" t="s">
        <v>124</v>
      </c>
      <c r="CM292" s="4" t="s">
        <v>124</v>
      </c>
      <c r="CN292" s="4" t="s">
        <v>124</v>
      </c>
      <c r="CO292" s="4" t="s">
        <v>124</v>
      </c>
      <c r="CP292" s="4" t="s">
        <v>124</v>
      </c>
      <c r="CQ292" s="7">
        <v>0.51219499999999996</v>
      </c>
      <c r="CR292" s="7">
        <v>1.0379750000000001</v>
      </c>
      <c r="CS292" s="7">
        <v>34.146341</v>
      </c>
      <c r="CT292" s="7">
        <v>50</v>
      </c>
      <c r="CU292" s="4" t="s">
        <v>124</v>
      </c>
      <c r="CV292" s="4" t="s">
        <v>124</v>
      </c>
      <c r="CW292" s="4" t="s">
        <v>124</v>
      </c>
      <c r="CX292" s="4" t="s">
        <v>124</v>
      </c>
      <c r="CY292" s="4" t="s">
        <v>124</v>
      </c>
      <c r="CZ292" s="4" t="s">
        <v>124</v>
      </c>
      <c r="DA292" s="7">
        <v>15.314097</v>
      </c>
      <c r="DB292" s="7">
        <v>17.400950000000002</v>
      </c>
      <c r="DC292" s="7">
        <v>16.332519999999999</v>
      </c>
      <c r="DD292" s="4" t="s">
        <v>124</v>
      </c>
      <c r="DE292" s="7">
        <v>0</v>
      </c>
      <c r="DF292" s="6"/>
      <c r="DG292" s="6"/>
      <c r="DH292" s="4" t="s">
        <v>331</v>
      </c>
      <c r="DI292" s="4" t="s">
        <v>431</v>
      </c>
      <c r="DJ292" s="7">
        <v>0</v>
      </c>
      <c r="DK292" s="7">
        <v>0</v>
      </c>
      <c r="DL292" s="7">
        <v>0</v>
      </c>
      <c r="DM292" s="7">
        <v>0</v>
      </c>
      <c r="DN292" s="7">
        <v>1</v>
      </c>
      <c r="DO292" s="7">
        <v>0</v>
      </c>
      <c r="DP292" s="6"/>
      <c r="DQ292" s="4" t="s">
        <v>125</v>
      </c>
    </row>
    <row r="293" spans="1:121" ht="20" customHeight="1" x14ac:dyDescent="0.15">
      <c r="A293" s="5">
        <v>2018</v>
      </c>
      <c r="B293" s="3" t="s">
        <v>139</v>
      </c>
      <c r="C293" s="4" t="str">
        <f>"0190011"</f>
        <v>0190011</v>
      </c>
      <c r="D293" s="4" t="s">
        <v>432</v>
      </c>
      <c r="E293" s="4" t="str">
        <f>"0195111"</f>
        <v>0195111</v>
      </c>
      <c r="F293" s="4" t="s">
        <v>327</v>
      </c>
      <c r="G293" s="7">
        <v>5</v>
      </c>
      <c r="H293" s="7">
        <v>8</v>
      </c>
      <c r="I293" s="4" t="s">
        <v>329</v>
      </c>
      <c r="J293" s="4" t="s">
        <v>330</v>
      </c>
      <c r="K293" s="7">
        <v>675.93458699999996</v>
      </c>
      <c r="L293" s="7">
        <v>900</v>
      </c>
      <c r="M293" s="7">
        <v>75.103842999999998</v>
      </c>
      <c r="N293" s="7">
        <v>2</v>
      </c>
      <c r="O293" s="7">
        <v>0</v>
      </c>
      <c r="P293" s="7">
        <v>74.739290999999994</v>
      </c>
      <c r="Q293" s="7">
        <v>49.826194000000001</v>
      </c>
      <c r="R293" s="7">
        <v>50</v>
      </c>
      <c r="S293" s="7">
        <v>65.513074000000003</v>
      </c>
      <c r="T293" s="7">
        <v>75</v>
      </c>
      <c r="U293" s="7">
        <v>43.675382999999997</v>
      </c>
      <c r="V293" s="7">
        <v>50</v>
      </c>
      <c r="W293" s="7">
        <v>66.063908999999995</v>
      </c>
      <c r="X293" s="7">
        <v>44.042605999999999</v>
      </c>
      <c r="Y293" s="7">
        <v>50</v>
      </c>
      <c r="Z293" s="7">
        <v>72.841480000000004</v>
      </c>
      <c r="AA293" s="7">
        <v>56.268926</v>
      </c>
      <c r="AB293" s="7">
        <v>37.512616999999999</v>
      </c>
      <c r="AC293" s="7">
        <v>50</v>
      </c>
      <c r="AD293" s="7">
        <v>74.616292999999999</v>
      </c>
      <c r="AE293" s="7">
        <v>49.744194999999998</v>
      </c>
      <c r="AF293" s="7">
        <v>50</v>
      </c>
      <c r="AG293" s="7">
        <v>65.474405000000004</v>
      </c>
      <c r="AH293" s="7">
        <v>75</v>
      </c>
      <c r="AI293" s="7">
        <v>43.649602999999999</v>
      </c>
      <c r="AJ293" s="7">
        <v>50</v>
      </c>
      <c r="AK293" s="7">
        <v>9.48</v>
      </c>
      <c r="AL293" s="7">
        <v>16.57</v>
      </c>
      <c r="AM293" s="7">
        <v>9.52</v>
      </c>
      <c r="AN293" s="7">
        <v>0.57359599999999999</v>
      </c>
      <c r="AO293" s="7">
        <v>57.359586</v>
      </c>
      <c r="AP293" s="7">
        <v>100</v>
      </c>
      <c r="AQ293" s="7">
        <v>0.60231900000000005</v>
      </c>
      <c r="AR293" s="7">
        <v>60.231901000000001</v>
      </c>
      <c r="AS293" s="7">
        <v>100</v>
      </c>
      <c r="AT293" s="7">
        <v>0.59429100000000001</v>
      </c>
      <c r="AU293" s="7">
        <v>0.56022799999999995</v>
      </c>
      <c r="AV293" s="7">
        <v>59.429093999999999</v>
      </c>
      <c r="AW293" s="7">
        <v>100</v>
      </c>
      <c r="AX293" s="7">
        <v>0.54874199999999995</v>
      </c>
      <c r="AY293" s="7">
        <v>0.63718200000000003</v>
      </c>
      <c r="AZ293" s="7">
        <v>54.874214000000002</v>
      </c>
      <c r="BA293" s="7">
        <v>100</v>
      </c>
      <c r="BB293" s="4" t="s">
        <v>124</v>
      </c>
      <c r="BC293" s="4" t="s">
        <v>124</v>
      </c>
      <c r="BD293" s="4" t="s">
        <v>124</v>
      </c>
      <c r="BE293" s="4" t="s">
        <v>124</v>
      </c>
      <c r="BF293" s="4" t="s">
        <v>124</v>
      </c>
      <c r="BG293" s="4" t="s">
        <v>124</v>
      </c>
      <c r="BH293" s="7">
        <v>0</v>
      </c>
      <c r="BI293" s="7">
        <v>0.99726000000000004</v>
      </c>
      <c r="BJ293" s="7">
        <v>0.99333300000000002</v>
      </c>
      <c r="BK293" s="7">
        <v>1</v>
      </c>
      <c r="BL293" s="7">
        <v>0.99726000000000004</v>
      </c>
      <c r="BM293" s="7">
        <v>0.99333300000000002</v>
      </c>
      <c r="BN293" s="7">
        <v>1</v>
      </c>
      <c r="BO293" s="7">
        <v>0.99526099999999995</v>
      </c>
      <c r="BP293" s="7">
        <v>0.98701300000000003</v>
      </c>
      <c r="BQ293" s="7">
        <v>1</v>
      </c>
      <c r="BR293" s="7">
        <v>3.5616000000000002E-2</v>
      </c>
      <c r="BS293" s="7">
        <v>50</v>
      </c>
      <c r="BT293" s="7">
        <v>50</v>
      </c>
      <c r="BU293" s="7">
        <v>7.2847999999999996E-2</v>
      </c>
      <c r="BV293" s="7">
        <v>45.430464000000001</v>
      </c>
      <c r="BW293" s="7">
        <v>50</v>
      </c>
      <c r="BX293" s="4" t="s">
        <v>124</v>
      </c>
      <c r="BY293" s="4" t="s">
        <v>124</v>
      </c>
      <c r="BZ293" s="4" t="s">
        <v>124</v>
      </c>
      <c r="CA293" s="4" t="s">
        <v>124</v>
      </c>
      <c r="CB293" s="4" t="s">
        <v>124</v>
      </c>
      <c r="CC293" s="4" t="s">
        <v>124</v>
      </c>
      <c r="CD293" s="7">
        <v>0.94871799999999995</v>
      </c>
      <c r="CE293" s="7">
        <v>50</v>
      </c>
      <c r="CF293" s="7">
        <v>50</v>
      </c>
      <c r="CG293" s="4" t="s">
        <v>124</v>
      </c>
      <c r="CH293" s="4" t="s">
        <v>124</v>
      </c>
      <c r="CI293" s="4" t="s">
        <v>124</v>
      </c>
      <c r="CJ293" s="4" t="s">
        <v>124</v>
      </c>
      <c r="CK293" s="4" t="s">
        <v>124</v>
      </c>
      <c r="CL293" s="4" t="s">
        <v>124</v>
      </c>
      <c r="CM293" s="4" t="s">
        <v>124</v>
      </c>
      <c r="CN293" s="4" t="s">
        <v>124</v>
      </c>
      <c r="CO293" s="4" t="s">
        <v>124</v>
      </c>
      <c r="CP293" s="4" t="s">
        <v>124</v>
      </c>
      <c r="CQ293" s="7">
        <v>0.45238099999999998</v>
      </c>
      <c r="CR293" s="7">
        <v>0.91803299999999999</v>
      </c>
      <c r="CS293" s="7">
        <v>30.158729999999998</v>
      </c>
      <c r="CT293" s="7">
        <v>50</v>
      </c>
      <c r="CU293" s="4" t="s">
        <v>124</v>
      </c>
      <c r="CV293" s="4" t="s">
        <v>124</v>
      </c>
      <c r="CW293" s="4" t="s">
        <v>124</v>
      </c>
      <c r="CX293" s="4" t="s">
        <v>124</v>
      </c>
      <c r="CY293" s="4" t="s">
        <v>124</v>
      </c>
      <c r="CZ293" s="4" t="s">
        <v>124</v>
      </c>
      <c r="DA293" s="7">
        <v>15.314097</v>
      </c>
      <c r="DB293" s="7">
        <v>17.400950000000002</v>
      </c>
      <c r="DC293" s="7">
        <v>16.332519999999999</v>
      </c>
      <c r="DD293" s="4" t="s">
        <v>124</v>
      </c>
      <c r="DE293" s="7">
        <v>0</v>
      </c>
      <c r="DF293" s="6"/>
      <c r="DG293" s="6"/>
      <c r="DH293" s="6"/>
      <c r="DI293" s="6"/>
      <c r="DJ293" s="7">
        <v>0</v>
      </c>
      <c r="DK293" s="7">
        <v>0</v>
      </c>
      <c r="DL293" s="7">
        <v>0</v>
      </c>
      <c r="DM293" s="7">
        <v>0</v>
      </c>
      <c r="DN293" s="7">
        <v>0</v>
      </c>
      <c r="DO293" s="7">
        <v>0</v>
      </c>
      <c r="DP293" s="6"/>
      <c r="DQ293" s="4" t="s">
        <v>125</v>
      </c>
    </row>
    <row r="294" spans="1:121" ht="20" customHeight="1" x14ac:dyDescent="0.15">
      <c r="A294" s="5">
        <v>2018</v>
      </c>
      <c r="B294" s="3" t="s">
        <v>130</v>
      </c>
      <c r="C294" s="4" t="str">
        <f t="shared" si="6"/>
        <v>0210011</v>
      </c>
      <c r="D294" s="4" t="s">
        <v>433</v>
      </c>
      <c r="E294" s="4" t="str">
        <f>"0210111"</f>
        <v>0210111</v>
      </c>
      <c r="F294" s="4" t="s">
        <v>327</v>
      </c>
      <c r="G294" s="4" t="s">
        <v>338</v>
      </c>
      <c r="H294" s="7">
        <v>8</v>
      </c>
      <c r="I294" s="6"/>
      <c r="J294" s="4" t="s">
        <v>330</v>
      </c>
      <c r="K294" s="7">
        <v>329.16262999999998</v>
      </c>
      <c r="L294" s="7">
        <v>450</v>
      </c>
      <c r="M294" s="7">
        <v>73.147250999999997</v>
      </c>
      <c r="N294" s="7">
        <v>2</v>
      </c>
      <c r="O294" s="7">
        <v>0</v>
      </c>
      <c r="P294" s="7">
        <v>76.292077000000006</v>
      </c>
      <c r="Q294" s="7">
        <v>50</v>
      </c>
      <c r="R294" s="7">
        <v>50</v>
      </c>
      <c r="S294" s="4" t="s">
        <v>124</v>
      </c>
      <c r="T294" s="7">
        <v>75</v>
      </c>
      <c r="U294" s="4" t="s">
        <v>124</v>
      </c>
      <c r="V294" s="4" t="s">
        <v>124</v>
      </c>
      <c r="W294" s="7">
        <v>66.500680000000003</v>
      </c>
      <c r="X294" s="7">
        <v>44.333786000000003</v>
      </c>
      <c r="Y294" s="7">
        <v>50</v>
      </c>
      <c r="Z294" s="7">
        <v>72.727650999999994</v>
      </c>
      <c r="AA294" s="4" t="s">
        <v>124</v>
      </c>
      <c r="AB294" s="4" t="s">
        <v>124</v>
      </c>
      <c r="AC294" s="4" t="s">
        <v>124</v>
      </c>
      <c r="AD294" s="4" t="s">
        <v>124</v>
      </c>
      <c r="AE294" s="4" t="s">
        <v>124</v>
      </c>
      <c r="AF294" s="4" t="s">
        <v>124</v>
      </c>
      <c r="AG294" s="4" t="s">
        <v>124</v>
      </c>
      <c r="AH294" s="4" t="s">
        <v>124</v>
      </c>
      <c r="AI294" s="4" t="s">
        <v>124</v>
      </c>
      <c r="AJ294" s="4" t="s">
        <v>124</v>
      </c>
      <c r="AK294" s="4" t="s">
        <v>124</v>
      </c>
      <c r="AL294" s="4" t="s">
        <v>124</v>
      </c>
      <c r="AM294" s="4" t="s">
        <v>124</v>
      </c>
      <c r="AN294" s="7">
        <v>0.64334800000000003</v>
      </c>
      <c r="AO294" s="7">
        <v>64.334785999999994</v>
      </c>
      <c r="AP294" s="7">
        <v>100</v>
      </c>
      <c r="AQ294" s="7">
        <v>0.67356799999999994</v>
      </c>
      <c r="AR294" s="7">
        <v>67.356802000000002</v>
      </c>
      <c r="AS294" s="7">
        <v>100</v>
      </c>
      <c r="AT294" s="4" t="s">
        <v>124</v>
      </c>
      <c r="AU294" s="7">
        <v>0.65602199999999999</v>
      </c>
      <c r="AV294" s="4" t="s">
        <v>124</v>
      </c>
      <c r="AW294" s="4" t="s">
        <v>124</v>
      </c>
      <c r="AX294" s="4" t="s">
        <v>124</v>
      </c>
      <c r="AY294" s="7">
        <v>0.68669400000000003</v>
      </c>
      <c r="AZ294" s="4" t="s">
        <v>124</v>
      </c>
      <c r="BA294" s="4" t="s">
        <v>124</v>
      </c>
      <c r="BB294" s="4" t="s">
        <v>124</v>
      </c>
      <c r="BC294" s="4" t="s">
        <v>124</v>
      </c>
      <c r="BD294" s="4" t="s">
        <v>124</v>
      </c>
      <c r="BE294" s="4" t="s">
        <v>124</v>
      </c>
      <c r="BF294" s="4" t="s">
        <v>124</v>
      </c>
      <c r="BG294" s="4" t="s">
        <v>124</v>
      </c>
      <c r="BH294" s="7">
        <v>0</v>
      </c>
      <c r="BI294" s="7">
        <v>0.97727299999999995</v>
      </c>
      <c r="BJ294" s="4" t="s">
        <v>124</v>
      </c>
      <c r="BK294" s="7">
        <v>1</v>
      </c>
      <c r="BL294" s="7">
        <v>0.97727299999999995</v>
      </c>
      <c r="BM294" s="4" t="s">
        <v>124</v>
      </c>
      <c r="BN294" s="7">
        <v>1</v>
      </c>
      <c r="BO294" s="4" t="s">
        <v>124</v>
      </c>
      <c r="BP294" s="4" t="s">
        <v>124</v>
      </c>
      <c r="BQ294" s="4" t="s">
        <v>124</v>
      </c>
      <c r="BR294" s="7">
        <v>0.117647</v>
      </c>
      <c r="BS294" s="7">
        <v>36.470587999999999</v>
      </c>
      <c r="BT294" s="7">
        <v>50</v>
      </c>
      <c r="BU294" s="7">
        <v>0.2</v>
      </c>
      <c r="BV294" s="7">
        <v>20</v>
      </c>
      <c r="BW294" s="7">
        <v>50</v>
      </c>
      <c r="BX294" s="4" t="s">
        <v>124</v>
      </c>
      <c r="BY294" s="4" t="s">
        <v>124</v>
      </c>
      <c r="BZ294" s="4" t="s">
        <v>124</v>
      </c>
      <c r="CA294" s="4" t="s">
        <v>124</v>
      </c>
      <c r="CB294" s="4" t="s">
        <v>124</v>
      </c>
      <c r="CC294" s="4" t="s">
        <v>124</v>
      </c>
      <c r="CD294" s="4" t="s">
        <v>124</v>
      </c>
      <c r="CE294" s="4" t="s">
        <v>124</v>
      </c>
      <c r="CF294" s="4" t="s">
        <v>124</v>
      </c>
      <c r="CG294" s="4" t="s">
        <v>124</v>
      </c>
      <c r="CH294" s="4" t="s">
        <v>124</v>
      </c>
      <c r="CI294" s="4" t="s">
        <v>124</v>
      </c>
      <c r="CJ294" s="4" t="s">
        <v>124</v>
      </c>
      <c r="CK294" s="4" t="s">
        <v>124</v>
      </c>
      <c r="CL294" s="4" t="s">
        <v>124</v>
      </c>
      <c r="CM294" s="4" t="s">
        <v>124</v>
      </c>
      <c r="CN294" s="4" t="s">
        <v>124</v>
      </c>
      <c r="CO294" s="4" t="s">
        <v>124</v>
      </c>
      <c r="CP294" s="4" t="s">
        <v>124</v>
      </c>
      <c r="CQ294" s="7">
        <v>0.7</v>
      </c>
      <c r="CR294" s="7">
        <v>1</v>
      </c>
      <c r="CS294" s="7">
        <v>46.666666999999997</v>
      </c>
      <c r="CT294" s="7">
        <v>50</v>
      </c>
      <c r="CU294" s="4" t="s">
        <v>124</v>
      </c>
      <c r="CV294" s="4" t="s">
        <v>124</v>
      </c>
      <c r="CW294" s="4" t="s">
        <v>124</v>
      </c>
      <c r="CX294" s="4" t="s">
        <v>124</v>
      </c>
      <c r="CY294" s="4" t="s">
        <v>124</v>
      </c>
      <c r="CZ294" s="4" t="s">
        <v>124</v>
      </c>
      <c r="DA294" s="7">
        <v>15.314097</v>
      </c>
      <c r="DB294" s="7">
        <v>17.400950000000002</v>
      </c>
      <c r="DC294" s="7">
        <v>16.332519999999999</v>
      </c>
      <c r="DD294" s="4" t="s">
        <v>124</v>
      </c>
      <c r="DE294" s="7">
        <v>0</v>
      </c>
      <c r="DF294" s="6"/>
      <c r="DG294" s="6"/>
      <c r="DH294" s="6"/>
      <c r="DI294" s="6"/>
      <c r="DJ294" s="7">
        <v>0</v>
      </c>
      <c r="DK294" s="7">
        <v>0</v>
      </c>
      <c r="DL294" s="7">
        <v>0</v>
      </c>
      <c r="DM294" s="7">
        <v>0</v>
      </c>
      <c r="DN294" s="7">
        <v>0</v>
      </c>
      <c r="DO294" s="7">
        <v>0</v>
      </c>
      <c r="DP294" s="6"/>
      <c r="DQ294" s="4" t="s">
        <v>125</v>
      </c>
    </row>
    <row r="295" spans="1:121" ht="20" customHeight="1" x14ac:dyDescent="0.15">
      <c r="A295" s="5">
        <v>2018</v>
      </c>
      <c r="B295" s="3" t="s">
        <v>131</v>
      </c>
      <c r="C295" s="4" t="str">
        <f t="shared" si="7"/>
        <v>0220011</v>
      </c>
      <c r="D295" s="4" t="s">
        <v>434</v>
      </c>
      <c r="E295" s="4" t="str">
        <f>"0220211"</f>
        <v>0220211</v>
      </c>
      <c r="F295" s="4" t="s">
        <v>327</v>
      </c>
      <c r="G295" s="4" t="s">
        <v>328</v>
      </c>
      <c r="H295" s="7">
        <v>4</v>
      </c>
      <c r="I295" s="4" t="s">
        <v>329</v>
      </c>
      <c r="J295" s="4" t="s">
        <v>330</v>
      </c>
      <c r="K295" s="7">
        <v>420.75663600000001</v>
      </c>
      <c r="L295" s="7">
        <v>550</v>
      </c>
      <c r="M295" s="7">
        <v>76.501206999999994</v>
      </c>
      <c r="N295" s="7">
        <v>2</v>
      </c>
      <c r="O295" s="7">
        <v>0</v>
      </c>
      <c r="P295" s="7">
        <v>72.477245999999994</v>
      </c>
      <c r="Q295" s="7">
        <v>48.318164000000003</v>
      </c>
      <c r="R295" s="7">
        <v>50</v>
      </c>
      <c r="S295" s="7">
        <v>68.431472999999997</v>
      </c>
      <c r="T295" s="7">
        <v>75</v>
      </c>
      <c r="U295" s="7">
        <v>45.620981999999998</v>
      </c>
      <c r="V295" s="7">
        <v>50</v>
      </c>
      <c r="W295" s="7">
        <v>67.222916999999995</v>
      </c>
      <c r="X295" s="7">
        <v>44.815277999999999</v>
      </c>
      <c r="Y295" s="7">
        <v>50</v>
      </c>
      <c r="Z295" s="7">
        <v>69.415763999999996</v>
      </c>
      <c r="AA295" s="7">
        <v>64.259609999999995</v>
      </c>
      <c r="AB295" s="7">
        <v>42.839739999999999</v>
      </c>
      <c r="AC295" s="7">
        <v>50</v>
      </c>
      <c r="AD295" s="4" t="s">
        <v>124</v>
      </c>
      <c r="AE295" s="4" t="s">
        <v>124</v>
      </c>
      <c r="AF295" s="4" t="s">
        <v>124</v>
      </c>
      <c r="AG295" s="4" t="s">
        <v>124</v>
      </c>
      <c r="AH295" s="4" t="s">
        <v>124</v>
      </c>
      <c r="AI295" s="4" t="s">
        <v>124</v>
      </c>
      <c r="AJ295" s="4" t="s">
        <v>124</v>
      </c>
      <c r="AK295" s="7">
        <v>6.56</v>
      </c>
      <c r="AL295" s="7">
        <v>5.15</v>
      </c>
      <c r="AM295" s="4" t="s">
        <v>124</v>
      </c>
      <c r="AN295" s="7">
        <v>0.61375299999999999</v>
      </c>
      <c r="AO295" s="7">
        <v>61.375266000000003</v>
      </c>
      <c r="AP295" s="7">
        <v>100</v>
      </c>
      <c r="AQ295" s="7">
        <v>0.64616700000000005</v>
      </c>
      <c r="AR295" s="7">
        <v>64.616714000000002</v>
      </c>
      <c r="AS295" s="7">
        <v>100</v>
      </c>
      <c r="AT295" s="4" t="s">
        <v>124</v>
      </c>
      <c r="AU295" s="7">
        <v>0.671516</v>
      </c>
      <c r="AV295" s="4" t="s">
        <v>124</v>
      </c>
      <c r="AW295" s="4" t="s">
        <v>124</v>
      </c>
      <c r="AX295" s="4" t="s">
        <v>124</v>
      </c>
      <c r="AY295" s="7">
        <v>0.66003100000000003</v>
      </c>
      <c r="AZ295" s="4" t="s">
        <v>124</v>
      </c>
      <c r="BA295" s="4" t="s">
        <v>124</v>
      </c>
      <c r="BB295" s="4" t="s">
        <v>124</v>
      </c>
      <c r="BC295" s="4" t="s">
        <v>124</v>
      </c>
      <c r="BD295" s="4" t="s">
        <v>124</v>
      </c>
      <c r="BE295" s="4" t="s">
        <v>124</v>
      </c>
      <c r="BF295" s="4" t="s">
        <v>124</v>
      </c>
      <c r="BG295" s="4" t="s">
        <v>124</v>
      </c>
      <c r="BH295" s="7">
        <v>0</v>
      </c>
      <c r="BI295" s="7">
        <v>1</v>
      </c>
      <c r="BJ295" s="7">
        <v>1</v>
      </c>
      <c r="BK295" s="7">
        <v>1</v>
      </c>
      <c r="BL295" s="7">
        <v>1</v>
      </c>
      <c r="BM295" s="7">
        <v>1</v>
      </c>
      <c r="BN295" s="7">
        <v>1</v>
      </c>
      <c r="BO295" s="4" t="s">
        <v>124</v>
      </c>
      <c r="BP295" s="4" t="s">
        <v>124</v>
      </c>
      <c r="BQ295" s="4" t="s">
        <v>124</v>
      </c>
      <c r="BR295" s="7">
        <v>5.7851E-2</v>
      </c>
      <c r="BS295" s="7">
        <v>48.429752000000001</v>
      </c>
      <c r="BT295" s="7">
        <v>50</v>
      </c>
      <c r="BU295" s="7">
        <v>0.08</v>
      </c>
      <c r="BV295" s="7">
        <v>44</v>
      </c>
      <c r="BW295" s="7">
        <v>50</v>
      </c>
      <c r="BX295" s="4" t="s">
        <v>124</v>
      </c>
      <c r="BY295" s="4" t="s">
        <v>124</v>
      </c>
      <c r="BZ295" s="4" t="s">
        <v>124</v>
      </c>
      <c r="CA295" s="4" t="s">
        <v>124</v>
      </c>
      <c r="CB295" s="4" t="s">
        <v>124</v>
      </c>
      <c r="CC295" s="4" t="s">
        <v>124</v>
      </c>
      <c r="CD295" s="4" t="s">
        <v>124</v>
      </c>
      <c r="CE295" s="4" t="s">
        <v>124</v>
      </c>
      <c r="CF295" s="4" t="s">
        <v>124</v>
      </c>
      <c r="CG295" s="4" t="s">
        <v>124</v>
      </c>
      <c r="CH295" s="4" t="s">
        <v>124</v>
      </c>
      <c r="CI295" s="4" t="s">
        <v>124</v>
      </c>
      <c r="CJ295" s="4" t="s">
        <v>124</v>
      </c>
      <c r="CK295" s="4" t="s">
        <v>124</v>
      </c>
      <c r="CL295" s="4" t="s">
        <v>124</v>
      </c>
      <c r="CM295" s="4" t="s">
        <v>124</v>
      </c>
      <c r="CN295" s="4" t="s">
        <v>124</v>
      </c>
      <c r="CO295" s="4" t="s">
        <v>124</v>
      </c>
      <c r="CP295" s="4" t="s">
        <v>124</v>
      </c>
      <c r="CQ295" s="7">
        <v>0.31111100000000003</v>
      </c>
      <c r="CR295" s="7">
        <v>1</v>
      </c>
      <c r="CS295" s="7">
        <v>20.740741</v>
      </c>
      <c r="CT295" s="7">
        <v>50</v>
      </c>
      <c r="CU295" s="4" t="s">
        <v>124</v>
      </c>
      <c r="CV295" s="4" t="s">
        <v>124</v>
      </c>
      <c r="CW295" s="4" t="s">
        <v>124</v>
      </c>
      <c r="CX295" s="4" t="s">
        <v>124</v>
      </c>
      <c r="CY295" s="4" t="s">
        <v>124</v>
      </c>
      <c r="CZ295" s="4" t="s">
        <v>124</v>
      </c>
      <c r="DA295" s="7">
        <v>15.314097</v>
      </c>
      <c r="DB295" s="7">
        <v>17.400950000000002</v>
      </c>
      <c r="DC295" s="7">
        <v>16.332519999999999</v>
      </c>
      <c r="DD295" s="4" t="s">
        <v>124</v>
      </c>
      <c r="DE295" s="7">
        <v>0</v>
      </c>
      <c r="DF295" s="6"/>
      <c r="DG295" s="6"/>
      <c r="DH295" s="6"/>
      <c r="DI295" s="6"/>
      <c r="DJ295" s="7">
        <v>0</v>
      </c>
      <c r="DK295" s="7">
        <v>0</v>
      </c>
      <c r="DL295" s="7">
        <v>0</v>
      </c>
      <c r="DM295" s="7">
        <v>0</v>
      </c>
      <c r="DN295" s="7">
        <v>0</v>
      </c>
      <c r="DO295" s="7">
        <v>0</v>
      </c>
      <c r="DP295" s="6"/>
      <c r="DQ295" s="4" t="s">
        <v>125</v>
      </c>
    </row>
    <row r="296" spans="1:121" ht="20" customHeight="1" x14ac:dyDescent="0.15">
      <c r="A296" s="5">
        <v>2018</v>
      </c>
      <c r="B296" s="3" t="s">
        <v>131</v>
      </c>
      <c r="C296" s="4" t="str">
        <f>"0220011"</f>
        <v>0220011</v>
      </c>
      <c r="D296" s="4" t="s">
        <v>435</v>
      </c>
      <c r="E296" s="4" t="str">
        <f>"0225111"</f>
        <v>0225111</v>
      </c>
      <c r="F296" s="4" t="s">
        <v>327</v>
      </c>
      <c r="G296" s="7">
        <v>5</v>
      </c>
      <c r="H296" s="7">
        <v>8</v>
      </c>
      <c r="I296" s="4" t="s">
        <v>329</v>
      </c>
      <c r="J296" s="4" t="s">
        <v>330</v>
      </c>
      <c r="K296" s="7">
        <v>646.20568900000001</v>
      </c>
      <c r="L296" s="7">
        <v>900</v>
      </c>
      <c r="M296" s="7">
        <v>71.800631999999993</v>
      </c>
      <c r="N296" s="7">
        <v>2</v>
      </c>
      <c r="O296" s="7">
        <v>0</v>
      </c>
      <c r="P296" s="7">
        <v>69.399967000000004</v>
      </c>
      <c r="Q296" s="7">
        <v>46.266643999999999</v>
      </c>
      <c r="R296" s="7">
        <v>50</v>
      </c>
      <c r="S296" s="7">
        <v>62.703870999999999</v>
      </c>
      <c r="T296" s="7">
        <v>74.126622999999995</v>
      </c>
      <c r="U296" s="7">
        <v>41.802581000000004</v>
      </c>
      <c r="V296" s="7">
        <v>50</v>
      </c>
      <c r="W296" s="7">
        <v>62.157043000000002</v>
      </c>
      <c r="X296" s="7">
        <v>41.438029</v>
      </c>
      <c r="Y296" s="7">
        <v>50</v>
      </c>
      <c r="Z296" s="7">
        <v>66.671431999999996</v>
      </c>
      <c r="AA296" s="7">
        <v>55.671582999999998</v>
      </c>
      <c r="AB296" s="7">
        <v>37.114389000000003</v>
      </c>
      <c r="AC296" s="7">
        <v>50</v>
      </c>
      <c r="AD296" s="7">
        <v>67.112576000000004</v>
      </c>
      <c r="AE296" s="7">
        <v>44.741717999999999</v>
      </c>
      <c r="AF296" s="7">
        <v>50</v>
      </c>
      <c r="AG296" s="7">
        <v>60.099277000000001</v>
      </c>
      <c r="AH296" s="7">
        <v>72.034189999999995</v>
      </c>
      <c r="AI296" s="7">
        <v>40.066184999999997</v>
      </c>
      <c r="AJ296" s="7">
        <v>50</v>
      </c>
      <c r="AK296" s="7">
        <v>11.42</v>
      </c>
      <c r="AL296" s="7">
        <v>10.99</v>
      </c>
      <c r="AM296" s="7">
        <v>11.93</v>
      </c>
      <c r="AN296" s="7">
        <v>0.55552599999999996</v>
      </c>
      <c r="AO296" s="7">
        <v>55.552556000000003</v>
      </c>
      <c r="AP296" s="7">
        <v>100</v>
      </c>
      <c r="AQ296" s="7">
        <v>0.58444799999999997</v>
      </c>
      <c r="AR296" s="7">
        <v>58.444842000000001</v>
      </c>
      <c r="AS296" s="7">
        <v>100</v>
      </c>
      <c r="AT296" s="7">
        <v>0.53531399999999996</v>
      </c>
      <c r="AU296" s="7">
        <v>0.569133</v>
      </c>
      <c r="AV296" s="7">
        <v>53.531379000000001</v>
      </c>
      <c r="AW296" s="7">
        <v>100</v>
      </c>
      <c r="AX296" s="7">
        <v>0.54509099999999999</v>
      </c>
      <c r="AY296" s="7">
        <v>0.61055700000000002</v>
      </c>
      <c r="AZ296" s="7">
        <v>54.509095000000002</v>
      </c>
      <c r="BA296" s="7">
        <v>100</v>
      </c>
      <c r="BB296" s="4" t="s">
        <v>124</v>
      </c>
      <c r="BC296" s="4" t="s">
        <v>124</v>
      </c>
      <c r="BD296" s="4" t="s">
        <v>124</v>
      </c>
      <c r="BE296" s="4" t="s">
        <v>124</v>
      </c>
      <c r="BF296" s="4" t="s">
        <v>124</v>
      </c>
      <c r="BG296" s="4" t="s">
        <v>124</v>
      </c>
      <c r="BH296" s="7">
        <v>0</v>
      </c>
      <c r="BI296" s="7">
        <v>0.98895</v>
      </c>
      <c r="BJ296" s="7">
        <v>0.97468399999999999</v>
      </c>
      <c r="BK296" s="7">
        <v>1</v>
      </c>
      <c r="BL296" s="7">
        <v>0.98342499999999999</v>
      </c>
      <c r="BM296" s="7">
        <v>0.96202500000000002</v>
      </c>
      <c r="BN296" s="7">
        <v>1</v>
      </c>
      <c r="BO296" s="7">
        <v>1</v>
      </c>
      <c r="BP296" s="7">
        <v>1</v>
      </c>
      <c r="BQ296" s="7">
        <v>1</v>
      </c>
      <c r="BR296" s="7">
        <v>7.7348E-2</v>
      </c>
      <c r="BS296" s="7">
        <v>44.530386999999997</v>
      </c>
      <c r="BT296" s="7">
        <v>50</v>
      </c>
      <c r="BU296" s="7">
        <v>6.6667000000000004E-2</v>
      </c>
      <c r="BV296" s="7">
        <v>46.666666999999997</v>
      </c>
      <c r="BW296" s="7">
        <v>50</v>
      </c>
      <c r="BX296" s="4" t="s">
        <v>124</v>
      </c>
      <c r="BY296" s="4" t="s">
        <v>124</v>
      </c>
      <c r="BZ296" s="4" t="s">
        <v>124</v>
      </c>
      <c r="CA296" s="4" t="s">
        <v>124</v>
      </c>
      <c r="CB296" s="4" t="s">
        <v>124</v>
      </c>
      <c r="CC296" s="4" t="s">
        <v>124</v>
      </c>
      <c r="CD296" s="7">
        <v>0.97368399999999999</v>
      </c>
      <c r="CE296" s="7">
        <v>50</v>
      </c>
      <c r="CF296" s="7">
        <v>50</v>
      </c>
      <c r="CG296" s="4" t="s">
        <v>124</v>
      </c>
      <c r="CH296" s="4" t="s">
        <v>124</v>
      </c>
      <c r="CI296" s="4" t="s">
        <v>124</v>
      </c>
      <c r="CJ296" s="4" t="s">
        <v>124</v>
      </c>
      <c r="CK296" s="4" t="s">
        <v>124</v>
      </c>
      <c r="CL296" s="4" t="s">
        <v>124</v>
      </c>
      <c r="CM296" s="4" t="s">
        <v>124</v>
      </c>
      <c r="CN296" s="4" t="s">
        <v>124</v>
      </c>
      <c r="CO296" s="4" t="s">
        <v>124</v>
      </c>
      <c r="CP296" s="4" t="s">
        <v>124</v>
      </c>
      <c r="CQ296" s="7">
        <v>0.47311799999999998</v>
      </c>
      <c r="CR296" s="7">
        <v>0.96875</v>
      </c>
      <c r="CS296" s="7">
        <v>31.541219000000002</v>
      </c>
      <c r="CT296" s="7">
        <v>50</v>
      </c>
      <c r="CU296" s="4" t="s">
        <v>124</v>
      </c>
      <c r="CV296" s="4" t="s">
        <v>124</v>
      </c>
      <c r="CW296" s="4" t="s">
        <v>124</v>
      </c>
      <c r="CX296" s="4" t="s">
        <v>124</v>
      </c>
      <c r="CY296" s="4" t="s">
        <v>124</v>
      </c>
      <c r="CZ296" s="4" t="s">
        <v>124</v>
      </c>
      <c r="DA296" s="7">
        <v>15.314097</v>
      </c>
      <c r="DB296" s="7">
        <v>17.400950000000002</v>
      </c>
      <c r="DC296" s="7">
        <v>16.332519999999999</v>
      </c>
      <c r="DD296" s="4" t="s">
        <v>124</v>
      </c>
      <c r="DE296" s="7">
        <v>0</v>
      </c>
      <c r="DF296" s="6"/>
      <c r="DG296" s="6"/>
      <c r="DH296" s="6"/>
      <c r="DI296" s="6"/>
      <c r="DJ296" s="7">
        <v>0</v>
      </c>
      <c r="DK296" s="7">
        <v>0</v>
      </c>
      <c r="DL296" s="7">
        <v>0</v>
      </c>
      <c r="DM296" s="7">
        <v>0</v>
      </c>
      <c r="DN296" s="7">
        <v>0</v>
      </c>
      <c r="DO296" s="7">
        <v>0</v>
      </c>
      <c r="DP296" s="6"/>
      <c r="DQ296" s="4" t="s">
        <v>125</v>
      </c>
    </row>
    <row r="297" spans="1:121" ht="20" customHeight="1" x14ac:dyDescent="0.15">
      <c r="A297" s="5">
        <v>2018</v>
      </c>
      <c r="B297" s="3" t="s">
        <v>132</v>
      </c>
      <c r="C297" s="4" t="str">
        <f t="shared" si="8"/>
        <v>0230011</v>
      </c>
      <c r="D297" s="4" t="s">
        <v>436</v>
      </c>
      <c r="E297" s="4" t="str">
        <f>"0236111"</f>
        <v>0236111</v>
      </c>
      <c r="F297" s="4" t="s">
        <v>327</v>
      </c>
      <c r="G297" s="7">
        <v>9</v>
      </c>
      <c r="H297" s="7">
        <v>12</v>
      </c>
      <c r="I297" s="4" t="s">
        <v>329</v>
      </c>
      <c r="J297" s="4" t="s">
        <v>330</v>
      </c>
      <c r="K297" s="7">
        <v>1271.470264</v>
      </c>
      <c r="L297" s="7">
        <v>1450</v>
      </c>
      <c r="M297" s="7">
        <v>87.687603999999993</v>
      </c>
      <c r="N297" s="7">
        <v>2</v>
      </c>
      <c r="O297" s="7">
        <v>1</v>
      </c>
      <c r="P297" s="7">
        <v>67.009424999999993</v>
      </c>
      <c r="Q297" s="7">
        <v>134.01884899999999</v>
      </c>
      <c r="R297" s="7">
        <v>150</v>
      </c>
      <c r="S297" s="7">
        <v>54.230452999999997</v>
      </c>
      <c r="T297" s="7">
        <v>71.068627000000006</v>
      </c>
      <c r="U297" s="7">
        <v>108.460905</v>
      </c>
      <c r="V297" s="7">
        <v>150</v>
      </c>
      <c r="W297" s="7">
        <v>64.423114999999996</v>
      </c>
      <c r="X297" s="7">
        <v>128.84622999999999</v>
      </c>
      <c r="Y297" s="7">
        <v>150</v>
      </c>
      <c r="Z297" s="7">
        <v>69.817646999999994</v>
      </c>
      <c r="AA297" s="7">
        <v>47.440328999999998</v>
      </c>
      <c r="AB297" s="7">
        <v>94.880657999999997</v>
      </c>
      <c r="AC297" s="7">
        <v>150</v>
      </c>
      <c r="AD297" s="7">
        <v>73.260440000000003</v>
      </c>
      <c r="AE297" s="7">
        <v>97.680586000000005</v>
      </c>
      <c r="AF297" s="7">
        <v>100</v>
      </c>
      <c r="AG297" s="7">
        <v>61.561318999999997</v>
      </c>
      <c r="AH297" s="7">
        <v>75</v>
      </c>
      <c r="AI297" s="7">
        <v>82.081757999999994</v>
      </c>
      <c r="AJ297" s="7">
        <v>100</v>
      </c>
      <c r="AK297" s="7">
        <v>16.829999999999998</v>
      </c>
      <c r="AL297" s="7">
        <v>22.37</v>
      </c>
      <c r="AM297" s="7">
        <v>13.43</v>
      </c>
      <c r="AN297" s="4" t="s">
        <v>124</v>
      </c>
      <c r="AO297" s="4" t="s">
        <v>124</v>
      </c>
      <c r="AP297" s="4" t="s">
        <v>124</v>
      </c>
      <c r="AQ297" s="4" t="s">
        <v>124</v>
      </c>
      <c r="AR297" s="4" t="s">
        <v>124</v>
      </c>
      <c r="AS297" s="4" t="s">
        <v>124</v>
      </c>
      <c r="AT297" s="4" t="s">
        <v>124</v>
      </c>
      <c r="AU297" s="4" t="s">
        <v>124</v>
      </c>
      <c r="AV297" s="4" t="s">
        <v>124</v>
      </c>
      <c r="AW297" s="4" t="s">
        <v>124</v>
      </c>
      <c r="AX297" s="4" t="s">
        <v>124</v>
      </c>
      <c r="AY297" s="4" t="s">
        <v>124</v>
      </c>
      <c r="AZ297" s="4" t="s">
        <v>124</v>
      </c>
      <c r="BA297" s="4" t="s">
        <v>124</v>
      </c>
      <c r="BB297" s="4" t="s">
        <v>124</v>
      </c>
      <c r="BC297" s="4" t="s">
        <v>124</v>
      </c>
      <c r="BD297" s="4" t="s">
        <v>124</v>
      </c>
      <c r="BE297" s="4" t="s">
        <v>124</v>
      </c>
      <c r="BF297" s="4" t="s">
        <v>124</v>
      </c>
      <c r="BG297" s="4" t="s">
        <v>124</v>
      </c>
      <c r="BH297" s="7">
        <v>0</v>
      </c>
      <c r="BI297" s="7">
        <v>0.99114999999999998</v>
      </c>
      <c r="BJ297" s="7">
        <v>1</v>
      </c>
      <c r="BK297" s="7">
        <v>0.98837200000000003</v>
      </c>
      <c r="BL297" s="7">
        <v>0.99114999999999998</v>
      </c>
      <c r="BM297" s="7">
        <v>1</v>
      </c>
      <c r="BN297" s="7">
        <v>0.98837200000000003</v>
      </c>
      <c r="BO297" s="7">
        <v>0.98214299999999999</v>
      </c>
      <c r="BP297" s="7">
        <v>0.961538</v>
      </c>
      <c r="BQ297" s="7">
        <v>0.98837200000000003</v>
      </c>
      <c r="BR297" s="7">
        <v>5.4392999999999997E-2</v>
      </c>
      <c r="BS297" s="7">
        <v>49.121338999999999</v>
      </c>
      <c r="BT297" s="7">
        <v>50</v>
      </c>
      <c r="BU297" s="7">
        <v>0.13675200000000001</v>
      </c>
      <c r="BV297" s="7">
        <v>32.649572999999997</v>
      </c>
      <c r="BW297" s="7">
        <v>50</v>
      </c>
      <c r="BX297" s="7">
        <v>0.77532999999999996</v>
      </c>
      <c r="BY297" s="7">
        <v>50</v>
      </c>
      <c r="BZ297" s="7">
        <v>50</v>
      </c>
      <c r="CA297" s="7">
        <v>0.67841399999999996</v>
      </c>
      <c r="CB297" s="7">
        <v>45.227606000000002</v>
      </c>
      <c r="CC297" s="7">
        <v>50</v>
      </c>
      <c r="CD297" s="7">
        <v>0.96666700000000005</v>
      </c>
      <c r="CE297" s="7">
        <v>50</v>
      </c>
      <c r="CF297" s="7">
        <v>50</v>
      </c>
      <c r="CG297" s="7">
        <v>0.96363600000000005</v>
      </c>
      <c r="CH297" s="7">
        <v>100</v>
      </c>
      <c r="CI297" s="7">
        <v>100</v>
      </c>
      <c r="CJ297" s="7">
        <v>0</v>
      </c>
      <c r="CK297" s="7">
        <v>0.92592600000000003</v>
      </c>
      <c r="CL297" s="7">
        <v>98.502758</v>
      </c>
      <c r="CM297" s="7">
        <v>100</v>
      </c>
      <c r="CN297" s="7">
        <v>0.89622599999999997</v>
      </c>
      <c r="CO297" s="7">
        <v>100</v>
      </c>
      <c r="CP297" s="7">
        <v>100</v>
      </c>
      <c r="CQ297" s="7">
        <v>0.77600000000000002</v>
      </c>
      <c r="CR297" s="7">
        <v>0.93984999999999996</v>
      </c>
      <c r="CS297" s="7">
        <v>50</v>
      </c>
      <c r="CT297" s="7">
        <v>50</v>
      </c>
      <c r="CU297" s="7">
        <v>0.67782399999999998</v>
      </c>
      <c r="CV297" s="7">
        <v>50</v>
      </c>
      <c r="CW297" s="7">
        <v>50</v>
      </c>
      <c r="CX297" s="7">
        <v>0.92592600000000003</v>
      </c>
      <c r="CY297" s="7">
        <v>0.94</v>
      </c>
      <c r="CZ297" s="7">
        <v>1.4074E-2</v>
      </c>
      <c r="DA297" s="7">
        <v>15.314097</v>
      </c>
      <c r="DB297" s="7">
        <v>17.400950000000002</v>
      </c>
      <c r="DC297" s="7">
        <v>16.332519999999999</v>
      </c>
      <c r="DD297" s="7">
        <v>7.9891730000000001</v>
      </c>
      <c r="DE297" s="7">
        <v>1</v>
      </c>
      <c r="DF297" s="6"/>
      <c r="DG297" s="6"/>
      <c r="DH297" s="6"/>
      <c r="DI297" s="6"/>
      <c r="DJ297" s="7">
        <v>0</v>
      </c>
      <c r="DK297" s="7">
        <v>0</v>
      </c>
      <c r="DL297" s="7">
        <v>0</v>
      </c>
      <c r="DM297" s="7">
        <v>0</v>
      </c>
      <c r="DN297" s="7">
        <v>0</v>
      </c>
      <c r="DO297" s="7">
        <v>0</v>
      </c>
      <c r="DP297" s="6"/>
      <c r="DQ297" s="4" t="s">
        <v>125</v>
      </c>
    </row>
    <row r="298" spans="1:121" ht="20" customHeight="1" x14ac:dyDescent="0.15">
      <c r="A298" s="5">
        <v>2018</v>
      </c>
      <c r="B298" s="3" t="s">
        <v>132</v>
      </c>
      <c r="C298" s="4" t="str">
        <f t="shared" ref="C298:C300" si="190">"0230011"</f>
        <v>0230011</v>
      </c>
      <c r="D298" s="4" t="s">
        <v>437</v>
      </c>
      <c r="E298" s="4" t="str">
        <f>"0230311"</f>
        <v>0230311</v>
      </c>
      <c r="F298" s="4" t="s">
        <v>327</v>
      </c>
      <c r="G298" s="7">
        <v>4</v>
      </c>
      <c r="H298" s="7">
        <v>6</v>
      </c>
      <c r="I298" s="4" t="s">
        <v>329</v>
      </c>
      <c r="J298" s="4" t="s">
        <v>330</v>
      </c>
      <c r="K298" s="7">
        <v>645.52068099999997</v>
      </c>
      <c r="L298" s="7">
        <v>850</v>
      </c>
      <c r="M298" s="7">
        <v>75.943610000000007</v>
      </c>
      <c r="N298" s="7">
        <v>2</v>
      </c>
      <c r="O298" s="7">
        <v>0</v>
      </c>
      <c r="P298" s="7">
        <v>76.964040999999995</v>
      </c>
      <c r="Q298" s="7">
        <v>50</v>
      </c>
      <c r="R298" s="7">
        <v>50</v>
      </c>
      <c r="S298" s="7">
        <v>62.210498000000001</v>
      </c>
      <c r="T298" s="7">
        <v>75</v>
      </c>
      <c r="U298" s="7">
        <v>41.473664999999997</v>
      </c>
      <c r="V298" s="7">
        <v>50</v>
      </c>
      <c r="W298" s="7">
        <v>73.877035000000006</v>
      </c>
      <c r="X298" s="7">
        <v>49.251356999999999</v>
      </c>
      <c r="Y298" s="7">
        <v>50</v>
      </c>
      <c r="Z298" s="7">
        <v>75</v>
      </c>
      <c r="AA298" s="7">
        <v>58.138506999999997</v>
      </c>
      <c r="AB298" s="7">
        <v>38.759003999999997</v>
      </c>
      <c r="AC298" s="7">
        <v>50</v>
      </c>
      <c r="AD298" s="7">
        <v>73.980644999999996</v>
      </c>
      <c r="AE298" s="7">
        <v>49.320430000000002</v>
      </c>
      <c r="AF298" s="7">
        <v>50</v>
      </c>
      <c r="AG298" s="7">
        <v>60.576036999999999</v>
      </c>
      <c r="AH298" s="7">
        <v>75</v>
      </c>
      <c r="AI298" s="7">
        <v>40.384025000000001</v>
      </c>
      <c r="AJ298" s="7">
        <v>50</v>
      </c>
      <c r="AK298" s="7">
        <v>12.78</v>
      </c>
      <c r="AL298" s="7">
        <v>16.86</v>
      </c>
      <c r="AM298" s="7">
        <v>14.42</v>
      </c>
      <c r="AN298" s="7">
        <v>0.63652799999999998</v>
      </c>
      <c r="AO298" s="7">
        <v>63.652831999999997</v>
      </c>
      <c r="AP298" s="7">
        <v>100</v>
      </c>
      <c r="AQ298" s="7">
        <v>0.70192500000000002</v>
      </c>
      <c r="AR298" s="7">
        <v>70.192498999999998</v>
      </c>
      <c r="AS298" s="7">
        <v>100</v>
      </c>
      <c r="AT298" s="7">
        <v>0.49646600000000002</v>
      </c>
      <c r="AU298" s="7">
        <v>0.68078799999999995</v>
      </c>
      <c r="AV298" s="7">
        <v>49.646594</v>
      </c>
      <c r="AW298" s="7">
        <v>100</v>
      </c>
      <c r="AX298" s="7">
        <v>0.53064999999999996</v>
      </c>
      <c r="AY298" s="7">
        <v>0.75604800000000005</v>
      </c>
      <c r="AZ298" s="7">
        <v>53.064993999999999</v>
      </c>
      <c r="BA298" s="7">
        <v>100</v>
      </c>
      <c r="BB298" s="4" t="s">
        <v>124</v>
      </c>
      <c r="BC298" s="4" t="s">
        <v>124</v>
      </c>
      <c r="BD298" s="4" t="s">
        <v>124</v>
      </c>
      <c r="BE298" s="4" t="s">
        <v>124</v>
      </c>
      <c r="BF298" s="4" t="s">
        <v>124</v>
      </c>
      <c r="BG298" s="4" t="s">
        <v>124</v>
      </c>
      <c r="BH298" s="7">
        <v>0</v>
      </c>
      <c r="BI298" s="7">
        <v>0.97733700000000001</v>
      </c>
      <c r="BJ298" s="7">
        <v>0.95876300000000003</v>
      </c>
      <c r="BK298" s="7">
        <v>0.984375</v>
      </c>
      <c r="BL298" s="7">
        <v>0.97733700000000001</v>
      </c>
      <c r="BM298" s="7">
        <v>0.95876300000000003</v>
      </c>
      <c r="BN298" s="7">
        <v>0.984375</v>
      </c>
      <c r="BO298" s="7">
        <v>0.99130399999999996</v>
      </c>
      <c r="BP298" s="7">
        <v>0.96666700000000005</v>
      </c>
      <c r="BQ298" s="7">
        <v>1</v>
      </c>
      <c r="BR298" s="7">
        <v>3.7037E-2</v>
      </c>
      <c r="BS298" s="7">
        <v>50</v>
      </c>
      <c r="BT298" s="7">
        <v>50</v>
      </c>
      <c r="BU298" s="7">
        <v>0.10112400000000001</v>
      </c>
      <c r="BV298" s="7">
        <v>39.775281</v>
      </c>
      <c r="BW298" s="7">
        <v>50</v>
      </c>
      <c r="BX298" s="4" t="s">
        <v>124</v>
      </c>
      <c r="BY298" s="4" t="s">
        <v>124</v>
      </c>
      <c r="BZ298" s="4" t="s">
        <v>124</v>
      </c>
      <c r="CA298" s="4" t="s">
        <v>124</v>
      </c>
      <c r="CB298" s="4" t="s">
        <v>124</v>
      </c>
      <c r="CC298" s="4" t="s">
        <v>124</v>
      </c>
      <c r="CD298" s="4" t="s">
        <v>124</v>
      </c>
      <c r="CE298" s="4" t="s">
        <v>124</v>
      </c>
      <c r="CF298" s="4" t="s">
        <v>124</v>
      </c>
      <c r="CG298" s="4" t="s">
        <v>124</v>
      </c>
      <c r="CH298" s="4" t="s">
        <v>124</v>
      </c>
      <c r="CI298" s="4" t="s">
        <v>124</v>
      </c>
      <c r="CJ298" s="4" t="s">
        <v>124</v>
      </c>
      <c r="CK298" s="4" t="s">
        <v>124</v>
      </c>
      <c r="CL298" s="4" t="s">
        <v>124</v>
      </c>
      <c r="CM298" s="4" t="s">
        <v>124</v>
      </c>
      <c r="CN298" s="4" t="s">
        <v>124</v>
      </c>
      <c r="CO298" s="4" t="s">
        <v>124</v>
      </c>
      <c r="CP298" s="4" t="s">
        <v>124</v>
      </c>
      <c r="CQ298" s="7">
        <v>0.79741399999999996</v>
      </c>
      <c r="CR298" s="7">
        <v>0.98305100000000001</v>
      </c>
      <c r="CS298" s="7">
        <v>50</v>
      </c>
      <c r="CT298" s="7">
        <v>50</v>
      </c>
      <c r="CU298" s="4" t="s">
        <v>124</v>
      </c>
      <c r="CV298" s="4" t="s">
        <v>124</v>
      </c>
      <c r="CW298" s="4" t="s">
        <v>124</v>
      </c>
      <c r="CX298" s="4" t="s">
        <v>124</v>
      </c>
      <c r="CY298" s="4" t="s">
        <v>124</v>
      </c>
      <c r="CZ298" s="4" t="s">
        <v>124</v>
      </c>
      <c r="DA298" s="7">
        <v>15.314097</v>
      </c>
      <c r="DB298" s="7">
        <v>17.400950000000002</v>
      </c>
      <c r="DC298" s="7">
        <v>16.332519999999999</v>
      </c>
      <c r="DD298" s="4" t="s">
        <v>124</v>
      </c>
      <c r="DE298" s="7">
        <v>0</v>
      </c>
      <c r="DF298" s="6"/>
      <c r="DG298" s="6"/>
      <c r="DH298" s="6"/>
      <c r="DI298" s="6"/>
      <c r="DJ298" s="7">
        <v>0</v>
      </c>
      <c r="DK298" s="7">
        <v>0</v>
      </c>
      <c r="DL298" s="7">
        <v>0</v>
      </c>
      <c r="DM298" s="7">
        <v>0</v>
      </c>
      <c r="DN298" s="7">
        <v>0</v>
      </c>
      <c r="DO298" s="7">
        <v>0</v>
      </c>
      <c r="DP298" s="6"/>
      <c r="DQ298" s="4" t="s">
        <v>125</v>
      </c>
    </row>
    <row r="299" spans="1:121" ht="20" customHeight="1" x14ac:dyDescent="0.15">
      <c r="A299" s="5">
        <v>2018</v>
      </c>
      <c r="B299" s="3" t="s">
        <v>132</v>
      </c>
      <c r="C299" s="4" t="str">
        <f t="shared" si="190"/>
        <v>0230011</v>
      </c>
      <c r="D299" s="4" t="s">
        <v>438</v>
      </c>
      <c r="E299" s="4" t="str">
        <f>"0235111"</f>
        <v>0235111</v>
      </c>
      <c r="F299" s="4" t="s">
        <v>327</v>
      </c>
      <c r="G299" s="7">
        <v>7</v>
      </c>
      <c r="H299" s="7">
        <v>8</v>
      </c>
      <c r="I299" s="4" t="s">
        <v>329</v>
      </c>
      <c r="J299" s="4" t="s">
        <v>330</v>
      </c>
      <c r="K299" s="7">
        <v>646.68707099999995</v>
      </c>
      <c r="L299" s="7">
        <v>900</v>
      </c>
      <c r="M299" s="7">
        <v>71.854118999999997</v>
      </c>
      <c r="N299" s="7">
        <v>3</v>
      </c>
      <c r="O299" s="7">
        <v>1</v>
      </c>
      <c r="P299" s="7">
        <v>76.303691999999998</v>
      </c>
      <c r="Q299" s="7">
        <v>50</v>
      </c>
      <c r="R299" s="7">
        <v>50</v>
      </c>
      <c r="S299" s="7">
        <v>58.378281999999999</v>
      </c>
      <c r="T299" s="7">
        <v>75</v>
      </c>
      <c r="U299" s="7">
        <v>38.918855000000001</v>
      </c>
      <c r="V299" s="7">
        <v>50</v>
      </c>
      <c r="W299" s="7">
        <v>72.364413999999996</v>
      </c>
      <c r="X299" s="7">
        <v>48.242942999999997</v>
      </c>
      <c r="Y299" s="7">
        <v>50</v>
      </c>
      <c r="Z299" s="7">
        <v>75</v>
      </c>
      <c r="AA299" s="7">
        <v>55.794573999999997</v>
      </c>
      <c r="AB299" s="7">
        <v>37.196382999999997</v>
      </c>
      <c r="AC299" s="7">
        <v>50</v>
      </c>
      <c r="AD299" s="7">
        <v>75.179266999999996</v>
      </c>
      <c r="AE299" s="7">
        <v>50</v>
      </c>
      <c r="AF299" s="7">
        <v>50</v>
      </c>
      <c r="AG299" s="7">
        <v>59.365352999999999</v>
      </c>
      <c r="AH299" s="7">
        <v>75</v>
      </c>
      <c r="AI299" s="7">
        <v>39.576901999999997</v>
      </c>
      <c r="AJ299" s="7">
        <v>50</v>
      </c>
      <c r="AK299" s="7">
        <v>16.62</v>
      </c>
      <c r="AL299" s="7">
        <v>19.2</v>
      </c>
      <c r="AM299" s="7">
        <v>15.63</v>
      </c>
      <c r="AN299" s="7">
        <v>0.56175200000000003</v>
      </c>
      <c r="AO299" s="7">
        <v>56.175170000000001</v>
      </c>
      <c r="AP299" s="7">
        <v>100</v>
      </c>
      <c r="AQ299" s="7">
        <v>0.58870800000000001</v>
      </c>
      <c r="AR299" s="7">
        <v>58.870778999999999</v>
      </c>
      <c r="AS299" s="7">
        <v>100</v>
      </c>
      <c r="AT299" s="7">
        <v>0.36718800000000001</v>
      </c>
      <c r="AU299" s="7">
        <v>0.62625399999999998</v>
      </c>
      <c r="AV299" s="7">
        <v>36.718831999999999</v>
      </c>
      <c r="AW299" s="7">
        <v>100</v>
      </c>
      <c r="AX299" s="7">
        <v>0.44477899999999998</v>
      </c>
      <c r="AY299" s="7">
        <v>0.63668400000000003</v>
      </c>
      <c r="AZ299" s="7">
        <v>44.47786</v>
      </c>
      <c r="BA299" s="7">
        <v>100</v>
      </c>
      <c r="BB299" s="4" t="s">
        <v>124</v>
      </c>
      <c r="BC299" s="4" t="s">
        <v>124</v>
      </c>
      <c r="BD299" s="4" t="s">
        <v>124</v>
      </c>
      <c r="BE299" s="4" t="s">
        <v>124</v>
      </c>
      <c r="BF299" s="4" t="s">
        <v>124</v>
      </c>
      <c r="BG299" s="4" t="s">
        <v>124</v>
      </c>
      <c r="BH299" s="7">
        <v>0</v>
      </c>
      <c r="BI299" s="7">
        <v>0.99209499999999995</v>
      </c>
      <c r="BJ299" s="7">
        <v>0.97014900000000004</v>
      </c>
      <c r="BK299" s="7">
        <v>1</v>
      </c>
      <c r="BL299" s="7">
        <v>0.98419000000000001</v>
      </c>
      <c r="BM299" s="7">
        <v>0.95522399999999996</v>
      </c>
      <c r="BN299" s="7">
        <v>0.99462399999999995</v>
      </c>
      <c r="BO299" s="7">
        <v>0.984375</v>
      </c>
      <c r="BP299" s="7">
        <v>0.97058800000000001</v>
      </c>
      <c r="BQ299" s="7">
        <v>0.98936199999999996</v>
      </c>
      <c r="BR299" s="7">
        <v>5.9761000000000002E-2</v>
      </c>
      <c r="BS299" s="7">
        <v>48.047809000000001</v>
      </c>
      <c r="BT299" s="7">
        <v>50</v>
      </c>
      <c r="BU299" s="7">
        <v>0.107692</v>
      </c>
      <c r="BV299" s="7">
        <v>38.461537999999997</v>
      </c>
      <c r="BW299" s="7">
        <v>50</v>
      </c>
      <c r="BX299" s="4" t="s">
        <v>124</v>
      </c>
      <c r="BY299" s="4" t="s">
        <v>124</v>
      </c>
      <c r="BZ299" s="4" t="s">
        <v>124</v>
      </c>
      <c r="CA299" s="4" t="s">
        <v>124</v>
      </c>
      <c r="CB299" s="4" t="s">
        <v>124</v>
      </c>
      <c r="CC299" s="4" t="s">
        <v>124</v>
      </c>
      <c r="CD299" s="7">
        <v>0.98319299999999998</v>
      </c>
      <c r="CE299" s="7">
        <v>50</v>
      </c>
      <c r="CF299" s="7">
        <v>50</v>
      </c>
      <c r="CG299" s="4" t="s">
        <v>124</v>
      </c>
      <c r="CH299" s="4" t="s">
        <v>124</v>
      </c>
      <c r="CI299" s="4" t="s">
        <v>124</v>
      </c>
      <c r="CJ299" s="4" t="s">
        <v>124</v>
      </c>
      <c r="CK299" s="4" t="s">
        <v>124</v>
      </c>
      <c r="CL299" s="4" t="s">
        <v>124</v>
      </c>
      <c r="CM299" s="4" t="s">
        <v>124</v>
      </c>
      <c r="CN299" s="4" t="s">
        <v>124</v>
      </c>
      <c r="CO299" s="4" t="s">
        <v>124</v>
      </c>
      <c r="CP299" s="4" t="s">
        <v>124</v>
      </c>
      <c r="CQ299" s="7">
        <v>0.83199999999999996</v>
      </c>
      <c r="CR299" s="7">
        <v>0.97656299999999996</v>
      </c>
      <c r="CS299" s="7">
        <v>50</v>
      </c>
      <c r="CT299" s="7">
        <v>50</v>
      </c>
      <c r="CU299" s="4" t="s">
        <v>124</v>
      </c>
      <c r="CV299" s="4" t="s">
        <v>124</v>
      </c>
      <c r="CW299" s="4" t="s">
        <v>124</v>
      </c>
      <c r="CX299" s="4" t="s">
        <v>124</v>
      </c>
      <c r="CY299" s="4" t="s">
        <v>124</v>
      </c>
      <c r="CZ299" s="4" t="s">
        <v>124</v>
      </c>
      <c r="DA299" s="7">
        <v>15.314097</v>
      </c>
      <c r="DB299" s="7">
        <v>17.400950000000002</v>
      </c>
      <c r="DC299" s="7">
        <v>16.332519999999999</v>
      </c>
      <c r="DD299" s="4" t="s">
        <v>124</v>
      </c>
      <c r="DE299" s="7">
        <v>1</v>
      </c>
      <c r="DF299" s="6"/>
      <c r="DG299" s="6"/>
      <c r="DH299" s="6"/>
      <c r="DI299" s="6"/>
      <c r="DJ299" s="7">
        <v>0</v>
      </c>
      <c r="DK299" s="7">
        <v>0</v>
      </c>
      <c r="DL299" s="7">
        <v>0</v>
      </c>
      <c r="DM299" s="7">
        <v>0</v>
      </c>
      <c r="DN299" s="7">
        <v>0</v>
      </c>
      <c r="DO299" s="7">
        <v>0</v>
      </c>
      <c r="DP299" s="6"/>
      <c r="DQ299" s="4" t="s">
        <v>125</v>
      </c>
    </row>
    <row r="300" spans="1:121" ht="20" customHeight="1" x14ac:dyDescent="0.15">
      <c r="A300" s="5">
        <v>2018</v>
      </c>
      <c r="B300" s="3" t="s">
        <v>132</v>
      </c>
      <c r="C300" s="4" t="str">
        <f t="shared" si="190"/>
        <v>0230011</v>
      </c>
      <c r="D300" s="4" t="s">
        <v>439</v>
      </c>
      <c r="E300" s="4" t="str">
        <f>"0230211"</f>
        <v>0230211</v>
      </c>
      <c r="F300" s="4" t="s">
        <v>327</v>
      </c>
      <c r="G300" s="4" t="s">
        <v>328</v>
      </c>
      <c r="H300" s="7">
        <v>3</v>
      </c>
      <c r="I300" s="4" t="s">
        <v>329</v>
      </c>
      <c r="J300" s="4" t="s">
        <v>330</v>
      </c>
      <c r="K300" s="7">
        <v>451.66157900000002</v>
      </c>
      <c r="L300" s="7">
        <v>500</v>
      </c>
      <c r="M300" s="7">
        <v>90.332316000000006</v>
      </c>
      <c r="N300" s="7">
        <v>1</v>
      </c>
      <c r="O300" s="7">
        <v>0</v>
      </c>
      <c r="P300" s="7">
        <v>78.873991000000004</v>
      </c>
      <c r="Q300" s="7">
        <v>100</v>
      </c>
      <c r="R300" s="7">
        <v>100</v>
      </c>
      <c r="S300" s="7">
        <v>65.506079</v>
      </c>
      <c r="T300" s="7">
        <v>75</v>
      </c>
      <c r="U300" s="7">
        <v>87.341438999999994</v>
      </c>
      <c r="V300" s="7">
        <v>100</v>
      </c>
      <c r="W300" s="7">
        <v>77.405681000000001</v>
      </c>
      <c r="X300" s="7">
        <v>100</v>
      </c>
      <c r="Y300" s="7">
        <v>100</v>
      </c>
      <c r="Z300" s="7">
        <v>75</v>
      </c>
      <c r="AA300" s="7">
        <v>61.102254000000002</v>
      </c>
      <c r="AB300" s="7">
        <v>81.469673</v>
      </c>
      <c r="AC300" s="7">
        <v>100</v>
      </c>
      <c r="AD300" s="4" t="s">
        <v>124</v>
      </c>
      <c r="AE300" s="4" t="s">
        <v>124</v>
      </c>
      <c r="AF300" s="4" t="s">
        <v>124</v>
      </c>
      <c r="AG300" s="4" t="s">
        <v>124</v>
      </c>
      <c r="AH300" s="4" t="s">
        <v>124</v>
      </c>
      <c r="AI300" s="4" t="s">
        <v>124</v>
      </c>
      <c r="AJ300" s="4" t="s">
        <v>124</v>
      </c>
      <c r="AK300" s="7">
        <v>9.49</v>
      </c>
      <c r="AL300" s="7">
        <v>13.89</v>
      </c>
      <c r="AM300" s="4" t="s">
        <v>124</v>
      </c>
      <c r="AN300" s="4" t="s">
        <v>124</v>
      </c>
      <c r="AO300" s="4" t="s">
        <v>124</v>
      </c>
      <c r="AP300" s="4" t="s">
        <v>124</v>
      </c>
      <c r="AQ300" s="4" t="s">
        <v>124</v>
      </c>
      <c r="AR300" s="4" t="s">
        <v>124</v>
      </c>
      <c r="AS300" s="4" t="s">
        <v>124</v>
      </c>
      <c r="AT300" s="4" t="s">
        <v>124</v>
      </c>
      <c r="AU300" s="4" t="s">
        <v>124</v>
      </c>
      <c r="AV300" s="4" t="s">
        <v>124</v>
      </c>
      <c r="AW300" s="4" t="s">
        <v>124</v>
      </c>
      <c r="AX300" s="4" t="s">
        <v>124</v>
      </c>
      <c r="AY300" s="4" t="s">
        <v>124</v>
      </c>
      <c r="AZ300" s="4" t="s">
        <v>124</v>
      </c>
      <c r="BA300" s="4" t="s">
        <v>124</v>
      </c>
      <c r="BB300" s="4" t="s">
        <v>124</v>
      </c>
      <c r="BC300" s="4" t="s">
        <v>124</v>
      </c>
      <c r="BD300" s="4" t="s">
        <v>124</v>
      </c>
      <c r="BE300" s="4" t="s">
        <v>124</v>
      </c>
      <c r="BF300" s="4" t="s">
        <v>124</v>
      </c>
      <c r="BG300" s="4" t="s">
        <v>124</v>
      </c>
      <c r="BH300" s="7">
        <v>0</v>
      </c>
      <c r="BI300" s="7">
        <v>1</v>
      </c>
      <c r="BJ300" s="7">
        <v>1</v>
      </c>
      <c r="BK300" s="7">
        <v>1</v>
      </c>
      <c r="BL300" s="7">
        <v>1</v>
      </c>
      <c r="BM300" s="7">
        <v>1</v>
      </c>
      <c r="BN300" s="7">
        <v>1</v>
      </c>
      <c r="BO300" s="4" t="s">
        <v>124</v>
      </c>
      <c r="BP300" s="4" t="s">
        <v>124</v>
      </c>
      <c r="BQ300" s="4" t="s">
        <v>124</v>
      </c>
      <c r="BR300" s="7">
        <v>6.0748000000000003E-2</v>
      </c>
      <c r="BS300" s="7">
        <v>47.850467000000002</v>
      </c>
      <c r="BT300" s="7">
        <v>50</v>
      </c>
      <c r="BU300" s="7">
        <v>0.125</v>
      </c>
      <c r="BV300" s="7">
        <v>35</v>
      </c>
      <c r="BW300" s="7">
        <v>50</v>
      </c>
      <c r="BX300" s="4" t="s">
        <v>124</v>
      </c>
      <c r="BY300" s="4" t="s">
        <v>124</v>
      </c>
      <c r="BZ300" s="4" t="s">
        <v>124</v>
      </c>
      <c r="CA300" s="4" t="s">
        <v>124</v>
      </c>
      <c r="CB300" s="4" t="s">
        <v>124</v>
      </c>
      <c r="CC300" s="4" t="s">
        <v>124</v>
      </c>
      <c r="CD300" s="4" t="s">
        <v>124</v>
      </c>
      <c r="CE300" s="4" t="s">
        <v>124</v>
      </c>
      <c r="CF300" s="4" t="s">
        <v>124</v>
      </c>
      <c r="CG300" s="4" t="s">
        <v>124</v>
      </c>
      <c r="CH300" s="4" t="s">
        <v>124</v>
      </c>
      <c r="CI300" s="4" t="s">
        <v>124</v>
      </c>
      <c r="CJ300" s="4" t="s">
        <v>124</v>
      </c>
      <c r="CK300" s="4" t="s">
        <v>124</v>
      </c>
      <c r="CL300" s="4" t="s">
        <v>124</v>
      </c>
      <c r="CM300" s="4" t="s">
        <v>124</v>
      </c>
      <c r="CN300" s="4" t="s">
        <v>124</v>
      </c>
      <c r="CO300" s="4" t="s">
        <v>124</v>
      </c>
      <c r="CP300" s="4" t="s">
        <v>124</v>
      </c>
      <c r="CQ300" s="4" t="s">
        <v>124</v>
      </c>
      <c r="CR300" s="4" t="s">
        <v>124</v>
      </c>
      <c r="CS300" s="4" t="s">
        <v>124</v>
      </c>
      <c r="CT300" s="4" t="s">
        <v>124</v>
      </c>
      <c r="CU300" s="4" t="s">
        <v>124</v>
      </c>
      <c r="CV300" s="4" t="s">
        <v>124</v>
      </c>
      <c r="CW300" s="4" t="s">
        <v>124</v>
      </c>
      <c r="CX300" s="4" t="s">
        <v>124</v>
      </c>
      <c r="CY300" s="4" t="s">
        <v>124</v>
      </c>
      <c r="CZ300" s="4" t="s">
        <v>124</v>
      </c>
      <c r="DA300" s="7">
        <v>15.314097</v>
      </c>
      <c r="DB300" s="7">
        <v>17.400950000000002</v>
      </c>
      <c r="DC300" s="7">
        <v>16.332519999999999</v>
      </c>
      <c r="DD300" s="4" t="s">
        <v>124</v>
      </c>
      <c r="DE300" s="7">
        <v>0</v>
      </c>
      <c r="DF300" s="6"/>
      <c r="DG300" s="6"/>
      <c r="DH300" s="4" t="s">
        <v>331</v>
      </c>
      <c r="DI300" s="4" t="s">
        <v>332</v>
      </c>
      <c r="DJ300" s="7">
        <v>1</v>
      </c>
      <c r="DK300" s="7">
        <v>0</v>
      </c>
      <c r="DL300" s="7">
        <v>0</v>
      </c>
      <c r="DM300" s="7">
        <v>0</v>
      </c>
      <c r="DN300" s="7">
        <v>0</v>
      </c>
      <c r="DO300" s="7">
        <v>0</v>
      </c>
      <c r="DP300" s="6"/>
      <c r="DQ300" s="4" t="s">
        <v>125</v>
      </c>
    </row>
    <row r="301" spans="1:121" ht="20" customHeight="1" x14ac:dyDescent="0.15">
      <c r="A301" s="5">
        <v>2018</v>
      </c>
      <c r="B301" s="3" t="s">
        <v>227</v>
      </c>
      <c r="C301" s="4" t="str">
        <f t="shared" si="102"/>
        <v>0240011</v>
      </c>
      <c r="D301" s="4" t="s">
        <v>440</v>
      </c>
      <c r="E301" s="4" t="str">
        <f>"0240211"</f>
        <v>0240211</v>
      </c>
      <c r="F301" s="4" t="s">
        <v>327</v>
      </c>
      <c r="G301" s="4" t="s">
        <v>328</v>
      </c>
      <c r="H301" s="7">
        <v>6</v>
      </c>
      <c r="I301" s="4" t="s">
        <v>335</v>
      </c>
      <c r="J301" s="4" t="s">
        <v>330</v>
      </c>
      <c r="K301" s="7">
        <v>538.77419299999997</v>
      </c>
      <c r="L301" s="7">
        <v>750</v>
      </c>
      <c r="M301" s="7">
        <v>71.836558999999994</v>
      </c>
      <c r="N301" s="7">
        <v>2</v>
      </c>
      <c r="O301" s="7">
        <v>0</v>
      </c>
      <c r="P301" s="7">
        <v>71.663105999999999</v>
      </c>
      <c r="Q301" s="7">
        <v>47.775404000000002</v>
      </c>
      <c r="R301" s="7">
        <v>50</v>
      </c>
      <c r="S301" s="7">
        <v>67.994664</v>
      </c>
      <c r="T301" s="7">
        <v>75</v>
      </c>
      <c r="U301" s="7">
        <v>45.329776000000003</v>
      </c>
      <c r="V301" s="7">
        <v>50</v>
      </c>
      <c r="W301" s="7">
        <v>71.644735999999995</v>
      </c>
      <c r="X301" s="7">
        <v>47.763157</v>
      </c>
      <c r="Y301" s="7">
        <v>50</v>
      </c>
      <c r="Z301" s="7">
        <v>73.674267999999998</v>
      </c>
      <c r="AA301" s="7">
        <v>69.813205999999994</v>
      </c>
      <c r="AB301" s="7">
        <v>46.542138000000001</v>
      </c>
      <c r="AC301" s="7">
        <v>50</v>
      </c>
      <c r="AD301" s="4" t="s">
        <v>124</v>
      </c>
      <c r="AE301" s="4" t="s">
        <v>124</v>
      </c>
      <c r="AF301" s="4" t="s">
        <v>124</v>
      </c>
      <c r="AG301" s="4" t="s">
        <v>124</v>
      </c>
      <c r="AH301" s="4" t="s">
        <v>124</v>
      </c>
      <c r="AI301" s="4" t="s">
        <v>124</v>
      </c>
      <c r="AJ301" s="4" t="s">
        <v>124</v>
      </c>
      <c r="AK301" s="7">
        <v>7</v>
      </c>
      <c r="AL301" s="7">
        <v>3.86</v>
      </c>
      <c r="AM301" s="4" t="s">
        <v>124</v>
      </c>
      <c r="AN301" s="7">
        <v>0.48608099999999999</v>
      </c>
      <c r="AO301" s="7">
        <v>48.608100999999998</v>
      </c>
      <c r="AP301" s="7">
        <v>100</v>
      </c>
      <c r="AQ301" s="7">
        <v>0.709337</v>
      </c>
      <c r="AR301" s="7">
        <v>70.933656999999997</v>
      </c>
      <c r="AS301" s="7">
        <v>100</v>
      </c>
      <c r="AT301" s="7">
        <v>0.48213</v>
      </c>
      <c r="AU301" s="7">
        <v>0.49052600000000002</v>
      </c>
      <c r="AV301" s="7">
        <v>48.213011999999999</v>
      </c>
      <c r="AW301" s="7">
        <v>100</v>
      </c>
      <c r="AX301" s="7">
        <v>0.73474799999999996</v>
      </c>
      <c r="AY301" s="7">
        <v>0.68180799999999997</v>
      </c>
      <c r="AZ301" s="7">
        <v>73.474756999999997</v>
      </c>
      <c r="BA301" s="7">
        <v>100</v>
      </c>
      <c r="BB301" s="4" t="s">
        <v>124</v>
      </c>
      <c r="BC301" s="4" t="s">
        <v>124</v>
      </c>
      <c r="BD301" s="4" t="s">
        <v>124</v>
      </c>
      <c r="BE301" s="4" t="s">
        <v>124</v>
      </c>
      <c r="BF301" s="4" t="s">
        <v>124</v>
      </c>
      <c r="BG301" s="4" t="s">
        <v>124</v>
      </c>
      <c r="BH301" s="7">
        <v>0</v>
      </c>
      <c r="BI301" s="7">
        <v>1</v>
      </c>
      <c r="BJ301" s="7">
        <v>1</v>
      </c>
      <c r="BK301" s="7">
        <v>1</v>
      </c>
      <c r="BL301" s="7">
        <v>1</v>
      </c>
      <c r="BM301" s="7">
        <v>1</v>
      </c>
      <c r="BN301" s="7">
        <v>1</v>
      </c>
      <c r="BO301" s="4" t="s">
        <v>124</v>
      </c>
      <c r="BP301" s="4" t="s">
        <v>124</v>
      </c>
      <c r="BQ301" s="4" t="s">
        <v>124</v>
      </c>
      <c r="BR301" s="7">
        <v>3.1746000000000003E-2</v>
      </c>
      <c r="BS301" s="7">
        <v>50</v>
      </c>
      <c r="BT301" s="7">
        <v>50</v>
      </c>
      <c r="BU301" s="7">
        <v>5.7971000000000002E-2</v>
      </c>
      <c r="BV301" s="7">
        <v>48.405797</v>
      </c>
      <c r="BW301" s="7">
        <v>50</v>
      </c>
      <c r="BX301" s="4" t="s">
        <v>124</v>
      </c>
      <c r="BY301" s="4" t="s">
        <v>124</v>
      </c>
      <c r="BZ301" s="4" t="s">
        <v>124</v>
      </c>
      <c r="CA301" s="4" t="s">
        <v>124</v>
      </c>
      <c r="CB301" s="4" t="s">
        <v>124</v>
      </c>
      <c r="CC301" s="4" t="s">
        <v>124</v>
      </c>
      <c r="CD301" s="4" t="s">
        <v>124</v>
      </c>
      <c r="CE301" s="4" t="s">
        <v>124</v>
      </c>
      <c r="CF301" s="4" t="s">
        <v>124</v>
      </c>
      <c r="CG301" s="4" t="s">
        <v>124</v>
      </c>
      <c r="CH301" s="4" t="s">
        <v>124</v>
      </c>
      <c r="CI301" s="4" t="s">
        <v>124</v>
      </c>
      <c r="CJ301" s="4" t="s">
        <v>124</v>
      </c>
      <c r="CK301" s="4" t="s">
        <v>124</v>
      </c>
      <c r="CL301" s="4" t="s">
        <v>124</v>
      </c>
      <c r="CM301" s="4" t="s">
        <v>124</v>
      </c>
      <c r="CN301" s="4" t="s">
        <v>124</v>
      </c>
      <c r="CO301" s="4" t="s">
        <v>124</v>
      </c>
      <c r="CP301" s="4" t="s">
        <v>124</v>
      </c>
      <c r="CQ301" s="7">
        <v>0.703704</v>
      </c>
      <c r="CR301" s="7">
        <v>0.61363599999999996</v>
      </c>
      <c r="CS301" s="7">
        <v>11.728395000000001</v>
      </c>
      <c r="CT301" s="7">
        <v>50</v>
      </c>
      <c r="CU301" s="4" t="s">
        <v>124</v>
      </c>
      <c r="CV301" s="4" t="s">
        <v>124</v>
      </c>
      <c r="CW301" s="4" t="s">
        <v>124</v>
      </c>
      <c r="CX301" s="4" t="s">
        <v>124</v>
      </c>
      <c r="CY301" s="4" t="s">
        <v>124</v>
      </c>
      <c r="CZ301" s="4" t="s">
        <v>124</v>
      </c>
      <c r="DA301" s="7">
        <v>15.314097</v>
      </c>
      <c r="DB301" s="7">
        <v>17.400950000000002</v>
      </c>
      <c r="DC301" s="7">
        <v>16.332519999999999</v>
      </c>
      <c r="DD301" s="4" t="s">
        <v>124</v>
      </c>
      <c r="DE301" s="7">
        <v>0</v>
      </c>
      <c r="DF301" s="6"/>
      <c r="DG301" s="6"/>
      <c r="DH301" s="6"/>
      <c r="DI301" s="6"/>
      <c r="DJ301" s="7">
        <v>0</v>
      </c>
      <c r="DK301" s="7">
        <v>0</v>
      </c>
      <c r="DL301" s="7">
        <v>0</v>
      </c>
      <c r="DM301" s="7">
        <v>0</v>
      </c>
      <c r="DN301" s="7">
        <v>0</v>
      </c>
      <c r="DO301" s="7">
        <v>0</v>
      </c>
      <c r="DP301" s="6"/>
      <c r="DQ301" s="4" t="s">
        <v>125</v>
      </c>
    </row>
    <row r="302" spans="1:121" ht="20" customHeight="1" x14ac:dyDescent="0.15">
      <c r="A302" s="5">
        <v>2018</v>
      </c>
      <c r="B302" s="3" t="s">
        <v>202</v>
      </c>
      <c r="C302" s="4" t="str">
        <f t="shared" si="77"/>
        <v>0250011</v>
      </c>
      <c r="D302" s="4" t="s">
        <v>441</v>
      </c>
      <c r="E302" s="4" t="str">
        <f>"0250111"</f>
        <v>0250111</v>
      </c>
      <c r="F302" s="4" t="s">
        <v>327</v>
      </c>
      <c r="G302" s="4" t="s">
        <v>338</v>
      </c>
      <c r="H302" s="7">
        <v>6</v>
      </c>
      <c r="I302" s="6"/>
      <c r="J302" s="4" t="s">
        <v>330</v>
      </c>
      <c r="K302" s="7">
        <v>645.36546199999998</v>
      </c>
      <c r="L302" s="7">
        <v>800</v>
      </c>
      <c r="M302" s="7">
        <v>80.670682999999997</v>
      </c>
      <c r="N302" s="7">
        <v>3</v>
      </c>
      <c r="O302" s="7">
        <v>0</v>
      </c>
      <c r="P302" s="7">
        <v>84.413105000000002</v>
      </c>
      <c r="Q302" s="7">
        <v>50</v>
      </c>
      <c r="R302" s="7">
        <v>50</v>
      </c>
      <c r="S302" s="7">
        <v>71.375066000000004</v>
      </c>
      <c r="T302" s="7">
        <v>75</v>
      </c>
      <c r="U302" s="7">
        <v>47.583378000000003</v>
      </c>
      <c r="V302" s="7">
        <v>50</v>
      </c>
      <c r="W302" s="7">
        <v>80.102580000000003</v>
      </c>
      <c r="X302" s="7">
        <v>50</v>
      </c>
      <c r="Y302" s="7">
        <v>50</v>
      </c>
      <c r="Z302" s="7">
        <v>75</v>
      </c>
      <c r="AA302" s="7">
        <v>64.144195999999994</v>
      </c>
      <c r="AB302" s="7">
        <v>42.762797999999997</v>
      </c>
      <c r="AC302" s="7">
        <v>50</v>
      </c>
      <c r="AD302" s="7">
        <v>80.628045</v>
      </c>
      <c r="AE302" s="7">
        <v>50</v>
      </c>
      <c r="AF302" s="7">
        <v>50</v>
      </c>
      <c r="AG302" s="4" t="s">
        <v>124</v>
      </c>
      <c r="AH302" s="7">
        <v>75</v>
      </c>
      <c r="AI302" s="4" t="s">
        <v>124</v>
      </c>
      <c r="AJ302" s="4" t="s">
        <v>124</v>
      </c>
      <c r="AK302" s="7">
        <v>3.62</v>
      </c>
      <c r="AL302" s="7">
        <v>10.85</v>
      </c>
      <c r="AM302" s="4" t="s">
        <v>124</v>
      </c>
      <c r="AN302" s="7">
        <v>0.79921600000000004</v>
      </c>
      <c r="AO302" s="7">
        <v>79.921625000000006</v>
      </c>
      <c r="AP302" s="7">
        <v>100</v>
      </c>
      <c r="AQ302" s="7">
        <v>0.796624</v>
      </c>
      <c r="AR302" s="7">
        <v>79.662435000000002</v>
      </c>
      <c r="AS302" s="7">
        <v>100</v>
      </c>
      <c r="AT302" s="7">
        <v>0.67590899999999998</v>
      </c>
      <c r="AU302" s="7">
        <v>0.82784100000000005</v>
      </c>
      <c r="AV302" s="7">
        <v>67.590946000000002</v>
      </c>
      <c r="AW302" s="7">
        <v>100</v>
      </c>
      <c r="AX302" s="7">
        <v>0.67025000000000001</v>
      </c>
      <c r="AY302" s="7">
        <v>0.82596099999999995</v>
      </c>
      <c r="AZ302" s="7">
        <v>67.025029000000004</v>
      </c>
      <c r="BA302" s="7">
        <v>100</v>
      </c>
      <c r="BB302" s="4" t="s">
        <v>124</v>
      </c>
      <c r="BC302" s="4" t="s">
        <v>124</v>
      </c>
      <c r="BD302" s="4" t="s">
        <v>124</v>
      </c>
      <c r="BE302" s="4" t="s">
        <v>124</v>
      </c>
      <c r="BF302" s="4" t="s">
        <v>124</v>
      </c>
      <c r="BG302" s="4" t="s">
        <v>124</v>
      </c>
      <c r="BH302" s="7">
        <v>1</v>
      </c>
      <c r="BI302" s="7">
        <v>0.97326199999999996</v>
      </c>
      <c r="BJ302" s="7">
        <v>0.94285699999999995</v>
      </c>
      <c r="BK302" s="7">
        <v>0.980263</v>
      </c>
      <c r="BL302" s="7">
        <v>0.97326199999999996</v>
      </c>
      <c r="BM302" s="7">
        <v>0.94285699999999995</v>
      </c>
      <c r="BN302" s="7">
        <v>0.980263</v>
      </c>
      <c r="BO302" s="7">
        <v>0.94339600000000001</v>
      </c>
      <c r="BP302" s="4" t="s">
        <v>124</v>
      </c>
      <c r="BQ302" s="7">
        <v>0.93023299999999998</v>
      </c>
      <c r="BR302" s="7">
        <v>4.7771000000000001E-2</v>
      </c>
      <c r="BS302" s="7">
        <v>50</v>
      </c>
      <c r="BT302" s="7">
        <v>50</v>
      </c>
      <c r="BU302" s="7">
        <v>0.14285700000000001</v>
      </c>
      <c r="BV302" s="7">
        <v>31.428571000000002</v>
      </c>
      <c r="BW302" s="7">
        <v>50</v>
      </c>
      <c r="BX302" s="4" t="s">
        <v>124</v>
      </c>
      <c r="BY302" s="4" t="s">
        <v>124</v>
      </c>
      <c r="BZ302" s="4" t="s">
        <v>124</v>
      </c>
      <c r="CA302" s="4" t="s">
        <v>124</v>
      </c>
      <c r="CB302" s="4" t="s">
        <v>124</v>
      </c>
      <c r="CC302" s="4" t="s">
        <v>124</v>
      </c>
      <c r="CD302" s="4" t="s">
        <v>124</v>
      </c>
      <c r="CE302" s="4" t="s">
        <v>124</v>
      </c>
      <c r="CF302" s="4" t="s">
        <v>124</v>
      </c>
      <c r="CG302" s="4" t="s">
        <v>124</v>
      </c>
      <c r="CH302" s="4" t="s">
        <v>124</v>
      </c>
      <c r="CI302" s="4" t="s">
        <v>124</v>
      </c>
      <c r="CJ302" s="4" t="s">
        <v>124</v>
      </c>
      <c r="CK302" s="4" t="s">
        <v>124</v>
      </c>
      <c r="CL302" s="4" t="s">
        <v>124</v>
      </c>
      <c r="CM302" s="4" t="s">
        <v>124</v>
      </c>
      <c r="CN302" s="4" t="s">
        <v>124</v>
      </c>
      <c r="CO302" s="4" t="s">
        <v>124</v>
      </c>
      <c r="CP302" s="4" t="s">
        <v>124</v>
      </c>
      <c r="CQ302" s="7">
        <v>0.44085999999999997</v>
      </c>
      <c r="CR302" s="7">
        <v>1</v>
      </c>
      <c r="CS302" s="7">
        <v>29.390681000000001</v>
      </c>
      <c r="CT302" s="7">
        <v>50</v>
      </c>
      <c r="CU302" s="4" t="s">
        <v>124</v>
      </c>
      <c r="CV302" s="4" t="s">
        <v>124</v>
      </c>
      <c r="CW302" s="4" t="s">
        <v>124</v>
      </c>
      <c r="CX302" s="4" t="s">
        <v>124</v>
      </c>
      <c r="CY302" s="4" t="s">
        <v>124</v>
      </c>
      <c r="CZ302" s="4" t="s">
        <v>124</v>
      </c>
      <c r="DA302" s="7">
        <v>15.314097</v>
      </c>
      <c r="DB302" s="7">
        <v>17.400950000000002</v>
      </c>
      <c r="DC302" s="7">
        <v>16.332519999999999</v>
      </c>
      <c r="DD302" s="4" t="s">
        <v>124</v>
      </c>
      <c r="DE302" s="7">
        <v>1</v>
      </c>
      <c r="DF302" s="6"/>
      <c r="DG302" s="6"/>
      <c r="DH302" s="6"/>
      <c r="DI302" s="6"/>
      <c r="DJ302" s="7">
        <v>0</v>
      </c>
      <c r="DK302" s="7">
        <v>0</v>
      </c>
      <c r="DL302" s="7">
        <v>0</v>
      </c>
      <c r="DM302" s="7">
        <v>0</v>
      </c>
      <c r="DN302" s="7">
        <v>0</v>
      </c>
      <c r="DO302" s="7">
        <v>0</v>
      </c>
      <c r="DP302" s="6"/>
      <c r="DQ302" s="4" t="s">
        <v>125</v>
      </c>
    </row>
    <row r="303" spans="1:121" ht="20" customHeight="1" x14ac:dyDescent="0.15">
      <c r="A303" s="5">
        <v>2018</v>
      </c>
      <c r="B303" s="3" t="s">
        <v>202</v>
      </c>
      <c r="C303" s="4" t="str">
        <f t="shared" si="77"/>
        <v>0250011</v>
      </c>
      <c r="D303" s="4" t="s">
        <v>442</v>
      </c>
      <c r="E303" s="4" t="str">
        <f>"0256111"</f>
        <v>0256111</v>
      </c>
      <c r="F303" s="4" t="s">
        <v>327</v>
      </c>
      <c r="G303" s="7">
        <v>9</v>
      </c>
      <c r="H303" s="7">
        <v>12</v>
      </c>
      <c r="I303" s="6"/>
      <c r="J303" s="4" t="s">
        <v>330</v>
      </c>
      <c r="K303" s="7">
        <v>1244.9409949999999</v>
      </c>
      <c r="L303" s="7">
        <v>1450</v>
      </c>
      <c r="M303" s="7">
        <v>85.858000000000004</v>
      </c>
      <c r="N303" s="7">
        <v>2</v>
      </c>
      <c r="O303" s="7">
        <v>1</v>
      </c>
      <c r="P303" s="7">
        <v>67.907633000000004</v>
      </c>
      <c r="Q303" s="7">
        <v>135.81526500000001</v>
      </c>
      <c r="R303" s="7">
        <v>150</v>
      </c>
      <c r="S303" s="7">
        <v>54.427689999999998</v>
      </c>
      <c r="T303" s="7">
        <v>71.100251</v>
      </c>
      <c r="U303" s="7">
        <v>108.855379</v>
      </c>
      <c r="V303" s="7">
        <v>150</v>
      </c>
      <c r="W303" s="7">
        <v>66.397501000000005</v>
      </c>
      <c r="X303" s="7">
        <v>132.79500200000001</v>
      </c>
      <c r="Y303" s="7">
        <v>150</v>
      </c>
      <c r="Z303" s="7">
        <v>69.976816999999997</v>
      </c>
      <c r="AA303" s="7">
        <v>51.284832000000002</v>
      </c>
      <c r="AB303" s="7">
        <v>102.569665</v>
      </c>
      <c r="AC303" s="7">
        <v>150</v>
      </c>
      <c r="AD303" s="7">
        <v>69.477748000000005</v>
      </c>
      <c r="AE303" s="7">
        <v>92.636996999999994</v>
      </c>
      <c r="AF303" s="7">
        <v>100</v>
      </c>
      <c r="AG303" s="7">
        <v>58.290391999999997</v>
      </c>
      <c r="AH303" s="7">
        <v>72.181011999999996</v>
      </c>
      <c r="AI303" s="7">
        <v>77.720522000000003</v>
      </c>
      <c r="AJ303" s="7">
        <v>100</v>
      </c>
      <c r="AK303" s="7">
        <v>16.670000000000002</v>
      </c>
      <c r="AL303" s="7">
        <v>18.690000000000001</v>
      </c>
      <c r="AM303" s="7">
        <v>13.89</v>
      </c>
      <c r="AN303" s="4" t="s">
        <v>124</v>
      </c>
      <c r="AO303" s="4" t="s">
        <v>124</v>
      </c>
      <c r="AP303" s="4" t="s">
        <v>124</v>
      </c>
      <c r="AQ303" s="4" t="s">
        <v>124</v>
      </c>
      <c r="AR303" s="4" t="s">
        <v>124</v>
      </c>
      <c r="AS303" s="4" t="s">
        <v>124</v>
      </c>
      <c r="AT303" s="4" t="s">
        <v>124</v>
      </c>
      <c r="AU303" s="4" t="s">
        <v>124</v>
      </c>
      <c r="AV303" s="4" t="s">
        <v>124</v>
      </c>
      <c r="AW303" s="4" t="s">
        <v>124</v>
      </c>
      <c r="AX303" s="4" t="s">
        <v>124</v>
      </c>
      <c r="AY303" s="4" t="s">
        <v>124</v>
      </c>
      <c r="AZ303" s="4" t="s">
        <v>124</v>
      </c>
      <c r="BA303" s="4" t="s">
        <v>124</v>
      </c>
      <c r="BB303" s="4" t="s">
        <v>124</v>
      </c>
      <c r="BC303" s="4" t="s">
        <v>124</v>
      </c>
      <c r="BD303" s="4" t="s">
        <v>124</v>
      </c>
      <c r="BE303" s="4" t="s">
        <v>124</v>
      </c>
      <c r="BF303" s="4" t="s">
        <v>124</v>
      </c>
      <c r="BG303" s="4" t="s">
        <v>124</v>
      </c>
      <c r="BH303" s="7">
        <v>1</v>
      </c>
      <c r="BI303" s="7">
        <v>0.97647099999999998</v>
      </c>
      <c r="BJ303" s="7">
        <v>0.94202900000000001</v>
      </c>
      <c r="BK303" s="7">
        <v>0.98524</v>
      </c>
      <c r="BL303" s="7">
        <v>0.97647099999999998</v>
      </c>
      <c r="BM303" s="7">
        <v>0.94202900000000001</v>
      </c>
      <c r="BN303" s="7">
        <v>0.98524</v>
      </c>
      <c r="BO303" s="7">
        <v>0.99117599999999995</v>
      </c>
      <c r="BP303" s="7">
        <v>0.97101400000000004</v>
      </c>
      <c r="BQ303" s="7">
        <v>0.99631000000000003</v>
      </c>
      <c r="BR303" s="7">
        <v>8.3276000000000003E-2</v>
      </c>
      <c r="BS303" s="7">
        <v>43.344898999999998</v>
      </c>
      <c r="BT303" s="7">
        <v>50</v>
      </c>
      <c r="BU303" s="7">
        <v>0.207006</v>
      </c>
      <c r="BV303" s="7">
        <v>18.598725999999999</v>
      </c>
      <c r="BW303" s="7">
        <v>50</v>
      </c>
      <c r="BX303" s="7">
        <v>0.99433400000000005</v>
      </c>
      <c r="BY303" s="7">
        <v>50</v>
      </c>
      <c r="BZ303" s="7">
        <v>50</v>
      </c>
      <c r="CA303" s="7">
        <v>0.66430599999999995</v>
      </c>
      <c r="CB303" s="7">
        <v>44.287063000000003</v>
      </c>
      <c r="CC303" s="7">
        <v>50</v>
      </c>
      <c r="CD303" s="7">
        <v>0.98421099999999995</v>
      </c>
      <c r="CE303" s="7">
        <v>50</v>
      </c>
      <c r="CF303" s="7">
        <v>50</v>
      </c>
      <c r="CG303" s="7">
        <v>0.981873</v>
      </c>
      <c r="CH303" s="7">
        <v>100</v>
      </c>
      <c r="CI303" s="7">
        <v>100</v>
      </c>
      <c r="CJ303" s="7">
        <v>0</v>
      </c>
      <c r="CK303" s="7">
        <v>1</v>
      </c>
      <c r="CL303" s="7">
        <v>100</v>
      </c>
      <c r="CM303" s="7">
        <v>100</v>
      </c>
      <c r="CN303" s="7">
        <v>0.895706</v>
      </c>
      <c r="CO303" s="7">
        <v>100</v>
      </c>
      <c r="CP303" s="7">
        <v>100</v>
      </c>
      <c r="CQ303" s="7">
        <v>0.64207700000000001</v>
      </c>
      <c r="CR303" s="7">
        <v>1.02521</v>
      </c>
      <c r="CS303" s="7">
        <v>42.805100000000003</v>
      </c>
      <c r="CT303" s="7">
        <v>50</v>
      </c>
      <c r="CU303" s="7">
        <v>0.546149</v>
      </c>
      <c r="CV303" s="7">
        <v>45.512376000000003</v>
      </c>
      <c r="CW303" s="7">
        <v>50</v>
      </c>
      <c r="CX303" s="7">
        <v>1</v>
      </c>
      <c r="CY303" s="7">
        <v>0.94</v>
      </c>
      <c r="CZ303" s="7">
        <v>-0.06</v>
      </c>
      <c r="DA303" s="7">
        <v>15.314097</v>
      </c>
      <c r="DB303" s="7">
        <v>17.400950000000002</v>
      </c>
      <c r="DC303" s="7">
        <v>16.332519999999999</v>
      </c>
      <c r="DD303" s="7">
        <v>7.9891730000000001</v>
      </c>
      <c r="DE303" s="7">
        <v>1</v>
      </c>
      <c r="DF303" s="6"/>
      <c r="DG303" s="6"/>
      <c r="DH303" s="6"/>
      <c r="DI303" s="6"/>
      <c r="DJ303" s="7">
        <v>0</v>
      </c>
      <c r="DK303" s="7">
        <v>0</v>
      </c>
      <c r="DL303" s="7">
        <v>0</v>
      </c>
      <c r="DM303" s="7">
        <v>0</v>
      </c>
      <c r="DN303" s="7">
        <v>0</v>
      </c>
      <c r="DO303" s="7">
        <v>0</v>
      </c>
      <c r="DP303" s="6"/>
      <c r="DQ303" s="4" t="s">
        <v>125</v>
      </c>
    </row>
    <row r="304" spans="1:121" ht="20" customHeight="1" x14ac:dyDescent="0.15">
      <c r="A304" s="5">
        <v>2018</v>
      </c>
      <c r="B304" s="3" t="s">
        <v>202</v>
      </c>
      <c r="C304" s="4" t="str">
        <f t="shared" si="77"/>
        <v>0250011</v>
      </c>
      <c r="D304" s="4" t="s">
        <v>443</v>
      </c>
      <c r="E304" s="4" t="str">
        <f>"0250211"</f>
        <v>0250211</v>
      </c>
      <c r="F304" s="4" t="s">
        <v>327</v>
      </c>
      <c r="G304" s="4" t="s">
        <v>328</v>
      </c>
      <c r="H304" s="4" t="s">
        <v>338</v>
      </c>
      <c r="I304" s="4" t="s">
        <v>329</v>
      </c>
      <c r="J304" s="4" t="s">
        <v>330</v>
      </c>
      <c r="K304" s="7">
        <v>100</v>
      </c>
      <c r="L304" s="7">
        <v>100</v>
      </c>
      <c r="M304" s="7">
        <v>100</v>
      </c>
      <c r="N304" s="4" t="s">
        <v>124</v>
      </c>
      <c r="O304" s="4" t="s">
        <v>124</v>
      </c>
      <c r="P304" s="4" t="s">
        <v>124</v>
      </c>
      <c r="Q304" s="4" t="s">
        <v>124</v>
      </c>
      <c r="R304" s="4" t="s">
        <v>124</v>
      </c>
      <c r="S304" s="4" t="s">
        <v>124</v>
      </c>
      <c r="T304" s="4" t="s">
        <v>124</v>
      </c>
      <c r="U304" s="4" t="s">
        <v>124</v>
      </c>
      <c r="V304" s="4" t="s">
        <v>124</v>
      </c>
      <c r="W304" s="4" t="s">
        <v>124</v>
      </c>
      <c r="X304" s="4" t="s">
        <v>124</v>
      </c>
      <c r="Y304" s="4" t="s">
        <v>124</v>
      </c>
      <c r="Z304" s="4" t="s">
        <v>124</v>
      </c>
      <c r="AA304" s="4" t="s">
        <v>124</v>
      </c>
      <c r="AB304" s="4" t="s">
        <v>124</v>
      </c>
      <c r="AC304" s="4" t="s">
        <v>124</v>
      </c>
      <c r="AD304" s="4" t="s">
        <v>124</v>
      </c>
      <c r="AE304" s="4" t="s">
        <v>124</v>
      </c>
      <c r="AF304" s="4" t="s">
        <v>124</v>
      </c>
      <c r="AG304" s="4" t="s">
        <v>124</v>
      </c>
      <c r="AH304" s="4" t="s">
        <v>124</v>
      </c>
      <c r="AI304" s="4" t="s">
        <v>124</v>
      </c>
      <c r="AJ304" s="4" t="s">
        <v>124</v>
      </c>
      <c r="AK304" s="4" t="s">
        <v>124</v>
      </c>
      <c r="AL304" s="4" t="s">
        <v>124</v>
      </c>
      <c r="AM304" s="4" t="s">
        <v>124</v>
      </c>
      <c r="AN304" s="4" t="s">
        <v>124</v>
      </c>
      <c r="AO304" s="4" t="s">
        <v>124</v>
      </c>
      <c r="AP304" s="4" t="s">
        <v>124</v>
      </c>
      <c r="AQ304" s="4" t="s">
        <v>124</v>
      </c>
      <c r="AR304" s="4" t="s">
        <v>124</v>
      </c>
      <c r="AS304" s="4" t="s">
        <v>124</v>
      </c>
      <c r="AT304" s="4" t="s">
        <v>124</v>
      </c>
      <c r="AU304" s="4" t="s">
        <v>124</v>
      </c>
      <c r="AV304" s="4" t="s">
        <v>124</v>
      </c>
      <c r="AW304" s="4" t="s">
        <v>124</v>
      </c>
      <c r="AX304" s="4" t="s">
        <v>124</v>
      </c>
      <c r="AY304" s="4" t="s">
        <v>124</v>
      </c>
      <c r="AZ304" s="4" t="s">
        <v>124</v>
      </c>
      <c r="BA304" s="4" t="s">
        <v>124</v>
      </c>
      <c r="BB304" s="4" t="s">
        <v>124</v>
      </c>
      <c r="BC304" s="4" t="s">
        <v>124</v>
      </c>
      <c r="BD304" s="4" t="s">
        <v>124</v>
      </c>
      <c r="BE304" s="4" t="s">
        <v>124</v>
      </c>
      <c r="BF304" s="4" t="s">
        <v>124</v>
      </c>
      <c r="BG304" s="4" t="s">
        <v>124</v>
      </c>
      <c r="BH304" s="4" t="s">
        <v>124</v>
      </c>
      <c r="BI304" s="4" t="s">
        <v>124</v>
      </c>
      <c r="BJ304" s="4" t="s">
        <v>124</v>
      </c>
      <c r="BK304" s="4" t="s">
        <v>124</v>
      </c>
      <c r="BL304" s="4" t="s">
        <v>124</v>
      </c>
      <c r="BM304" s="4" t="s">
        <v>124</v>
      </c>
      <c r="BN304" s="4" t="s">
        <v>124</v>
      </c>
      <c r="BO304" s="4" t="s">
        <v>124</v>
      </c>
      <c r="BP304" s="4" t="s">
        <v>124</v>
      </c>
      <c r="BQ304" s="4" t="s">
        <v>124</v>
      </c>
      <c r="BR304" s="7">
        <v>3.8462000000000003E-2</v>
      </c>
      <c r="BS304" s="7">
        <v>50</v>
      </c>
      <c r="BT304" s="7">
        <v>50</v>
      </c>
      <c r="BU304" s="7">
        <v>0</v>
      </c>
      <c r="BV304" s="7">
        <v>50</v>
      </c>
      <c r="BW304" s="7">
        <v>50</v>
      </c>
      <c r="BX304" s="4" t="s">
        <v>124</v>
      </c>
      <c r="BY304" s="4" t="s">
        <v>124</v>
      </c>
      <c r="BZ304" s="4" t="s">
        <v>124</v>
      </c>
      <c r="CA304" s="4" t="s">
        <v>124</v>
      </c>
      <c r="CB304" s="4" t="s">
        <v>124</v>
      </c>
      <c r="CC304" s="4" t="s">
        <v>124</v>
      </c>
      <c r="CD304" s="4" t="s">
        <v>124</v>
      </c>
      <c r="CE304" s="4" t="s">
        <v>124</v>
      </c>
      <c r="CF304" s="4" t="s">
        <v>124</v>
      </c>
      <c r="CG304" s="4" t="s">
        <v>124</v>
      </c>
      <c r="CH304" s="4" t="s">
        <v>124</v>
      </c>
      <c r="CI304" s="4" t="s">
        <v>124</v>
      </c>
      <c r="CJ304" s="4" t="s">
        <v>124</v>
      </c>
      <c r="CK304" s="4" t="s">
        <v>124</v>
      </c>
      <c r="CL304" s="4" t="s">
        <v>124</v>
      </c>
      <c r="CM304" s="4" t="s">
        <v>124</v>
      </c>
      <c r="CN304" s="4" t="s">
        <v>124</v>
      </c>
      <c r="CO304" s="4" t="s">
        <v>124</v>
      </c>
      <c r="CP304" s="4" t="s">
        <v>124</v>
      </c>
      <c r="CQ304" s="4" t="s">
        <v>124</v>
      </c>
      <c r="CR304" s="4" t="s">
        <v>124</v>
      </c>
      <c r="CS304" s="4" t="s">
        <v>124</v>
      </c>
      <c r="CT304" s="4" t="s">
        <v>124</v>
      </c>
      <c r="CU304" s="4" t="s">
        <v>124</v>
      </c>
      <c r="CV304" s="4" t="s">
        <v>124</v>
      </c>
      <c r="CW304" s="4" t="s">
        <v>124</v>
      </c>
      <c r="CX304" s="4" t="s">
        <v>124</v>
      </c>
      <c r="CY304" s="4" t="s">
        <v>124</v>
      </c>
      <c r="CZ304" s="4" t="s">
        <v>124</v>
      </c>
      <c r="DA304" s="4" t="s">
        <v>124</v>
      </c>
      <c r="DB304" s="4" t="s">
        <v>124</v>
      </c>
      <c r="DC304" s="4" t="s">
        <v>124</v>
      </c>
      <c r="DD304" s="4" t="s">
        <v>124</v>
      </c>
      <c r="DE304" s="4" t="s">
        <v>124</v>
      </c>
      <c r="DF304" s="6"/>
      <c r="DG304" s="6"/>
      <c r="DH304" s="6"/>
      <c r="DI304" s="6"/>
      <c r="DJ304" s="4" t="s">
        <v>124</v>
      </c>
      <c r="DK304" s="4" t="s">
        <v>124</v>
      </c>
      <c r="DL304" s="4" t="s">
        <v>124</v>
      </c>
      <c r="DM304" s="4" t="s">
        <v>124</v>
      </c>
      <c r="DN304" s="4" t="s">
        <v>124</v>
      </c>
      <c r="DO304" s="4" t="s">
        <v>124</v>
      </c>
      <c r="DP304" s="6"/>
      <c r="DQ304" s="4" t="s">
        <v>125</v>
      </c>
    </row>
    <row r="305" spans="1:121" ht="20" customHeight="1" x14ac:dyDescent="0.15">
      <c r="A305" s="5">
        <v>2018</v>
      </c>
      <c r="B305" s="3" t="s">
        <v>202</v>
      </c>
      <c r="C305" s="4" t="str">
        <f t="shared" si="77"/>
        <v>0250011</v>
      </c>
      <c r="D305" s="4" t="s">
        <v>444</v>
      </c>
      <c r="E305" s="4" t="str">
        <f>"0255111"</f>
        <v>0255111</v>
      </c>
      <c r="F305" s="4" t="s">
        <v>327</v>
      </c>
      <c r="G305" s="7">
        <v>7</v>
      </c>
      <c r="H305" s="7">
        <v>8</v>
      </c>
      <c r="I305" s="6"/>
      <c r="J305" s="4" t="s">
        <v>330</v>
      </c>
      <c r="K305" s="7">
        <v>686.60616800000003</v>
      </c>
      <c r="L305" s="7">
        <v>900</v>
      </c>
      <c r="M305" s="7">
        <v>76.289574000000002</v>
      </c>
      <c r="N305" s="7">
        <v>3</v>
      </c>
      <c r="O305" s="7">
        <v>1</v>
      </c>
      <c r="P305" s="7">
        <v>80.321458000000007</v>
      </c>
      <c r="Q305" s="7">
        <v>50</v>
      </c>
      <c r="R305" s="7">
        <v>50</v>
      </c>
      <c r="S305" s="7">
        <v>63.197361000000001</v>
      </c>
      <c r="T305" s="7">
        <v>75</v>
      </c>
      <c r="U305" s="7">
        <v>42.131574000000001</v>
      </c>
      <c r="V305" s="7">
        <v>50</v>
      </c>
      <c r="W305" s="7">
        <v>75.620878000000005</v>
      </c>
      <c r="X305" s="7">
        <v>50</v>
      </c>
      <c r="Y305" s="7">
        <v>50</v>
      </c>
      <c r="Z305" s="7">
        <v>75</v>
      </c>
      <c r="AA305" s="7">
        <v>56.854322000000003</v>
      </c>
      <c r="AB305" s="7">
        <v>37.902881999999998</v>
      </c>
      <c r="AC305" s="7">
        <v>50</v>
      </c>
      <c r="AD305" s="7">
        <v>75.319846999999996</v>
      </c>
      <c r="AE305" s="7">
        <v>50</v>
      </c>
      <c r="AF305" s="7">
        <v>50</v>
      </c>
      <c r="AG305" s="7">
        <v>62.832532999999998</v>
      </c>
      <c r="AH305" s="7">
        <v>75</v>
      </c>
      <c r="AI305" s="7">
        <v>41.888354999999997</v>
      </c>
      <c r="AJ305" s="7">
        <v>50</v>
      </c>
      <c r="AK305" s="7">
        <v>11.8</v>
      </c>
      <c r="AL305" s="7">
        <v>18.14</v>
      </c>
      <c r="AM305" s="7">
        <v>12.16</v>
      </c>
      <c r="AN305" s="7">
        <v>0.63538399999999995</v>
      </c>
      <c r="AO305" s="7">
        <v>63.538367999999998</v>
      </c>
      <c r="AP305" s="7">
        <v>100</v>
      </c>
      <c r="AQ305" s="7">
        <v>0.72422399999999998</v>
      </c>
      <c r="AR305" s="7">
        <v>72.422432000000001</v>
      </c>
      <c r="AS305" s="7">
        <v>100</v>
      </c>
      <c r="AT305" s="7">
        <v>0.49237599999999998</v>
      </c>
      <c r="AU305" s="7">
        <v>0.67408000000000001</v>
      </c>
      <c r="AV305" s="7">
        <v>49.237572999999998</v>
      </c>
      <c r="AW305" s="7">
        <v>100</v>
      </c>
      <c r="AX305" s="7">
        <v>0.57034399999999996</v>
      </c>
      <c r="AY305" s="7">
        <v>0.76564200000000004</v>
      </c>
      <c r="AZ305" s="7">
        <v>57.034377999999997</v>
      </c>
      <c r="BA305" s="7">
        <v>100</v>
      </c>
      <c r="BB305" s="4" t="s">
        <v>124</v>
      </c>
      <c r="BC305" s="4" t="s">
        <v>124</v>
      </c>
      <c r="BD305" s="4" t="s">
        <v>124</v>
      </c>
      <c r="BE305" s="4" t="s">
        <v>124</v>
      </c>
      <c r="BF305" s="4" t="s">
        <v>124</v>
      </c>
      <c r="BG305" s="4" t="s">
        <v>124</v>
      </c>
      <c r="BH305" s="7">
        <v>0</v>
      </c>
      <c r="BI305" s="7">
        <v>0.98398799999999997</v>
      </c>
      <c r="BJ305" s="7">
        <v>0.97530899999999998</v>
      </c>
      <c r="BK305" s="7">
        <v>0.98666699999999996</v>
      </c>
      <c r="BL305" s="7">
        <v>0.97962199999999999</v>
      </c>
      <c r="BM305" s="7">
        <v>0.96296300000000001</v>
      </c>
      <c r="BN305" s="7">
        <v>0.98476200000000003</v>
      </c>
      <c r="BO305" s="7">
        <v>0.98118300000000003</v>
      </c>
      <c r="BP305" s="7">
        <v>0.97647099999999998</v>
      </c>
      <c r="BQ305" s="7">
        <v>0.98257799999999995</v>
      </c>
      <c r="BR305" s="7">
        <v>5.9679999999999997E-2</v>
      </c>
      <c r="BS305" s="7">
        <v>48.064047000000002</v>
      </c>
      <c r="BT305" s="7">
        <v>50</v>
      </c>
      <c r="BU305" s="7">
        <v>0.15060200000000001</v>
      </c>
      <c r="BV305" s="7">
        <v>29.879518000000001</v>
      </c>
      <c r="BW305" s="7">
        <v>50</v>
      </c>
      <c r="BX305" s="4" t="s">
        <v>124</v>
      </c>
      <c r="BY305" s="4" t="s">
        <v>124</v>
      </c>
      <c r="BZ305" s="4" t="s">
        <v>124</v>
      </c>
      <c r="CA305" s="4" t="s">
        <v>124</v>
      </c>
      <c r="CB305" s="4" t="s">
        <v>124</v>
      </c>
      <c r="CC305" s="4" t="s">
        <v>124</v>
      </c>
      <c r="CD305" s="7">
        <v>0.97911199999999998</v>
      </c>
      <c r="CE305" s="7">
        <v>50</v>
      </c>
      <c r="CF305" s="7">
        <v>50</v>
      </c>
      <c r="CG305" s="4" t="s">
        <v>124</v>
      </c>
      <c r="CH305" s="4" t="s">
        <v>124</v>
      </c>
      <c r="CI305" s="4" t="s">
        <v>124</v>
      </c>
      <c r="CJ305" s="4" t="s">
        <v>124</v>
      </c>
      <c r="CK305" s="4" t="s">
        <v>124</v>
      </c>
      <c r="CL305" s="4" t="s">
        <v>124</v>
      </c>
      <c r="CM305" s="4" t="s">
        <v>124</v>
      </c>
      <c r="CN305" s="4" t="s">
        <v>124</v>
      </c>
      <c r="CO305" s="4" t="s">
        <v>124</v>
      </c>
      <c r="CP305" s="4" t="s">
        <v>124</v>
      </c>
      <c r="CQ305" s="7">
        <v>0.66760600000000003</v>
      </c>
      <c r="CR305" s="7">
        <v>0.95430099999999995</v>
      </c>
      <c r="CS305" s="7">
        <v>44.507041999999998</v>
      </c>
      <c r="CT305" s="7">
        <v>50</v>
      </c>
      <c r="CU305" s="4" t="s">
        <v>124</v>
      </c>
      <c r="CV305" s="4" t="s">
        <v>124</v>
      </c>
      <c r="CW305" s="4" t="s">
        <v>124</v>
      </c>
      <c r="CX305" s="4" t="s">
        <v>124</v>
      </c>
      <c r="CY305" s="4" t="s">
        <v>124</v>
      </c>
      <c r="CZ305" s="4" t="s">
        <v>124</v>
      </c>
      <c r="DA305" s="7">
        <v>15.314097</v>
      </c>
      <c r="DB305" s="7">
        <v>17.400950000000002</v>
      </c>
      <c r="DC305" s="7">
        <v>16.332519999999999</v>
      </c>
      <c r="DD305" s="4" t="s">
        <v>124</v>
      </c>
      <c r="DE305" s="7">
        <v>1</v>
      </c>
      <c r="DF305" s="6"/>
      <c r="DG305" s="6"/>
      <c r="DH305" s="6"/>
      <c r="DI305" s="6"/>
      <c r="DJ305" s="7">
        <v>0</v>
      </c>
      <c r="DK305" s="7">
        <v>0</v>
      </c>
      <c r="DL305" s="7">
        <v>0</v>
      </c>
      <c r="DM305" s="7">
        <v>0</v>
      </c>
      <c r="DN305" s="7">
        <v>0</v>
      </c>
      <c r="DO305" s="7">
        <v>0</v>
      </c>
      <c r="DP305" s="6"/>
      <c r="DQ305" s="4" t="s">
        <v>125</v>
      </c>
    </row>
    <row r="306" spans="1:121" ht="20" customHeight="1" x14ac:dyDescent="0.15">
      <c r="A306" s="5">
        <v>2018</v>
      </c>
      <c r="B306" s="3" t="s">
        <v>202</v>
      </c>
      <c r="C306" s="4" t="str">
        <f t="shared" si="77"/>
        <v>0250011</v>
      </c>
      <c r="D306" s="4" t="s">
        <v>445</v>
      </c>
      <c r="E306" s="4" t="str">
        <f>"0250611"</f>
        <v>0250611</v>
      </c>
      <c r="F306" s="4" t="s">
        <v>327</v>
      </c>
      <c r="G306" s="7">
        <v>1</v>
      </c>
      <c r="H306" s="7">
        <v>6</v>
      </c>
      <c r="I306" s="6"/>
      <c r="J306" s="4" t="s">
        <v>330</v>
      </c>
      <c r="K306" s="7">
        <v>675.14466300000004</v>
      </c>
      <c r="L306" s="7">
        <v>800</v>
      </c>
      <c r="M306" s="7">
        <v>84.393083000000004</v>
      </c>
      <c r="N306" s="7">
        <v>2</v>
      </c>
      <c r="O306" s="7">
        <v>0</v>
      </c>
      <c r="P306" s="7">
        <v>82.401015999999998</v>
      </c>
      <c r="Q306" s="7">
        <v>50</v>
      </c>
      <c r="R306" s="7">
        <v>50</v>
      </c>
      <c r="S306" s="7">
        <v>73.641548</v>
      </c>
      <c r="T306" s="7">
        <v>75</v>
      </c>
      <c r="U306" s="7">
        <v>49.094365000000003</v>
      </c>
      <c r="V306" s="7">
        <v>50</v>
      </c>
      <c r="W306" s="7">
        <v>77.347436999999999</v>
      </c>
      <c r="X306" s="7">
        <v>50</v>
      </c>
      <c r="Y306" s="7">
        <v>50</v>
      </c>
      <c r="Z306" s="7">
        <v>75</v>
      </c>
      <c r="AA306" s="7">
        <v>65.285325999999998</v>
      </c>
      <c r="AB306" s="7">
        <v>43.523550999999998</v>
      </c>
      <c r="AC306" s="7">
        <v>50</v>
      </c>
      <c r="AD306" s="7">
        <v>82.300743999999995</v>
      </c>
      <c r="AE306" s="7">
        <v>50</v>
      </c>
      <c r="AF306" s="7">
        <v>50</v>
      </c>
      <c r="AG306" s="4" t="s">
        <v>124</v>
      </c>
      <c r="AH306" s="7">
        <v>75</v>
      </c>
      <c r="AI306" s="4" t="s">
        <v>124</v>
      </c>
      <c r="AJ306" s="4" t="s">
        <v>124</v>
      </c>
      <c r="AK306" s="7">
        <v>1.35</v>
      </c>
      <c r="AL306" s="7">
        <v>9.7100000000000009</v>
      </c>
      <c r="AM306" s="4" t="s">
        <v>124</v>
      </c>
      <c r="AN306" s="7">
        <v>0.76320299999999996</v>
      </c>
      <c r="AO306" s="7">
        <v>76.320267999999999</v>
      </c>
      <c r="AP306" s="7">
        <v>100</v>
      </c>
      <c r="AQ306" s="7">
        <v>0.83228199999999997</v>
      </c>
      <c r="AR306" s="7">
        <v>83.228194000000002</v>
      </c>
      <c r="AS306" s="7">
        <v>100</v>
      </c>
      <c r="AT306" s="7">
        <v>0.69531399999999999</v>
      </c>
      <c r="AU306" s="7">
        <v>0.791601</v>
      </c>
      <c r="AV306" s="7">
        <v>69.531388000000007</v>
      </c>
      <c r="AW306" s="7">
        <v>100</v>
      </c>
      <c r="AX306" s="7">
        <v>0.76180899999999996</v>
      </c>
      <c r="AY306" s="7">
        <v>0.861761</v>
      </c>
      <c r="AZ306" s="7">
        <v>76.180902000000003</v>
      </c>
      <c r="BA306" s="7">
        <v>100</v>
      </c>
      <c r="BB306" s="4" t="s">
        <v>124</v>
      </c>
      <c r="BC306" s="4" t="s">
        <v>124</v>
      </c>
      <c r="BD306" s="4" t="s">
        <v>124</v>
      </c>
      <c r="BE306" s="4" t="s">
        <v>124</v>
      </c>
      <c r="BF306" s="4" t="s">
        <v>124</v>
      </c>
      <c r="BG306" s="4" t="s">
        <v>124</v>
      </c>
      <c r="BH306" s="7">
        <v>0</v>
      </c>
      <c r="BI306" s="7">
        <v>0.98653199999999996</v>
      </c>
      <c r="BJ306" s="7">
        <v>1</v>
      </c>
      <c r="BK306" s="7">
        <v>0.981132</v>
      </c>
      <c r="BL306" s="7">
        <v>0.98316499999999996</v>
      </c>
      <c r="BM306" s="7">
        <v>0.98823499999999997</v>
      </c>
      <c r="BN306" s="7">
        <v>0.981132</v>
      </c>
      <c r="BO306" s="7">
        <v>0.98507500000000003</v>
      </c>
      <c r="BP306" s="4" t="s">
        <v>124</v>
      </c>
      <c r="BQ306" s="7">
        <v>0.98</v>
      </c>
      <c r="BR306" s="7">
        <v>0.05</v>
      </c>
      <c r="BS306" s="7">
        <v>50</v>
      </c>
      <c r="BT306" s="7">
        <v>50</v>
      </c>
      <c r="BU306" s="7">
        <v>0.12598400000000001</v>
      </c>
      <c r="BV306" s="7">
        <v>34.803150000000002</v>
      </c>
      <c r="BW306" s="7">
        <v>50</v>
      </c>
      <c r="BX306" s="4" t="s">
        <v>124</v>
      </c>
      <c r="BY306" s="4" t="s">
        <v>124</v>
      </c>
      <c r="BZ306" s="4" t="s">
        <v>124</v>
      </c>
      <c r="CA306" s="4" t="s">
        <v>124</v>
      </c>
      <c r="CB306" s="4" t="s">
        <v>124</v>
      </c>
      <c r="CC306" s="4" t="s">
        <v>124</v>
      </c>
      <c r="CD306" s="4" t="s">
        <v>124</v>
      </c>
      <c r="CE306" s="4" t="s">
        <v>124</v>
      </c>
      <c r="CF306" s="4" t="s">
        <v>124</v>
      </c>
      <c r="CG306" s="4" t="s">
        <v>124</v>
      </c>
      <c r="CH306" s="4" t="s">
        <v>124</v>
      </c>
      <c r="CI306" s="4" t="s">
        <v>124</v>
      </c>
      <c r="CJ306" s="4" t="s">
        <v>124</v>
      </c>
      <c r="CK306" s="4" t="s">
        <v>124</v>
      </c>
      <c r="CL306" s="4" t="s">
        <v>124</v>
      </c>
      <c r="CM306" s="4" t="s">
        <v>124</v>
      </c>
      <c r="CN306" s="4" t="s">
        <v>124</v>
      </c>
      <c r="CO306" s="4" t="s">
        <v>124</v>
      </c>
      <c r="CP306" s="4" t="s">
        <v>124</v>
      </c>
      <c r="CQ306" s="7">
        <v>0.63694300000000004</v>
      </c>
      <c r="CR306" s="7">
        <v>1.00641</v>
      </c>
      <c r="CS306" s="7">
        <v>42.462845000000002</v>
      </c>
      <c r="CT306" s="7">
        <v>50</v>
      </c>
      <c r="CU306" s="4" t="s">
        <v>124</v>
      </c>
      <c r="CV306" s="4" t="s">
        <v>124</v>
      </c>
      <c r="CW306" s="4" t="s">
        <v>124</v>
      </c>
      <c r="CX306" s="4" t="s">
        <v>124</v>
      </c>
      <c r="CY306" s="4" t="s">
        <v>124</v>
      </c>
      <c r="CZ306" s="4" t="s">
        <v>124</v>
      </c>
      <c r="DA306" s="7">
        <v>15.314097</v>
      </c>
      <c r="DB306" s="7">
        <v>17.400950000000002</v>
      </c>
      <c r="DC306" s="7">
        <v>16.332519999999999</v>
      </c>
      <c r="DD306" s="4" t="s">
        <v>124</v>
      </c>
      <c r="DE306" s="7">
        <v>0</v>
      </c>
      <c r="DF306" s="6"/>
      <c r="DG306" s="6"/>
      <c r="DH306" s="6"/>
      <c r="DI306" s="6"/>
      <c r="DJ306" s="7">
        <v>0</v>
      </c>
      <c r="DK306" s="7">
        <v>0</v>
      </c>
      <c r="DL306" s="7">
        <v>0</v>
      </c>
      <c r="DM306" s="7">
        <v>0</v>
      </c>
      <c r="DN306" s="7">
        <v>0</v>
      </c>
      <c r="DO306" s="7">
        <v>0</v>
      </c>
      <c r="DP306" s="6"/>
      <c r="DQ306" s="4" t="s">
        <v>125</v>
      </c>
    </row>
    <row r="307" spans="1:121" ht="20" customHeight="1" x14ac:dyDescent="0.15">
      <c r="A307" s="5">
        <v>2018</v>
      </c>
      <c r="B307" s="3" t="s">
        <v>202</v>
      </c>
      <c r="C307" s="4" t="str">
        <f t="shared" si="77"/>
        <v>0250011</v>
      </c>
      <c r="D307" s="4" t="s">
        <v>446</v>
      </c>
      <c r="E307" s="4" t="str">
        <f>"0250411"</f>
        <v>0250411</v>
      </c>
      <c r="F307" s="4" t="s">
        <v>327</v>
      </c>
      <c r="G307" s="4" t="s">
        <v>338</v>
      </c>
      <c r="H307" s="7">
        <v>6</v>
      </c>
      <c r="I307" s="6"/>
      <c r="J307" s="4" t="s">
        <v>330</v>
      </c>
      <c r="K307" s="7">
        <v>700.70680500000003</v>
      </c>
      <c r="L307" s="7">
        <v>850</v>
      </c>
      <c r="M307" s="7">
        <v>82.436094999999995</v>
      </c>
      <c r="N307" s="7">
        <v>2</v>
      </c>
      <c r="O307" s="7">
        <v>0</v>
      </c>
      <c r="P307" s="7">
        <v>83.770932000000002</v>
      </c>
      <c r="Q307" s="7">
        <v>50</v>
      </c>
      <c r="R307" s="7">
        <v>50</v>
      </c>
      <c r="S307" s="7">
        <v>66.306269999999998</v>
      </c>
      <c r="T307" s="7">
        <v>75</v>
      </c>
      <c r="U307" s="7">
        <v>44.204180000000001</v>
      </c>
      <c r="V307" s="7">
        <v>50</v>
      </c>
      <c r="W307" s="7">
        <v>80.431195000000002</v>
      </c>
      <c r="X307" s="7">
        <v>50</v>
      </c>
      <c r="Y307" s="7">
        <v>50</v>
      </c>
      <c r="Z307" s="7">
        <v>75</v>
      </c>
      <c r="AA307" s="7">
        <v>63.099027</v>
      </c>
      <c r="AB307" s="7">
        <v>42.066018</v>
      </c>
      <c r="AC307" s="7">
        <v>50</v>
      </c>
      <c r="AD307" s="7">
        <v>83.119929999999997</v>
      </c>
      <c r="AE307" s="7">
        <v>50</v>
      </c>
      <c r="AF307" s="7">
        <v>50</v>
      </c>
      <c r="AG307" s="7">
        <v>69.000671999999994</v>
      </c>
      <c r="AH307" s="7">
        <v>75</v>
      </c>
      <c r="AI307" s="7">
        <v>46.000447999999999</v>
      </c>
      <c r="AJ307" s="7">
        <v>50</v>
      </c>
      <c r="AK307" s="7">
        <v>8.69</v>
      </c>
      <c r="AL307" s="7">
        <v>11.9</v>
      </c>
      <c r="AM307" s="7">
        <v>5.99</v>
      </c>
      <c r="AN307" s="7">
        <v>0.71735199999999999</v>
      </c>
      <c r="AO307" s="7">
        <v>71.735204999999993</v>
      </c>
      <c r="AP307" s="7">
        <v>100</v>
      </c>
      <c r="AQ307" s="7">
        <v>0.74976699999999996</v>
      </c>
      <c r="AR307" s="7">
        <v>74.976741000000004</v>
      </c>
      <c r="AS307" s="7">
        <v>100</v>
      </c>
      <c r="AT307" s="7">
        <v>0.67246399999999995</v>
      </c>
      <c r="AU307" s="7">
        <v>0.727738</v>
      </c>
      <c r="AV307" s="7">
        <v>67.246393999999995</v>
      </c>
      <c r="AW307" s="7">
        <v>100</v>
      </c>
      <c r="AX307" s="7">
        <v>0.68061099999999997</v>
      </c>
      <c r="AY307" s="7">
        <v>0.765768</v>
      </c>
      <c r="AZ307" s="7">
        <v>68.061098999999999</v>
      </c>
      <c r="BA307" s="7">
        <v>100</v>
      </c>
      <c r="BB307" s="4" t="s">
        <v>124</v>
      </c>
      <c r="BC307" s="4" t="s">
        <v>124</v>
      </c>
      <c r="BD307" s="4" t="s">
        <v>124</v>
      </c>
      <c r="BE307" s="4" t="s">
        <v>124</v>
      </c>
      <c r="BF307" s="4" t="s">
        <v>124</v>
      </c>
      <c r="BG307" s="4" t="s">
        <v>124</v>
      </c>
      <c r="BH307" s="7">
        <v>0</v>
      </c>
      <c r="BI307" s="7">
        <v>0.98687100000000005</v>
      </c>
      <c r="BJ307" s="7">
        <v>0.97196300000000002</v>
      </c>
      <c r="BK307" s="7">
        <v>0.991429</v>
      </c>
      <c r="BL307" s="7">
        <v>0.98687100000000005</v>
      </c>
      <c r="BM307" s="7">
        <v>0.97196300000000002</v>
      </c>
      <c r="BN307" s="7">
        <v>0.991429</v>
      </c>
      <c r="BO307" s="7">
        <v>0.99065400000000003</v>
      </c>
      <c r="BP307" s="7">
        <v>1</v>
      </c>
      <c r="BQ307" s="7">
        <v>0.98750000000000004</v>
      </c>
      <c r="BR307" s="7">
        <v>2.8112000000000002E-2</v>
      </c>
      <c r="BS307" s="7">
        <v>50</v>
      </c>
      <c r="BT307" s="7">
        <v>50</v>
      </c>
      <c r="BU307" s="7">
        <v>9.3407000000000004E-2</v>
      </c>
      <c r="BV307" s="7">
        <v>41.318680999999998</v>
      </c>
      <c r="BW307" s="7">
        <v>50</v>
      </c>
      <c r="BX307" s="4" t="s">
        <v>124</v>
      </c>
      <c r="BY307" s="4" t="s">
        <v>124</v>
      </c>
      <c r="BZ307" s="4" t="s">
        <v>124</v>
      </c>
      <c r="CA307" s="4" t="s">
        <v>124</v>
      </c>
      <c r="CB307" s="4" t="s">
        <v>124</v>
      </c>
      <c r="CC307" s="4" t="s">
        <v>124</v>
      </c>
      <c r="CD307" s="4" t="s">
        <v>124</v>
      </c>
      <c r="CE307" s="4" t="s">
        <v>124</v>
      </c>
      <c r="CF307" s="4" t="s">
        <v>124</v>
      </c>
      <c r="CG307" s="4" t="s">
        <v>124</v>
      </c>
      <c r="CH307" s="4" t="s">
        <v>124</v>
      </c>
      <c r="CI307" s="4" t="s">
        <v>124</v>
      </c>
      <c r="CJ307" s="4" t="s">
        <v>124</v>
      </c>
      <c r="CK307" s="4" t="s">
        <v>124</v>
      </c>
      <c r="CL307" s="4" t="s">
        <v>124</v>
      </c>
      <c r="CM307" s="4" t="s">
        <v>124</v>
      </c>
      <c r="CN307" s="4" t="s">
        <v>124</v>
      </c>
      <c r="CO307" s="4" t="s">
        <v>124</v>
      </c>
      <c r="CP307" s="4" t="s">
        <v>124</v>
      </c>
      <c r="CQ307" s="7">
        <v>0.67647100000000004</v>
      </c>
      <c r="CR307" s="7">
        <v>0.99166699999999997</v>
      </c>
      <c r="CS307" s="7">
        <v>45.098039</v>
      </c>
      <c r="CT307" s="7">
        <v>50</v>
      </c>
      <c r="CU307" s="4" t="s">
        <v>124</v>
      </c>
      <c r="CV307" s="4" t="s">
        <v>124</v>
      </c>
      <c r="CW307" s="4" t="s">
        <v>124</v>
      </c>
      <c r="CX307" s="4" t="s">
        <v>124</v>
      </c>
      <c r="CY307" s="4" t="s">
        <v>124</v>
      </c>
      <c r="CZ307" s="4" t="s">
        <v>124</v>
      </c>
      <c r="DA307" s="7">
        <v>15.314097</v>
      </c>
      <c r="DB307" s="7">
        <v>17.400950000000002</v>
      </c>
      <c r="DC307" s="7">
        <v>16.332519999999999</v>
      </c>
      <c r="DD307" s="4" t="s">
        <v>124</v>
      </c>
      <c r="DE307" s="7">
        <v>0</v>
      </c>
      <c r="DF307" s="6"/>
      <c r="DG307" s="6"/>
      <c r="DH307" s="6"/>
      <c r="DI307" s="6"/>
      <c r="DJ307" s="7">
        <v>0</v>
      </c>
      <c r="DK307" s="7">
        <v>0</v>
      </c>
      <c r="DL307" s="7">
        <v>0</v>
      </c>
      <c r="DM307" s="7">
        <v>0</v>
      </c>
      <c r="DN307" s="7">
        <v>0</v>
      </c>
      <c r="DO307" s="7">
        <v>0</v>
      </c>
      <c r="DP307" s="6"/>
      <c r="DQ307" s="4" t="s">
        <v>125</v>
      </c>
    </row>
    <row r="308" spans="1:121" ht="20" customHeight="1" x14ac:dyDescent="0.15">
      <c r="A308" s="5">
        <v>2018</v>
      </c>
      <c r="B308" s="3" t="s">
        <v>202</v>
      </c>
      <c r="C308" s="4" t="str">
        <f t="shared" si="77"/>
        <v>0250011</v>
      </c>
      <c r="D308" s="4" t="s">
        <v>447</v>
      </c>
      <c r="E308" s="4" t="str">
        <f>"0250511"</f>
        <v>0250511</v>
      </c>
      <c r="F308" s="4" t="s">
        <v>327</v>
      </c>
      <c r="G308" s="4" t="s">
        <v>338</v>
      </c>
      <c r="H308" s="7">
        <v>6</v>
      </c>
      <c r="I308" s="6"/>
      <c r="J308" s="4" t="s">
        <v>330</v>
      </c>
      <c r="K308" s="7">
        <v>703.337039</v>
      </c>
      <c r="L308" s="7">
        <v>800</v>
      </c>
      <c r="M308" s="7">
        <v>87.91713</v>
      </c>
      <c r="N308" s="7">
        <v>1</v>
      </c>
      <c r="O308" s="7">
        <v>0</v>
      </c>
      <c r="P308" s="7">
        <v>86.965665000000001</v>
      </c>
      <c r="Q308" s="7">
        <v>50</v>
      </c>
      <c r="R308" s="7">
        <v>50</v>
      </c>
      <c r="S308" s="7">
        <v>76.466453999999999</v>
      </c>
      <c r="T308" s="7">
        <v>75</v>
      </c>
      <c r="U308" s="7">
        <v>50</v>
      </c>
      <c r="V308" s="7">
        <v>50</v>
      </c>
      <c r="W308" s="7">
        <v>83.190875000000005</v>
      </c>
      <c r="X308" s="7">
        <v>50</v>
      </c>
      <c r="Y308" s="7">
        <v>50</v>
      </c>
      <c r="Z308" s="7">
        <v>75</v>
      </c>
      <c r="AA308" s="7">
        <v>70.612201999999996</v>
      </c>
      <c r="AB308" s="7">
        <v>47.074801000000001</v>
      </c>
      <c r="AC308" s="7">
        <v>50</v>
      </c>
      <c r="AD308" s="7">
        <v>87.257056000000006</v>
      </c>
      <c r="AE308" s="7">
        <v>50</v>
      </c>
      <c r="AF308" s="7">
        <v>50</v>
      </c>
      <c r="AG308" s="4" t="s">
        <v>124</v>
      </c>
      <c r="AH308" s="7">
        <v>75</v>
      </c>
      <c r="AI308" s="4" t="s">
        <v>124</v>
      </c>
      <c r="AJ308" s="4" t="s">
        <v>124</v>
      </c>
      <c r="AK308" s="7">
        <v>-1.46</v>
      </c>
      <c r="AL308" s="7">
        <v>4.38</v>
      </c>
      <c r="AM308" s="4" t="s">
        <v>124</v>
      </c>
      <c r="AN308" s="7">
        <v>0.79125999999999996</v>
      </c>
      <c r="AO308" s="7">
        <v>79.125957</v>
      </c>
      <c r="AP308" s="7">
        <v>100</v>
      </c>
      <c r="AQ308" s="7">
        <v>0.90442900000000004</v>
      </c>
      <c r="AR308" s="7">
        <v>90.442910999999995</v>
      </c>
      <c r="AS308" s="7">
        <v>100</v>
      </c>
      <c r="AT308" s="7">
        <v>0.75138700000000003</v>
      </c>
      <c r="AU308" s="7">
        <v>0.79820500000000005</v>
      </c>
      <c r="AV308" s="7">
        <v>75.138687000000004</v>
      </c>
      <c r="AW308" s="7">
        <v>100</v>
      </c>
      <c r="AX308" s="7">
        <v>0.76554699999999998</v>
      </c>
      <c r="AY308" s="7">
        <v>0.92862199999999995</v>
      </c>
      <c r="AZ308" s="7">
        <v>76.554682</v>
      </c>
      <c r="BA308" s="7">
        <v>100</v>
      </c>
      <c r="BB308" s="4" t="s">
        <v>124</v>
      </c>
      <c r="BC308" s="4" t="s">
        <v>124</v>
      </c>
      <c r="BD308" s="4" t="s">
        <v>124</v>
      </c>
      <c r="BE308" s="4" t="s">
        <v>124</v>
      </c>
      <c r="BF308" s="4" t="s">
        <v>124</v>
      </c>
      <c r="BG308" s="4" t="s">
        <v>124</v>
      </c>
      <c r="BH308" s="7">
        <v>0</v>
      </c>
      <c r="BI308" s="7">
        <v>0.99196799999999996</v>
      </c>
      <c r="BJ308" s="7">
        <v>0.95744700000000005</v>
      </c>
      <c r="BK308" s="7">
        <v>1</v>
      </c>
      <c r="BL308" s="7">
        <v>0.99196799999999996</v>
      </c>
      <c r="BM308" s="7">
        <v>0.95744700000000005</v>
      </c>
      <c r="BN308" s="7">
        <v>1</v>
      </c>
      <c r="BO308" s="7">
        <v>0.98461500000000002</v>
      </c>
      <c r="BP308" s="4" t="s">
        <v>124</v>
      </c>
      <c r="BQ308" s="7">
        <v>1</v>
      </c>
      <c r="BR308" s="7">
        <v>2.3640999999999999E-2</v>
      </c>
      <c r="BS308" s="7">
        <v>50</v>
      </c>
      <c r="BT308" s="7">
        <v>50</v>
      </c>
      <c r="BU308" s="7">
        <v>3.4883999999999998E-2</v>
      </c>
      <c r="BV308" s="7">
        <v>50</v>
      </c>
      <c r="BW308" s="7">
        <v>50</v>
      </c>
      <c r="BX308" s="4" t="s">
        <v>124</v>
      </c>
      <c r="BY308" s="4" t="s">
        <v>124</v>
      </c>
      <c r="BZ308" s="4" t="s">
        <v>124</v>
      </c>
      <c r="CA308" s="4" t="s">
        <v>124</v>
      </c>
      <c r="CB308" s="4" t="s">
        <v>124</v>
      </c>
      <c r="CC308" s="4" t="s">
        <v>124</v>
      </c>
      <c r="CD308" s="4" t="s">
        <v>124</v>
      </c>
      <c r="CE308" s="4" t="s">
        <v>124</v>
      </c>
      <c r="CF308" s="4" t="s">
        <v>124</v>
      </c>
      <c r="CG308" s="4" t="s">
        <v>124</v>
      </c>
      <c r="CH308" s="4" t="s">
        <v>124</v>
      </c>
      <c r="CI308" s="4" t="s">
        <v>124</v>
      </c>
      <c r="CJ308" s="4" t="s">
        <v>124</v>
      </c>
      <c r="CK308" s="4" t="s">
        <v>124</v>
      </c>
      <c r="CL308" s="4" t="s">
        <v>124</v>
      </c>
      <c r="CM308" s="4" t="s">
        <v>124</v>
      </c>
      <c r="CN308" s="4" t="s">
        <v>124</v>
      </c>
      <c r="CO308" s="4" t="s">
        <v>124</v>
      </c>
      <c r="CP308" s="4" t="s">
        <v>124</v>
      </c>
      <c r="CQ308" s="7">
        <v>0.52500000000000002</v>
      </c>
      <c r="CR308" s="7">
        <v>0.99173599999999995</v>
      </c>
      <c r="CS308" s="7">
        <v>35</v>
      </c>
      <c r="CT308" s="7">
        <v>50</v>
      </c>
      <c r="CU308" s="4" t="s">
        <v>124</v>
      </c>
      <c r="CV308" s="4" t="s">
        <v>124</v>
      </c>
      <c r="CW308" s="4" t="s">
        <v>124</v>
      </c>
      <c r="CX308" s="4" t="s">
        <v>124</v>
      </c>
      <c r="CY308" s="4" t="s">
        <v>124</v>
      </c>
      <c r="CZ308" s="4" t="s">
        <v>124</v>
      </c>
      <c r="DA308" s="7">
        <v>15.314097</v>
      </c>
      <c r="DB308" s="7">
        <v>17.400950000000002</v>
      </c>
      <c r="DC308" s="7">
        <v>16.332519999999999</v>
      </c>
      <c r="DD308" s="4" t="s">
        <v>124</v>
      </c>
      <c r="DE308" s="7">
        <v>0</v>
      </c>
      <c r="DF308" s="6"/>
      <c r="DG308" s="6"/>
      <c r="DH308" s="4" t="s">
        <v>331</v>
      </c>
      <c r="DI308" s="4" t="s">
        <v>448</v>
      </c>
      <c r="DJ308" s="7">
        <v>1</v>
      </c>
      <c r="DK308" s="7">
        <v>1</v>
      </c>
      <c r="DL308" s="7">
        <v>1</v>
      </c>
      <c r="DM308" s="7">
        <v>1</v>
      </c>
      <c r="DN308" s="7">
        <v>0</v>
      </c>
      <c r="DO308" s="7">
        <v>0</v>
      </c>
      <c r="DP308" s="6"/>
      <c r="DQ308" s="4" t="s">
        <v>125</v>
      </c>
    </row>
    <row r="309" spans="1:121" ht="20" customHeight="1" x14ac:dyDescent="0.15">
      <c r="A309" s="5">
        <v>2018</v>
      </c>
      <c r="B309" s="3" t="s">
        <v>218</v>
      </c>
      <c r="C309" s="4" t="str">
        <f t="shared" si="93"/>
        <v>0260011</v>
      </c>
      <c r="D309" s="4" t="s">
        <v>449</v>
      </c>
      <c r="E309" s="4" t="str">
        <f>"0260111"</f>
        <v>0260111</v>
      </c>
      <c r="F309" s="4" t="s">
        <v>327</v>
      </c>
      <c r="G309" s="4" t="s">
        <v>328</v>
      </c>
      <c r="H309" s="7">
        <v>6</v>
      </c>
      <c r="I309" s="4" t="s">
        <v>329</v>
      </c>
      <c r="J309" s="4" t="s">
        <v>330</v>
      </c>
      <c r="K309" s="7">
        <v>696.01475600000003</v>
      </c>
      <c r="L309" s="7">
        <v>800</v>
      </c>
      <c r="M309" s="7">
        <v>87.001844000000006</v>
      </c>
      <c r="N309" s="7">
        <v>1</v>
      </c>
      <c r="O309" s="7">
        <v>0</v>
      </c>
      <c r="P309" s="7">
        <v>82.664631</v>
      </c>
      <c r="Q309" s="7">
        <v>50</v>
      </c>
      <c r="R309" s="7">
        <v>50</v>
      </c>
      <c r="S309" s="7">
        <v>74.818884999999995</v>
      </c>
      <c r="T309" s="7">
        <v>75</v>
      </c>
      <c r="U309" s="7">
        <v>49.879257000000003</v>
      </c>
      <c r="V309" s="7">
        <v>50</v>
      </c>
      <c r="W309" s="7">
        <v>78.795942999999994</v>
      </c>
      <c r="X309" s="7">
        <v>50</v>
      </c>
      <c r="Y309" s="7">
        <v>50</v>
      </c>
      <c r="Z309" s="7">
        <v>75</v>
      </c>
      <c r="AA309" s="7">
        <v>67.313090000000003</v>
      </c>
      <c r="AB309" s="7">
        <v>44.875393000000003</v>
      </c>
      <c r="AC309" s="7">
        <v>50</v>
      </c>
      <c r="AD309" s="7">
        <v>75.225806000000006</v>
      </c>
      <c r="AE309" s="7">
        <v>50</v>
      </c>
      <c r="AF309" s="7">
        <v>50</v>
      </c>
      <c r="AG309" s="4" t="s">
        <v>124</v>
      </c>
      <c r="AH309" s="4" t="s">
        <v>124</v>
      </c>
      <c r="AI309" s="4" t="s">
        <v>124</v>
      </c>
      <c r="AJ309" s="4" t="s">
        <v>124</v>
      </c>
      <c r="AK309" s="7">
        <v>0.18</v>
      </c>
      <c r="AL309" s="7">
        <v>7.68</v>
      </c>
      <c r="AM309" s="4" t="s">
        <v>124</v>
      </c>
      <c r="AN309" s="7">
        <v>0.78450200000000003</v>
      </c>
      <c r="AO309" s="7">
        <v>78.450205999999994</v>
      </c>
      <c r="AP309" s="7">
        <v>100</v>
      </c>
      <c r="AQ309" s="7">
        <v>0.83210200000000001</v>
      </c>
      <c r="AR309" s="7">
        <v>83.210223999999997</v>
      </c>
      <c r="AS309" s="7">
        <v>100</v>
      </c>
      <c r="AT309" s="7">
        <v>0.73007</v>
      </c>
      <c r="AU309" s="7">
        <v>0.81758799999999998</v>
      </c>
      <c r="AV309" s="7">
        <v>73.006983000000005</v>
      </c>
      <c r="AW309" s="7">
        <v>100</v>
      </c>
      <c r="AX309" s="7">
        <v>0.77307000000000003</v>
      </c>
      <c r="AY309" s="7">
        <v>0.86798500000000001</v>
      </c>
      <c r="AZ309" s="7">
        <v>77.306977000000003</v>
      </c>
      <c r="BA309" s="7">
        <v>100</v>
      </c>
      <c r="BB309" s="4" t="s">
        <v>124</v>
      </c>
      <c r="BC309" s="4" t="s">
        <v>124</v>
      </c>
      <c r="BD309" s="4" t="s">
        <v>124</v>
      </c>
      <c r="BE309" s="4" t="s">
        <v>124</v>
      </c>
      <c r="BF309" s="4" t="s">
        <v>124</v>
      </c>
      <c r="BG309" s="4" t="s">
        <v>124</v>
      </c>
      <c r="BH309" s="7">
        <v>0</v>
      </c>
      <c r="BI309" s="7">
        <v>1</v>
      </c>
      <c r="BJ309" s="7">
        <v>1</v>
      </c>
      <c r="BK309" s="7">
        <v>1</v>
      </c>
      <c r="BL309" s="7">
        <v>1</v>
      </c>
      <c r="BM309" s="7">
        <v>1</v>
      </c>
      <c r="BN309" s="7">
        <v>1</v>
      </c>
      <c r="BO309" s="7">
        <v>0.96</v>
      </c>
      <c r="BP309" s="4" t="s">
        <v>124</v>
      </c>
      <c r="BQ309" s="4" t="s">
        <v>124</v>
      </c>
      <c r="BR309" s="7">
        <v>1.5706999999999999E-2</v>
      </c>
      <c r="BS309" s="7">
        <v>50</v>
      </c>
      <c r="BT309" s="7">
        <v>50</v>
      </c>
      <c r="BU309" s="7">
        <v>1.4925000000000001E-2</v>
      </c>
      <c r="BV309" s="7">
        <v>50</v>
      </c>
      <c r="BW309" s="7">
        <v>50</v>
      </c>
      <c r="BX309" s="4" t="s">
        <v>124</v>
      </c>
      <c r="BY309" s="4" t="s">
        <v>124</v>
      </c>
      <c r="BZ309" s="4" t="s">
        <v>124</v>
      </c>
      <c r="CA309" s="4" t="s">
        <v>124</v>
      </c>
      <c r="CB309" s="4" t="s">
        <v>124</v>
      </c>
      <c r="CC309" s="4" t="s">
        <v>124</v>
      </c>
      <c r="CD309" s="4" t="s">
        <v>124</v>
      </c>
      <c r="CE309" s="4" t="s">
        <v>124</v>
      </c>
      <c r="CF309" s="4" t="s">
        <v>124</v>
      </c>
      <c r="CG309" s="4" t="s">
        <v>124</v>
      </c>
      <c r="CH309" s="4" t="s">
        <v>124</v>
      </c>
      <c r="CI309" s="4" t="s">
        <v>124</v>
      </c>
      <c r="CJ309" s="4" t="s">
        <v>124</v>
      </c>
      <c r="CK309" s="4" t="s">
        <v>124</v>
      </c>
      <c r="CL309" s="4" t="s">
        <v>124</v>
      </c>
      <c r="CM309" s="4" t="s">
        <v>124</v>
      </c>
      <c r="CN309" s="4" t="s">
        <v>124</v>
      </c>
      <c r="CO309" s="4" t="s">
        <v>124</v>
      </c>
      <c r="CP309" s="4" t="s">
        <v>124</v>
      </c>
      <c r="CQ309" s="7">
        <v>0.58928599999999998</v>
      </c>
      <c r="CR309" s="7">
        <v>0.982456</v>
      </c>
      <c r="CS309" s="7">
        <v>39.285713999999999</v>
      </c>
      <c r="CT309" s="7">
        <v>50</v>
      </c>
      <c r="CU309" s="4" t="s">
        <v>124</v>
      </c>
      <c r="CV309" s="4" t="s">
        <v>124</v>
      </c>
      <c r="CW309" s="4" t="s">
        <v>124</v>
      </c>
      <c r="CX309" s="4" t="s">
        <v>124</v>
      </c>
      <c r="CY309" s="4" t="s">
        <v>124</v>
      </c>
      <c r="CZ309" s="4" t="s">
        <v>124</v>
      </c>
      <c r="DA309" s="7">
        <v>15.314097</v>
      </c>
      <c r="DB309" s="7">
        <v>17.400950000000002</v>
      </c>
      <c r="DC309" s="7">
        <v>16.332519999999999</v>
      </c>
      <c r="DD309" s="4" t="s">
        <v>124</v>
      </c>
      <c r="DE309" s="7">
        <v>0</v>
      </c>
      <c r="DF309" s="6"/>
      <c r="DG309" s="6"/>
      <c r="DH309" s="4" t="s">
        <v>331</v>
      </c>
      <c r="DI309" s="4" t="s">
        <v>450</v>
      </c>
      <c r="DJ309" s="7">
        <v>1</v>
      </c>
      <c r="DK309" s="7">
        <v>1</v>
      </c>
      <c r="DL309" s="7">
        <v>0</v>
      </c>
      <c r="DM309" s="7">
        <v>1</v>
      </c>
      <c r="DN309" s="7">
        <v>0</v>
      </c>
      <c r="DO309" s="7">
        <v>0</v>
      </c>
      <c r="DP309" s="6"/>
      <c r="DQ309" s="4" t="s">
        <v>125</v>
      </c>
    </row>
    <row r="310" spans="1:121" ht="20" customHeight="1" x14ac:dyDescent="0.15">
      <c r="A310" s="5">
        <v>2018</v>
      </c>
      <c r="B310" s="3" t="s">
        <v>219</v>
      </c>
      <c r="C310" s="4" t="str">
        <f t="shared" si="94"/>
        <v>0270011</v>
      </c>
      <c r="D310" s="4" t="s">
        <v>451</v>
      </c>
      <c r="E310" s="4" t="str">
        <f>"0270111"</f>
        <v>0270111</v>
      </c>
      <c r="F310" s="4" t="s">
        <v>327</v>
      </c>
      <c r="G310" s="7">
        <v>4</v>
      </c>
      <c r="H310" s="7">
        <v>5</v>
      </c>
      <c r="I310" s="4" t="s">
        <v>329</v>
      </c>
      <c r="J310" s="4" t="s">
        <v>330</v>
      </c>
      <c r="K310" s="7">
        <v>751.80488700000001</v>
      </c>
      <c r="L310" s="7">
        <v>950</v>
      </c>
      <c r="M310" s="7">
        <v>79.137356999999994</v>
      </c>
      <c r="N310" s="7">
        <v>2</v>
      </c>
      <c r="O310" s="7">
        <v>0</v>
      </c>
      <c r="P310" s="7">
        <v>73.603904999999997</v>
      </c>
      <c r="Q310" s="7">
        <v>49.069270000000003</v>
      </c>
      <c r="R310" s="7">
        <v>50</v>
      </c>
      <c r="S310" s="7">
        <v>66.148864000000003</v>
      </c>
      <c r="T310" s="7">
        <v>75</v>
      </c>
      <c r="U310" s="7">
        <v>44.099243000000001</v>
      </c>
      <c r="V310" s="7">
        <v>50</v>
      </c>
      <c r="W310" s="7">
        <v>71.268170999999995</v>
      </c>
      <c r="X310" s="7">
        <v>47.512113999999997</v>
      </c>
      <c r="Y310" s="7">
        <v>50</v>
      </c>
      <c r="Z310" s="7">
        <v>75</v>
      </c>
      <c r="AA310" s="7">
        <v>63.840606000000001</v>
      </c>
      <c r="AB310" s="7">
        <v>42.560403999999998</v>
      </c>
      <c r="AC310" s="7">
        <v>50</v>
      </c>
      <c r="AD310" s="7">
        <v>70.973078000000001</v>
      </c>
      <c r="AE310" s="7">
        <v>47.315384999999999</v>
      </c>
      <c r="AF310" s="7">
        <v>50</v>
      </c>
      <c r="AG310" s="7">
        <v>65.354838999999998</v>
      </c>
      <c r="AH310" s="7">
        <v>75</v>
      </c>
      <c r="AI310" s="7">
        <v>43.569892000000003</v>
      </c>
      <c r="AJ310" s="7">
        <v>50</v>
      </c>
      <c r="AK310" s="7">
        <v>8.85</v>
      </c>
      <c r="AL310" s="7">
        <v>11.15</v>
      </c>
      <c r="AM310" s="7">
        <v>9.64</v>
      </c>
      <c r="AN310" s="7">
        <v>0.67323900000000003</v>
      </c>
      <c r="AO310" s="7">
        <v>67.323868000000004</v>
      </c>
      <c r="AP310" s="7">
        <v>100</v>
      </c>
      <c r="AQ310" s="7">
        <v>0.85626400000000003</v>
      </c>
      <c r="AR310" s="7">
        <v>85.626429999999999</v>
      </c>
      <c r="AS310" s="7">
        <v>100</v>
      </c>
      <c r="AT310" s="7">
        <v>0.62393600000000005</v>
      </c>
      <c r="AU310" s="7">
        <v>0.72213700000000003</v>
      </c>
      <c r="AV310" s="7">
        <v>62.393577999999998</v>
      </c>
      <c r="AW310" s="7">
        <v>100</v>
      </c>
      <c r="AX310" s="7">
        <v>0.80354800000000004</v>
      </c>
      <c r="AY310" s="7">
        <v>0.90854900000000005</v>
      </c>
      <c r="AZ310" s="7">
        <v>80.354760999999996</v>
      </c>
      <c r="BA310" s="7">
        <v>100</v>
      </c>
      <c r="BB310" s="7">
        <v>0.781586</v>
      </c>
      <c r="BC310" s="7">
        <v>39.079278000000002</v>
      </c>
      <c r="BD310" s="7">
        <v>50</v>
      </c>
      <c r="BE310" s="7">
        <v>0.53597799999999995</v>
      </c>
      <c r="BF310" s="7">
        <v>26.798901999999998</v>
      </c>
      <c r="BG310" s="7">
        <v>50</v>
      </c>
      <c r="BH310" s="7">
        <v>0</v>
      </c>
      <c r="BI310" s="7">
        <v>0.99199999999999999</v>
      </c>
      <c r="BJ310" s="7">
        <v>0.99206300000000003</v>
      </c>
      <c r="BK310" s="7">
        <v>0.99193500000000001</v>
      </c>
      <c r="BL310" s="7">
        <v>0.99199999999999999</v>
      </c>
      <c r="BM310" s="7">
        <v>0.99206300000000003</v>
      </c>
      <c r="BN310" s="7">
        <v>0.99193500000000001</v>
      </c>
      <c r="BO310" s="7">
        <v>0.99285699999999999</v>
      </c>
      <c r="BP310" s="7">
        <v>1</v>
      </c>
      <c r="BQ310" s="7">
        <v>0.98550700000000002</v>
      </c>
      <c r="BR310" s="7">
        <v>3.5999999999999997E-2</v>
      </c>
      <c r="BS310" s="7">
        <v>50</v>
      </c>
      <c r="BT310" s="7">
        <v>50</v>
      </c>
      <c r="BU310" s="7">
        <v>5.5118E-2</v>
      </c>
      <c r="BV310" s="7">
        <v>48.976377999999997</v>
      </c>
      <c r="BW310" s="7">
        <v>50</v>
      </c>
      <c r="BX310" s="4" t="s">
        <v>124</v>
      </c>
      <c r="BY310" s="4" t="s">
        <v>124</v>
      </c>
      <c r="BZ310" s="4" t="s">
        <v>124</v>
      </c>
      <c r="CA310" s="4" t="s">
        <v>124</v>
      </c>
      <c r="CB310" s="4" t="s">
        <v>124</v>
      </c>
      <c r="CC310" s="4" t="s">
        <v>124</v>
      </c>
      <c r="CD310" s="4" t="s">
        <v>124</v>
      </c>
      <c r="CE310" s="4" t="s">
        <v>124</v>
      </c>
      <c r="CF310" s="4" t="s">
        <v>124</v>
      </c>
      <c r="CG310" s="4" t="s">
        <v>124</v>
      </c>
      <c r="CH310" s="4" t="s">
        <v>124</v>
      </c>
      <c r="CI310" s="4" t="s">
        <v>124</v>
      </c>
      <c r="CJ310" s="4" t="s">
        <v>124</v>
      </c>
      <c r="CK310" s="4" t="s">
        <v>124</v>
      </c>
      <c r="CL310" s="4" t="s">
        <v>124</v>
      </c>
      <c r="CM310" s="4" t="s">
        <v>124</v>
      </c>
      <c r="CN310" s="4" t="s">
        <v>124</v>
      </c>
      <c r="CO310" s="4" t="s">
        <v>124</v>
      </c>
      <c r="CP310" s="4" t="s">
        <v>124</v>
      </c>
      <c r="CQ310" s="7">
        <v>0.25688100000000003</v>
      </c>
      <c r="CR310" s="7">
        <v>0.99090900000000004</v>
      </c>
      <c r="CS310" s="7">
        <v>17.125381999999998</v>
      </c>
      <c r="CT310" s="7">
        <v>50</v>
      </c>
      <c r="CU310" s="4" t="s">
        <v>124</v>
      </c>
      <c r="CV310" s="4" t="s">
        <v>124</v>
      </c>
      <c r="CW310" s="4" t="s">
        <v>124</v>
      </c>
      <c r="CX310" s="4" t="s">
        <v>124</v>
      </c>
      <c r="CY310" s="4" t="s">
        <v>124</v>
      </c>
      <c r="CZ310" s="4" t="s">
        <v>124</v>
      </c>
      <c r="DA310" s="7">
        <v>15.314097</v>
      </c>
      <c r="DB310" s="7">
        <v>17.400950000000002</v>
      </c>
      <c r="DC310" s="7">
        <v>16.332519999999999</v>
      </c>
      <c r="DD310" s="4" t="s">
        <v>124</v>
      </c>
      <c r="DE310" s="7">
        <v>0</v>
      </c>
      <c r="DF310" s="6"/>
      <c r="DG310" s="6"/>
      <c r="DH310" s="4" t="s">
        <v>331</v>
      </c>
      <c r="DI310" s="4" t="s">
        <v>452</v>
      </c>
      <c r="DJ310" s="7">
        <v>0</v>
      </c>
      <c r="DK310" s="7">
        <v>0</v>
      </c>
      <c r="DL310" s="7">
        <v>1</v>
      </c>
      <c r="DM310" s="7">
        <v>0</v>
      </c>
      <c r="DN310" s="7">
        <v>1</v>
      </c>
      <c r="DO310" s="7">
        <v>0</v>
      </c>
      <c r="DP310" s="6"/>
      <c r="DQ310" s="4" t="s">
        <v>125</v>
      </c>
    </row>
    <row r="311" spans="1:121" ht="20" customHeight="1" x14ac:dyDescent="0.15">
      <c r="A311" s="5">
        <v>2018</v>
      </c>
      <c r="B311" s="3" t="s">
        <v>219</v>
      </c>
      <c r="C311" s="4" t="str">
        <f t="shared" si="94"/>
        <v>0270011</v>
      </c>
      <c r="D311" s="4" t="s">
        <v>453</v>
      </c>
      <c r="E311" s="4" t="str">
        <f>"0275111"</f>
        <v>0275111</v>
      </c>
      <c r="F311" s="4" t="s">
        <v>327</v>
      </c>
      <c r="G311" s="7">
        <v>6</v>
      </c>
      <c r="H311" s="7">
        <v>8</v>
      </c>
      <c r="I311" s="6"/>
      <c r="J311" s="4" t="s">
        <v>330</v>
      </c>
      <c r="K311" s="7">
        <v>674.01605099999995</v>
      </c>
      <c r="L311" s="7">
        <v>900</v>
      </c>
      <c r="M311" s="7">
        <v>74.890671999999995</v>
      </c>
      <c r="N311" s="7">
        <v>3</v>
      </c>
      <c r="O311" s="7">
        <v>0</v>
      </c>
      <c r="P311" s="7">
        <v>70.650414999999995</v>
      </c>
      <c r="Q311" s="7">
        <v>47.100276999999998</v>
      </c>
      <c r="R311" s="7">
        <v>50</v>
      </c>
      <c r="S311" s="7">
        <v>60.386150000000001</v>
      </c>
      <c r="T311" s="7">
        <v>75</v>
      </c>
      <c r="U311" s="7">
        <v>40.257432999999999</v>
      </c>
      <c r="V311" s="7">
        <v>50</v>
      </c>
      <c r="W311" s="7">
        <v>67.262195000000006</v>
      </c>
      <c r="X311" s="7">
        <v>44.841462999999997</v>
      </c>
      <c r="Y311" s="7">
        <v>50</v>
      </c>
      <c r="Z311" s="7">
        <v>73.675483</v>
      </c>
      <c r="AA311" s="7">
        <v>56.532268999999999</v>
      </c>
      <c r="AB311" s="7">
        <v>37.688178999999998</v>
      </c>
      <c r="AC311" s="7">
        <v>50</v>
      </c>
      <c r="AD311" s="7">
        <v>66.667394000000002</v>
      </c>
      <c r="AE311" s="7">
        <v>44.444929000000002</v>
      </c>
      <c r="AF311" s="7">
        <v>50</v>
      </c>
      <c r="AG311" s="7">
        <v>55.729443000000003</v>
      </c>
      <c r="AH311" s="7">
        <v>72.033181999999996</v>
      </c>
      <c r="AI311" s="7">
        <v>37.152962000000002</v>
      </c>
      <c r="AJ311" s="7">
        <v>50</v>
      </c>
      <c r="AK311" s="7">
        <v>14.61</v>
      </c>
      <c r="AL311" s="7">
        <v>17.14</v>
      </c>
      <c r="AM311" s="7">
        <v>16.3</v>
      </c>
      <c r="AN311" s="7">
        <v>0.58581499999999997</v>
      </c>
      <c r="AO311" s="7">
        <v>58.581451999999999</v>
      </c>
      <c r="AP311" s="7">
        <v>100</v>
      </c>
      <c r="AQ311" s="7">
        <v>0.67488700000000001</v>
      </c>
      <c r="AR311" s="7">
        <v>67.488737999999998</v>
      </c>
      <c r="AS311" s="7">
        <v>100</v>
      </c>
      <c r="AT311" s="7">
        <v>0.58666099999999999</v>
      </c>
      <c r="AU311" s="7">
        <v>0.58531500000000003</v>
      </c>
      <c r="AV311" s="7">
        <v>58.666120999999997</v>
      </c>
      <c r="AW311" s="7">
        <v>100</v>
      </c>
      <c r="AX311" s="7">
        <v>0.67483899999999997</v>
      </c>
      <c r="AY311" s="7">
        <v>0.67491599999999996</v>
      </c>
      <c r="AZ311" s="7">
        <v>67.483907000000002</v>
      </c>
      <c r="BA311" s="7">
        <v>100</v>
      </c>
      <c r="BB311" s="4" t="s">
        <v>124</v>
      </c>
      <c r="BC311" s="4" t="s">
        <v>124</v>
      </c>
      <c r="BD311" s="4" t="s">
        <v>124</v>
      </c>
      <c r="BE311" s="4" t="s">
        <v>124</v>
      </c>
      <c r="BF311" s="4" t="s">
        <v>124</v>
      </c>
      <c r="BG311" s="4" t="s">
        <v>124</v>
      </c>
      <c r="BH311" s="7">
        <v>1</v>
      </c>
      <c r="BI311" s="7">
        <v>0.96363600000000005</v>
      </c>
      <c r="BJ311" s="7">
        <v>0.94736799999999999</v>
      </c>
      <c r="BK311" s="7">
        <v>0.97397800000000001</v>
      </c>
      <c r="BL311" s="7">
        <v>0.96363600000000005</v>
      </c>
      <c r="BM311" s="7">
        <v>0.94736799999999999</v>
      </c>
      <c r="BN311" s="7">
        <v>0.97397800000000001</v>
      </c>
      <c r="BO311" s="7">
        <v>0.95857999999999999</v>
      </c>
      <c r="BP311" s="7">
        <v>0.93333299999999997</v>
      </c>
      <c r="BQ311" s="7">
        <v>0.97247700000000004</v>
      </c>
      <c r="BR311" s="7">
        <v>5.6561E-2</v>
      </c>
      <c r="BS311" s="7">
        <v>48.687783000000003</v>
      </c>
      <c r="BT311" s="7">
        <v>50</v>
      </c>
      <c r="BU311" s="7">
        <v>8.7719000000000005E-2</v>
      </c>
      <c r="BV311" s="7">
        <v>42.456139999999998</v>
      </c>
      <c r="BW311" s="7">
        <v>50</v>
      </c>
      <c r="BX311" s="4" t="s">
        <v>124</v>
      </c>
      <c r="BY311" s="4" t="s">
        <v>124</v>
      </c>
      <c r="BZ311" s="4" t="s">
        <v>124</v>
      </c>
      <c r="CA311" s="4" t="s">
        <v>124</v>
      </c>
      <c r="CB311" s="4" t="s">
        <v>124</v>
      </c>
      <c r="CC311" s="4" t="s">
        <v>124</v>
      </c>
      <c r="CD311" s="7">
        <v>0.94814799999999999</v>
      </c>
      <c r="CE311" s="7">
        <v>50</v>
      </c>
      <c r="CF311" s="7">
        <v>50</v>
      </c>
      <c r="CG311" s="4" t="s">
        <v>124</v>
      </c>
      <c r="CH311" s="4" t="s">
        <v>124</v>
      </c>
      <c r="CI311" s="4" t="s">
        <v>124</v>
      </c>
      <c r="CJ311" s="4" t="s">
        <v>124</v>
      </c>
      <c r="CK311" s="4" t="s">
        <v>124</v>
      </c>
      <c r="CL311" s="4" t="s">
        <v>124</v>
      </c>
      <c r="CM311" s="4" t="s">
        <v>124</v>
      </c>
      <c r="CN311" s="4" t="s">
        <v>124</v>
      </c>
      <c r="CO311" s="4" t="s">
        <v>124</v>
      </c>
      <c r="CP311" s="4" t="s">
        <v>124</v>
      </c>
      <c r="CQ311" s="7">
        <v>0.4375</v>
      </c>
      <c r="CR311" s="7">
        <v>1.0201340000000001</v>
      </c>
      <c r="CS311" s="7">
        <v>29.166667</v>
      </c>
      <c r="CT311" s="7">
        <v>50</v>
      </c>
      <c r="CU311" s="4" t="s">
        <v>124</v>
      </c>
      <c r="CV311" s="4" t="s">
        <v>124</v>
      </c>
      <c r="CW311" s="4" t="s">
        <v>124</v>
      </c>
      <c r="CX311" s="4" t="s">
        <v>124</v>
      </c>
      <c r="CY311" s="4" t="s">
        <v>124</v>
      </c>
      <c r="CZ311" s="4" t="s">
        <v>124</v>
      </c>
      <c r="DA311" s="7">
        <v>15.314097</v>
      </c>
      <c r="DB311" s="7">
        <v>17.400950000000002</v>
      </c>
      <c r="DC311" s="7">
        <v>16.332519999999999</v>
      </c>
      <c r="DD311" s="4" t="s">
        <v>124</v>
      </c>
      <c r="DE311" s="7">
        <v>1</v>
      </c>
      <c r="DF311" s="6"/>
      <c r="DG311" s="6"/>
      <c r="DH311" s="6"/>
      <c r="DI311" s="6"/>
      <c r="DJ311" s="7">
        <v>0</v>
      </c>
      <c r="DK311" s="7">
        <v>0</v>
      </c>
      <c r="DL311" s="7">
        <v>0</v>
      </c>
      <c r="DM311" s="7">
        <v>0</v>
      </c>
      <c r="DN311" s="7">
        <v>0</v>
      </c>
      <c r="DO311" s="7">
        <v>0</v>
      </c>
      <c r="DP311" s="6"/>
      <c r="DQ311" s="4" t="s">
        <v>125</v>
      </c>
    </row>
    <row r="312" spans="1:121" ht="20" customHeight="1" x14ac:dyDescent="0.15">
      <c r="A312" s="5">
        <v>2018</v>
      </c>
      <c r="B312" s="3" t="s">
        <v>219</v>
      </c>
      <c r="C312" s="4" t="str">
        <f t="shared" si="94"/>
        <v>0270011</v>
      </c>
      <c r="D312" s="4" t="s">
        <v>454</v>
      </c>
      <c r="E312" s="4" t="str">
        <f>"0270311"</f>
        <v>0270311</v>
      </c>
      <c r="F312" s="4" t="s">
        <v>327</v>
      </c>
      <c r="G312" s="4" t="s">
        <v>328</v>
      </c>
      <c r="H312" s="7">
        <v>3</v>
      </c>
      <c r="I312" s="4" t="s">
        <v>329</v>
      </c>
      <c r="J312" s="4" t="s">
        <v>330</v>
      </c>
      <c r="K312" s="7">
        <v>496.291067</v>
      </c>
      <c r="L312" s="7">
        <v>600</v>
      </c>
      <c r="M312" s="7">
        <v>82.715177999999995</v>
      </c>
      <c r="N312" s="7">
        <v>2</v>
      </c>
      <c r="O312" s="7">
        <v>0</v>
      </c>
      <c r="P312" s="7">
        <v>70.229640000000003</v>
      </c>
      <c r="Q312" s="7">
        <v>93.639520000000005</v>
      </c>
      <c r="R312" s="7">
        <v>100</v>
      </c>
      <c r="S312" s="7">
        <v>66.417812999999995</v>
      </c>
      <c r="T312" s="7">
        <v>74.188075999999995</v>
      </c>
      <c r="U312" s="7">
        <v>88.557084000000003</v>
      </c>
      <c r="V312" s="7">
        <v>100</v>
      </c>
      <c r="W312" s="7">
        <v>63.551712000000002</v>
      </c>
      <c r="X312" s="7">
        <v>84.735615999999993</v>
      </c>
      <c r="Y312" s="7">
        <v>100</v>
      </c>
      <c r="Z312" s="7">
        <v>69.278846000000001</v>
      </c>
      <c r="AA312" s="7">
        <v>58.036693999999997</v>
      </c>
      <c r="AB312" s="7">
        <v>77.382259000000005</v>
      </c>
      <c r="AC312" s="7">
        <v>100</v>
      </c>
      <c r="AD312" s="4" t="s">
        <v>124</v>
      </c>
      <c r="AE312" s="4" t="s">
        <v>124</v>
      </c>
      <c r="AF312" s="4" t="s">
        <v>124</v>
      </c>
      <c r="AG312" s="4" t="s">
        <v>124</v>
      </c>
      <c r="AH312" s="4" t="s">
        <v>124</v>
      </c>
      <c r="AI312" s="4" t="s">
        <v>124</v>
      </c>
      <c r="AJ312" s="4" t="s">
        <v>124</v>
      </c>
      <c r="AK312" s="7">
        <v>7.77</v>
      </c>
      <c r="AL312" s="7">
        <v>11.24</v>
      </c>
      <c r="AM312" s="4" t="s">
        <v>124</v>
      </c>
      <c r="AN312" s="4" t="s">
        <v>124</v>
      </c>
      <c r="AO312" s="4" t="s">
        <v>124</v>
      </c>
      <c r="AP312" s="4" t="s">
        <v>124</v>
      </c>
      <c r="AQ312" s="4" t="s">
        <v>124</v>
      </c>
      <c r="AR312" s="4" t="s">
        <v>124</v>
      </c>
      <c r="AS312" s="4" t="s">
        <v>124</v>
      </c>
      <c r="AT312" s="4" t="s">
        <v>124</v>
      </c>
      <c r="AU312" s="4" t="s">
        <v>124</v>
      </c>
      <c r="AV312" s="4" t="s">
        <v>124</v>
      </c>
      <c r="AW312" s="4" t="s">
        <v>124</v>
      </c>
      <c r="AX312" s="4" t="s">
        <v>124</v>
      </c>
      <c r="AY312" s="4" t="s">
        <v>124</v>
      </c>
      <c r="AZ312" s="4" t="s">
        <v>124</v>
      </c>
      <c r="BA312" s="4" t="s">
        <v>124</v>
      </c>
      <c r="BB312" s="7">
        <v>0.50792999999999999</v>
      </c>
      <c r="BC312" s="7">
        <v>25.396512000000001</v>
      </c>
      <c r="BD312" s="7">
        <v>50</v>
      </c>
      <c r="BE312" s="7">
        <v>0.59030800000000005</v>
      </c>
      <c r="BF312" s="7">
        <v>29.5154</v>
      </c>
      <c r="BG312" s="7">
        <v>50</v>
      </c>
      <c r="BH312" s="7">
        <v>0</v>
      </c>
      <c r="BI312" s="7">
        <v>1</v>
      </c>
      <c r="BJ312" s="7">
        <v>1</v>
      </c>
      <c r="BK312" s="7">
        <v>1</v>
      </c>
      <c r="BL312" s="7">
        <v>1</v>
      </c>
      <c r="BM312" s="7">
        <v>1</v>
      </c>
      <c r="BN312" s="7">
        <v>1</v>
      </c>
      <c r="BO312" s="4" t="s">
        <v>124</v>
      </c>
      <c r="BP312" s="4" t="s">
        <v>124</v>
      </c>
      <c r="BQ312" s="4" t="s">
        <v>124</v>
      </c>
      <c r="BR312" s="7">
        <v>4.4226000000000001E-2</v>
      </c>
      <c r="BS312" s="7">
        <v>50</v>
      </c>
      <c r="BT312" s="7">
        <v>50</v>
      </c>
      <c r="BU312" s="7">
        <v>6.4676999999999998E-2</v>
      </c>
      <c r="BV312" s="7">
        <v>47.064677000000003</v>
      </c>
      <c r="BW312" s="7">
        <v>50</v>
      </c>
      <c r="BX312" s="4" t="s">
        <v>124</v>
      </c>
      <c r="BY312" s="4" t="s">
        <v>124</v>
      </c>
      <c r="BZ312" s="4" t="s">
        <v>124</v>
      </c>
      <c r="CA312" s="4" t="s">
        <v>124</v>
      </c>
      <c r="CB312" s="4" t="s">
        <v>124</v>
      </c>
      <c r="CC312" s="4" t="s">
        <v>124</v>
      </c>
      <c r="CD312" s="4" t="s">
        <v>124</v>
      </c>
      <c r="CE312" s="4" t="s">
        <v>124</v>
      </c>
      <c r="CF312" s="4" t="s">
        <v>124</v>
      </c>
      <c r="CG312" s="4" t="s">
        <v>124</v>
      </c>
      <c r="CH312" s="4" t="s">
        <v>124</v>
      </c>
      <c r="CI312" s="4" t="s">
        <v>124</v>
      </c>
      <c r="CJ312" s="4" t="s">
        <v>124</v>
      </c>
      <c r="CK312" s="4" t="s">
        <v>124</v>
      </c>
      <c r="CL312" s="4" t="s">
        <v>124</v>
      </c>
      <c r="CM312" s="4" t="s">
        <v>124</v>
      </c>
      <c r="CN312" s="4" t="s">
        <v>124</v>
      </c>
      <c r="CO312" s="4" t="s">
        <v>124</v>
      </c>
      <c r="CP312" s="4" t="s">
        <v>124</v>
      </c>
      <c r="CQ312" s="4" t="s">
        <v>124</v>
      </c>
      <c r="CR312" s="4" t="s">
        <v>124</v>
      </c>
      <c r="CS312" s="4" t="s">
        <v>124</v>
      </c>
      <c r="CT312" s="4" t="s">
        <v>124</v>
      </c>
      <c r="CU312" s="4" t="s">
        <v>124</v>
      </c>
      <c r="CV312" s="4" t="s">
        <v>124</v>
      </c>
      <c r="CW312" s="4" t="s">
        <v>124</v>
      </c>
      <c r="CX312" s="4" t="s">
        <v>124</v>
      </c>
      <c r="CY312" s="4" t="s">
        <v>124</v>
      </c>
      <c r="CZ312" s="4" t="s">
        <v>124</v>
      </c>
      <c r="DA312" s="7">
        <v>15.314097</v>
      </c>
      <c r="DB312" s="7">
        <v>17.400950000000002</v>
      </c>
      <c r="DC312" s="7">
        <v>16.332519999999999</v>
      </c>
      <c r="DD312" s="4" t="s">
        <v>124</v>
      </c>
      <c r="DE312" s="7">
        <v>0</v>
      </c>
      <c r="DF312" s="6"/>
      <c r="DG312" s="6"/>
      <c r="DH312" s="6"/>
      <c r="DI312" s="6"/>
      <c r="DJ312" s="7">
        <v>0</v>
      </c>
      <c r="DK312" s="7">
        <v>0</v>
      </c>
      <c r="DL312" s="7">
        <v>0</v>
      </c>
      <c r="DM312" s="7">
        <v>0</v>
      </c>
      <c r="DN312" s="7">
        <v>0</v>
      </c>
      <c r="DO312" s="7">
        <v>0</v>
      </c>
      <c r="DP312" s="6"/>
      <c r="DQ312" s="4" t="s">
        <v>125</v>
      </c>
    </row>
    <row r="313" spans="1:121" ht="20" customHeight="1" x14ac:dyDescent="0.15">
      <c r="A313" s="5">
        <v>2018</v>
      </c>
      <c r="B313" s="3" t="s">
        <v>219</v>
      </c>
      <c r="C313" s="4" t="str">
        <f t="shared" si="94"/>
        <v>0270011</v>
      </c>
      <c r="D313" s="4" t="s">
        <v>455</v>
      </c>
      <c r="E313" s="4" t="str">
        <f>"0276111"</f>
        <v>0276111</v>
      </c>
      <c r="F313" s="4" t="s">
        <v>327</v>
      </c>
      <c r="G313" s="7">
        <v>9</v>
      </c>
      <c r="H313" s="7">
        <v>12</v>
      </c>
      <c r="I313" s="6"/>
      <c r="J313" s="4" t="s">
        <v>330</v>
      </c>
      <c r="K313" s="7">
        <v>1116.5686679999999</v>
      </c>
      <c r="L313" s="7">
        <v>1450</v>
      </c>
      <c r="M313" s="7">
        <v>77.004735999999994</v>
      </c>
      <c r="N313" s="7">
        <v>3</v>
      </c>
      <c r="O313" s="7">
        <v>0</v>
      </c>
      <c r="P313" s="7">
        <v>61.983015000000002</v>
      </c>
      <c r="Q313" s="7">
        <v>123.96603</v>
      </c>
      <c r="R313" s="7">
        <v>150</v>
      </c>
      <c r="S313" s="7">
        <v>53.919643000000001</v>
      </c>
      <c r="T313" s="7">
        <v>66.453795</v>
      </c>
      <c r="U313" s="7">
        <v>107.839286</v>
      </c>
      <c r="V313" s="7">
        <v>150</v>
      </c>
      <c r="W313" s="7">
        <v>53.587049</v>
      </c>
      <c r="X313" s="7">
        <v>107.174098</v>
      </c>
      <c r="Y313" s="7">
        <v>150</v>
      </c>
      <c r="Z313" s="7">
        <v>57.632013000000001</v>
      </c>
      <c r="AA313" s="7">
        <v>46.291666999999997</v>
      </c>
      <c r="AB313" s="7">
        <v>92.583332999999996</v>
      </c>
      <c r="AC313" s="7">
        <v>150</v>
      </c>
      <c r="AD313" s="7">
        <v>59.865385000000003</v>
      </c>
      <c r="AE313" s="7">
        <v>79.820513000000005</v>
      </c>
      <c r="AF313" s="7">
        <v>100</v>
      </c>
      <c r="AG313" s="7">
        <v>56.541209000000002</v>
      </c>
      <c r="AH313" s="7">
        <v>61.726922999999999</v>
      </c>
      <c r="AI313" s="7">
        <v>75.388278</v>
      </c>
      <c r="AJ313" s="7">
        <v>100</v>
      </c>
      <c r="AK313" s="7">
        <v>12.53</v>
      </c>
      <c r="AL313" s="7">
        <v>11.34</v>
      </c>
      <c r="AM313" s="7">
        <v>5.18</v>
      </c>
      <c r="AN313" s="4" t="s">
        <v>124</v>
      </c>
      <c r="AO313" s="4" t="s">
        <v>124</v>
      </c>
      <c r="AP313" s="4" t="s">
        <v>124</v>
      </c>
      <c r="AQ313" s="4" t="s">
        <v>124</v>
      </c>
      <c r="AR313" s="4" t="s">
        <v>124</v>
      </c>
      <c r="AS313" s="4" t="s">
        <v>124</v>
      </c>
      <c r="AT313" s="4" t="s">
        <v>124</v>
      </c>
      <c r="AU313" s="4" t="s">
        <v>124</v>
      </c>
      <c r="AV313" s="4" t="s">
        <v>124</v>
      </c>
      <c r="AW313" s="4" t="s">
        <v>124</v>
      </c>
      <c r="AX313" s="4" t="s">
        <v>124</v>
      </c>
      <c r="AY313" s="4" t="s">
        <v>124</v>
      </c>
      <c r="AZ313" s="4" t="s">
        <v>124</v>
      </c>
      <c r="BA313" s="4" t="s">
        <v>124</v>
      </c>
      <c r="BB313" s="4" t="s">
        <v>124</v>
      </c>
      <c r="BC313" s="4" t="s">
        <v>124</v>
      </c>
      <c r="BD313" s="4" t="s">
        <v>124</v>
      </c>
      <c r="BE313" s="4" t="s">
        <v>124</v>
      </c>
      <c r="BF313" s="4" t="s">
        <v>124</v>
      </c>
      <c r="BG313" s="4" t="s">
        <v>124</v>
      </c>
      <c r="BH313" s="7">
        <v>0</v>
      </c>
      <c r="BI313" s="7">
        <v>0.99382700000000002</v>
      </c>
      <c r="BJ313" s="7">
        <v>1</v>
      </c>
      <c r="BK313" s="7">
        <v>0.99019599999999997</v>
      </c>
      <c r="BL313" s="7">
        <v>0.99382700000000002</v>
      </c>
      <c r="BM313" s="7">
        <v>1</v>
      </c>
      <c r="BN313" s="7">
        <v>0.99019599999999997</v>
      </c>
      <c r="BO313" s="7">
        <v>0.981595</v>
      </c>
      <c r="BP313" s="7">
        <v>1</v>
      </c>
      <c r="BQ313" s="7">
        <v>0.97087400000000001</v>
      </c>
      <c r="BR313" s="7">
        <v>0.13253000000000001</v>
      </c>
      <c r="BS313" s="7">
        <v>33.493976000000004</v>
      </c>
      <c r="BT313" s="7">
        <v>50</v>
      </c>
      <c r="BU313" s="7">
        <v>0.19905200000000001</v>
      </c>
      <c r="BV313" s="7">
        <v>20.189572999999999</v>
      </c>
      <c r="BW313" s="7">
        <v>50</v>
      </c>
      <c r="BX313" s="7">
        <v>0.87171100000000001</v>
      </c>
      <c r="BY313" s="7">
        <v>50</v>
      </c>
      <c r="BZ313" s="7">
        <v>50</v>
      </c>
      <c r="CA313" s="7">
        <v>0.49013200000000001</v>
      </c>
      <c r="CB313" s="7">
        <v>32.675438999999997</v>
      </c>
      <c r="CC313" s="7">
        <v>50</v>
      </c>
      <c r="CD313" s="7">
        <v>0.93478300000000003</v>
      </c>
      <c r="CE313" s="7">
        <v>49.722479</v>
      </c>
      <c r="CF313" s="7">
        <v>50</v>
      </c>
      <c r="CG313" s="7">
        <v>0.91603100000000004</v>
      </c>
      <c r="CH313" s="7">
        <v>97.450057000000001</v>
      </c>
      <c r="CI313" s="7">
        <v>100</v>
      </c>
      <c r="CJ313" s="7">
        <v>1</v>
      </c>
      <c r="CK313" s="7">
        <v>0.72340400000000005</v>
      </c>
      <c r="CL313" s="7">
        <v>76.957899999999995</v>
      </c>
      <c r="CM313" s="7">
        <v>100</v>
      </c>
      <c r="CN313" s="7">
        <v>0.73809499999999995</v>
      </c>
      <c r="CO313" s="7">
        <v>98.412698000000006</v>
      </c>
      <c r="CP313" s="7">
        <v>100</v>
      </c>
      <c r="CQ313" s="7">
        <v>0.56428599999999995</v>
      </c>
      <c r="CR313" s="7">
        <v>1</v>
      </c>
      <c r="CS313" s="7">
        <v>37.619047999999999</v>
      </c>
      <c r="CT313" s="7">
        <v>50</v>
      </c>
      <c r="CU313" s="7">
        <v>0.399312</v>
      </c>
      <c r="CV313" s="7">
        <v>33.275961000000002</v>
      </c>
      <c r="CW313" s="7">
        <v>50</v>
      </c>
      <c r="CX313" s="7">
        <v>0.72340400000000005</v>
      </c>
      <c r="CY313" s="7">
        <v>0.94</v>
      </c>
      <c r="CZ313" s="7">
        <v>0.21659600000000001</v>
      </c>
      <c r="DA313" s="7">
        <v>15.314097</v>
      </c>
      <c r="DB313" s="7">
        <v>17.400950000000002</v>
      </c>
      <c r="DC313" s="7">
        <v>16.332519999999999</v>
      </c>
      <c r="DD313" s="7">
        <v>7.9891730000000001</v>
      </c>
      <c r="DE313" s="7">
        <v>1</v>
      </c>
      <c r="DF313" s="6"/>
      <c r="DG313" s="6"/>
      <c r="DH313" s="6"/>
      <c r="DI313" s="6"/>
      <c r="DJ313" s="7">
        <v>0</v>
      </c>
      <c r="DK313" s="7">
        <v>0</v>
      </c>
      <c r="DL313" s="7">
        <v>0</v>
      </c>
      <c r="DM313" s="7">
        <v>0</v>
      </c>
      <c r="DN313" s="7">
        <v>0</v>
      </c>
      <c r="DO313" s="7">
        <v>0</v>
      </c>
      <c r="DP313" s="6"/>
      <c r="DQ313" s="4" t="s">
        <v>125</v>
      </c>
    </row>
    <row r="314" spans="1:121" ht="20" customHeight="1" x14ac:dyDescent="0.15">
      <c r="A314" s="5">
        <v>2018</v>
      </c>
      <c r="B314" s="3" t="s">
        <v>220</v>
      </c>
      <c r="C314" s="4" t="str">
        <f t="shared" si="95"/>
        <v>0280011</v>
      </c>
      <c r="D314" s="4" t="s">
        <v>456</v>
      </c>
      <c r="E314" s="4" t="str">
        <f>"0286111"</f>
        <v>0286111</v>
      </c>
      <c r="F314" s="4" t="s">
        <v>327</v>
      </c>
      <c r="G314" s="7">
        <v>9</v>
      </c>
      <c r="H314" s="7">
        <v>12</v>
      </c>
      <c r="I314" s="4" t="s">
        <v>329</v>
      </c>
      <c r="J314" s="4" t="s">
        <v>330</v>
      </c>
      <c r="K314" s="7">
        <v>1154.3150450000001</v>
      </c>
      <c r="L314" s="7">
        <v>1450</v>
      </c>
      <c r="M314" s="7">
        <v>79.607934</v>
      </c>
      <c r="N314" s="7">
        <v>3</v>
      </c>
      <c r="O314" s="7">
        <v>1</v>
      </c>
      <c r="P314" s="7">
        <v>61.282651000000001</v>
      </c>
      <c r="Q314" s="7">
        <v>122.565302</v>
      </c>
      <c r="R314" s="7">
        <v>150</v>
      </c>
      <c r="S314" s="7">
        <v>48.873984</v>
      </c>
      <c r="T314" s="7">
        <v>65.196154000000007</v>
      </c>
      <c r="U314" s="7">
        <v>97.747967000000003</v>
      </c>
      <c r="V314" s="7">
        <v>150</v>
      </c>
      <c r="W314" s="7">
        <v>57.069201</v>
      </c>
      <c r="X314" s="7">
        <v>114.138402</v>
      </c>
      <c r="Y314" s="7">
        <v>150</v>
      </c>
      <c r="Z314" s="7">
        <v>60.358974000000003</v>
      </c>
      <c r="AA314" s="7">
        <v>46.638210999999998</v>
      </c>
      <c r="AB314" s="7">
        <v>93.276422999999994</v>
      </c>
      <c r="AC314" s="7">
        <v>150</v>
      </c>
      <c r="AD314" s="7">
        <v>64.516741999999994</v>
      </c>
      <c r="AE314" s="7">
        <v>86.022323</v>
      </c>
      <c r="AF314" s="7">
        <v>100</v>
      </c>
      <c r="AG314" s="7">
        <v>53.225141000000001</v>
      </c>
      <c r="AH314" s="7">
        <v>68.105546000000004</v>
      </c>
      <c r="AI314" s="7">
        <v>70.966853999999998</v>
      </c>
      <c r="AJ314" s="7">
        <v>100</v>
      </c>
      <c r="AK314" s="7">
        <v>16.32</v>
      </c>
      <c r="AL314" s="7">
        <v>13.72</v>
      </c>
      <c r="AM314" s="7">
        <v>14.88</v>
      </c>
      <c r="AN314" s="4" t="s">
        <v>124</v>
      </c>
      <c r="AO314" s="4" t="s">
        <v>124</v>
      </c>
      <c r="AP314" s="4" t="s">
        <v>124</v>
      </c>
      <c r="AQ314" s="4" t="s">
        <v>124</v>
      </c>
      <c r="AR314" s="4" t="s">
        <v>124</v>
      </c>
      <c r="AS314" s="4" t="s">
        <v>124</v>
      </c>
      <c r="AT314" s="4" t="s">
        <v>124</v>
      </c>
      <c r="AU314" s="4" t="s">
        <v>124</v>
      </c>
      <c r="AV314" s="4" t="s">
        <v>124</v>
      </c>
      <c r="AW314" s="4" t="s">
        <v>124</v>
      </c>
      <c r="AX314" s="4" t="s">
        <v>124</v>
      </c>
      <c r="AY314" s="4" t="s">
        <v>124</v>
      </c>
      <c r="AZ314" s="4" t="s">
        <v>124</v>
      </c>
      <c r="BA314" s="4" t="s">
        <v>124</v>
      </c>
      <c r="BB314" s="4" t="s">
        <v>124</v>
      </c>
      <c r="BC314" s="4" t="s">
        <v>124</v>
      </c>
      <c r="BD314" s="4" t="s">
        <v>124</v>
      </c>
      <c r="BE314" s="4" t="s">
        <v>124</v>
      </c>
      <c r="BF314" s="4" t="s">
        <v>124</v>
      </c>
      <c r="BG314" s="4" t="s">
        <v>124</v>
      </c>
      <c r="BH314" s="7">
        <v>0</v>
      </c>
      <c r="BI314" s="7">
        <v>0.99438199999999999</v>
      </c>
      <c r="BJ314" s="7">
        <v>0.97674399999999995</v>
      </c>
      <c r="BK314" s="7">
        <v>1</v>
      </c>
      <c r="BL314" s="7">
        <v>0.99438199999999999</v>
      </c>
      <c r="BM314" s="7">
        <v>0.97674399999999995</v>
      </c>
      <c r="BN314" s="7">
        <v>1</v>
      </c>
      <c r="BO314" s="7">
        <v>0.97191000000000005</v>
      </c>
      <c r="BP314" s="7">
        <v>0.953488</v>
      </c>
      <c r="BQ314" s="7">
        <v>0.97777800000000004</v>
      </c>
      <c r="BR314" s="7">
        <v>8.5751999999999995E-2</v>
      </c>
      <c r="BS314" s="7">
        <v>42.849603999999999</v>
      </c>
      <c r="BT314" s="7">
        <v>50</v>
      </c>
      <c r="BU314" s="7">
        <v>0.16317999999999999</v>
      </c>
      <c r="BV314" s="7">
        <v>27.364017</v>
      </c>
      <c r="BW314" s="7">
        <v>50</v>
      </c>
      <c r="BX314" s="7">
        <v>0.96100300000000005</v>
      </c>
      <c r="BY314" s="7">
        <v>50</v>
      </c>
      <c r="BZ314" s="7">
        <v>50</v>
      </c>
      <c r="CA314" s="7">
        <v>0.48746499999999998</v>
      </c>
      <c r="CB314" s="7">
        <v>32.497678999999998</v>
      </c>
      <c r="CC314" s="7">
        <v>50</v>
      </c>
      <c r="CD314" s="7">
        <v>0.92307700000000004</v>
      </c>
      <c r="CE314" s="7">
        <v>49.099836000000003</v>
      </c>
      <c r="CF314" s="7">
        <v>50</v>
      </c>
      <c r="CG314" s="7">
        <v>0.98557700000000004</v>
      </c>
      <c r="CH314" s="7">
        <v>100</v>
      </c>
      <c r="CI314" s="7">
        <v>100</v>
      </c>
      <c r="CJ314" s="7">
        <v>0</v>
      </c>
      <c r="CK314" s="7">
        <v>0.93103400000000003</v>
      </c>
      <c r="CL314" s="7">
        <v>99.046222</v>
      </c>
      <c r="CM314" s="7">
        <v>100</v>
      </c>
      <c r="CN314" s="7">
        <v>0.79126200000000002</v>
      </c>
      <c r="CO314" s="7">
        <v>100</v>
      </c>
      <c r="CP314" s="7">
        <v>100</v>
      </c>
      <c r="CQ314" s="7">
        <v>0.48691099999999998</v>
      </c>
      <c r="CR314" s="7">
        <v>0.93627499999999997</v>
      </c>
      <c r="CS314" s="7">
        <v>32.460732999999998</v>
      </c>
      <c r="CT314" s="7">
        <v>50</v>
      </c>
      <c r="CU314" s="7">
        <v>0.43535600000000002</v>
      </c>
      <c r="CV314" s="7">
        <v>36.279682999999999</v>
      </c>
      <c r="CW314" s="7">
        <v>50</v>
      </c>
      <c r="CX314" s="7">
        <v>0.93103400000000003</v>
      </c>
      <c r="CY314" s="7">
        <v>0.94</v>
      </c>
      <c r="CZ314" s="7">
        <v>8.966E-3</v>
      </c>
      <c r="DA314" s="7">
        <v>15.314097</v>
      </c>
      <c r="DB314" s="7">
        <v>17.400950000000002</v>
      </c>
      <c r="DC314" s="7">
        <v>16.332519999999999</v>
      </c>
      <c r="DD314" s="7">
        <v>7.9891730000000001</v>
      </c>
      <c r="DE314" s="7">
        <v>1</v>
      </c>
      <c r="DF314" s="6"/>
      <c r="DG314" s="6"/>
      <c r="DH314" s="6"/>
      <c r="DI314" s="6"/>
      <c r="DJ314" s="7">
        <v>0</v>
      </c>
      <c r="DK314" s="7">
        <v>0</v>
      </c>
      <c r="DL314" s="7">
        <v>0</v>
      </c>
      <c r="DM314" s="7">
        <v>0</v>
      </c>
      <c r="DN314" s="7">
        <v>0</v>
      </c>
      <c r="DO314" s="7">
        <v>0</v>
      </c>
      <c r="DP314" s="6"/>
      <c r="DQ314" s="4" t="s">
        <v>125</v>
      </c>
    </row>
    <row r="315" spans="1:121" ht="20" customHeight="1" x14ac:dyDescent="0.15">
      <c r="A315" s="5">
        <v>2018</v>
      </c>
      <c r="B315" s="3" t="s">
        <v>220</v>
      </c>
      <c r="C315" s="4" t="str">
        <f t="shared" si="95"/>
        <v>0280011</v>
      </c>
      <c r="D315" s="4" t="s">
        <v>457</v>
      </c>
      <c r="E315" s="4" t="str">
        <f>"0280411"</f>
        <v>0280411</v>
      </c>
      <c r="F315" s="4" t="s">
        <v>327</v>
      </c>
      <c r="G315" s="4" t="s">
        <v>328</v>
      </c>
      <c r="H315" s="7">
        <v>2</v>
      </c>
      <c r="I315" s="4" t="s">
        <v>329</v>
      </c>
      <c r="J315" s="4" t="s">
        <v>330</v>
      </c>
      <c r="K315" s="7">
        <v>96.842105000000004</v>
      </c>
      <c r="L315" s="7">
        <v>100</v>
      </c>
      <c r="M315" s="7">
        <v>96.842105000000004</v>
      </c>
      <c r="N315" s="4" t="s">
        <v>124</v>
      </c>
      <c r="O315" s="4" t="s">
        <v>124</v>
      </c>
      <c r="P315" s="4" t="s">
        <v>124</v>
      </c>
      <c r="Q315" s="4" t="s">
        <v>124</v>
      </c>
      <c r="R315" s="4" t="s">
        <v>124</v>
      </c>
      <c r="S315" s="4" t="s">
        <v>124</v>
      </c>
      <c r="T315" s="4" t="s">
        <v>124</v>
      </c>
      <c r="U315" s="4" t="s">
        <v>124</v>
      </c>
      <c r="V315" s="4" t="s">
        <v>124</v>
      </c>
      <c r="W315" s="4" t="s">
        <v>124</v>
      </c>
      <c r="X315" s="4" t="s">
        <v>124</v>
      </c>
      <c r="Y315" s="4" t="s">
        <v>124</v>
      </c>
      <c r="Z315" s="4" t="s">
        <v>124</v>
      </c>
      <c r="AA315" s="4" t="s">
        <v>124</v>
      </c>
      <c r="AB315" s="4" t="s">
        <v>124</v>
      </c>
      <c r="AC315" s="4" t="s">
        <v>124</v>
      </c>
      <c r="AD315" s="4" t="s">
        <v>124</v>
      </c>
      <c r="AE315" s="4" t="s">
        <v>124</v>
      </c>
      <c r="AF315" s="4" t="s">
        <v>124</v>
      </c>
      <c r="AG315" s="4" t="s">
        <v>124</v>
      </c>
      <c r="AH315" s="4" t="s">
        <v>124</v>
      </c>
      <c r="AI315" s="4" t="s">
        <v>124</v>
      </c>
      <c r="AJ315" s="4" t="s">
        <v>124</v>
      </c>
      <c r="AK315" s="4" t="s">
        <v>124</v>
      </c>
      <c r="AL315" s="4" t="s">
        <v>124</v>
      </c>
      <c r="AM315" s="4" t="s">
        <v>124</v>
      </c>
      <c r="AN315" s="4" t="s">
        <v>124</v>
      </c>
      <c r="AO315" s="4" t="s">
        <v>124</v>
      </c>
      <c r="AP315" s="4" t="s">
        <v>124</v>
      </c>
      <c r="AQ315" s="4" t="s">
        <v>124</v>
      </c>
      <c r="AR315" s="4" t="s">
        <v>124</v>
      </c>
      <c r="AS315" s="4" t="s">
        <v>124</v>
      </c>
      <c r="AT315" s="4" t="s">
        <v>124</v>
      </c>
      <c r="AU315" s="4" t="s">
        <v>124</v>
      </c>
      <c r="AV315" s="4" t="s">
        <v>124</v>
      </c>
      <c r="AW315" s="4" t="s">
        <v>124</v>
      </c>
      <c r="AX315" s="4" t="s">
        <v>124</v>
      </c>
      <c r="AY315" s="4" t="s">
        <v>124</v>
      </c>
      <c r="AZ315" s="4" t="s">
        <v>124</v>
      </c>
      <c r="BA315" s="4" t="s">
        <v>124</v>
      </c>
      <c r="BB315" s="4" t="s">
        <v>124</v>
      </c>
      <c r="BC315" s="4" t="s">
        <v>124</v>
      </c>
      <c r="BD315" s="4" t="s">
        <v>124</v>
      </c>
      <c r="BE315" s="4" t="s">
        <v>124</v>
      </c>
      <c r="BF315" s="4" t="s">
        <v>124</v>
      </c>
      <c r="BG315" s="4" t="s">
        <v>124</v>
      </c>
      <c r="BH315" s="4" t="s">
        <v>124</v>
      </c>
      <c r="BI315" s="4" t="s">
        <v>124</v>
      </c>
      <c r="BJ315" s="4" t="s">
        <v>124</v>
      </c>
      <c r="BK315" s="4" t="s">
        <v>124</v>
      </c>
      <c r="BL315" s="4" t="s">
        <v>124</v>
      </c>
      <c r="BM315" s="4" t="s">
        <v>124</v>
      </c>
      <c r="BN315" s="4" t="s">
        <v>124</v>
      </c>
      <c r="BO315" s="4" t="s">
        <v>124</v>
      </c>
      <c r="BP315" s="4" t="s">
        <v>124</v>
      </c>
      <c r="BQ315" s="4" t="s">
        <v>124</v>
      </c>
      <c r="BR315" s="7">
        <v>3.8901999999999999E-2</v>
      </c>
      <c r="BS315" s="7">
        <v>50</v>
      </c>
      <c r="BT315" s="7">
        <v>50</v>
      </c>
      <c r="BU315" s="7">
        <v>6.5789E-2</v>
      </c>
      <c r="BV315" s="7">
        <v>46.842104999999997</v>
      </c>
      <c r="BW315" s="7">
        <v>50</v>
      </c>
      <c r="BX315" s="4" t="s">
        <v>124</v>
      </c>
      <c r="BY315" s="4" t="s">
        <v>124</v>
      </c>
      <c r="BZ315" s="4" t="s">
        <v>124</v>
      </c>
      <c r="CA315" s="4" t="s">
        <v>124</v>
      </c>
      <c r="CB315" s="4" t="s">
        <v>124</v>
      </c>
      <c r="CC315" s="4" t="s">
        <v>124</v>
      </c>
      <c r="CD315" s="4" t="s">
        <v>124</v>
      </c>
      <c r="CE315" s="4" t="s">
        <v>124</v>
      </c>
      <c r="CF315" s="4" t="s">
        <v>124</v>
      </c>
      <c r="CG315" s="4" t="s">
        <v>124</v>
      </c>
      <c r="CH315" s="4" t="s">
        <v>124</v>
      </c>
      <c r="CI315" s="4" t="s">
        <v>124</v>
      </c>
      <c r="CJ315" s="4" t="s">
        <v>124</v>
      </c>
      <c r="CK315" s="4" t="s">
        <v>124</v>
      </c>
      <c r="CL315" s="4" t="s">
        <v>124</v>
      </c>
      <c r="CM315" s="4" t="s">
        <v>124</v>
      </c>
      <c r="CN315" s="4" t="s">
        <v>124</v>
      </c>
      <c r="CO315" s="4" t="s">
        <v>124</v>
      </c>
      <c r="CP315" s="4" t="s">
        <v>124</v>
      </c>
      <c r="CQ315" s="4" t="s">
        <v>124</v>
      </c>
      <c r="CR315" s="4" t="s">
        <v>124</v>
      </c>
      <c r="CS315" s="4" t="s">
        <v>124</v>
      </c>
      <c r="CT315" s="4" t="s">
        <v>124</v>
      </c>
      <c r="CU315" s="4" t="s">
        <v>124</v>
      </c>
      <c r="CV315" s="4" t="s">
        <v>124</v>
      </c>
      <c r="CW315" s="4" t="s">
        <v>124</v>
      </c>
      <c r="CX315" s="4" t="s">
        <v>124</v>
      </c>
      <c r="CY315" s="4" t="s">
        <v>124</v>
      </c>
      <c r="CZ315" s="4" t="s">
        <v>124</v>
      </c>
      <c r="DA315" s="4" t="s">
        <v>124</v>
      </c>
      <c r="DB315" s="4" t="s">
        <v>124</v>
      </c>
      <c r="DC315" s="4" t="s">
        <v>124</v>
      </c>
      <c r="DD315" s="4" t="s">
        <v>124</v>
      </c>
      <c r="DE315" s="4" t="s">
        <v>124</v>
      </c>
      <c r="DF315" s="6"/>
      <c r="DG315" s="6"/>
      <c r="DH315" s="6"/>
      <c r="DI315" s="6"/>
      <c r="DJ315" s="4" t="s">
        <v>124</v>
      </c>
      <c r="DK315" s="4" t="s">
        <v>124</v>
      </c>
      <c r="DL315" s="4" t="s">
        <v>124</v>
      </c>
      <c r="DM315" s="4" t="s">
        <v>124</v>
      </c>
      <c r="DN315" s="4" t="s">
        <v>124</v>
      </c>
      <c r="DO315" s="4" t="s">
        <v>124</v>
      </c>
      <c r="DP315" s="6"/>
      <c r="DQ315" s="4" t="s">
        <v>125</v>
      </c>
    </row>
    <row r="316" spans="1:121" ht="20" customHeight="1" x14ac:dyDescent="0.15">
      <c r="A316" s="5">
        <v>2018</v>
      </c>
      <c r="B316" s="3" t="s">
        <v>220</v>
      </c>
      <c r="C316" s="4" t="str">
        <f t="shared" si="95"/>
        <v>0280011</v>
      </c>
      <c r="D316" s="4" t="s">
        <v>458</v>
      </c>
      <c r="E316" s="4" t="str">
        <f>"0280211"</f>
        <v>0280211</v>
      </c>
      <c r="F316" s="4" t="s">
        <v>327</v>
      </c>
      <c r="G316" s="7">
        <v>3</v>
      </c>
      <c r="H316" s="7">
        <v>5</v>
      </c>
      <c r="I316" s="4" t="s">
        <v>329</v>
      </c>
      <c r="J316" s="4" t="s">
        <v>330</v>
      </c>
      <c r="K316" s="7">
        <v>712.74373400000002</v>
      </c>
      <c r="L316" s="7">
        <v>850</v>
      </c>
      <c r="M316" s="7">
        <v>83.852204</v>
      </c>
      <c r="N316" s="7">
        <v>2</v>
      </c>
      <c r="O316" s="7">
        <v>0</v>
      </c>
      <c r="P316" s="7">
        <v>76.947002999999995</v>
      </c>
      <c r="Q316" s="7">
        <v>50</v>
      </c>
      <c r="R316" s="7">
        <v>50</v>
      </c>
      <c r="S316" s="7">
        <v>66.371671000000006</v>
      </c>
      <c r="T316" s="7">
        <v>75</v>
      </c>
      <c r="U316" s="7">
        <v>44.247779999999999</v>
      </c>
      <c r="V316" s="7">
        <v>50</v>
      </c>
      <c r="W316" s="7">
        <v>74.818147999999994</v>
      </c>
      <c r="X316" s="7">
        <v>49.878765000000001</v>
      </c>
      <c r="Y316" s="7">
        <v>50</v>
      </c>
      <c r="Z316" s="7">
        <v>75</v>
      </c>
      <c r="AA316" s="7">
        <v>64.292669000000004</v>
      </c>
      <c r="AB316" s="7">
        <v>42.861780000000003</v>
      </c>
      <c r="AC316" s="7">
        <v>50</v>
      </c>
      <c r="AD316" s="7">
        <v>75.433909</v>
      </c>
      <c r="AE316" s="7">
        <v>50</v>
      </c>
      <c r="AF316" s="7">
        <v>50</v>
      </c>
      <c r="AG316" s="7">
        <v>63.953125</v>
      </c>
      <c r="AH316" s="7">
        <v>75</v>
      </c>
      <c r="AI316" s="7">
        <v>42.635416999999997</v>
      </c>
      <c r="AJ316" s="7">
        <v>50</v>
      </c>
      <c r="AK316" s="7">
        <v>8.6199999999999992</v>
      </c>
      <c r="AL316" s="7">
        <v>10.7</v>
      </c>
      <c r="AM316" s="7">
        <v>11.04</v>
      </c>
      <c r="AN316" s="7">
        <v>0.70048600000000005</v>
      </c>
      <c r="AO316" s="7">
        <v>70.048621999999995</v>
      </c>
      <c r="AP316" s="7">
        <v>100</v>
      </c>
      <c r="AQ316" s="7">
        <v>0.80706</v>
      </c>
      <c r="AR316" s="7">
        <v>80.706025999999994</v>
      </c>
      <c r="AS316" s="7">
        <v>100</v>
      </c>
      <c r="AT316" s="7">
        <v>0.65010800000000002</v>
      </c>
      <c r="AU316" s="7">
        <v>0.72442200000000001</v>
      </c>
      <c r="AV316" s="7">
        <v>65.010802999999996</v>
      </c>
      <c r="AW316" s="7">
        <v>100</v>
      </c>
      <c r="AX316" s="7">
        <v>0.72710600000000003</v>
      </c>
      <c r="AY316" s="7">
        <v>0.84468600000000005</v>
      </c>
      <c r="AZ316" s="7">
        <v>72.710576000000003</v>
      </c>
      <c r="BA316" s="7">
        <v>100</v>
      </c>
      <c r="BB316" s="4" t="s">
        <v>124</v>
      </c>
      <c r="BC316" s="4" t="s">
        <v>124</v>
      </c>
      <c r="BD316" s="4" t="s">
        <v>124</v>
      </c>
      <c r="BE316" s="4" t="s">
        <v>124</v>
      </c>
      <c r="BF316" s="4" t="s">
        <v>124</v>
      </c>
      <c r="BG316" s="4" t="s">
        <v>124</v>
      </c>
      <c r="BH316" s="7">
        <v>0</v>
      </c>
      <c r="BI316" s="7">
        <v>0.99588500000000002</v>
      </c>
      <c r="BJ316" s="7">
        <v>0.99375000000000002</v>
      </c>
      <c r="BK316" s="7">
        <v>0.99693299999999996</v>
      </c>
      <c r="BL316" s="7">
        <v>0.99177000000000004</v>
      </c>
      <c r="BM316" s="7">
        <v>0.98124999999999996</v>
      </c>
      <c r="BN316" s="7">
        <v>0.99693299999999996</v>
      </c>
      <c r="BO316" s="7">
        <v>0.99418600000000001</v>
      </c>
      <c r="BP316" s="7">
        <v>1</v>
      </c>
      <c r="BQ316" s="7">
        <v>0.99193500000000001</v>
      </c>
      <c r="BR316" s="7">
        <v>3.2922E-2</v>
      </c>
      <c r="BS316" s="7">
        <v>50</v>
      </c>
      <c r="BT316" s="7">
        <v>50</v>
      </c>
      <c r="BU316" s="7">
        <v>7.2289000000000006E-2</v>
      </c>
      <c r="BV316" s="7">
        <v>45.542169000000001</v>
      </c>
      <c r="BW316" s="7">
        <v>50</v>
      </c>
      <c r="BX316" s="4" t="s">
        <v>124</v>
      </c>
      <c r="BY316" s="4" t="s">
        <v>124</v>
      </c>
      <c r="BZ316" s="4" t="s">
        <v>124</v>
      </c>
      <c r="CA316" s="4" t="s">
        <v>124</v>
      </c>
      <c r="CB316" s="4" t="s">
        <v>124</v>
      </c>
      <c r="CC316" s="4" t="s">
        <v>124</v>
      </c>
      <c r="CD316" s="4" t="s">
        <v>124</v>
      </c>
      <c r="CE316" s="4" t="s">
        <v>124</v>
      </c>
      <c r="CF316" s="4" t="s">
        <v>124</v>
      </c>
      <c r="CG316" s="4" t="s">
        <v>124</v>
      </c>
      <c r="CH316" s="4" t="s">
        <v>124</v>
      </c>
      <c r="CI316" s="4" t="s">
        <v>124</v>
      </c>
      <c r="CJ316" s="4" t="s">
        <v>124</v>
      </c>
      <c r="CK316" s="4" t="s">
        <v>124</v>
      </c>
      <c r="CL316" s="4" t="s">
        <v>124</v>
      </c>
      <c r="CM316" s="4" t="s">
        <v>124</v>
      </c>
      <c r="CN316" s="4" t="s">
        <v>124</v>
      </c>
      <c r="CO316" s="4" t="s">
        <v>124</v>
      </c>
      <c r="CP316" s="4" t="s">
        <v>124</v>
      </c>
      <c r="CQ316" s="7">
        <v>0.73652700000000004</v>
      </c>
      <c r="CR316" s="7">
        <v>1.030864</v>
      </c>
      <c r="CS316" s="7">
        <v>49.101796</v>
      </c>
      <c r="CT316" s="7">
        <v>50</v>
      </c>
      <c r="CU316" s="4" t="s">
        <v>124</v>
      </c>
      <c r="CV316" s="4" t="s">
        <v>124</v>
      </c>
      <c r="CW316" s="4" t="s">
        <v>124</v>
      </c>
      <c r="CX316" s="4" t="s">
        <v>124</v>
      </c>
      <c r="CY316" s="4" t="s">
        <v>124</v>
      </c>
      <c r="CZ316" s="4" t="s">
        <v>124</v>
      </c>
      <c r="DA316" s="7">
        <v>15.314097</v>
      </c>
      <c r="DB316" s="7">
        <v>17.400950000000002</v>
      </c>
      <c r="DC316" s="7">
        <v>16.332519999999999</v>
      </c>
      <c r="DD316" s="4" t="s">
        <v>124</v>
      </c>
      <c r="DE316" s="7">
        <v>0</v>
      </c>
      <c r="DF316" s="6"/>
      <c r="DG316" s="6"/>
      <c r="DH316" s="6"/>
      <c r="DI316" s="6"/>
      <c r="DJ316" s="7">
        <v>0</v>
      </c>
      <c r="DK316" s="7">
        <v>0</v>
      </c>
      <c r="DL316" s="7">
        <v>0</v>
      </c>
      <c r="DM316" s="7">
        <v>0</v>
      </c>
      <c r="DN316" s="7">
        <v>0</v>
      </c>
      <c r="DO316" s="7">
        <v>0</v>
      </c>
      <c r="DP316" s="6"/>
      <c r="DQ316" s="4" t="s">
        <v>125</v>
      </c>
    </row>
    <row r="317" spans="1:121" ht="20" customHeight="1" x14ac:dyDescent="0.15">
      <c r="A317" s="5">
        <v>2018</v>
      </c>
      <c r="B317" s="3" t="s">
        <v>220</v>
      </c>
      <c r="C317" s="4" t="str">
        <f t="shared" si="95"/>
        <v>0280011</v>
      </c>
      <c r="D317" s="4" t="s">
        <v>459</v>
      </c>
      <c r="E317" s="4" t="str">
        <f>"0285111"</f>
        <v>0285111</v>
      </c>
      <c r="F317" s="4" t="s">
        <v>327</v>
      </c>
      <c r="G317" s="7">
        <v>6</v>
      </c>
      <c r="H317" s="7">
        <v>8</v>
      </c>
      <c r="I317" s="4" t="s">
        <v>329</v>
      </c>
      <c r="J317" s="4" t="s">
        <v>330</v>
      </c>
      <c r="K317" s="7">
        <v>706.09917700000005</v>
      </c>
      <c r="L317" s="7">
        <v>900</v>
      </c>
      <c r="M317" s="7">
        <v>78.455464000000006</v>
      </c>
      <c r="N317" s="7">
        <v>2</v>
      </c>
      <c r="O317" s="7">
        <v>0</v>
      </c>
      <c r="P317" s="7">
        <v>74.330725999999999</v>
      </c>
      <c r="Q317" s="7">
        <v>49.553817000000002</v>
      </c>
      <c r="R317" s="7">
        <v>50</v>
      </c>
      <c r="S317" s="7">
        <v>64.193676999999994</v>
      </c>
      <c r="T317" s="7">
        <v>75</v>
      </c>
      <c r="U317" s="7">
        <v>42.795785000000002</v>
      </c>
      <c r="V317" s="7">
        <v>50</v>
      </c>
      <c r="W317" s="7">
        <v>74.308120000000002</v>
      </c>
      <c r="X317" s="7">
        <v>49.538747000000001</v>
      </c>
      <c r="Y317" s="7">
        <v>50</v>
      </c>
      <c r="Z317" s="7">
        <v>75</v>
      </c>
      <c r="AA317" s="7">
        <v>61.059342000000001</v>
      </c>
      <c r="AB317" s="7">
        <v>40.706228000000003</v>
      </c>
      <c r="AC317" s="7">
        <v>50</v>
      </c>
      <c r="AD317" s="7">
        <v>72.939003999999997</v>
      </c>
      <c r="AE317" s="7">
        <v>48.626002</v>
      </c>
      <c r="AF317" s="7">
        <v>50</v>
      </c>
      <c r="AG317" s="7">
        <v>64.234326999999993</v>
      </c>
      <c r="AH317" s="7">
        <v>75</v>
      </c>
      <c r="AI317" s="7">
        <v>42.822884000000002</v>
      </c>
      <c r="AJ317" s="7">
        <v>50</v>
      </c>
      <c r="AK317" s="7">
        <v>10.8</v>
      </c>
      <c r="AL317" s="7">
        <v>13.94</v>
      </c>
      <c r="AM317" s="7">
        <v>10.76</v>
      </c>
      <c r="AN317" s="7">
        <v>0.53992899999999999</v>
      </c>
      <c r="AO317" s="7">
        <v>53.992859000000003</v>
      </c>
      <c r="AP317" s="7">
        <v>100</v>
      </c>
      <c r="AQ317" s="7">
        <v>0.73092500000000005</v>
      </c>
      <c r="AR317" s="7">
        <v>73.092506999999998</v>
      </c>
      <c r="AS317" s="7">
        <v>100</v>
      </c>
      <c r="AT317" s="7">
        <v>0.505108</v>
      </c>
      <c r="AU317" s="7">
        <v>0.55718199999999996</v>
      </c>
      <c r="AV317" s="7">
        <v>50.510776999999997</v>
      </c>
      <c r="AW317" s="7">
        <v>100</v>
      </c>
      <c r="AX317" s="7">
        <v>0.62479499999999999</v>
      </c>
      <c r="AY317" s="7">
        <v>0.78351199999999999</v>
      </c>
      <c r="AZ317" s="7">
        <v>62.479472000000001</v>
      </c>
      <c r="BA317" s="7">
        <v>100</v>
      </c>
      <c r="BB317" s="4" t="s">
        <v>124</v>
      </c>
      <c r="BC317" s="4" t="s">
        <v>124</v>
      </c>
      <c r="BD317" s="4" t="s">
        <v>124</v>
      </c>
      <c r="BE317" s="4" t="s">
        <v>124</v>
      </c>
      <c r="BF317" s="4" t="s">
        <v>124</v>
      </c>
      <c r="BG317" s="4" t="s">
        <v>124</v>
      </c>
      <c r="BH317" s="7">
        <v>0</v>
      </c>
      <c r="BI317" s="7">
        <v>0.99429699999999999</v>
      </c>
      <c r="BJ317" s="7">
        <v>0.99438199999999999</v>
      </c>
      <c r="BK317" s="7">
        <v>0.99425300000000005</v>
      </c>
      <c r="BL317" s="7">
        <v>0.99429699999999999</v>
      </c>
      <c r="BM317" s="7">
        <v>0.99438199999999999</v>
      </c>
      <c r="BN317" s="7">
        <v>0.99425300000000005</v>
      </c>
      <c r="BO317" s="7">
        <v>0.98947399999999996</v>
      </c>
      <c r="BP317" s="7">
        <v>0.98412699999999997</v>
      </c>
      <c r="BQ317" s="7">
        <v>0.99212599999999995</v>
      </c>
      <c r="BR317" s="7">
        <v>4.5627000000000001E-2</v>
      </c>
      <c r="BS317" s="7">
        <v>50</v>
      </c>
      <c r="BT317" s="7">
        <v>50</v>
      </c>
      <c r="BU317" s="7">
        <v>7.9786999999999997E-2</v>
      </c>
      <c r="BV317" s="7">
        <v>44.042552999999998</v>
      </c>
      <c r="BW317" s="7">
        <v>50</v>
      </c>
      <c r="BX317" s="4" t="s">
        <v>124</v>
      </c>
      <c r="BY317" s="4" t="s">
        <v>124</v>
      </c>
      <c r="BZ317" s="4" t="s">
        <v>124</v>
      </c>
      <c r="CA317" s="4" t="s">
        <v>124</v>
      </c>
      <c r="CB317" s="4" t="s">
        <v>124</v>
      </c>
      <c r="CC317" s="4" t="s">
        <v>124</v>
      </c>
      <c r="CD317" s="7">
        <v>0.93939399999999995</v>
      </c>
      <c r="CE317" s="7">
        <v>49.967762999999998</v>
      </c>
      <c r="CF317" s="7">
        <v>50</v>
      </c>
      <c r="CG317" s="4" t="s">
        <v>124</v>
      </c>
      <c r="CH317" s="4" t="s">
        <v>124</v>
      </c>
      <c r="CI317" s="4" t="s">
        <v>124</v>
      </c>
      <c r="CJ317" s="4" t="s">
        <v>124</v>
      </c>
      <c r="CK317" s="4" t="s">
        <v>124</v>
      </c>
      <c r="CL317" s="4" t="s">
        <v>124</v>
      </c>
      <c r="CM317" s="4" t="s">
        <v>124</v>
      </c>
      <c r="CN317" s="4" t="s">
        <v>124</v>
      </c>
      <c r="CO317" s="4" t="s">
        <v>124</v>
      </c>
      <c r="CP317" s="4" t="s">
        <v>124</v>
      </c>
      <c r="CQ317" s="7">
        <v>0.71954700000000005</v>
      </c>
      <c r="CR317" s="7">
        <v>0.99157300000000004</v>
      </c>
      <c r="CS317" s="7">
        <v>47.969783</v>
      </c>
      <c r="CT317" s="7">
        <v>50</v>
      </c>
      <c r="CU317" s="4" t="s">
        <v>124</v>
      </c>
      <c r="CV317" s="4" t="s">
        <v>124</v>
      </c>
      <c r="CW317" s="4" t="s">
        <v>124</v>
      </c>
      <c r="CX317" s="4" t="s">
        <v>124</v>
      </c>
      <c r="CY317" s="4" t="s">
        <v>124</v>
      </c>
      <c r="CZ317" s="4" t="s">
        <v>124</v>
      </c>
      <c r="DA317" s="7">
        <v>15.314097</v>
      </c>
      <c r="DB317" s="7">
        <v>17.400950000000002</v>
      </c>
      <c r="DC317" s="7">
        <v>16.332519999999999</v>
      </c>
      <c r="DD317" s="4" t="s">
        <v>124</v>
      </c>
      <c r="DE317" s="7">
        <v>0</v>
      </c>
      <c r="DF317" s="6"/>
      <c r="DG317" s="6"/>
      <c r="DH317" s="6"/>
      <c r="DI317" s="6"/>
      <c r="DJ317" s="7">
        <v>0</v>
      </c>
      <c r="DK317" s="7">
        <v>0</v>
      </c>
      <c r="DL317" s="7">
        <v>0</v>
      </c>
      <c r="DM317" s="7">
        <v>0</v>
      </c>
      <c r="DN317" s="7">
        <v>0</v>
      </c>
      <c r="DO317" s="7">
        <v>0</v>
      </c>
      <c r="DP317" s="6"/>
      <c r="DQ317" s="4" t="s">
        <v>125</v>
      </c>
    </row>
    <row r="318" spans="1:121" ht="20" customHeight="1" x14ac:dyDescent="0.15">
      <c r="A318" s="5">
        <v>2018</v>
      </c>
      <c r="B318" s="3" t="s">
        <v>187</v>
      </c>
      <c r="C318" s="4" t="str">
        <f t="shared" si="62"/>
        <v>0290011</v>
      </c>
      <c r="D318" s="4" t="s">
        <v>460</v>
      </c>
      <c r="E318" s="4" t="str">
        <f>"0290111"</f>
        <v>0290111</v>
      </c>
      <c r="F318" s="4" t="s">
        <v>327</v>
      </c>
      <c r="G318" s="4" t="s">
        <v>338</v>
      </c>
      <c r="H318" s="7">
        <v>6</v>
      </c>
      <c r="I318" s="6"/>
      <c r="J318" s="4" t="s">
        <v>330</v>
      </c>
      <c r="K318" s="7">
        <v>483.00836700000002</v>
      </c>
      <c r="L318" s="7">
        <v>550</v>
      </c>
      <c r="M318" s="7">
        <v>87.819703000000004</v>
      </c>
      <c r="N318" s="7">
        <v>2</v>
      </c>
      <c r="O318" s="7">
        <v>0</v>
      </c>
      <c r="P318" s="7">
        <v>81.921363999999997</v>
      </c>
      <c r="Q318" s="7">
        <v>50</v>
      </c>
      <c r="R318" s="7">
        <v>50</v>
      </c>
      <c r="S318" s="7">
        <v>70.447902999999997</v>
      </c>
      <c r="T318" s="7">
        <v>75</v>
      </c>
      <c r="U318" s="7">
        <v>46.965268000000002</v>
      </c>
      <c r="V318" s="7">
        <v>50</v>
      </c>
      <c r="W318" s="7">
        <v>74.679205999999994</v>
      </c>
      <c r="X318" s="7">
        <v>49.786136999999997</v>
      </c>
      <c r="Y318" s="7">
        <v>50</v>
      </c>
      <c r="Z318" s="7">
        <v>75</v>
      </c>
      <c r="AA318" s="7">
        <v>64.281739000000002</v>
      </c>
      <c r="AB318" s="7">
        <v>42.854492</v>
      </c>
      <c r="AC318" s="7">
        <v>50</v>
      </c>
      <c r="AD318" s="4" t="s">
        <v>124</v>
      </c>
      <c r="AE318" s="4" t="s">
        <v>124</v>
      </c>
      <c r="AF318" s="4" t="s">
        <v>124</v>
      </c>
      <c r="AG318" s="4" t="s">
        <v>124</v>
      </c>
      <c r="AH318" s="4" t="s">
        <v>124</v>
      </c>
      <c r="AI318" s="4" t="s">
        <v>124</v>
      </c>
      <c r="AJ318" s="4" t="s">
        <v>124</v>
      </c>
      <c r="AK318" s="7">
        <v>4.55</v>
      </c>
      <c r="AL318" s="7">
        <v>10.71</v>
      </c>
      <c r="AM318" s="4" t="s">
        <v>124</v>
      </c>
      <c r="AN318" s="7">
        <v>0.772567</v>
      </c>
      <c r="AO318" s="7">
        <v>77.256707000000006</v>
      </c>
      <c r="AP318" s="7">
        <v>100</v>
      </c>
      <c r="AQ318" s="7">
        <v>0.66145799999999999</v>
      </c>
      <c r="AR318" s="7">
        <v>66.145760999999993</v>
      </c>
      <c r="AS318" s="7">
        <v>100</v>
      </c>
      <c r="AT318" s="4" t="s">
        <v>124</v>
      </c>
      <c r="AU318" s="7">
        <v>0.90915199999999996</v>
      </c>
      <c r="AV318" s="4" t="s">
        <v>124</v>
      </c>
      <c r="AW318" s="4" t="s">
        <v>124</v>
      </c>
      <c r="AX318" s="4" t="s">
        <v>124</v>
      </c>
      <c r="AY318" s="7">
        <v>0.77750300000000006</v>
      </c>
      <c r="AZ318" s="4" t="s">
        <v>124</v>
      </c>
      <c r="BA318" s="4" t="s">
        <v>124</v>
      </c>
      <c r="BB318" s="4" t="s">
        <v>124</v>
      </c>
      <c r="BC318" s="4" t="s">
        <v>124</v>
      </c>
      <c r="BD318" s="4" t="s">
        <v>124</v>
      </c>
      <c r="BE318" s="4" t="s">
        <v>124</v>
      </c>
      <c r="BF318" s="4" t="s">
        <v>124</v>
      </c>
      <c r="BG318" s="4" t="s">
        <v>124</v>
      </c>
      <c r="BH318" s="7">
        <v>1</v>
      </c>
      <c r="BI318" s="7">
        <v>0.94545500000000005</v>
      </c>
      <c r="BJ318" s="7">
        <v>0.88888900000000004</v>
      </c>
      <c r="BK318" s="7">
        <v>1</v>
      </c>
      <c r="BL318" s="7">
        <v>0.94545500000000005</v>
      </c>
      <c r="BM318" s="7">
        <v>0.88888900000000004</v>
      </c>
      <c r="BN318" s="7">
        <v>1</v>
      </c>
      <c r="BO318" s="4" t="s">
        <v>124</v>
      </c>
      <c r="BP318" s="4" t="s">
        <v>124</v>
      </c>
      <c r="BQ318" s="4" t="s">
        <v>124</v>
      </c>
      <c r="BR318" s="7">
        <v>1.1494000000000001E-2</v>
      </c>
      <c r="BS318" s="7">
        <v>50</v>
      </c>
      <c r="BT318" s="7">
        <v>50</v>
      </c>
      <c r="BU318" s="7">
        <v>2.3810000000000001E-2</v>
      </c>
      <c r="BV318" s="7">
        <v>50</v>
      </c>
      <c r="BW318" s="7">
        <v>50</v>
      </c>
      <c r="BX318" s="4" t="s">
        <v>124</v>
      </c>
      <c r="BY318" s="4" t="s">
        <v>124</v>
      </c>
      <c r="BZ318" s="4" t="s">
        <v>124</v>
      </c>
      <c r="CA318" s="4" t="s">
        <v>124</v>
      </c>
      <c r="CB318" s="4" t="s">
        <v>124</v>
      </c>
      <c r="CC318" s="4" t="s">
        <v>124</v>
      </c>
      <c r="CD318" s="4" t="s">
        <v>124</v>
      </c>
      <c r="CE318" s="4" t="s">
        <v>124</v>
      </c>
      <c r="CF318" s="4" t="s">
        <v>124</v>
      </c>
      <c r="CG318" s="4" t="s">
        <v>124</v>
      </c>
      <c r="CH318" s="4" t="s">
        <v>124</v>
      </c>
      <c r="CI318" s="4" t="s">
        <v>124</v>
      </c>
      <c r="CJ318" s="4" t="s">
        <v>124</v>
      </c>
      <c r="CK318" s="4" t="s">
        <v>124</v>
      </c>
      <c r="CL318" s="4" t="s">
        <v>124</v>
      </c>
      <c r="CM318" s="4" t="s">
        <v>124</v>
      </c>
      <c r="CN318" s="4" t="s">
        <v>124</v>
      </c>
      <c r="CO318" s="4" t="s">
        <v>124</v>
      </c>
      <c r="CP318" s="4" t="s">
        <v>124</v>
      </c>
      <c r="CQ318" s="7">
        <v>0.76666699999999999</v>
      </c>
      <c r="CR318" s="7">
        <v>1</v>
      </c>
      <c r="CS318" s="7">
        <v>50</v>
      </c>
      <c r="CT318" s="7">
        <v>50</v>
      </c>
      <c r="CU318" s="4" t="s">
        <v>124</v>
      </c>
      <c r="CV318" s="4" t="s">
        <v>124</v>
      </c>
      <c r="CW318" s="4" t="s">
        <v>124</v>
      </c>
      <c r="CX318" s="4" t="s">
        <v>124</v>
      </c>
      <c r="CY318" s="4" t="s">
        <v>124</v>
      </c>
      <c r="CZ318" s="4" t="s">
        <v>124</v>
      </c>
      <c r="DA318" s="7">
        <v>15.314097</v>
      </c>
      <c r="DB318" s="7">
        <v>17.400950000000002</v>
      </c>
      <c r="DC318" s="7">
        <v>16.332519999999999</v>
      </c>
      <c r="DD318" s="4" t="s">
        <v>124</v>
      </c>
      <c r="DE318" s="7">
        <v>1</v>
      </c>
      <c r="DF318" s="6"/>
      <c r="DG318" s="6"/>
      <c r="DH318" s="6"/>
      <c r="DI318" s="6"/>
      <c r="DJ318" s="7">
        <v>0</v>
      </c>
      <c r="DK318" s="7">
        <v>0</v>
      </c>
      <c r="DL318" s="7">
        <v>0</v>
      </c>
      <c r="DM318" s="7">
        <v>0</v>
      </c>
      <c r="DN318" s="7">
        <v>0</v>
      </c>
      <c r="DO318" s="7">
        <v>0</v>
      </c>
      <c r="DP318" s="6"/>
      <c r="DQ318" s="4" t="s">
        <v>125</v>
      </c>
    </row>
    <row r="319" spans="1:121" ht="20" customHeight="1" x14ac:dyDescent="0.15">
      <c r="A319" s="5">
        <v>2018</v>
      </c>
      <c r="B319" s="3" t="s">
        <v>188</v>
      </c>
      <c r="C319" s="4" t="str">
        <f t="shared" si="63"/>
        <v>0300011</v>
      </c>
      <c r="D319" s="4" t="s">
        <v>461</v>
      </c>
      <c r="E319" s="4" t="str">
        <f>"0300111"</f>
        <v>0300111</v>
      </c>
      <c r="F319" s="4" t="s">
        <v>327</v>
      </c>
      <c r="G319" s="4" t="s">
        <v>328</v>
      </c>
      <c r="H319" s="7">
        <v>8</v>
      </c>
      <c r="I319" s="4" t="s">
        <v>329</v>
      </c>
      <c r="J319" s="4" t="s">
        <v>330</v>
      </c>
      <c r="K319" s="7">
        <v>691.30042100000003</v>
      </c>
      <c r="L319" s="7">
        <v>900</v>
      </c>
      <c r="M319" s="7">
        <v>76.811158000000006</v>
      </c>
      <c r="N319" s="7">
        <v>3</v>
      </c>
      <c r="O319" s="7">
        <v>1</v>
      </c>
      <c r="P319" s="7">
        <v>72.971266</v>
      </c>
      <c r="Q319" s="7">
        <v>48.647509999999997</v>
      </c>
      <c r="R319" s="7">
        <v>50</v>
      </c>
      <c r="S319" s="7">
        <v>63.291722</v>
      </c>
      <c r="T319" s="7">
        <v>75</v>
      </c>
      <c r="U319" s="7">
        <v>42.194481000000003</v>
      </c>
      <c r="V319" s="7">
        <v>50</v>
      </c>
      <c r="W319" s="7">
        <v>65.315486000000007</v>
      </c>
      <c r="X319" s="7">
        <v>43.543657000000003</v>
      </c>
      <c r="Y319" s="7">
        <v>50</v>
      </c>
      <c r="Z319" s="7">
        <v>69.538141999999993</v>
      </c>
      <c r="AA319" s="7">
        <v>55.181111999999999</v>
      </c>
      <c r="AB319" s="7">
        <v>36.787407999999999</v>
      </c>
      <c r="AC319" s="7">
        <v>50</v>
      </c>
      <c r="AD319" s="7">
        <v>71.104836000000006</v>
      </c>
      <c r="AE319" s="7">
        <v>47.403224000000002</v>
      </c>
      <c r="AF319" s="7">
        <v>50</v>
      </c>
      <c r="AG319" s="7">
        <v>58.645332000000003</v>
      </c>
      <c r="AH319" s="7">
        <v>75</v>
      </c>
      <c r="AI319" s="7">
        <v>39.096888</v>
      </c>
      <c r="AJ319" s="7">
        <v>50</v>
      </c>
      <c r="AK319" s="7">
        <v>11.7</v>
      </c>
      <c r="AL319" s="7">
        <v>14.35</v>
      </c>
      <c r="AM319" s="7">
        <v>16.350000000000001</v>
      </c>
      <c r="AN319" s="7">
        <v>0.66169999999999995</v>
      </c>
      <c r="AO319" s="7">
        <v>66.170043000000007</v>
      </c>
      <c r="AP319" s="7">
        <v>100</v>
      </c>
      <c r="AQ319" s="7">
        <v>0.53859999999999997</v>
      </c>
      <c r="AR319" s="7">
        <v>53.859983</v>
      </c>
      <c r="AS319" s="7">
        <v>100</v>
      </c>
      <c r="AT319" s="7">
        <v>0.65073099999999995</v>
      </c>
      <c r="AU319" s="7">
        <v>0.66694299999999995</v>
      </c>
      <c r="AV319" s="7">
        <v>65.073091000000005</v>
      </c>
      <c r="AW319" s="7">
        <v>100</v>
      </c>
      <c r="AX319" s="7">
        <v>0.50319000000000003</v>
      </c>
      <c r="AY319" s="7">
        <v>0.55512399999999995</v>
      </c>
      <c r="AZ319" s="7">
        <v>50.319006999999999</v>
      </c>
      <c r="BA319" s="7">
        <v>100</v>
      </c>
      <c r="BB319" s="4" t="s">
        <v>124</v>
      </c>
      <c r="BC319" s="4" t="s">
        <v>124</v>
      </c>
      <c r="BD319" s="4" t="s">
        <v>124</v>
      </c>
      <c r="BE319" s="4" t="s">
        <v>124</v>
      </c>
      <c r="BF319" s="4" t="s">
        <v>124</v>
      </c>
      <c r="BG319" s="4" t="s">
        <v>124</v>
      </c>
      <c r="BH319" s="7">
        <v>1</v>
      </c>
      <c r="BI319" s="7">
        <v>0.97590399999999999</v>
      </c>
      <c r="BJ319" s="7">
        <v>0.93670900000000001</v>
      </c>
      <c r="BK319" s="7">
        <v>0.99411799999999995</v>
      </c>
      <c r="BL319" s="7">
        <v>0.96385500000000002</v>
      </c>
      <c r="BM319" s="7">
        <v>0.91139199999999998</v>
      </c>
      <c r="BN319" s="7">
        <v>0.98823499999999997</v>
      </c>
      <c r="BO319" s="7">
        <v>0.94898000000000005</v>
      </c>
      <c r="BP319" s="7">
        <v>0.89655200000000002</v>
      </c>
      <c r="BQ319" s="7">
        <v>0.97101400000000004</v>
      </c>
      <c r="BR319" s="7">
        <v>2.8132999999999998E-2</v>
      </c>
      <c r="BS319" s="7">
        <v>50</v>
      </c>
      <c r="BT319" s="7">
        <v>50</v>
      </c>
      <c r="BU319" s="7">
        <v>3.3897999999999998E-2</v>
      </c>
      <c r="BV319" s="7">
        <v>50</v>
      </c>
      <c r="BW319" s="7">
        <v>50</v>
      </c>
      <c r="BX319" s="4" t="s">
        <v>124</v>
      </c>
      <c r="BY319" s="4" t="s">
        <v>124</v>
      </c>
      <c r="BZ319" s="4" t="s">
        <v>124</v>
      </c>
      <c r="CA319" s="4" t="s">
        <v>124</v>
      </c>
      <c r="CB319" s="4" t="s">
        <v>124</v>
      </c>
      <c r="CC319" s="4" t="s">
        <v>124</v>
      </c>
      <c r="CD319" s="7">
        <v>0.95454499999999998</v>
      </c>
      <c r="CE319" s="7">
        <v>50</v>
      </c>
      <c r="CF319" s="7">
        <v>50</v>
      </c>
      <c r="CG319" s="4" t="s">
        <v>124</v>
      </c>
      <c r="CH319" s="4" t="s">
        <v>124</v>
      </c>
      <c r="CI319" s="4" t="s">
        <v>124</v>
      </c>
      <c r="CJ319" s="4" t="s">
        <v>124</v>
      </c>
      <c r="CK319" s="4" t="s">
        <v>124</v>
      </c>
      <c r="CL319" s="4" t="s">
        <v>124</v>
      </c>
      <c r="CM319" s="4" t="s">
        <v>124</v>
      </c>
      <c r="CN319" s="4" t="s">
        <v>124</v>
      </c>
      <c r="CO319" s="4" t="s">
        <v>124</v>
      </c>
      <c r="CP319" s="4" t="s">
        <v>124</v>
      </c>
      <c r="CQ319" s="7">
        <v>0.72307699999999997</v>
      </c>
      <c r="CR319" s="7">
        <v>1.007752</v>
      </c>
      <c r="CS319" s="7">
        <v>48.205128000000002</v>
      </c>
      <c r="CT319" s="7">
        <v>50</v>
      </c>
      <c r="CU319" s="4" t="s">
        <v>124</v>
      </c>
      <c r="CV319" s="4" t="s">
        <v>124</v>
      </c>
      <c r="CW319" s="4" t="s">
        <v>124</v>
      </c>
      <c r="CX319" s="4" t="s">
        <v>124</v>
      </c>
      <c r="CY319" s="4" t="s">
        <v>124</v>
      </c>
      <c r="CZ319" s="4" t="s">
        <v>124</v>
      </c>
      <c r="DA319" s="7">
        <v>15.314097</v>
      </c>
      <c r="DB319" s="7">
        <v>17.400950000000002</v>
      </c>
      <c r="DC319" s="7">
        <v>16.332519999999999</v>
      </c>
      <c r="DD319" s="4" t="s">
        <v>124</v>
      </c>
      <c r="DE319" s="7">
        <v>1</v>
      </c>
      <c r="DF319" s="6"/>
      <c r="DG319" s="6"/>
      <c r="DH319" s="6"/>
      <c r="DI319" s="6"/>
      <c r="DJ319" s="7">
        <v>0</v>
      </c>
      <c r="DK319" s="7">
        <v>0</v>
      </c>
      <c r="DL319" s="7">
        <v>0</v>
      </c>
      <c r="DM319" s="7">
        <v>0</v>
      </c>
      <c r="DN319" s="7">
        <v>0</v>
      </c>
      <c r="DO319" s="7">
        <v>0</v>
      </c>
      <c r="DP319" s="6"/>
      <c r="DQ319" s="4" t="s">
        <v>125</v>
      </c>
    </row>
    <row r="320" spans="1:121" ht="20" customHeight="1" x14ac:dyDescent="0.15">
      <c r="A320" s="5">
        <v>2018</v>
      </c>
      <c r="B320" s="3" t="s">
        <v>200</v>
      </c>
      <c r="C320" s="4" t="str">
        <f t="shared" si="75"/>
        <v>0310011</v>
      </c>
      <c r="D320" s="4" t="s">
        <v>462</v>
      </c>
      <c r="E320" s="4" t="str">
        <f>"0310111"</f>
        <v>0310111</v>
      </c>
      <c r="F320" s="4" t="s">
        <v>327</v>
      </c>
      <c r="G320" s="4" t="s">
        <v>338</v>
      </c>
      <c r="H320" s="7">
        <v>8</v>
      </c>
      <c r="I320" s="4" t="s">
        <v>329</v>
      </c>
      <c r="J320" s="4" t="s">
        <v>330</v>
      </c>
      <c r="K320" s="7">
        <v>456.07795800000002</v>
      </c>
      <c r="L320" s="7">
        <v>500</v>
      </c>
      <c r="M320" s="7">
        <v>91.215592000000001</v>
      </c>
      <c r="N320" s="7">
        <v>1</v>
      </c>
      <c r="O320" s="7">
        <v>0</v>
      </c>
      <c r="P320" s="7">
        <v>76.665791999999996</v>
      </c>
      <c r="Q320" s="7">
        <v>50</v>
      </c>
      <c r="R320" s="7">
        <v>50</v>
      </c>
      <c r="S320" s="4" t="s">
        <v>124</v>
      </c>
      <c r="T320" s="7">
        <v>75</v>
      </c>
      <c r="U320" s="4" t="s">
        <v>124</v>
      </c>
      <c r="V320" s="4" t="s">
        <v>124</v>
      </c>
      <c r="W320" s="7">
        <v>70.289567000000005</v>
      </c>
      <c r="X320" s="7">
        <v>46.859712000000002</v>
      </c>
      <c r="Y320" s="7">
        <v>50</v>
      </c>
      <c r="Z320" s="7">
        <v>75</v>
      </c>
      <c r="AA320" s="4" t="s">
        <v>124</v>
      </c>
      <c r="AB320" s="4" t="s">
        <v>124</v>
      </c>
      <c r="AC320" s="4" t="s">
        <v>124</v>
      </c>
      <c r="AD320" s="7">
        <v>75.881101999999998</v>
      </c>
      <c r="AE320" s="7">
        <v>50</v>
      </c>
      <c r="AF320" s="7">
        <v>50</v>
      </c>
      <c r="AG320" s="4" t="s">
        <v>124</v>
      </c>
      <c r="AH320" s="7">
        <v>75</v>
      </c>
      <c r="AI320" s="4" t="s">
        <v>124</v>
      </c>
      <c r="AJ320" s="4" t="s">
        <v>124</v>
      </c>
      <c r="AK320" s="4" t="s">
        <v>124</v>
      </c>
      <c r="AL320" s="4" t="s">
        <v>124</v>
      </c>
      <c r="AM320" s="4" t="s">
        <v>124</v>
      </c>
      <c r="AN320" s="7">
        <v>0.73205200000000004</v>
      </c>
      <c r="AO320" s="7">
        <v>73.205241999999998</v>
      </c>
      <c r="AP320" s="7">
        <v>100</v>
      </c>
      <c r="AQ320" s="7">
        <v>0.86012999999999995</v>
      </c>
      <c r="AR320" s="7">
        <v>86.013005000000007</v>
      </c>
      <c r="AS320" s="7">
        <v>100</v>
      </c>
      <c r="AT320" s="4" t="s">
        <v>124</v>
      </c>
      <c r="AU320" s="7">
        <v>0.73979300000000003</v>
      </c>
      <c r="AV320" s="4" t="s">
        <v>124</v>
      </c>
      <c r="AW320" s="4" t="s">
        <v>124</v>
      </c>
      <c r="AX320" s="4" t="s">
        <v>124</v>
      </c>
      <c r="AY320" s="7">
        <v>0.89185199999999998</v>
      </c>
      <c r="AZ320" s="4" t="s">
        <v>124</v>
      </c>
      <c r="BA320" s="4" t="s">
        <v>124</v>
      </c>
      <c r="BB320" s="4" t="s">
        <v>124</v>
      </c>
      <c r="BC320" s="4" t="s">
        <v>124</v>
      </c>
      <c r="BD320" s="4" t="s">
        <v>124</v>
      </c>
      <c r="BE320" s="4" t="s">
        <v>124</v>
      </c>
      <c r="BF320" s="4" t="s">
        <v>124</v>
      </c>
      <c r="BG320" s="4" t="s">
        <v>124</v>
      </c>
      <c r="BH320" s="7">
        <v>0</v>
      </c>
      <c r="BI320" s="7">
        <v>0.95522399999999996</v>
      </c>
      <c r="BJ320" s="4" t="s">
        <v>124</v>
      </c>
      <c r="BK320" s="7">
        <v>0.9375</v>
      </c>
      <c r="BL320" s="7">
        <v>0.95522399999999996</v>
      </c>
      <c r="BM320" s="4" t="s">
        <v>124</v>
      </c>
      <c r="BN320" s="7">
        <v>0.9375</v>
      </c>
      <c r="BO320" s="7">
        <v>0.96551699999999996</v>
      </c>
      <c r="BP320" s="4" t="s">
        <v>124</v>
      </c>
      <c r="BQ320" s="7">
        <v>0.95454499999999998</v>
      </c>
      <c r="BR320" s="7">
        <v>3.2608999999999999E-2</v>
      </c>
      <c r="BS320" s="7">
        <v>50</v>
      </c>
      <c r="BT320" s="7">
        <v>50</v>
      </c>
      <c r="BU320" s="7">
        <v>0</v>
      </c>
      <c r="BV320" s="7">
        <v>50</v>
      </c>
      <c r="BW320" s="7">
        <v>50</v>
      </c>
      <c r="BX320" s="4" t="s">
        <v>124</v>
      </c>
      <c r="BY320" s="4" t="s">
        <v>124</v>
      </c>
      <c r="BZ320" s="4" t="s">
        <v>124</v>
      </c>
      <c r="CA320" s="4" t="s">
        <v>124</v>
      </c>
      <c r="CB320" s="4" t="s">
        <v>124</v>
      </c>
      <c r="CC320" s="4" t="s">
        <v>124</v>
      </c>
      <c r="CD320" s="4" t="s">
        <v>124</v>
      </c>
      <c r="CE320" s="4" t="s">
        <v>124</v>
      </c>
      <c r="CF320" s="4" t="s">
        <v>124</v>
      </c>
      <c r="CG320" s="4" t="s">
        <v>124</v>
      </c>
      <c r="CH320" s="4" t="s">
        <v>124</v>
      </c>
      <c r="CI320" s="4" t="s">
        <v>124</v>
      </c>
      <c r="CJ320" s="4" t="s">
        <v>124</v>
      </c>
      <c r="CK320" s="4" t="s">
        <v>124</v>
      </c>
      <c r="CL320" s="4" t="s">
        <v>124</v>
      </c>
      <c r="CM320" s="4" t="s">
        <v>124</v>
      </c>
      <c r="CN320" s="4" t="s">
        <v>124</v>
      </c>
      <c r="CO320" s="4" t="s">
        <v>124</v>
      </c>
      <c r="CP320" s="4" t="s">
        <v>124</v>
      </c>
      <c r="CQ320" s="7">
        <v>0.86666699999999997</v>
      </c>
      <c r="CR320" s="7">
        <v>1</v>
      </c>
      <c r="CS320" s="7">
        <v>50</v>
      </c>
      <c r="CT320" s="7">
        <v>50</v>
      </c>
      <c r="CU320" s="4" t="s">
        <v>124</v>
      </c>
      <c r="CV320" s="4" t="s">
        <v>124</v>
      </c>
      <c r="CW320" s="4" t="s">
        <v>124</v>
      </c>
      <c r="CX320" s="4" t="s">
        <v>124</v>
      </c>
      <c r="CY320" s="4" t="s">
        <v>124</v>
      </c>
      <c r="CZ320" s="4" t="s">
        <v>124</v>
      </c>
      <c r="DA320" s="7">
        <v>15.314097</v>
      </c>
      <c r="DB320" s="7">
        <v>17.400950000000002</v>
      </c>
      <c r="DC320" s="7">
        <v>16.332519999999999</v>
      </c>
      <c r="DD320" s="4" t="s">
        <v>124</v>
      </c>
      <c r="DE320" s="7">
        <v>0</v>
      </c>
      <c r="DF320" s="6"/>
      <c r="DG320" s="6"/>
      <c r="DH320" s="4" t="s">
        <v>331</v>
      </c>
      <c r="DI320" s="4" t="s">
        <v>332</v>
      </c>
      <c r="DJ320" s="7">
        <v>1</v>
      </c>
      <c r="DK320" s="7">
        <v>0</v>
      </c>
      <c r="DL320" s="7">
        <v>0</v>
      </c>
      <c r="DM320" s="7">
        <v>0</v>
      </c>
      <c r="DN320" s="7">
        <v>0</v>
      </c>
      <c r="DO320" s="7">
        <v>0</v>
      </c>
      <c r="DP320" s="6"/>
      <c r="DQ320" s="4" t="s">
        <v>125</v>
      </c>
    </row>
    <row r="321" spans="1:121" ht="20" customHeight="1" x14ac:dyDescent="0.15">
      <c r="A321" s="5">
        <v>2018</v>
      </c>
      <c r="B321" s="3" t="s">
        <v>228</v>
      </c>
      <c r="C321" s="4" t="str">
        <f t="shared" si="103"/>
        <v>0320011</v>
      </c>
      <c r="D321" s="4" t="s">
        <v>463</v>
      </c>
      <c r="E321" s="4" t="str">
        <f>"0325111"</f>
        <v>0325111</v>
      </c>
      <c r="F321" s="4" t="s">
        <v>327</v>
      </c>
      <c r="G321" s="7">
        <v>6</v>
      </c>
      <c r="H321" s="7">
        <v>8</v>
      </c>
      <c r="I321" s="6"/>
      <c r="J321" s="4" t="s">
        <v>330</v>
      </c>
      <c r="K321" s="7">
        <v>685.34669199999996</v>
      </c>
      <c r="L321" s="7">
        <v>900</v>
      </c>
      <c r="M321" s="7">
        <v>76.149631999999997</v>
      </c>
      <c r="N321" s="7">
        <v>2</v>
      </c>
      <c r="O321" s="7">
        <v>0</v>
      </c>
      <c r="P321" s="7">
        <v>80.129835999999997</v>
      </c>
      <c r="Q321" s="7">
        <v>50</v>
      </c>
      <c r="R321" s="7">
        <v>50</v>
      </c>
      <c r="S321" s="7">
        <v>70.694010000000006</v>
      </c>
      <c r="T321" s="7">
        <v>75</v>
      </c>
      <c r="U321" s="7">
        <v>47.129339999999999</v>
      </c>
      <c r="V321" s="7">
        <v>50</v>
      </c>
      <c r="W321" s="7">
        <v>69.943111999999999</v>
      </c>
      <c r="X321" s="7">
        <v>46.628740999999998</v>
      </c>
      <c r="Y321" s="7">
        <v>50</v>
      </c>
      <c r="Z321" s="7">
        <v>75</v>
      </c>
      <c r="AA321" s="7">
        <v>59.166859000000002</v>
      </c>
      <c r="AB321" s="7">
        <v>39.444572999999998</v>
      </c>
      <c r="AC321" s="7">
        <v>50</v>
      </c>
      <c r="AD321" s="7">
        <v>74.105262999999994</v>
      </c>
      <c r="AE321" s="7">
        <v>49.403509</v>
      </c>
      <c r="AF321" s="7">
        <v>50</v>
      </c>
      <c r="AG321" s="7">
        <v>63.724138000000004</v>
      </c>
      <c r="AH321" s="7">
        <v>75</v>
      </c>
      <c r="AI321" s="7">
        <v>42.482759000000001</v>
      </c>
      <c r="AJ321" s="7">
        <v>50</v>
      </c>
      <c r="AK321" s="7">
        <v>4.3</v>
      </c>
      <c r="AL321" s="7">
        <v>15.83</v>
      </c>
      <c r="AM321" s="7">
        <v>11.27</v>
      </c>
      <c r="AN321" s="7">
        <v>0.67647999999999997</v>
      </c>
      <c r="AO321" s="7">
        <v>67.648008000000004</v>
      </c>
      <c r="AP321" s="7">
        <v>100</v>
      </c>
      <c r="AQ321" s="7">
        <v>0.57382</v>
      </c>
      <c r="AR321" s="7">
        <v>57.382043000000003</v>
      </c>
      <c r="AS321" s="7">
        <v>100</v>
      </c>
      <c r="AT321" s="7">
        <v>0.62180299999999999</v>
      </c>
      <c r="AU321" s="7">
        <v>0.701627</v>
      </c>
      <c r="AV321" s="7">
        <v>62.18027</v>
      </c>
      <c r="AW321" s="7">
        <v>100</v>
      </c>
      <c r="AX321" s="7">
        <v>0.50846599999999997</v>
      </c>
      <c r="AY321" s="7">
        <v>0.60413399999999995</v>
      </c>
      <c r="AZ321" s="7">
        <v>50.846555000000002</v>
      </c>
      <c r="BA321" s="7">
        <v>100</v>
      </c>
      <c r="BB321" s="4" t="s">
        <v>124</v>
      </c>
      <c r="BC321" s="4" t="s">
        <v>124</v>
      </c>
      <c r="BD321" s="4" t="s">
        <v>124</v>
      </c>
      <c r="BE321" s="4" t="s">
        <v>124</v>
      </c>
      <c r="BF321" s="4" t="s">
        <v>124</v>
      </c>
      <c r="BG321" s="4" t="s">
        <v>124</v>
      </c>
      <c r="BH321" s="7">
        <v>0</v>
      </c>
      <c r="BI321" s="7">
        <v>0.988981</v>
      </c>
      <c r="BJ321" s="7">
        <v>0.966387</v>
      </c>
      <c r="BK321" s="7">
        <v>1</v>
      </c>
      <c r="BL321" s="7">
        <v>0.98622600000000005</v>
      </c>
      <c r="BM321" s="7">
        <v>0.95798300000000003</v>
      </c>
      <c r="BN321" s="7">
        <v>1</v>
      </c>
      <c r="BO321" s="7">
        <v>0.99137900000000001</v>
      </c>
      <c r="BP321" s="7">
        <v>1</v>
      </c>
      <c r="BQ321" s="7">
        <v>0.98765400000000003</v>
      </c>
      <c r="BR321" s="7">
        <v>7.1624999999999994E-2</v>
      </c>
      <c r="BS321" s="7">
        <v>45.674931000000001</v>
      </c>
      <c r="BT321" s="7">
        <v>50</v>
      </c>
      <c r="BU321" s="7">
        <v>0.12605</v>
      </c>
      <c r="BV321" s="7">
        <v>34.789915999999998</v>
      </c>
      <c r="BW321" s="7">
        <v>50</v>
      </c>
      <c r="BX321" s="4" t="s">
        <v>124</v>
      </c>
      <c r="BY321" s="4" t="s">
        <v>124</v>
      </c>
      <c r="BZ321" s="4" t="s">
        <v>124</v>
      </c>
      <c r="CA321" s="4" t="s">
        <v>124</v>
      </c>
      <c r="CB321" s="4" t="s">
        <v>124</v>
      </c>
      <c r="CC321" s="4" t="s">
        <v>124</v>
      </c>
      <c r="CD321" s="7">
        <v>0.88</v>
      </c>
      <c r="CE321" s="7">
        <v>46.808511000000003</v>
      </c>
      <c r="CF321" s="7">
        <v>50</v>
      </c>
      <c r="CG321" s="4" t="s">
        <v>124</v>
      </c>
      <c r="CH321" s="4" t="s">
        <v>124</v>
      </c>
      <c r="CI321" s="4" t="s">
        <v>124</v>
      </c>
      <c r="CJ321" s="4" t="s">
        <v>124</v>
      </c>
      <c r="CK321" s="4" t="s">
        <v>124</v>
      </c>
      <c r="CL321" s="4" t="s">
        <v>124</v>
      </c>
      <c r="CM321" s="4" t="s">
        <v>124</v>
      </c>
      <c r="CN321" s="4" t="s">
        <v>124</v>
      </c>
      <c r="CO321" s="4" t="s">
        <v>124</v>
      </c>
      <c r="CP321" s="4" t="s">
        <v>124</v>
      </c>
      <c r="CQ321" s="7">
        <v>0.67391299999999998</v>
      </c>
      <c r="CR321" s="7">
        <v>0.974576</v>
      </c>
      <c r="CS321" s="7">
        <v>44.927536000000003</v>
      </c>
      <c r="CT321" s="7">
        <v>50</v>
      </c>
      <c r="CU321" s="4" t="s">
        <v>124</v>
      </c>
      <c r="CV321" s="4" t="s">
        <v>124</v>
      </c>
      <c r="CW321" s="4" t="s">
        <v>124</v>
      </c>
      <c r="CX321" s="4" t="s">
        <v>124</v>
      </c>
      <c r="CY321" s="4" t="s">
        <v>124</v>
      </c>
      <c r="CZ321" s="4" t="s">
        <v>124</v>
      </c>
      <c r="DA321" s="7">
        <v>15.314097</v>
      </c>
      <c r="DB321" s="7">
        <v>17.400950000000002</v>
      </c>
      <c r="DC321" s="7">
        <v>16.332519999999999</v>
      </c>
      <c r="DD321" s="4" t="s">
        <v>124</v>
      </c>
      <c r="DE321" s="7">
        <v>0</v>
      </c>
      <c r="DF321" s="6"/>
      <c r="DG321" s="6"/>
      <c r="DH321" s="6"/>
      <c r="DI321" s="6"/>
      <c r="DJ321" s="7">
        <v>0</v>
      </c>
      <c r="DK321" s="7">
        <v>0</v>
      </c>
      <c r="DL321" s="7">
        <v>0</v>
      </c>
      <c r="DM321" s="7">
        <v>0</v>
      </c>
      <c r="DN321" s="7">
        <v>0</v>
      </c>
      <c r="DO321" s="7">
        <v>0</v>
      </c>
      <c r="DP321" s="6"/>
      <c r="DQ321" s="4" t="s">
        <v>125</v>
      </c>
    </row>
    <row r="322" spans="1:121" ht="20" customHeight="1" x14ac:dyDescent="0.15">
      <c r="A322" s="5">
        <v>2018</v>
      </c>
      <c r="B322" s="3" t="s">
        <v>228</v>
      </c>
      <c r="C322" s="4" t="str">
        <f t="shared" si="103"/>
        <v>0320011</v>
      </c>
      <c r="D322" s="4" t="s">
        <v>464</v>
      </c>
      <c r="E322" s="4" t="str">
        <f>"0320111"</f>
        <v>0320111</v>
      </c>
      <c r="F322" s="4" t="s">
        <v>327</v>
      </c>
      <c r="G322" s="7">
        <v>8</v>
      </c>
      <c r="H322" s="7">
        <v>12</v>
      </c>
      <c r="I322" s="6"/>
      <c r="J322" s="4" t="s">
        <v>330</v>
      </c>
      <c r="K322" s="7">
        <v>15.873016</v>
      </c>
      <c r="L322" s="7">
        <v>100</v>
      </c>
      <c r="M322" s="7">
        <v>15.873016</v>
      </c>
      <c r="N322" s="4" t="s">
        <v>124</v>
      </c>
      <c r="O322" s="4" t="s">
        <v>124</v>
      </c>
      <c r="P322" s="4" t="s">
        <v>124</v>
      </c>
      <c r="Q322" s="4" t="s">
        <v>124</v>
      </c>
      <c r="R322" s="4" t="s">
        <v>124</v>
      </c>
      <c r="S322" s="4" t="s">
        <v>124</v>
      </c>
      <c r="T322" s="4" t="s">
        <v>124</v>
      </c>
      <c r="U322" s="4" t="s">
        <v>124</v>
      </c>
      <c r="V322" s="4" t="s">
        <v>124</v>
      </c>
      <c r="W322" s="4" t="s">
        <v>124</v>
      </c>
      <c r="X322" s="4" t="s">
        <v>124</v>
      </c>
      <c r="Y322" s="4" t="s">
        <v>124</v>
      </c>
      <c r="Z322" s="4" t="s">
        <v>124</v>
      </c>
      <c r="AA322" s="4" t="s">
        <v>124</v>
      </c>
      <c r="AB322" s="4" t="s">
        <v>124</v>
      </c>
      <c r="AC322" s="4" t="s">
        <v>124</v>
      </c>
      <c r="AD322" s="4" t="s">
        <v>124</v>
      </c>
      <c r="AE322" s="4" t="s">
        <v>124</v>
      </c>
      <c r="AF322" s="4" t="s">
        <v>124</v>
      </c>
      <c r="AG322" s="4" t="s">
        <v>124</v>
      </c>
      <c r="AH322" s="4" t="s">
        <v>124</v>
      </c>
      <c r="AI322" s="4" t="s">
        <v>124</v>
      </c>
      <c r="AJ322" s="4" t="s">
        <v>124</v>
      </c>
      <c r="AK322" s="4" t="s">
        <v>124</v>
      </c>
      <c r="AL322" s="4" t="s">
        <v>124</v>
      </c>
      <c r="AM322" s="4" t="s">
        <v>124</v>
      </c>
      <c r="AN322" s="4" t="s">
        <v>124</v>
      </c>
      <c r="AO322" s="4" t="s">
        <v>124</v>
      </c>
      <c r="AP322" s="4" t="s">
        <v>124</v>
      </c>
      <c r="AQ322" s="4" t="s">
        <v>124</v>
      </c>
      <c r="AR322" s="4" t="s">
        <v>124</v>
      </c>
      <c r="AS322" s="4" t="s">
        <v>124</v>
      </c>
      <c r="AT322" s="4" t="s">
        <v>124</v>
      </c>
      <c r="AU322" s="4" t="s">
        <v>124</v>
      </c>
      <c r="AV322" s="4" t="s">
        <v>124</v>
      </c>
      <c r="AW322" s="4" t="s">
        <v>124</v>
      </c>
      <c r="AX322" s="4" t="s">
        <v>124</v>
      </c>
      <c r="AY322" s="4" t="s">
        <v>124</v>
      </c>
      <c r="AZ322" s="4" t="s">
        <v>124</v>
      </c>
      <c r="BA322" s="4" t="s">
        <v>124</v>
      </c>
      <c r="BB322" s="4" t="s">
        <v>124</v>
      </c>
      <c r="BC322" s="4" t="s">
        <v>124</v>
      </c>
      <c r="BD322" s="4" t="s">
        <v>124</v>
      </c>
      <c r="BE322" s="4" t="s">
        <v>124</v>
      </c>
      <c r="BF322" s="4" t="s">
        <v>124</v>
      </c>
      <c r="BG322" s="4" t="s">
        <v>124</v>
      </c>
      <c r="BH322" s="7">
        <v>0</v>
      </c>
      <c r="BI322" s="4" t="s">
        <v>124</v>
      </c>
      <c r="BJ322" s="4" t="s">
        <v>124</v>
      </c>
      <c r="BK322" s="4" t="s">
        <v>124</v>
      </c>
      <c r="BL322" s="4" t="s">
        <v>124</v>
      </c>
      <c r="BM322" s="4" t="s">
        <v>124</v>
      </c>
      <c r="BN322" s="4" t="s">
        <v>124</v>
      </c>
      <c r="BO322" s="4" t="s">
        <v>124</v>
      </c>
      <c r="BP322" s="4" t="s">
        <v>124</v>
      </c>
      <c r="BQ322" s="4" t="s">
        <v>124</v>
      </c>
      <c r="BR322" s="7">
        <v>0.36363600000000001</v>
      </c>
      <c r="BS322" s="7">
        <v>0</v>
      </c>
      <c r="BT322" s="7">
        <v>50</v>
      </c>
      <c r="BU322" s="4" t="s">
        <v>124</v>
      </c>
      <c r="BV322" s="4" t="s">
        <v>124</v>
      </c>
      <c r="BW322" s="4" t="s">
        <v>124</v>
      </c>
      <c r="BX322" s="4" t="s">
        <v>124</v>
      </c>
      <c r="BY322" s="4" t="s">
        <v>124</v>
      </c>
      <c r="BZ322" s="4" t="s">
        <v>124</v>
      </c>
      <c r="CA322" s="4" t="s">
        <v>124</v>
      </c>
      <c r="CB322" s="4" t="s">
        <v>124</v>
      </c>
      <c r="CC322" s="4" t="s">
        <v>124</v>
      </c>
      <c r="CD322" s="4" t="s">
        <v>124</v>
      </c>
      <c r="CE322" s="4" t="s">
        <v>124</v>
      </c>
      <c r="CF322" s="4" t="s">
        <v>124</v>
      </c>
      <c r="CG322" s="4" t="s">
        <v>124</v>
      </c>
      <c r="CH322" s="4" t="s">
        <v>124</v>
      </c>
      <c r="CI322" s="4" t="s">
        <v>124</v>
      </c>
      <c r="CJ322" s="4" t="s">
        <v>124</v>
      </c>
      <c r="CK322" s="4" t="s">
        <v>124</v>
      </c>
      <c r="CL322" s="4" t="s">
        <v>124</v>
      </c>
      <c r="CM322" s="4" t="s">
        <v>124</v>
      </c>
      <c r="CN322" s="4" t="s">
        <v>124</v>
      </c>
      <c r="CO322" s="4" t="s">
        <v>124</v>
      </c>
      <c r="CP322" s="4" t="s">
        <v>124</v>
      </c>
      <c r="CQ322" s="4" t="s">
        <v>124</v>
      </c>
      <c r="CR322" s="4" t="s">
        <v>124</v>
      </c>
      <c r="CS322" s="4" t="s">
        <v>124</v>
      </c>
      <c r="CT322" s="4" t="s">
        <v>124</v>
      </c>
      <c r="CU322" s="7">
        <v>0.19047600000000001</v>
      </c>
      <c r="CV322" s="7">
        <v>15.873016</v>
      </c>
      <c r="CW322" s="7">
        <v>50</v>
      </c>
      <c r="CX322" s="4" t="s">
        <v>124</v>
      </c>
      <c r="CY322" s="4" t="s">
        <v>124</v>
      </c>
      <c r="CZ322" s="4" t="s">
        <v>124</v>
      </c>
      <c r="DA322" s="4" t="s">
        <v>124</v>
      </c>
      <c r="DB322" s="4" t="s">
        <v>124</v>
      </c>
      <c r="DC322" s="4" t="s">
        <v>124</v>
      </c>
      <c r="DD322" s="4" t="s">
        <v>124</v>
      </c>
      <c r="DE322" s="4" t="s">
        <v>124</v>
      </c>
      <c r="DF322" s="6"/>
      <c r="DG322" s="6"/>
      <c r="DH322" s="6"/>
      <c r="DI322" s="6"/>
      <c r="DJ322" s="4" t="s">
        <v>124</v>
      </c>
      <c r="DK322" s="4" t="s">
        <v>124</v>
      </c>
      <c r="DL322" s="4" t="s">
        <v>124</v>
      </c>
      <c r="DM322" s="4" t="s">
        <v>124</v>
      </c>
      <c r="DN322" s="4" t="s">
        <v>124</v>
      </c>
      <c r="DO322" s="4" t="s">
        <v>124</v>
      </c>
      <c r="DP322" s="6"/>
      <c r="DQ322" s="4" t="s">
        <v>125</v>
      </c>
    </row>
    <row r="323" spans="1:121" ht="20" customHeight="1" x14ac:dyDescent="0.15">
      <c r="A323" s="5">
        <v>2018</v>
      </c>
      <c r="B323" s="3" t="s">
        <v>228</v>
      </c>
      <c r="C323" s="4" t="str">
        <f t="shared" si="103"/>
        <v>0320011</v>
      </c>
      <c r="D323" s="4" t="s">
        <v>465</v>
      </c>
      <c r="E323" s="4" t="str">
        <f>"0320211"</f>
        <v>0320211</v>
      </c>
      <c r="F323" s="4" t="s">
        <v>327</v>
      </c>
      <c r="G323" s="4" t="s">
        <v>338</v>
      </c>
      <c r="H323" s="7">
        <v>2</v>
      </c>
      <c r="I323" s="4" t="s">
        <v>329</v>
      </c>
      <c r="J323" s="4" t="s">
        <v>330</v>
      </c>
      <c r="K323" s="7">
        <v>70.717162999999999</v>
      </c>
      <c r="L323" s="7">
        <v>100</v>
      </c>
      <c r="M323" s="7">
        <v>70.717162999999999</v>
      </c>
      <c r="N323" s="4" t="s">
        <v>124</v>
      </c>
      <c r="O323" s="4" t="s">
        <v>124</v>
      </c>
      <c r="P323" s="4" t="s">
        <v>124</v>
      </c>
      <c r="Q323" s="4" t="s">
        <v>124</v>
      </c>
      <c r="R323" s="4" t="s">
        <v>124</v>
      </c>
      <c r="S323" s="4" t="s">
        <v>124</v>
      </c>
      <c r="T323" s="4" t="s">
        <v>124</v>
      </c>
      <c r="U323" s="4" t="s">
        <v>124</v>
      </c>
      <c r="V323" s="4" t="s">
        <v>124</v>
      </c>
      <c r="W323" s="4" t="s">
        <v>124</v>
      </c>
      <c r="X323" s="4" t="s">
        <v>124</v>
      </c>
      <c r="Y323" s="4" t="s">
        <v>124</v>
      </c>
      <c r="Z323" s="4" t="s">
        <v>124</v>
      </c>
      <c r="AA323" s="4" t="s">
        <v>124</v>
      </c>
      <c r="AB323" s="4" t="s">
        <v>124</v>
      </c>
      <c r="AC323" s="4" t="s">
        <v>124</v>
      </c>
      <c r="AD323" s="4" t="s">
        <v>124</v>
      </c>
      <c r="AE323" s="4" t="s">
        <v>124</v>
      </c>
      <c r="AF323" s="4" t="s">
        <v>124</v>
      </c>
      <c r="AG323" s="4" t="s">
        <v>124</v>
      </c>
      <c r="AH323" s="4" t="s">
        <v>124</v>
      </c>
      <c r="AI323" s="4" t="s">
        <v>124</v>
      </c>
      <c r="AJ323" s="4" t="s">
        <v>124</v>
      </c>
      <c r="AK323" s="4" t="s">
        <v>124</v>
      </c>
      <c r="AL323" s="4" t="s">
        <v>124</v>
      </c>
      <c r="AM323" s="4" t="s">
        <v>124</v>
      </c>
      <c r="AN323" s="4" t="s">
        <v>124</v>
      </c>
      <c r="AO323" s="4" t="s">
        <v>124</v>
      </c>
      <c r="AP323" s="4" t="s">
        <v>124</v>
      </c>
      <c r="AQ323" s="4" t="s">
        <v>124</v>
      </c>
      <c r="AR323" s="4" t="s">
        <v>124</v>
      </c>
      <c r="AS323" s="4" t="s">
        <v>124</v>
      </c>
      <c r="AT323" s="4" t="s">
        <v>124</v>
      </c>
      <c r="AU323" s="4" t="s">
        <v>124</v>
      </c>
      <c r="AV323" s="4" t="s">
        <v>124</v>
      </c>
      <c r="AW323" s="4" t="s">
        <v>124</v>
      </c>
      <c r="AX323" s="4" t="s">
        <v>124</v>
      </c>
      <c r="AY323" s="4" t="s">
        <v>124</v>
      </c>
      <c r="AZ323" s="4" t="s">
        <v>124</v>
      </c>
      <c r="BA323" s="4" t="s">
        <v>124</v>
      </c>
      <c r="BB323" s="4" t="s">
        <v>124</v>
      </c>
      <c r="BC323" s="4" t="s">
        <v>124</v>
      </c>
      <c r="BD323" s="4" t="s">
        <v>124</v>
      </c>
      <c r="BE323" s="4" t="s">
        <v>124</v>
      </c>
      <c r="BF323" s="4" t="s">
        <v>124</v>
      </c>
      <c r="BG323" s="4" t="s">
        <v>124</v>
      </c>
      <c r="BH323" s="4" t="s">
        <v>124</v>
      </c>
      <c r="BI323" s="4" t="s">
        <v>124</v>
      </c>
      <c r="BJ323" s="4" t="s">
        <v>124</v>
      </c>
      <c r="BK323" s="4" t="s">
        <v>124</v>
      </c>
      <c r="BL323" s="4" t="s">
        <v>124</v>
      </c>
      <c r="BM323" s="4" t="s">
        <v>124</v>
      </c>
      <c r="BN323" s="4" t="s">
        <v>124</v>
      </c>
      <c r="BO323" s="4" t="s">
        <v>124</v>
      </c>
      <c r="BP323" s="4" t="s">
        <v>124</v>
      </c>
      <c r="BQ323" s="4" t="s">
        <v>124</v>
      </c>
      <c r="BR323" s="7">
        <v>8.2621E-2</v>
      </c>
      <c r="BS323" s="7">
        <v>43.475783</v>
      </c>
      <c r="BT323" s="7">
        <v>50</v>
      </c>
      <c r="BU323" s="7">
        <v>0.16379299999999999</v>
      </c>
      <c r="BV323" s="7">
        <v>27.241378999999998</v>
      </c>
      <c r="BW323" s="7">
        <v>50</v>
      </c>
      <c r="BX323" s="4" t="s">
        <v>124</v>
      </c>
      <c r="BY323" s="4" t="s">
        <v>124</v>
      </c>
      <c r="BZ323" s="4" t="s">
        <v>124</v>
      </c>
      <c r="CA323" s="4" t="s">
        <v>124</v>
      </c>
      <c r="CB323" s="4" t="s">
        <v>124</v>
      </c>
      <c r="CC323" s="4" t="s">
        <v>124</v>
      </c>
      <c r="CD323" s="4" t="s">
        <v>124</v>
      </c>
      <c r="CE323" s="4" t="s">
        <v>124</v>
      </c>
      <c r="CF323" s="4" t="s">
        <v>124</v>
      </c>
      <c r="CG323" s="4" t="s">
        <v>124</v>
      </c>
      <c r="CH323" s="4" t="s">
        <v>124</v>
      </c>
      <c r="CI323" s="4" t="s">
        <v>124</v>
      </c>
      <c r="CJ323" s="4" t="s">
        <v>124</v>
      </c>
      <c r="CK323" s="4" t="s">
        <v>124</v>
      </c>
      <c r="CL323" s="4" t="s">
        <v>124</v>
      </c>
      <c r="CM323" s="4" t="s">
        <v>124</v>
      </c>
      <c r="CN323" s="4" t="s">
        <v>124</v>
      </c>
      <c r="CO323" s="4" t="s">
        <v>124</v>
      </c>
      <c r="CP323" s="4" t="s">
        <v>124</v>
      </c>
      <c r="CQ323" s="4" t="s">
        <v>124</v>
      </c>
      <c r="CR323" s="4" t="s">
        <v>124</v>
      </c>
      <c r="CS323" s="4" t="s">
        <v>124</v>
      </c>
      <c r="CT323" s="4" t="s">
        <v>124</v>
      </c>
      <c r="CU323" s="4" t="s">
        <v>124</v>
      </c>
      <c r="CV323" s="4" t="s">
        <v>124</v>
      </c>
      <c r="CW323" s="4" t="s">
        <v>124</v>
      </c>
      <c r="CX323" s="4" t="s">
        <v>124</v>
      </c>
      <c r="CY323" s="4" t="s">
        <v>124</v>
      </c>
      <c r="CZ323" s="4" t="s">
        <v>124</v>
      </c>
      <c r="DA323" s="4" t="s">
        <v>124</v>
      </c>
      <c r="DB323" s="4" t="s">
        <v>124</v>
      </c>
      <c r="DC323" s="4" t="s">
        <v>124</v>
      </c>
      <c r="DD323" s="4" t="s">
        <v>124</v>
      </c>
      <c r="DE323" s="4" t="s">
        <v>124</v>
      </c>
      <c r="DF323" s="6"/>
      <c r="DG323" s="6"/>
      <c r="DH323" s="6"/>
      <c r="DI323" s="6"/>
      <c r="DJ323" s="4" t="s">
        <v>124</v>
      </c>
      <c r="DK323" s="4" t="s">
        <v>124</v>
      </c>
      <c r="DL323" s="4" t="s">
        <v>124</v>
      </c>
      <c r="DM323" s="4" t="s">
        <v>124</v>
      </c>
      <c r="DN323" s="4" t="s">
        <v>124</v>
      </c>
      <c r="DO323" s="4" t="s">
        <v>124</v>
      </c>
      <c r="DP323" s="6"/>
      <c r="DQ323" s="4" t="s">
        <v>125</v>
      </c>
    </row>
    <row r="324" spans="1:121" ht="20" customHeight="1" x14ac:dyDescent="0.15">
      <c r="A324" s="5">
        <v>2018</v>
      </c>
      <c r="B324" s="3" t="s">
        <v>228</v>
      </c>
      <c r="C324" s="4" t="str">
        <f t="shared" si="103"/>
        <v>0320011</v>
      </c>
      <c r="D324" s="4" t="s">
        <v>466</v>
      </c>
      <c r="E324" s="4" t="str">
        <f>"0326111"</f>
        <v>0326111</v>
      </c>
      <c r="F324" s="4" t="s">
        <v>327</v>
      </c>
      <c r="G324" s="7">
        <v>9</v>
      </c>
      <c r="H324" s="7">
        <v>12</v>
      </c>
      <c r="I324" s="6"/>
      <c r="J324" s="4" t="s">
        <v>330</v>
      </c>
      <c r="K324" s="7">
        <v>1204.322782</v>
      </c>
      <c r="L324" s="7">
        <v>1450</v>
      </c>
      <c r="M324" s="7">
        <v>83.056743999999995</v>
      </c>
      <c r="N324" s="7">
        <v>2</v>
      </c>
      <c r="O324" s="7">
        <v>0</v>
      </c>
      <c r="P324" s="7">
        <v>63.893275000000003</v>
      </c>
      <c r="Q324" s="7">
        <v>127.78655000000001</v>
      </c>
      <c r="R324" s="7">
        <v>150</v>
      </c>
      <c r="S324" s="7">
        <v>56.594203</v>
      </c>
      <c r="T324" s="7">
        <v>65.738095000000001</v>
      </c>
      <c r="U324" s="7">
        <v>113.188406</v>
      </c>
      <c r="V324" s="7">
        <v>150</v>
      </c>
      <c r="W324" s="7">
        <v>61.834795</v>
      </c>
      <c r="X324" s="7">
        <v>123.669591</v>
      </c>
      <c r="Y324" s="7">
        <v>150</v>
      </c>
      <c r="Z324" s="7">
        <v>63.743589999999998</v>
      </c>
      <c r="AA324" s="7">
        <v>54.282609000000001</v>
      </c>
      <c r="AB324" s="7">
        <v>108.565217</v>
      </c>
      <c r="AC324" s="7">
        <v>150</v>
      </c>
      <c r="AD324" s="7">
        <v>62.845478999999997</v>
      </c>
      <c r="AE324" s="7">
        <v>83.793971999999997</v>
      </c>
      <c r="AF324" s="7">
        <v>100</v>
      </c>
      <c r="AG324" s="7">
        <v>59.195512999999998</v>
      </c>
      <c r="AH324" s="7">
        <v>63.818803000000003</v>
      </c>
      <c r="AI324" s="7">
        <v>78.927350000000004</v>
      </c>
      <c r="AJ324" s="7">
        <v>100</v>
      </c>
      <c r="AK324" s="7">
        <v>9.14</v>
      </c>
      <c r="AL324" s="7">
        <v>9.4600000000000009</v>
      </c>
      <c r="AM324" s="7">
        <v>4.62</v>
      </c>
      <c r="AN324" s="4" t="s">
        <v>124</v>
      </c>
      <c r="AO324" s="4" t="s">
        <v>124</v>
      </c>
      <c r="AP324" s="4" t="s">
        <v>124</v>
      </c>
      <c r="AQ324" s="4" t="s">
        <v>124</v>
      </c>
      <c r="AR324" s="4" t="s">
        <v>124</v>
      </c>
      <c r="AS324" s="4" t="s">
        <v>124</v>
      </c>
      <c r="AT324" s="4" t="s">
        <v>124</v>
      </c>
      <c r="AU324" s="4" t="s">
        <v>124</v>
      </c>
      <c r="AV324" s="4" t="s">
        <v>124</v>
      </c>
      <c r="AW324" s="4" t="s">
        <v>124</v>
      </c>
      <c r="AX324" s="4" t="s">
        <v>124</v>
      </c>
      <c r="AY324" s="4" t="s">
        <v>124</v>
      </c>
      <c r="AZ324" s="4" t="s">
        <v>124</v>
      </c>
      <c r="BA324" s="4" t="s">
        <v>124</v>
      </c>
      <c r="BB324" s="4" t="s">
        <v>124</v>
      </c>
      <c r="BC324" s="4" t="s">
        <v>124</v>
      </c>
      <c r="BD324" s="4" t="s">
        <v>124</v>
      </c>
      <c r="BE324" s="4" t="s">
        <v>124</v>
      </c>
      <c r="BF324" s="4" t="s">
        <v>124</v>
      </c>
      <c r="BG324" s="4" t="s">
        <v>124</v>
      </c>
      <c r="BH324" s="7">
        <v>0</v>
      </c>
      <c r="BI324" s="7">
        <v>0.98290599999999995</v>
      </c>
      <c r="BJ324" s="7">
        <v>0.96</v>
      </c>
      <c r="BK324" s="7">
        <v>0.98912999999999995</v>
      </c>
      <c r="BL324" s="7">
        <v>0.98290599999999995</v>
      </c>
      <c r="BM324" s="7">
        <v>0.96</v>
      </c>
      <c r="BN324" s="7">
        <v>0.98912999999999995</v>
      </c>
      <c r="BO324" s="7">
        <v>0.99137900000000001</v>
      </c>
      <c r="BP324" s="7">
        <v>1</v>
      </c>
      <c r="BQ324" s="7">
        <v>0.98901099999999997</v>
      </c>
      <c r="BR324" s="7">
        <v>0.104784</v>
      </c>
      <c r="BS324" s="7">
        <v>39.043280000000003</v>
      </c>
      <c r="BT324" s="7">
        <v>50</v>
      </c>
      <c r="BU324" s="7">
        <v>0.24444399999999999</v>
      </c>
      <c r="BV324" s="7">
        <v>11.111110999999999</v>
      </c>
      <c r="BW324" s="7">
        <v>50</v>
      </c>
      <c r="BX324" s="7">
        <v>0.97209299999999998</v>
      </c>
      <c r="BY324" s="7">
        <v>50</v>
      </c>
      <c r="BZ324" s="7">
        <v>50</v>
      </c>
      <c r="CA324" s="7">
        <v>0.62325600000000003</v>
      </c>
      <c r="CB324" s="7">
        <v>41.550387999999998</v>
      </c>
      <c r="CC324" s="7">
        <v>50</v>
      </c>
      <c r="CD324" s="7">
        <v>0.87850499999999998</v>
      </c>
      <c r="CE324" s="7">
        <v>46.728971999999999</v>
      </c>
      <c r="CF324" s="7">
        <v>50</v>
      </c>
      <c r="CG324" s="7">
        <v>0.97321400000000002</v>
      </c>
      <c r="CH324" s="7">
        <v>100</v>
      </c>
      <c r="CI324" s="7">
        <v>100</v>
      </c>
      <c r="CJ324" s="7">
        <v>0</v>
      </c>
      <c r="CK324" s="7">
        <v>0.91891900000000004</v>
      </c>
      <c r="CL324" s="7">
        <v>97.757332000000005</v>
      </c>
      <c r="CM324" s="7">
        <v>100</v>
      </c>
      <c r="CN324" s="7">
        <v>0.74774799999999997</v>
      </c>
      <c r="CO324" s="7">
        <v>99.699700000000007</v>
      </c>
      <c r="CP324" s="7">
        <v>100</v>
      </c>
      <c r="CQ324" s="7">
        <v>0.57407399999999997</v>
      </c>
      <c r="CR324" s="7">
        <v>0.92307700000000004</v>
      </c>
      <c r="CS324" s="7">
        <v>38.271605000000001</v>
      </c>
      <c r="CT324" s="7">
        <v>50</v>
      </c>
      <c r="CU324" s="7">
        <v>0.530752</v>
      </c>
      <c r="CV324" s="7">
        <v>44.229309000000001</v>
      </c>
      <c r="CW324" s="7">
        <v>50</v>
      </c>
      <c r="CX324" s="7">
        <v>0.91891900000000004</v>
      </c>
      <c r="CY324" s="7">
        <v>0.94</v>
      </c>
      <c r="CZ324" s="7">
        <v>2.1080999999999999E-2</v>
      </c>
      <c r="DA324" s="7">
        <v>15.314097</v>
      </c>
      <c r="DB324" s="7">
        <v>17.400950000000002</v>
      </c>
      <c r="DC324" s="7">
        <v>16.332519999999999</v>
      </c>
      <c r="DD324" s="7">
        <v>7.9891730000000001</v>
      </c>
      <c r="DE324" s="7">
        <v>0</v>
      </c>
      <c r="DF324" s="6"/>
      <c r="DG324" s="6"/>
      <c r="DH324" s="6"/>
      <c r="DI324" s="6"/>
      <c r="DJ324" s="7">
        <v>0</v>
      </c>
      <c r="DK324" s="7">
        <v>0</v>
      </c>
      <c r="DL324" s="7">
        <v>0</v>
      </c>
      <c r="DM324" s="7">
        <v>0</v>
      </c>
      <c r="DN324" s="7">
        <v>0</v>
      </c>
      <c r="DO324" s="7">
        <v>0</v>
      </c>
      <c r="DP324" s="6"/>
      <c r="DQ324" s="4" t="s">
        <v>125</v>
      </c>
    </row>
    <row r="325" spans="1:121" ht="20" customHeight="1" x14ac:dyDescent="0.15">
      <c r="A325" s="5">
        <v>2018</v>
      </c>
      <c r="B325" s="3" t="s">
        <v>228</v>
      </c>
      <c r="C325" s="4" t="str">
        <f t="shared" si="103"/>
        <v>0320011</v>
      </c>
      <c r="D325" s="4" t="s">
        <v>467</v>
      </c>
      <c r="E325" s="4" t="str">
        <f>"0320411"</f>
        <v>0320411</v>
      </c>
      <c r="F325" s="4" t="s">
        <v>327</v>
      </c>
      <c r="G325" s="7">
        <v>3</v>
      </c>
      <c r="H325" s="7">
        <v>5</v>
      </c>
      <c r="I325" s="4" t="s">
        <v>329</v>
      </c>
      <c r="J325" s="4" t="s">
        <v>330</v>
      </c>
      <c r="K325" s="7">
        <v>739.64722099999994</v>
      </c>
      <c r="L325" s="7">
        <v>850</v>
      </c>
      <c r="M325" s="7">
        <v>87.017319999999998</v>
      </c>
      <c r="N325" s="7">
        <v>1</v>
      </c>
      <c r="O325" s="7">
        <v>0</v>
      </c>
      <c r="P325" s="7">
        <v>80.284507000000005</v>
      </c>
      <c r="Q325" s="7">
        <v>50</v>
      </c>
      <c r="R325" s="7">
        <v>50</v>
      </c>
      <c r="S325" s="7">
        <v>69.471165999999997</v>
      </c>
      <c r="T325" s="7">
        <v>75</v>
      </c>
      <c r="U325" s="7">
        <v>46.314109999999999</v>
      </c>
      <c r="V325" s="7">
        <v>50</v>
      </c>
      <c r="W325" s="7">
        <v>77.333056999999997</v>
      </c>
      <c r="X325" s="7">
        <v>50</v>
      </c>
      <c r="Y325" s="7">
        <v>50</v>
      </c>
      <c r="Z325" s="7">
        <v>75</v>
      </c>
      <c r="AA325" s="7">
        <v>65.614177999999995</v>
      </c>
      <c r="AB325" s="7">
        <v>43.742784999999998</v>
      </c>
      <c r="AC325" s="7">
        <v>50</v>
      </c>
      <c r="AD325" s="7">
        <v>77.703052999999997</v>
      </c>
      <c r="AE325" s="7">
        <v>50</v>
      </c>
      <c r="AF325" s="7">
        <v>50</v>
      </c>
      <c r="AG325" s="7">
        <v>72.419573</v>
      </c>
      <c r="AH325" s="7">
        <v>75</v>
      </c>
      <c r="AI325" s="7">
        <v>48.279715000000003</v>
      </c>
      <c r="AJ325" s="7">
        <v>50</v>
      </c>
      <c r="AK325" s="7">
        <v>5.52</v>
      </c>
      <c r="AL325" s="7">
        <v>9.3800000000000008</v>
      </c>
      <c r="AM325" s="7">
        <v>2.58</v>
      </c>
      <c r="AN325" s="7">
        <v>0.78609099999999998</v>
      </c>
      <c r="AO325" s="7">
        <v>78.609065999999999</v>
      </c>
      <c r="AP325" s="7">
        <v>100</v>
      </c>
      <c r="AQ325" s="7">
        <v>0.90646199999999999</v>
      </c>
      <c r="AR325" s="7">
        <v>90.646248</v>
      </c>
      <c r="AS325" s="7">
        <v>100</v>
      </c>
      <c r="AT325" s="7">
        <v>0.71318599999999999</v>
      </c>
      <c r="AU325" s="7">
        <v>0.81347999999999998</v>
      </c>
      <c r="AV325" s="7">
        <v>71.318585999999996</v>
      </c>
      <c r="AW325" s="7">
        <v>100</v>
      </c>
      <c r="AX325" s="7">
        <v>0.834762</v>
      </c>
      <c r="AY325" s="7">
        <v>0.93340000000000001</v>
      </c>
      <c r="AZ325" s="7">
        <v>83.476174</v>
      </c>
      <c r="BA325" s="7">
        <v>100</v>
      </c>
      <c r="BB325" s="4" t="s">
        <v>124</v>
      </c>
      <c r="BC325" s="4" t="s">
        <v>124</v>
      </c>
      <c r="BD325" s="4" t="s">
        <v>124</v>
      </c>
      <c r="BE325" s="4" t="s">
        <v>124</v>
      </c>
      <c r="BF325" s="4" t="s">
        <v>124</v>
      </c>
      <c r="BG325" s="4" t="s">
        <v>124</v>
      </c>
      <c r="BH325" s="7">
        <v>0</v>
      </c>
      <c r="BI325" s="7">
        <v>0.99465199999999998</v>
      </c>
      <c r="BJ325" s="7">
        <v>0.99152499999999999</v>
      </c>
      <c r="BK325" s="7">
        <v>0.99609400000000003</v>
      </c>
      <c r="BL325" s="7">
        <v>0.99465199999999998</v>
      </c>
      <c r="BM325" s="7">
        <v>0.99152499999999999</v>
      </c>
      <c r="BN325" s="7">
        <v>0.99609400000000003</v>
      </c>
      <c r="BO325" s="7">
        <v>0.99290800000000001</v>
      </c>
      <c r="BP325" s="7">
        <v>1</v>
      </c>
      <c r="BQ325" s="7">
        <v>0.99038499999999996</v>
      </c>
      <c r="BR325" s="7">
        <v>3.2086000000000003E-2</v>
      </c>
      <c r="BS325" s="7">
        <v>50</v>
      </c>
      <c r="BT325" s="7">
        <v>50</v>
      </c>
      <c r="BU325" s="7">
        <v>7.7586000000000002E-2</v>
      </c>
      <c r="BV325" s="7">
        <v>44.482759000000001</v>
      </c>
      <c r="BW325" s="7">
        <v>50</v>
      </c>
      <c r="BX325" s="4" t="s">
        <v>124</v>
      </c>
      <c r="BY325" s="4" t="s">
        <v>124</v>
      </c>
      <c r="BZ325" s="4" t="s">
        <v>124</v>
      </c>
      <c r="CA325" s="4" t="s">
        <v>124</v>
      </c>
      <c r="CB325" s="4" t="s">
        <v>124</v>
      </c>
      <c r="CC325" s="4" t="s">
        <v>124</v>
      </c>
      <c r="CD325" s="4" t="s">
        <v>124</v>
      </c>
      <c r="CE325" s="4" t="s">
        <v>124</v>
      </c>
      <c r="CF325" s="4" t="s">
        <v>124</v>
      </c>
      <c r="CG325" s="4" t="s">
        <v>124</v>
      </c>
      <c r="CH325" s="4" t="s">
        <v>124</v>
      </c>
      <c r="CI325" s="4" t="s">
        <v>124</v>
      </c>
      <c r="CJ325" s="4" t="s">
        <v>124</v>
      </c>
      <c r="CK325" s="4" t="s">
        <v>124</v>
      </c>
      <c r="CL325" s="4" t="s">
        <v>124</v>
      </c>
      <c r="CM325" s="4" t="s">
        <v>124</v>
      </c>
      <c r="CN325" s="4" t="s">
        <v>124</v>
      </c>
      <c r="CO325" s="4" t="s">
        <v>124</v>
      </c>
      <c r="CP325" s="4" t="s">
        <v>124</v>
      </c>
      <c r="CQ325" s="7">
        <v>0.49166700000000002</v>
      </c>
      <c r="CR325" s="7">
        <v>1</v>
      </c>
      <c r="CS325" s="7">
        <v>32.777777999999998</v>
      </c>
      <c r="CT325" s="7">
        <v>50</v>
      </c>
      <c r="CU325" s="4" t="s">
        <v>124</v>
      </c>
      <c r="CV325" s="4" t="s">
        <v>124</v>
      </c>
      <c r="CW325" s="4" t="s">
        <v>124</v>
      </c>
      <c r="CX325" s="4" t="s">
        <v>124</v>
      </c>
      <c r="CY325" s="4" t="s">
        <v>124</v>
      </c>
      <c r="CZ325" s="4" t="s">
        <v>124</v>
      </c>
      <c r="DA325" s="7">
        <v>15.314097</v>
      </c>
      <c r="DB325" s="7">
        <v>17.400950000000002</v>
      </c>
      <c r="DC325" s="7">
        <v>16.332519999999999</v>
      </c>
      <c r="DD325" s="4" t="s">
        <v>124</v>
      </c>
      <c r="DE325" s="7">
        <v>0</v>
      </c>
      <c r="DF325" s="6"/>
      <c r="DG325" s="6"/>
      <c r="DH325" s="4" t="s">
        <v>331</v>
      </c>
      <c r="DI325" s="4" t="s">
        <v>468</v>
      </c>
      <c r="DJ325" s="7">
        <v>1</v>
      </c>
      <c r="DK325" s="7">
        <v>1</v>
      </c>
      <c r="DL325" s="7">
        <v>1</v>
      </c>
      <c r="DM325" s="7">
        <v>0</v>
      </c>
      <c r="DN325" s="7">
        <v>1</v>
      </c>
      <c r="DO325" s="7">
        <v>0</v>
      </c>
      <c r="DP325" s="6"/>
      <c r="DQ325" s="4" t="s">
        <v>125</v>
      </c>
    </row>
    <row r="326" spans="1:121" ht="20" customHeight="1" x14ac:dyDescent="0.15">
      <c r="A326" s="5">
        <v>2018</v>
      </c>
      <c r="B326" s="3" t="s">
        <v>204</v>
      </c>
      <c r="C326" s="4" t="str">
        <f t="shared" si="79"/>
        <v>0330011</v>
      </c>
      <c r="D326" s="4" t="s">
        <v>469</v>
      </c>
      <c r="E326" s="4" t="str">
        <f>"0336111"</f>
        <v>0336111</v>
      </c>
      <c r="F326" s="4" t="s">
        <v>327</v>
      </c>
      <c r="G326" s="7">
        <v>9</v>
      </c>
      <c r="H326" s="7">
        <v>12</v>
      </c>
      <c r="I326" s="4" t="s">
        <v>329</v>
      </c>
      <c r="J326" s="4" t="s">
        <v>330</v>
      </c>
      <c r="K326" s="7">
        <v>1162.0813450000001</v>
      </c>
      <c r="L326" s="7">
        <v>1450</v>
      </c>
      <c r="M326" s="7">
        <v>80.143540999999999</v>
      </c>
      <c r="N326" s="7">
        <v>3</v>
      </c>
      <c r="O326" s="7">
        <v>1</v>
      </c>
      <c r="P326" s="7">
        <v>59.531999999999996</v>
      </c>
      <c r="Q326" s="7">
        <v>119.06399999999999</v>
      </c>
      <c r="R326" s="7">
        <v>150</v>
      </c>
      <c r="S326" s="7">
        <v>46.902777999999998</v>
      </c>
      <c r="T326" s="7">
        <v>64.640449000000004</v>
      </c>
      <c r="U326" s="7">
        <v>93.805555999999996</v>
      </c>
      <c r="V326" s="7">
        <v>150</v>
      </c>
      <c r="W326" s="7">
        <v>56.363999999999997</v>
      </c>
      <c r="X326" s="7">
        <v>112.72799999999999</v>
      </c>
      <c r="Y326" s="7">
        <v>150</v>
      </c>
      <c r="Z326" s="7">
        <v>61.076779000000002</v>
      </c>
      <c r="AA326" s="7">
        <v>44.712963000000002</v>
      </c>
      <c r="AB326" s="7">
        <v>89.425926000000004</v>
      </c>
      <c r="AC326" s="7">
        <v>150</v>
      </c>
      <c r="AD326" s="7">
        <v>55.823785999999998</v>
      </c>
      <c r="AE326" s="7">
        <v>74.431714999999997</v>
      </c>
      <c r="AF326" s="7">
        <v>100</v>
      </c>
      <c r="AG326" s="7">
        <v>44.586427</v>
      </c>
      <c r="AH326" s="7">
        <v>60.44359</v>
      </c>
      <c r="AI326" s="7">
        <v>59.448568999999999</v>
      </c>
      <c r="AJ326" s="7">
        <v>100</v>
      </c>
      <c r="AK326" s="7">
        <v>17.73</v>
      </c>
      <c r="AL326" s="7">
        <v>16.36</v>
      </c>
      <c r="AM326" s="7">
        <v>15.85</v>
      </c>
      <c r="AN326" s="4" t="s">
        <v>124</v>
      </c>
      <c r="AO326" s="4" t="s">
        <v>124</v>
      </c>
      <c r="AP326" s="4" t="s">
        <v>124</v>
      </c>
      <c r="AQ326" s="4" t="s">
        <v>124</v>
      </c>
      <c r="AR326" s="4" t="s">
        <v>124</v>
      </c>
      <c r="AS326" s="4" t="s">
        <v>124</v>
      </c>
      <c r="AT326" s="4" t="s">
        <v>124</v>
      </c>
      <c r="AU326" s="4" t="s">
        <v>124</v>
      </c>
      <c r="AV326" s="4" t="s">
        <v>124</v>
      </c>
      <c r="AW326" s="4" t="s">
        <v>124</v>
      </c>
      <c r="AX326" s="4" t="s">
        <v>124</v>
      </c>
      <c r="AY326" s="4" t="s">
        <v>124</v>
      </c>
      <c r="AZ326" s="4" t="s">
        <v>124</v>
      </c>
      <c r="BA326" s="4" t="s">
        <v>124</v>
      </c>
      <c r="BB326" s="4" t="s">
        <v>124</v>
      </c>
      <c r="BC326" s="4" t="s">
        <v>124</v>
      </c>
      <c r="BD326" s="4" t="s">
        <v>124</v>
      </c>
      <c r="BE326" s="4" t="s">
        <v>124</v>
      </c>
      <c r="BF326" s="4" t="s">
        <v>124</v>
      </c>
      <c r="BG326" s="4" t="s">
        <v>124</v>
      </c>
      <c r="BH326" s="7">
        <v>1</v>
      </c>
      <c r="BI326" s="7">
        <v>0.97674399999999995</v>
      </c>
      <c r="BJ326" s="7">
        <v>0.94736799999999999</v>
      </c>
      <c r="BK326" s="7">
        <v>0.98901099999999997</v>
      </c>
      <c r="BL326" s="7">
        <v>0.97674399999999995</v>
      </c>
      <c r="BM326" s="7">
        <v>0.94736799999999999</v>
      </c>
      <c r="BN326" s="7">
        <v>0.98901099999999997</v>
      </c>
      <c r="BO326" s="7">
        <v>1</v>
      </c>
      <c r="BP326" s="7">
        <v>1</v>
      </c>
      <c r="BQ326" s="7">
        <v>1</v>
      </c>
      <c r="BR326" s="7">
        <v>5.364E-2</v>
      </c>
      <c r="BS326" s="7">
        <v>49.272030999999998</v>
      </c>
      <c r="BT326" s="7">
        <v>50</v>
      </c>
      <c r="BU326" s="7">
        <v>9.3332999999999999E-2</v>
      </c>
      <c r="BV326" s="7">
        <v>41.333333000000003</v>
      </c>
      <c r="BW326" s="7">
        <v>50</v>
      </c>
      <c r="BX326" s="7">
        <v>0.73725499999999999</v>
      </c>
      <c r="BY326" s="7">
        <v>49.150326999999997</v>
      </c>
      <c r="BZ326" s="7">
        <v>50</v>
      </c>
      <c r="CA326" s="7">
        <v>0.47058800000000001</v>
      </c>
      <c r="CB326" s="7">
        <v>31.372548999999999</v>
      </c>
      <c r="CC326" s="7">
        <v>50</v>
      </c>
      <c r="CD326" s="7">
        <v>0.94531299999999996</v>
      </c>
      <c r="CE326" s="7">
        <v>50</v>
      </c>
      <c r="CF326" s="7">
        <v>50</v>
      </c>
      <c r="CG326" s="7">
        <v>0.980263</v>
      </c>
      <c r="CH326" s="7">
        <v>100</v>
      </c>
      <c r="CI326" s="7">
        <v>100</v>
      </c>
      <c r="CJ326" s="7">
        <v>0</v>
      </c>
      <c r="CK326" s="7">
        <v>0.92500000000000004</v>
      </c>
      <c r="CL326" s="7">
        <v>98.404255000000006</v>
      </c>
      <c r="CM326" s="7">
        <v>100</v>
      </c>
      <c r="CN326" s="7">
        <v>0.82781499999999997</v>
      </c>
      <c r="CO326" s="7">
        <v>100</v>
      </c>
      <c r="CP326" s="7">
        <v>100</v>
      </c>
      <c r="CQ326" s="7">
        <v>0.65467600000000004</v>
      </c>
      <c r="CR326" s="7">
        <v>1</v>
      </c>
      <c r="CS326" s="7">
        <v>43.645083999999997</v>
      </c>
      <c r="CT326" s="7">
        <v>50</v>
      </c>
      <c r="CU326" s="7">
        <v>0.61302699999999999</v>
      </c>
      <c r="CV326" s="7">
        <v>50</v>
      </c>
      <c r="CW326" s="7">
        <v>50</v>
      </c>
      <c r="CX326" s="7">
        <v>0.92500000000000004</v>
      </c>
      <c r="CY326" s="7">
        <v>0.94</v>
      </c>
      <c r="CZ326" s="7">
        <v>1.4999999999999999E-2</v>
      </c>
      <c r="DA326" s="7">
        <v>15.314097</v>
      </c>
      <c r="DB326" s="7">
        <v>17.400950000000002</v>
      </c>
      <c r="DC326" s="7">
        <v>16.332519999999999</v>
      </c>
      <c r="DD326" s="7">
        <v>7.9891730000000001</v>
      </c>
      <c r="DE326" s="7">
        <v>1</v>
      </c>
      <c r="DF326" s="6"/>
      <c r="DG326" s="6"/>
      <c r="DH326" s="6"/>
      <c r="DI326" s="6"/>
      <c r="DJ326" s="7">
        <v>0</v>
      </c>
      <c r="DK326" s="7">
        <v>0</v>
      </c>
      <c r="DL326" s="7">
        <v>0</v>
      </c>
      <c r="DM326" s="7">
        <v>0</v>
      </c>
      <c r="DN326" s="7">
        <v>0</v>
      </c>
      <c r="DO326" s="7">
        <v>0</v>
      </c>
      <c r="DP326" s="6"/>
      <c r="DQ326" s="4" t="s">
        <v>125</v>
      </c>
    </row>
    <row r="327" spans="1:121" ht="20" customHeight="1" x14ac:dyDescent="0.15">
      <c r="A327" s="5">
        <v>2018</v>
      </c>
      <c r="B327" s="3" t="s">
        <v>204</v>
      </c>
      <c r="C327" s="4" t="str">
        <f t="shared" si="79"/>
        <v>0330011</v>
      </c>
      <c r="D327" s="4" t="s">
        <v>470</v>
      </c>
      <c r="E327" s="4" t="str">
        <f>"0335111"</f>
        <v>0335111</v>
      </c>
      <c r="F327" s="4" t="s">
        <v>327</v>
      </c>
      <c r="G327" s="7">
        <v>6</v>
      </c>
      <c r="H327" s="7">
        <v>8</v>
      </c>
      <c r="I327" s="4" t="s">
        <v>329</v>
      </c>
      <c r="J327" s="4" t="s">
        <v>330</v>
      </c>
      <c r="K327" s="7">
        <v>748.23821799999996</v>
      </c>
      <c r="L327" s="7">
        <v>900</v>
      </c>
      <c r="M327" s="7">
        <v>83.13758</v>
      </c>
      <c r="N327" s="7">
        <v>2</v>
      </c>
      <c r="O327" s="7">
        <v>0</v>
      </c>
      <c r="P327" s="7">
        <v>77.001249000000001</v>
      </c>
      <c r="Q327" s="7">
        <v>50</v>
      </c>
      <c r="R327" s="7">
        <v>50</v>
      </c>
      <c r="S327" s="7">
        <v>66.081222999999994</v>
      </c>
      <c r="T327" s="7">
        <v>75</v>
      </c>
      <c r="U327" s="7">
        <v>44.054149000000002</v>
      </c>
      <c r="V327" s="7">
        <v>50</v>
      </c>
      <c r="W327" s="7">
        <v>71.698578999999995</v>
      </c>
      <c r="X327" s="7">
        <v>47.799053000000001</v>
      </c>
      <c r="Y327" s="7">
        <v>50</v>
      </c>
      <c r="Z327" s="7">
        <v>75</v>
      </c>
      <c r="AA327" s="7">
        <v>60.273549000000003</v>
      </c>
      <c r="AB327" s="7">
        <v>40.182366000000002</v>
      </c>
      <c r="AC327" s="7">
        <v>50</v>
      </c>
      <c r="AD327" s="7">
        <v>71.812877</v>
      </c>
      <c r="AE327" s="7">
        <v>47.875252000000003</v>
      </c>
      <c r="AF327" s="7">
        <v>50</v>
      </c>
      <c r="AG327" s="7">
        <v>61.057586000000001</v>
      </c>
      <c r="AH327" s="7">
        <v>75</v>
      </c>
      <c r="AI327" s="7">
        <v>40.705056999999996</v>
      </c>
      <c r="AJ327" s="7">
        <v>50</v>
      </c>
      <c r="AK327" s="7">
        <v>8.91</v>
      </c>
      <c r="AL327" s="7">
        <v>14.72</v>
      </c>
      <c r="AM327" s="7">
        <v>13.94</v>
      </c>
      <c r="AN327" s="7">
        <v>0.70832499999999998</v>
      </c>
      <c r="AO327" s="7">
        <v>70.832468000000006</v>
      </c>
      <c r="AP327" s="7">
        <v>100</v>
      </c>
      <c r="AQ327" s="7">
        <v>0.78995499999999996</v>
      </c>
      <c r="AR327" s="7">
        <v>78.995480000000001</v>
      </c>
      <c r="AS327" s="7">
        <v>100</v>
      </c>
      <c r="AT327" s="7">
        <v>0.666153</v>
      </c>
      <c r="AU327" s="7">
        <v>0.72506700000000002</v>
      </c>
      <c r="AV327" s="7">
        <v>66.615290999999999</v>
      </c>
      <c r="AW327" s="7">
        <v>100</v>
      </c>
      <c r="AX327" s="7">
        <v>0.71458500000000003</v>
      </c>
      <c r="AY327" s="7">
        <v>0.819878</v>
      </c>
      <c r="AZ327" s="7">
        <v>71.458544000000003</v>
      </c>
      <c r="BA327" s="7">
        <v>100</v>
      </c>
      <c r="BB327" s="4" t="s">
        <v>124</v>
      </c>
      <c r="BC327" s="4" t="s">
        <v>124</v>
      </c>
      <c r="BD327" s="4" t="s">
        <v>124</v>
      </c>
      <c r="BE327" s="4" t="s">
        <v>124</v>
      </c>
      <c r="BF327" s="4" t="s">
        <v>124</v>
      </c>
      <c r="BG327" s="4" t="s">
        <v>124</v>
      </c>
      <c r="BH327" s="7">
        <v>0</v>
      </c>
      <c r="BI327" s="7">
        <v>1</v>
      </c>
      <c r="BJ327" s="7">
        <v>1</v>
      </c>
      <c r="BK327" s="7">
        <v>1</v>
      </c>
      <c r="BL327" s="7">
        <v>1</v>
      </c>
      <c r="BM327" s="7">
        <v>1</v>
      </c>
      <c r="BN327" s="7">
        <v>1</v>
      </c>
      <c r="BO327" s="7">
        <v>0.99444399999999999</v>
      </c>
      <c r="BP327" s="7">
        <v>0.981132</v>
      </c>
      <c r="BQ327" s="7">
        <v>1</v>
      </c>
      <c r="BR327" s="7">
        <v>3.1185000000000001E-2</v>
      </c>
      <c r="BS327" s="7">
        <v>50</v>
      </c>
      <c r="BT327" s="7">
        <v>50</v>
      </c>
      <c r="BU327" s="7">
        <v>4.8611000000000001E-2</v>
      </c>
      <c r="BV327" s="7">
        <v>50</v>
      </c>
      <c r="BW327" s="7">
        <v>50</v>
      </c>
      <c r="BX327" s="4" t="s">
        <v>124</v>
      </c>
      <c r="BY327" s="4" t="s">
        <v>124</v>
      </c>
      <c r="BZ327" s="4" t="s">
        <v>124</v>
      </c>
      <c r="CA327" s="4" t="s">
        <v>124</v>
      </c>
      <c r="CB327" s="4" t="s">
        <v>124</v>
      </c>
      <c r="CC327" s="4" t="s">
        <v>124</v>
      </c>
      <c r="CD327" s="7">
        <v>0.96899199999999996</v>
      </c>
      <c r="CE327" s="7">
        <v>50</v>
      </c>
      <c r="CF327" s="7">
        <v>50</v>
      </c>
      <c r="CG327" s="4" t="s">
        <v>124</v>
      </c>
      <c r="CH327" s="4" t="s">
        <v>124</v>
      </c>
      <c r="CI327" s="4" t="s">
        <v>124</v>
      </c>
      <c r="CJ327" s="4" t="s">
        <v>124</v>
      </c>
      <c r="CK327" s="4" t="s">
        <v>124</v>
      </c>
      <c r="CL327" s="4" t="s">
        <v>124</v>
      </c>
      <c r="CM327" s="4" t="s">
        <v>124</v>
      </c>
      <c r="CN327" s="4" t="s">
        <v>124</v>
      </c>
      <c r="CO327" s="4" t="s">
        <v>124</v>
      </c>
      <c r="CP327" s="4" t="s">
        <v>124</v>
      </c>
      <c r="CQ327" s="7">
        <v>0.595808</v>
      </c>
      <c r="CR327" s="7">
        <v>0.99701499999999998</v>
      </c>
      <c r="CS327" s="7">
        <v>39.720559000000002</v>
      </c>
      <c r="CT327" s="7">
        <v>50</v>
      </c>
      <c r="CU327" s="4" t="s">
        <v>124</v>
      </c>
      <c r="CV327" s="4" t="s">
        <v>124</v>
      </c>
      <c r="CW327" s="4" t="s">
        <v>124</v>
      </c>
      <c r="CX327" s="4" t="s">
        <v>124</v>
      </c>
      <c r="CY327" s="4" t="s">
        <v>124</v>
      </c>
      <c r="CZ327" s="4" t="s">
        <v>124</v>
      </c>
      <c r="DA327" s="7">
        <v>15.314097</v>
      </c>
      <c r="DB327" s="7">
        <v>17.400950000000002</v>
      </c>
      <c r="DC327" s="7">
        <v>16.332519999999999</v>
      </c>
      <c r="DD327" s="4" t="s">
        <v>124</v>
      </c>
      <c r="DE327" s="7">
        <v>0</v>
      </c>
      <c r="DF327" s="6"/>
      <c r="DG327" s="6"/>
      <c r="DH327" s="6"/>
      <c r="DI327" s="6"/>
      <c r="DJ327" s="7">
        <v>0</v>
      </c>
      <c r="DK327" s="7">
        <v>0</v>
      </c>
      <c r="DL327" s="7">
        <v>0</v>
      </c>
      <c r="DM327" s="7">
        <v>0</v>
      </c>
      <c r="DN327" s="7">
        <v>0</v>
      </c>
      <c r="DO327" s="7">
        <v>0</v>
      </c>
      <c r="DP327" s="6"/>
      <c r="DQ327" s="4" t="s">
        <v>125</v>
      </c>
    </row>
    <row r="328" spans="1:121" ht="20" customHeight="1" x14ac:dyDescent="0.15">
      <c r="A328" s="5">
        <v>2018</v>
      </c>
      <c r="B328" s="3" t="s">
        <v>204</v>
      </c>
      <c r="C328" s="4" t="str">
        <f t="shared" si="79"/>
        <v>0330011</v>
      </c>
      <c r="D328" s="4" t="s">
        <v>471</v>
      </c>
      <c r="E328" s="4" t="str">
        <f>"0330211"</f>
        <v>0330211</v>
      </c>
      <c r="F328" s="4" t="s">
        <v>327</v>
      </c>
      <c r="G328" s="4" t="s">
        <v>328</v>
      </c>
      <c r="H328" s="7">
        <v>2</v>
      </c>
      <c r="I328" s="4" t="s">
        <v>329</v>
      </c>
      <c r="J328" s="4" t="s">
        <v>330</v>
      </c>
      <c r="K328" s="7">
        <v>100</v>
      </c>
      <c r="L328" s="7">
        <v>100</v>
      </c>
      <c r="M328" s="7">
        <v>100</v>
      </c>
      <c r="N328" s="4" t="s">
        <v>124</v>
      </c>
      <c r="O328" s="4" t="s">
        <v>124</v>
      </c>
      <c r="P328" s="4" t="s">
        <v>124</v>
      </c>
      <c r="Q328" s="4" t="s">
        <v>124</v>
      </c>
      <c r="R328" s="4" t="s">
        <v>124</v>
      </c>
      <c r="S328" s="4" t="s">
        <v>124</v>
      </c>
      <c r="T328" s="4" t="s">
        <v>124</v>
      </c>
      <c r="U328" s="4" t="s">
        <v>124</v>
      </c>
      <c r="V328" s="4" t="s">
        <v>124</v>
      </c>
      <c r="W328" s="4" t="s">
        <v>124</v>
      </c>
      <c r="X328" s="4" t="s">
        <v>124</v>
      </c>
      <c r="Y328" s="4" t="s">
        <v>124</v>
      </c>
      <c r="Z328" s="4" t="s">
        <v>124</v>
      </c>
      <c r="AA328" s="4" t="s">
        <v>124</v>
      </c>
      <c r="AB328" s="4" t="s">
        <v>124</v>
      </c>
      <c r="AC328" s="4" t="s">
        <v>124</v>
      </c>
      <c r="AD328" s="4" t="s">
        <v>124</v>
      </c>
      <c r="AE328" s="4" t="s">
        <v>124</v>
      </c>
      <c r="AF328" s="4" t="s">
        <v>124</v>
      </c>
      <c r="AG328" s="4" t="s">
        <v>124</v>
      </c>
      <c r="AH328" s="4" t="s">
        <v>124</v>
      </c>
      <c r="AI328" s="4" t="s">
        <v>124</v>
      </c>
      <c r="AJ328" s="4" t="s">
        <v>124</v>
      </c>
      <c r="AK328" s="4" t="s">
        <v>124</v>
      </c>
      <c r="AL328" s="4" t="s">
        <v>124</v>
      </c>
      <c r="AM328" s="4" t="s">
        <v>124</v>
      </c>
      <c r="AN328" s="4" t="s">
        <v>124</v>
      </c>
      <c r="AO328" s="4" t="s">
        <v>124</v>
      </c>
      <c r="AP328" s="4" t="s">
        <v>124</v>
      </c>
      <c r="AQ328" s="4" t="s">
        <v>124</v>
      </c>
      <c r="AR328" s="4" t="s">
        <v>124</v>
      </c>
      <c r="AS328" s="4" t="s">
        <v>124</v>
      </c>
      <c r="AT328" s="4" t="s">
        <v>124</v>
      </c>
      <c r="AU328" s="4" t="s">
        <v>124</v>
      </c>
      <c r="AV328" s="4" t="s">
        <v>124</v>
      </c>
      <c r="AW328" s="4" t="s">
        <v>124</v>
      </c>
      <c r="AX328" s="4" t="s">
        <v>124</v>
      </c>
      <c r="AY328" s="4" t="s">
        <v>124</v>
      </c>
      <c r="AZ328" s="4" t="s">
        <v>124</v>
      </c>
      <c r="BA328" s="4" t="s">
        <v>124</v>
      </c>
      <c r="BB328" s="4" t="s">
        <v>124</v>
      </c>
      <c r="BC328" s="4" t="s">
        <v>124</v>
      </c>
      <c r="BD328" s="4" t="s">
        <v>124</v>
      </c>
      <c r="BE328" s="4" t="s">
        <v>124</v>
      </c>
      <c r="BF328" s="4" t="s">
        <v>124</v>
      </c>
      <c r="BG328" s="4" t="s">
        <v>124</v>
      </c>
      <c r="BH328" s="4" t="s">
        <v>124</v>
      </c>
      <c r="BI328" s="4" t="s">
        <v>124</v>
      </c>
      <c r="BJ328" s="4" t="s">
        <v>124</v>
      </c>
      <c r="BK328" s="4" t="s">
        <v>124</v>
      </c>
      <c r="BL328" s="4" t="s">
        <v>124</v>
      </c>
      <c r="BM328" s="4" t="s">
        <v>124</v>
      </c>
      <c r="BN328" s="4" t="s">
        <v>124</v>
      </c>
      <c r="BO328" s="4" t="s">
        <v>124</v>
      </c>
      <c r="BP328" s="4" t="s">
        <v>124</v>
      </c>
      <c r="BQ328" s="4" t="s">
        <v>124</v>
      </c>
      <c r="BR328" s="7">
        <v>2.398E-3</v>
      </c>
      <c r="BS328" s="7">
        <v>50</v>
      </c>
      <c r="BT328" s="7">
        <v>50</v>
      </c>
      <c r="BU328" s="7">
        <v>7.0419999999999996E-3</v>
      </c>
      <c r="BV328" s="7">
        <v>50</v>
      </c>
      <c r="BW328" s="7">
        <v>50</v>
      </c>
      <c r="BX328" s="4" t="s">
        <v>124</v>
      </c>
      <c r="BY328" s="4" t="s">
        <v>124</v>
      </c>
      <c r="BZ328" s="4" t="s">
        <v>124</v>
      </c>
      <c r="CA328" s="4" t="s">
        <v>124</v>
      </c>
      <c r="CB328" s="4" t="s">
        <v>124</v>
      </c>
      <c r="CC328" s="4" t="s">
        <v>124</v>
      </c>
      <c r="CD328" s="4" t="s">
        <v>124</v>
      </c>
      <c r="CE328" s="4" t="s">
        <v>124</v>
      </c>
      <c r="CF328" s="4" t="s">
        <v>124</v>
      </c>
      <c r="CG328" s="4" t="s">
        <v>124</v>
      </c>
      <c r="CH328" s="4" t="s">
        <v>124</v>
      </c>
      <c r="CI328" s="4" t="s">
        <v>124</v>
      </c>
      <c r="CJ328" s="4" t="s">
        <v>124</v>
      </c>
      <c r="CK328" s="4" t="s">
        <v>124</v>
      </c>
      <c r="CL328" s="4" t="s">
        <v>124</v>
      </c>
      <c r="CM328" s="4" t="s">
        <v>124</v>
      </c>
      <c r="CN328" s="4" t="s">
        <v>124</v>
      </c>
      <c r="CO328" s="4" t="s">
        <v>124</v>
      </c>
      <c r="CP328" s="4" t="s">
        <v>124</v>
      </c>
      <c r="CQ328" s="4" t="s">
        <v>124</v>
      </c>
      <c r="CR328" s="4" t="s">
        <v>124</v>
      </c>
      <c r="CS328" s="4" t="s">
        <v>124</v>
      </c>
      <c r="CT328" s="4" t="s">
        <v>124</v>
      </c>
      <c r="CU328" s="4" t="s">
        <v>124</v>
      </c>
      <c r="CV328" s="4" t="s">
        <v>124</v>
      </c>
      <c r="CW328" s="4" t="s">
        <v>124</v>
      </c>
      <c r="CX328" s="4" t="s">
        <v>124</v>
      </c>
      <c r="CY328" s="4" t="s">
        <v>124</v>
      </c>
      <c r="CZ328" s="4" t="s">
        <v>124</v>
      </c>
      <c r="DA328" s="4" t="s">
        <v>124</v>
      </c>
      <c r="DB328" s="4" t="s">
        <v>124</v>
      </c>
      <c r="DC328" s="4" t="s">
        <v>124</v>
      </c>
      <c r="DD328" s="4" t="s">
        <v>124</v>
      </c>
      <c r="DE328" s="4" t="s">
        <v>124</v>
      </c>
      <c r="DF328" s="6"/>
      <c r="DG328" s="6"/>
      <c r="DH328" s="6"/>
      <c r="DI328" s="6"/>
      <c r="DJ328" s="4" t="s">
        <v>124</v>
      </c>
      <c r="DK328" s="4" t="s">
        <v>124</v>
      </c>
      <c r="DL328" s="4" t="s">
        <v>124</v>
      </c>
      <c r="DM328" s="4" t="s">
        <v>124</v>
      </c>
      <c r="DN328" s="4" t="s">
        <v>124</v>
      </c>
      <c r="DO328" s="4" t="s">
        <v>124</v>
      </c>
      <c r="DP328" s="6"/>
      <c r="DQ328" s="4" t="s">
        <v>125</v>
      </c>
    </row>
    <row r="329" spans="1:121" ht="20" customHeight="1" x14ac:dyDescent="0.15">
      <c r="A329" s="5">
        <v>2018</v>
      </c>
      <c r="B329" s="3" t="s">
        <v>204</v>
      </c>
      <c r="C329" s="4" t="str">
        <f t="shared" si="79"/>
        <v>0330011</v>
      </c>
      <c r="D329" s="4" t="s">
        <v>472</v>
      </c>
      <c r="E329" s="4" t="str">
        <f>"0330311"</f>
        <v>0330311</v>
      </c>
      <c r="F329" s="4" t="s">
        <v>327</v>
      </c>
      <c r="G329" s="7">
        <v>3</v>
      </c>
      <c r="H329" s="7">
        <v>5</v>
      </c>
      <c r="I329" s="4" t="s">
        <v>329</v>
      </c>
      <c r="J329" s="4" t="s">
        <v>330</v>
      </c>
      <c r="K329" s="7">
        <v>729.66891099999998</v>
      </c>
      <c r="L329" s="7">
        <v>950</v>
      </c>
      <c r="M329" s="7">
        <v>76.807254</v>
      </c>
      <c r="N329" s="7">
        <v>2</v>
      </c>
      <c r="O329" s="7">
        <v>0</v>
      </c>
      <c r="P329" s="7">
        <v>71.812717000000006</v>
      </c>
      <c r="Q329" s="7">
        <v>47.875145000000003</v>
      </c>
      <c r="R329" s="7">
        <v>50</v>
      </c>
      <c r="S329" s="7">
        <v>63.254879000000003</v>
      </c>
      <c r="T329" s="7">
        <v>75</v>
      </c>
      <c r="U329" s="7">
        <v>42.169919</v>
      </c>
      <c r="V329" s="7">
        <v>50</v>
      </c>
      <c r="W329" s="7">
        <v>70.075631000000001</v>
      </c>
      <c r="X329" s="7">
        <v>46.717086999999999</v>
      </c>
      <c r="Y329" s="7">
        <v>50</v>
      </c>
      <c r="Z329" s="7">
        <v>75</v>
      </c>
      <c r="AA329" s="7">
        <v>60.784886</v>
      </c>
      <c r="AB329" s="7">
        <v>40.523257000000001</v>
      </c>
      <c r="AC329" s="7">
        <v>50</v>
      </c>
      <c r="AD329" s="7">
        <v>68.114143999999996</v>
      </c>
      <c r="AE329" s="7">
        <v>45.409429000000003</v>
      </c>
      <c r="AF329" s="7">
        <v>50</v>
      </c>
      <c r="AG329" s="7">
        <v>59.509408999999998</v>
      </c>
      <c r="AH329" s="7">
        <v>72.461799999999997</v>
      </c>
      <c r="AI329" s="7">
        <v>39.672939</v>
      </c>
      <c r="AJ329" s="7">
        <v>50</v>
      </c>
      <c r="AK329" s="7">
        <v>11.74</v>
      </c>
      <c r="AL329" s="7">
        <v>14.21</v>
      </c>
      <c r="AM329" s="7">
        <v>12.95</v>
      </c>
      <c r="AN329" s="7">
        <v>0.62787199999999999</v>
      </c>
      <c r="AO329" s="7">
        <v>62.787233000000001</v>
      </c>
      <c r="AP329" s="7">
        <v>100</v>
      </c>
      <c r="AQ329" s="7">
        <v>0.732927</v>
      </c>
      <c r="AR329" s="7">
        <v>73.292696000000007</v>
      </c>
      <c r="AS329" s="7">
        <v>100</v>
      </c>
      <c r="AT329" s="7">
        <v>0.58732399999999996</v>
      </c>
      <c r="AU329" s="7">
        <v>0.64960899999999999</v>
      </c>
      <c r="AV329" s="7">
        <v>58.732422</v>
      </c>
      <c r="AW329" s="7">
        <v>100</v>
      </c>
      <c r="AX329" s="7">
        <v>0.72356799999999999</v>
      </c>
      <c r="AY329" s="7">
        <v>0.73794400000000004</v>
      </c>
      <c r="AZ329" s="7">
        <v>72.356812000000005</v>
      </c>
      <c r="BA329" s="7">
        <v>100</v>
      </c>
      <c r="BB329" s="7">
        <v>0.70235899999999996</v>
      </c>
      <c r="BC329" s="7">
        <v>35.117949000000003</v>
      </c>
      <c r="BD329" s="7">
        <v>50</v>
      </c>
      <c r="BE329" s="7">
        <v>0.55002600000000001</v>
      </c>
      <c r="BF329" s="7">
        <v>27.501287999999999</v>
      </c>
      <c r="BG329" s="7">
        <v>50</v>
      </c>
      <c r="BH329" s="7">
        <v>0</v>
      </c>
      <c r="BI329" s="7">
        <v>1</v>
      </c>
      <c r="BJ329" s="7">
        <v>1</v>
      </c>
      <c r="BK329" s="7">
        <v>1</v>
      </c>
      <c r="BL329" s="7">
        <v>1</v>
      </c>
      <c r="BM329" s="7">
        <v>1</v>
      </c>
      <c r="BN329" s="7">
        <v>1</v>
      </c>
      <c r="BO329" s="7">
        <v>1</v>
      </c>
      <c r="BP329" s="7">
        <v>1</v>
      </c>
      <c r="BQ329" s="7">
        <v>1</v>
      </c>
      <c r="BR329" s="7">
        <v>5.9211E-2</v>
      </c>
      <c r="BS329" s="7">
        <v>48.157895000000003</v>
      </c>
      <c r="BT329" s="7">
        <v>50</v>
      </c>
      <c r="BU329" s="7">
        <v>0.103226</v>
      </c>
      <c r="BV329" s="7">
        <v>39.354838999999998</v>
      </c>
      <c r="BW329" s="7">
        <v>50</v>
      </c>
      <c r="BX329" s="4" t="s">
        <v>124</v>
      </c>
      <c r="BY329" s="4" t="s">
        <v>124</v>
      </c>
      <c r="BZ329" s="4" t="s">
        <v>124</v>
      </c>
      <c r="CA329" s="4" t="s">
        <v>124</v>
      </c>
      <c r="CB329" s="4" t="s">
        <v>124</v>
      </c>
      <c r="CC329" s="4" t="s">
        <v>124</v>
      </c>
      <c r="CD329" s="4" t="s">
        <v>124</v>
      </c>
      <c r="CE329" s="4" t="s">
        <v>124</v>
      </c>
      <c r="CF329" s="4" t="s">
        <v>124</v>
      </c>
      <c r="CG329" s="4" t="s">
        <v>124</v>
      </c>
      <c r="CH329" s="4" t="s">
        <v>124</v>
      </c>
      <c r="CI329" s="4" t="s">
        <v>124</v>
      </c>
      <c r="CJ329" s="4" t="s">
        <v>124</v>
      </c>
      <c r="CK329" s="4" t="s">
        <v>124</v>
      </c>
      <c r="CL329" s="4" t="s">
        <v>124</v>
      </c>
      <c r="CM329" s="4" t="s">
        <v>124</v>
      </c>
      <c r="CN329" s="4" t="s">
        <v>124</v>
      </c>
      <c r="CO329" s="4" t="s">
        <v>124</v>
      </c>
      <c r="CP329" s="4" t="s">
        <v>124</v>
      </c>
      <c r="CQ329" s="7">
        <v>0.87272700000000003</v>
      </c>
      <c r="CR329" s="7">
        <v>1</v>
      </c>
      <c r="CS329" s="7">
        <v>50</v>
      </c>
      <c r="CT329" s="7">
        <v>50</v>
      </c>
      <c r="CU329" s="4" t="s">
        <v>124</v>
      </c>
      <c r="CV329" s="4" t="s">
        <v>124</v>
      </c>
      <c r="CW329" s="4" t="s">
        <v>124</v>
      </c>
      <c r="CX329" s="4" t="s">
        <v>124</v>
      </c>
      <c r="CY329" s="4" t="s">
        <v>124</v>
      </c>
      <c r="CZ329" s="4" t="s">
        <v>124</v>
      </c>
      <c r="DA329" s="7">
        <v>15.314097</v>
      </c>
      <c r="DB329" s="7">
        <v>17.400950000000002</v>
      </c>
      <c r="DC329" s="7">
        <v>16.332519999999999</v>
      </c>
      <c r="DD329" s="4" t="s">
        <v>124</v>
      </c>
      <c r="DE329" s="7">
        <v>0</v>
      </c>
      <c r="DF329" s="6"/>
      <c r="DG329" s="6"/>
      <c r="DH329" s="6"/>
      <c r="DI329" s="6"/>
      <c r="DJ329" s="7">
        <v>0</v>
      </c>
      <c r="DK329" s="7">
        <v>0</v>
      </c>
      <c r="DL329" s="7">
        <v>0</v>
      </c>
      <c r="DM329" s="7">
        <v>0</v>
      </c>
      <c r="DN329" s="7">
        <v>0</v>
      </c>
      <c r="DO329" s="7">
        <v>0</v>
      </c>
      <c r="DP329" s="6"/>
      <c r="DQ329" s="4" t="s">
        <v>125</v>
      </c>
    </row>
    <row r="330" spans="1:121" ht="20" customHeight="1" x14ac:dyDescent="0.15">
      <c r="A330" s="5">
        <v>2018</v>
      </c>
      <c r="B330" s="3" t="s">
        <v>222</v>
      </c>
      <c r="C330" s="4" t="str">
        <f t="shared" si="97"/>
        <v>0340011</v>
      </c>
      <c r="D330" s="4" t="s">
        <v>473</v>
      </c>
      <c r="E330" s="4" t="str">
        <f>"0345111"</f>
        <v>0345111</v>
      </c>
      <c r="F330" s="4" t="s">
        <v>327</v>
      </c>
      <c r="G330" s="7">
        <v>6</v>
      </c>
      <c r="H330" s="7">
        <v>8</v>
      </c>
      <c r="I330" s="6"/>
      <c r="J330" s="4" t="s">
        <v>330</v>
      </c>
      <c r="K330" s="7">
        <v>638.14565200000004</v>
      </c>
      <c r="L330" s="7">
        <v>1000</v>
      </c>
      <c r="M330" s="7">
        <v>63.814565000000002</v>
      </c>
      <c r="N330" s="7">
        <v>3</v>
      </c>
      <c r="O330" s="7">
        <v>0</v>
      </c>
      <c r="P330" s="7">
        <v>63.253467999999998</v>
      </c>
      <c r="Q330" s="7">
        <v>42.168979</v>
      </c>
      <c r="R330" s="7">
        <v>50</v>
      </c>
      <c r="S330" s="7">
        <v>59.393424000000003</v>
      </c>
      <c r="T330" s="7">
        <v>74.166430000000005</v>
      </c>
      <c r="U330" s="7">
        <v>39.595616</v>
      </c>
      <c r="V330" s="7">
        <v>50</v>
      </c>
      <c r="W330" s="7">
        <v>52.486477999999998</v>
      </c>
      <c r="X330" s="7">
        <v>34.990985000000002</v>
      </c>
      <c r="Y330" s="7">
        <v>50</v>
      </c>
      <c r="Z330" s="7">
        <v>62.384762000000002</v>
      </c>
      <c r="AA330" s="7">
        <v>49.004016</v>
      </c>
      <c r="AB330" s="7">
        <v>32.669344000000002</v>
      </c>
      <c r="AC330" s="7">
        <v>50</v>
      </c>
      <c r="AD330" s="7">
        <v>58.307443999999997</v>
      </c>
      <c r="AE330" s="7">
        <v>38.871630000000003</v>
      </c>
      <c r="AF330" s="7">
        <v>50</v>
      </c>
      <c r="AG330" s="7">
        <v>55.241087</v>
      </c>
      <c r="AH330" s="7">
        <v>66.821095</v>
      </c>
      <c r="AI330" s="7">
        <v>36.827390999999999</v>
      </c>
      <c r="AJ330" s="7">
        <v>50</v>
      </c>
      <c r="AK330" s="7">
        <v>14.77</v>
      </c>
      <c r="AL330" s="7">
        <v>13.38</v>
      </c>
      <c r="AM330" s="7">
        <v>11.58</v>
      </c>
      <c r="AN330" s="7">
        <v>0.52510199999999996</v>
      </c>
      <c r="AO330" s="7">
        <v>52.510244</v>
      </c>
      <c r="AP330" s="7">
        <v>100</v>
      </c>
      <c r="AQ330" s="7">
        <v>0.42724200000000001</v>
      </c>
      <c r="AR330" s="7">
        <v>42.724246000000001</v>
      </c>
      <c r="AS330" s="7">
        <v>100</v>
      </c>
      <c r="AT330" s="7">
        <v>0.52769100000000002</v>
      </c>
      <c r="AU330" s="7">
        <v>0.51866100000000004</v>
      </c>
      <c r="AV330" s="7">
        <v>52.769106000000001</v>
      </c>
      <c r="AW330" s="7">
        <v>100</v>
      </c>
      <c r="AX330" s="7">
        <v>0.39035500000000001</v>
      </c>
      <c r="AY330" s="7">
        <v>0.51931499999999997</v>
      </c>
      <c r="AZ330" s="7">
        <v>39.035485999999999</v>
      </c>
      <c r="BA330" s="7">
        <v>100</v>
      </c>
      <c r="BB330" s="7">
        <v>0.63506399999999996</v>
      </c>
      <c r="BC330" s="7">
        <v>31.753176</v>
      </c>
      <c r="BD330" s="7">
        <v>50</v>
      </c>
      <c r="BE330" s="7">
        <v>0.63837900000000003</v>
      </c>
      <c r="BF330" s="7">
        <v>31.918952000000001</v>
      </c>
      <c r="BG330" s="7">
        <v>50</v>
      </c>
      <c r="BH330" s="7">
        <v>0</v>
      </c>
      <c r="BI330" s="7">
        <v>0.99593500000000001</v>
      </c>
      <c r="BJ330" s="7">
        <v>0.99455000000000005</v>
      </c>
      <c r="BK330" s="7">
        <v>1</v>
      </c>
      <c r="BL330" s="7">
        <v>0.99389000000000005</v>
      </c>
      <c r="BM330" s="7">
        <v>0.99317900000000003</v>
      </c>
      <c r="BN330" s="7">
        <v>0.99598399999999998</v>
      </c>
      <c r="BO330" s="7">
        <v>0.99702400000000002</v>
      </c>
      <c r="BP330" s="7">
        <v>0.99598399999999998</v>
      </c>
      <c r="BQ330" s="7">
        <v>1</v>
      </c>
      <c r="BR330" s="7">
        <v>5.5101999999999998E-2</v>
      </c>
      <c r="BS330" s="7">
        <v>48.979591999999997</v>
      </c>
      <c r="BT330" s="7">
        <v>50</v>
      </c>
      <c r="BU330" s="7">
        <v>6.5734000000000001E-2</v>
      </c>
      <c r="BV330" s="7">
        <v>46.853147</v>
      </c>
      <c r="BW330" s="7">
        <v>50</v>
      </c>
      <c r="BX330" s="4" t="s">
        <v>124</v>
      </c>
      <c r="BY330" s="4" t="s">
        <v>124</v>
      </c>
      <c r="BZ330" s="4" t="s">
        <v>124</v>
      </c>
      <c r="CA330" s="4" t="s">
        <v>124</v>
      </c>
      <c r="CB330" s="4" t="s">
        <v>124</v>
      </c>
      <c r="CC330" s="4" t="s">
        <v>124</v>
      </c>
      <c r="CD330" s="7">
        <v>0.90033200000000002</v>
      </c>
      <c r="CE330" s="7">
        <v>47.890011999999999</v>
      </c>
      <c r="CF330" s="7">
        <v>50</v>
      </c>
      <c r="CG330" s="4" t="s">
        <v>124</v>
      </c>
      <c r="CH330" s="4" t="s">
        <v>124</v>
      </c>
      <c r="CI330" s="4" t="s">
        <v>124</v>
      </c>
      <c r="CJ330" s="4" t="s">
        <v>124</v>
      </c>
      <c r="CK330" s="4" t="s">
        <v>124</v>
      </c>
      <c r="CL330" s="4" t="s">
        <v>124</v>
      </c>
      <c r="CM330" s="4" t="s">
        <v>124</v>
      </c>
      <c r="CN330" s="4" t="s">
        <v>124</v>
      </c>
      <c r="CO330" s="4" t="s">
        <v>124</v>
      </c>
      <c r="CP330" s="4" t="s">
        <v>124</v>
      </c>
      <c r="CQ330" s="7">
        <v>0.27881600000000001</v>
      </c>
      <c r="CR330" s="7">
        <v>0.98015300000000005</v>
      </c>
      <c r="CS330" s="7">
        <v>18.587747</v>
      </c>
      <c r="CT330" s="7">
        <v>50</v>
      </c>
      <c r="CU330" s="4" t="s">
        <v>124</v>
      </c>
      <c r="CV330" s="4" t="s">
        <v>124</v>
      </c>
      <c r="CW330" s="4" t="s">
        <v>124</v>
      </c>
      <c r="CX330" s="4" t="s">
        <v>124</v>
      </c>
      <c r="CY330" s="4" t="s">
        <v>124</v>
      </c>
      <c r="CZ330" s="4" t="s">
        <v>124</v>
      </c>
      <c r="DA330" s="7">
        <v>15.314097</v>
      </c>
      <c r="DB330" s="7">
        <v>17.400950000000002</v>
      </c>
      <c r="DC330" s="7">
        <v>16.332519999999999</v>
      </c>
      <c r="DD330" s="4" t="s">
        <v>124</v>
      </c>
      <c r="DE330" s="7">
        <v>0</v>
      </c>
      <c r="DF330" s="6"/>
      <c r="DG330" s="6"/>
      <c r="DH330" s="6"/>
      <c r="DI330" s="6"/>
      <c r="DJ330" s="7">
        <v>0</v>
      </c>
      <c r="DK330" s="7">
        <v>0</v>
      </c>
      <c r="DL330" s="7">
        <v>0</v>
      </c>
      <c r="DM330" s="7">
        <v>0</v>
      </c>
      <c r="DN330" s="7">
        <v>0</v>
      </c>
      <c r="DO330" s="7">
        <v>0</v>
      </c>
      <c r="DP330" s="6"/>
      <c r="DQ330" s="4" t="s">
        <v>125</v>
      </c>
    </row>
    <row r="331" spans="1:121" ht="20" customHeight="1" x14ac:dyDescent="0.15">
      <c r="A331" s="5">
        <v>2018</v>
      </c>
      <c r="B331" s="3" t="s">
        <v>222</v>
      </c>
      <c r="C331" s="4" t="str">
        <f t="shared" si="97"/>
        <v>0340011</v>
      </c>
      <c r="D331" s="4" t="s">
        <v>474</v>
      </c>
      <c r="E331" s="4" t="str">
        <f>"0346111"</f>
        <v>0346111</v>
      </c>
      <c r="F331" s="4" t="s">
        <v>327</v>
      </c>
      <c r="G331" s="7">
        <v>9</v>
      </c>
      <c r="H331" s="7">
        <v>12</v>
      </c>
      <c r="I331" s="6"/>
      <c r="J331" s="4" t="s">
        <v>330</v>
      </c>
      <c r="K331" s="7">
        <v>1081.744612</v>
      </c>
      <c r="L331" s="7">
        <v>1550</v>
      </c>
      <c r="M331" s="7">
        <v>69.789974999999998</v>
      </c>
      <c r="N331" s="7">
        <v>3</v>
      </c>
      <c r="O331" s="7">
        <v>1</v>
      </c>
      <c r="P331" s="7">
        <v>53.494253</v>
      </c>
      <c r="Q331" s="7">
        <v>106.988506</v>
      </c>
      <c r="R331" s="7">
        <v>150</v>
      </c>
      <c r="S331" s="7">
        <v>46.352201000000001</v>
      </c>
      <c r="T331" s="7">
        <v>63.418227000000002</v>
      </c>
      <c r="U331" s="7">
        <v>92.704402999999999</v>
      </c>
      <c r="V331" s="7">
        <v>150</v>
      </c>
      <c r="W331" s="7">
        <v>48.120690000000003</v>
      </c>
      <c r="X331" s="7">
        <v>96.241378999999995</v>
      </c>
      <c r="Y331" s="7">
        <v>150</v>
      </c>
      <c r="Z331" s="7">
        <v>56.517477999999997</v>
      </c>
      <c r="AA331" s="7">
        <v>42.077717999999997</v>
      </c>
      <c r="AB331" s="7">
        <v>84.155435999999995</v>
      </c>
      <c r="AC331" s="7">
        <v>150</v>
      </c>
      <c r="AD331" s="7">
        <v>55.003839999999997</v>
      </c>
      <c r="AE331" s="7">
        <v>73.338453999999999</v>
      </c>
      <c r="AF331" s="7">
        <v>100</v>
      </c>
      <c r="AG331" s="7">
        <v>47.982895999999997</v>
      </c>
      <c r="AH331" s="7">
        <v>64.563723999999993</v>
      </c>
      <c r="AI331" s="7">
        <v>63.977195000000002</v>
      </c>
      <c r="AJ331" s="7">
        <v>100</v>
      </c>
      <c r="AK331" s="7">
        <v>17.059999999999999</v>
      </c>
      <c r="AL331" s="7">
        <v>14.43</v>
      </c>
      <c r="AM331" s="7">
        <v>16.579999999999998</v>
      </c>
      <c r="AN331" s="4" t="s">
        <v>124</v>
      </c>
      <c r="AO331" s="4" t="s">
        <v>124</v>
      </c>
      <c r="AP331" s="4" t="s">
        <v>124</v>
      </c>
      <c r="AQ331" s="4" t="s">
        <v>124</v>
      </c>
      <c r="AR331" s="4" t="s">
        <v>124</v>
      </c>
      <c r="AS331" s="4" t="s">
        <v>124</v>
      </c>
      <c r="AT331" s="4" t="s">
        <v>124</v>
      </c>
      <c r="AU331" s="4" t="s">
        <v>124</v>
      </c>
      <c r="AV331" s="4" t="s">
        <v>124</v>
      </c>
      <c r="AW331" s="4" t="s">
        <v>124</v>
      </c>
      <c r="AX331" s="4" t="s">
        <v>124</v>
      </c>
      <c r="AY331" s="4" t="s">
        <v>124</v>
      </c>
      <c r="AZ331" s="4" t="s">
        <v>124</v>
      </c>
      <c r="BA331" s="4" t="s">
        <v>124</v>
      </c>
      <c r="BB331" s="7">
        <v>0.48249599999999998</v>
      </c>
      <c r="BC331" s="7">
        <v>24.124797000000001</v>
      </c>
      <c r="BD331" s="7">
        <v>50</v>
      </c>
      <c r="BE331" s="7">
        <v>0.61845499999999998</v>
      </c>
      <c r="BF331" s="7">
        <v>30.922758000000002</v>
      </c>
      <c r="BG331" s="7">
        <v>50</v>
      </c>
      <c r="BH331" s="7">
        <v>0</v>
      </c>
      <c r="BI331" s="7">
        <v>0.96403899999999998</v>
      </c>
      <c r="BJ331" s="7">
        <v>0.96363600000000005</v>
      </c>
      <c r="BK331" s="7">
        <v>0.96466399999999997</v>
      </c>
      <c r="BL331" s="7">
        <v>0.96403899999999998</v>
      </c>
      <c r="BM331" s="7">
        <v>0.96363600000000005</v>
      </c>
      <c r="BN331" s="7">
        <v>0.96466399999999997</v>
      </c>
      <c r="BO331" s="7">
        <v>0.96547000000000005</v>
      </c>
      <c r="BP331" s="7">
        <v>0.95475100000000002</v>
      </c>
      <c r="BQ331" s="7">
        <v>0.98226999999999998</v>
      </c>
      <c r="BR331" s="7">
        <v>0.101365</v>
      </c>
      <c r="BS331" s="7">
        <v>39.727096000000003</v>
      </c>
      <c r="BT331" s="7">
        <v>50</v>
      </c>
      <c r="BU331" s="7">
        <v>0.1305</v>
      </c>
      <c r="BV331" s="7">
        <v>33.9</v>
      </c>
      <c r="BW331" s="7">
        <v>50</v>
      </c>
      <c r="BX331" s="7">
        <v>0.72005699999999995</v>
      </c>
      <c r="BY331" s="7">
        <v>48.003779999999999</v>
      </c>
      <c r="BZ331" s="7">
        <v>50</v>
      </c>
      <c r="CA331" s="7">
        <v>0.289157</v>
      </c>
      <c r="CB331" s="7">
        <v>19.277107999999998</v>
      </c>
      <c r="CC331" s="7">
        <v>50</v>
      </c>
      <c r="CD331" s="7">
        <v>0.81416999999999995</v>
      </c>
      <c r="CE331" s="7">
        <v>43.306891999999998</v>
      </c>
      <c r="CF331" s="7">
        <v>50</v>
      </c>
      <c r="CG331" s="7">
        <v>0.83018899999999995</v>
      </c>
      <c r="CH331" s="7">
        <v>88.317944999999995</v>
      </c>
      <c r="CI331" s="7">
        <v>100</v>
      </c>
      <c r="CJ331" s="7">
        <v>1</v>
      </c>
      <c r="CK331" s="7">
        <v>0.81067999999999996</v>
      </c>
      <c r="CL331" s="7">
        <v>86.242512000000005</v>
      </c>
      <c r="CM331" s="7">
        <v>100</v>
      </c>
      <c r="CN331" s="7">
        <v>0.69610799999999995</v>
      </c>
      <c r="CO331" s="7">
        <v>92.814370999999994</v>
      </c>
      <c r="CP331" s="7">
        <v>100</v>
      </c>
      <c r="CQ331" s="7">
        <v>0.50217699999999998</v>
      </c>
      <c r="CR331" s="7">
        <v>0.85377899999999995</v>
      </c>
      <c r="CS331" s="7">
        <v>16.739235999999998</v>
      </c>
      <c r="CT331" s="7">
        <v>50</v>
      </c>
      <c r="CU331" s="7">
        <v>0.49155300000000002</v>
      </c>
      <c r="CV331" s="7">
        <v>40.962746000000003</v>
      </c>
      <c r="CW331" s="7">
        <v>50</v>
      </c>
      <c r="CX331" s="7">
        <v>0.81067999999999996</v>
      </c>
      <c r="CY331" s="7">
        <v>0.94</v>
      </c>
      <c r="CZ331" s="7">
        <v>0.12931999999999999</v>
      </c>
      <c r="DA331" s="7">
        <v>15.314097</v>
      </c>
      <c r="DB331" s="7">
        <v>17.400950000000002</v>
      </c>
      <c r="DC331" s="7">
        <v>16.332519999999999</v>
      </c>
      <c r="DD331" s="7">
        <v>7.9891730000000001</v>
      </c>
      <c r="DE331" s="7">
        <v>1</v>
      </c>
      <c r="DF331" s="6"/>
      <c r="DG331" s="6"/>
      <c r="DH331" s="6"/>
      <c r="DI331" s="6"/>
      <c r="DJ331" s="7">
        <v>0</v>
      </c>
      <c r="DK331" s="7">
        <v>0</v>
      </c>
      <c r="DL331" s="7">
        <v>0</v>
      </c>
      <c r="DM331" s="7">
        <v>0</v>
      </c>
      <c r="DN331" s="7">
        <v>0</v>
      </c>
      <c r="DO331" s="7">
        <v>0</v>
      </c>
      <c r="DP331" s="6"/>
      <c r="DQ331" s="4" t="s">
        <v>125</v>
      </c>
    </row>
    <row r="332" spans="1:121" ht="20" customHeight="1" x14ac:dyDescent="0.15">
      <c r="A332" s="5">
        <v>2018</v>
      </c>
      <c r="B332" s="3" t="s">
        <v>222</v>
      </c>
      <c r="C332" s="4" t="str">
        <f t="shared" si="97"/>
        <v>0340011</v>
      </c>
      <c r="D332" s="4" t="s">
        <v>475</v>
      </c>
      <c r="E332" s="4" t="str">
        <f>"0341411"</f>
        <v>0341411</v>
      </c>
      <c r="F332" s="4" t="s">
        <v>327</v>
      </c>
      <c r="G332" s="4" t="s">
        <v>338</v>
      </c>
      <c r="H332" s="7">
        <v>5</v>
      </c>
      <c r="I332" s="4" t="s">
        <v>335</v>
      </c>
      <c r="J332" s="4" t="s">
        <v>330</v>
      </c>
      <c r="K332" s="7">
        <v>762.97594700000002</v>
      </c>
      <c r="L332" s="7">
        <v>950</v>
      </c>
      <c r="M332" s="7">
        <v>80.313258000000005</v>
      </c>
      <c r="N332" s="7">
        <v>2</v>
      </c>
      <c r="O332" s="7">
        <v>0</v>
      </c>
      <c r="P332" s="7">
        <v>68.078239999999994</v>
      </c>
      <c r="Q332" s="7">
        <v>45.385492999999997</v>
      </c>
      <c r="R332" s="7">
        <v>50</v>
      </c>
      <c r="S332" s="7">
        <v>67.555002999999999</v>
      </c>
      <c r="T332" s="4" t="s">
        <v>124</v>
      </c>
      <c r="U332" s="7">
        <v>45.036669000000003</v>
      </c>
      <c r="V332" s="7">
        <v>50</v>
      </c>
      <c r="W332" s="7">
        <v>66.583928</v>
      </c>
      <c r="X332" s="7">
        <v>44.389285000000001</v>
      </c>
      <c r="Y332" s="7">
        <v>50</v>
      </c>
      <c r="Z332" s="4" t="s">
        <v>124</v>
      </c>
      <c r="AA332" s="7">
        <v>65.979438999999999</v>
      </c>
      <c r="AB332" s="7">
        <v>43.986293000000003</v>
      </c>
      <c r="AC332" s="7">
        <v>50</v>
      </c>
      <c r="AD332" s="7">
        <v>61.637096999999997</v>
      </c>
      <c r="AE332" s="7">
        <v>41.091397999999998</v>
      </c>
      <c r="AF332" s="7">
        <v>50</v>
      </c>
      <c r="AG332" s="7">
        <v>61.766983000000003</v>
      </c>
      <c r="AH332" s="4" t="s">
        <v>124</v>
      </c>
      <c r="AI332" s="7">
        <v>41.177988999999997</v>
      </c>
      <c r="AJ332" s="7">
        <v>50</v>
      </c>
      <c r="AK332" s="4" t="s">
        <v>124</v>
      </c>
      <c r="AL332" s="4" t="s">
        <v>124</v>
      </c>
      <c r="AM332" s="4" t="s">
        <v>124</v>
      </c>
      <c r="AN332" s="7">
        <v>0.74042699999999995</v>
      </c>
      <c r="AO332" s="7">
        <v>74.042704999999998</v>
      </c>
      <c r="AP332" s="7">
        <v>100</v>
      </c>
      <c r="AQ332" s="7">
        <v>0.85519000000000001</v>
      </c>
      <c r="AR332" s="7">
        <v>85.519032999999993</v>
      </c>
      <c r="AS332" s="7">
        <v>100</v>
      </c>
      <c r="AT332" s="7">
        <v>0.74151</v>
      </c>
      <c r="AU332" s="4" t="s">
        <v>124</v>
      </c>
      <c r="AV332" s="7">
        <v>74.151022999999995</v>
      </c>
      <c r="AW332" s="7">
        <v>100</v>
      </c>
      <c r="AX332" s="7">
        <v>0.84670100000000004</v>
      </c>
      <c r="AY332" s="4" t="s">
        <v>124</v>
      </c>
      <c r="AZ332" s="7">
        <v>84.670061000000004</v>
      </c>
      <c r="BA332" s="7">
        <v>100</v>
      </c>
      <c r="BB332" s="7">
        <v>0.71524799999999999</v>
      </c>
      <c r="BC332" s="7">
        <v>35.762421000000003</v>
      </c>
      <c r="BD332" s="7">
        <v>50</v>
      </c>
      <c r="BE332" s="7">
        <v>0.53950100000000001</v>
      </c>
      <c r="BF332" s="7">
        <v>26.975048000000001</v>
      </c>
      <c r="BG332" s="7">
        <v>50</v>
      </c>
      <c r="BH332" s="7">
        <v>0</v>
      </c>
      <c r="BI332" s="7">
        <v>1</v>
      </c>
      <c r="BJ332" s="7">
        <v>1</v>
      </c>
      <c r="BK332" s="4" t="s">
        <v>124</v>
      </c>
      <c r="BL332" s="7">
        <v>1</v>
      </c>
      <c r="BM332" s="7">
        <v>1</v>
      </c>
      <c r="BN332" s="4" t="s">
        <v>124</v>
      </c>
      <c r="BO332" s="7">
        <v>0.98936199999999996</v>
      </c>
      <c r="BP332" s="7">
        <v>0.98901099999999997</v>
      </c>
      <c r="BQ332" s="4" t="s">
        <v>124</v>
      </c>
      <c r="BR332" s="7">
        <v>2.3952000000000001E-2</v>
      </c>
      <c r="BS332" s="7">
        <v>50</v>
      </c>
      <c r="BT332" s="7">
        <v>50</v>
      </c>
      <c r="BU332" s="7">
        <v>2.3453999999999999E-2</v>
      </c>
      <c r="BV332" s="7">
        <v>50</v>
      </c>
      <c r="BW332" s="7">
        <v>50</v>
      </c>
      <c r="BX332" s="4" t="s">
        <v>124</v>
      </c>
      <c r="BY332" s="4" t="s">
        <v>124</v>
      </c>
      <c r="BZ332" s="4" t="s">
        <v>124</v>
      </c>
      <c r="CA332" s="4" t="s">
        <v>124</v>
      </c>
      <c r="CB332" s="4" t="s">
        <v>124</v>
      </c>
      <c r="CC332" s="4" t="s">
        <v>124</v>
      </c>
      <c r="CD332" s="4" t="s">
        <v>124</v>
      </c>
      <c r="CE332" s="4" t="s">
        <v>124</v>
      </c>
      <c r="CF332" s="4" t="s">
        <v>124</v>
      </c>
      <c r="CG332" s="4" t="s">
        <v>124</v>
      </c>
      <c r="CH332" s="4" t="s">
        <v>124</v>
      </c>
      <c r="CI332" s="4" t="s">
        <v>124</v>
      </c>
      <c r="CJ332" s="4" t="s">
        <v>124</v>
      </c>
      <c r="CK332" s="4" t="s">
        <v>124</v>
      </c>
      <c r="CL332" s="4" t="s">
        <v>124</v>
      </c>
      <c r="CM332" s="4" t="s">
        <v>124</v>
      </c>
      <c r="CN332" s="4" t="s">
        <v>124</v>
      </c>
      <c r="CO332" s="4" t="s">
        <v>124</v>
      </c>
      <c r="CP332" s="4" t="s">
        <v>124</v>
      </c>
      <c r="CQ332" s="7">
        <v>0.31182799999999999</v>
      </c>
      <c r="CR332" s="7">
        <v>1</v>
      </c>
      <c r="CS332" s="7">
        <v>20.788530000000002</v>
      </c>
      <c r="CT332" s="7">
        <v>50</v>
      </c>
      <c r="CU332" s="4" t="s">
        <v>124</v>
      </c>
      <c r="CV332" s="4" t="s">
        <v>124</v>
      </c>
      <c r="CW332" s="4" t="s">
        <v>124</v>
      </c>
      <c r="CX332" s="4" t="s">
        <v>124</v>
      </c>
      <c r="CY332" s="4" t="s">
        <v>124</v>
      </c>
      <c r="CZ332" s="4" t="s">
        <v>124</v>
      </c>
      <c r="DA332" s="7">
        <v>15.314097</v>
      </c>
      <c r="DB332" s="7">
        <v>17.400950000000002</v>
      </c>
      <c r="DC332" s="7">
        <v>16.332519999999999</v>
      </c>
      <c r="DD332" s="4" t="s">
        <v>124</v>
      </c>
      <c r="DE332" s="7">
        <v>0</v>
      </c>
      <c r="DF332" s="6"/>
      <c r="DG332" s="6"/>
      <c r="DH332" s="4" t="s">
        <v>331</v>
      </c>
      <c r="DI332" s="4" t="s">
        <v>476</v>
      </c>
      <c r="DJ332" s="7">
        <v>0</v>
      </c>
      <c r="DK332" s="7">
        <v>0</v>
      </c>
      <c r="DL332" s="7">
        <v>1</v>
      </c>
      <c r="DM332" s="7">
        <v>1</v>
      </c>
      <c r="DN332" s="7">
        <v>1</v>
      </c>
      <c r="DO332" s="7">
        <v>0</v>
      </c>
      <c r="DP332" s="6"/>
      <c r="DQ332" s="4" t="s">
        <v>125</v>
      </c>
    </row>
    <row r="333" spans="1:121" ht="20" customHeight="1" x14ac:dyDescent="0.15">
      <c r="A333" s="5">
        <v>2018</v>
      </c>
      <c r="B333" s="3" t="s">
        <v>222</v>
      </c>
      <c r="C333" s="4" t="str">
        <f t="shared" si="97"/>
        <v>0340011</v>
      </c>
      <c r="D333" s="4" t="s">
        <v>477</v>
      </c>
      <c r="E333" s="4" t="str">
        <f>"0341111"</f>
        <v>0341111</v>
      </c>
      <c r="F333" s="4" t="s">
        <v>327</v>
      </c>
      <c r="G333" s="4" t="s">
        <v>328</v>
      </c>
      <c r="H333" s="7">
        <v>5</v>
      </c>
      <c r="I333" s="4" t="s">
        <v>335</v>
      </c>
      <c r="J333" s="4" t="s">
        <v>330</v>
      </c>
      <c r="K333" s="7">
        <v>840.28481599999998</v>
      </c>
      <c r="L333" s="7">
        <v>950</v>
      </c>
      <c r="M333" s="7">
        <v>88.451032999999995</v>
      </c>
      <c r="N333" s="7">
        <v>1</v>
      </c>
      <c r="O333" s="7">
        <v>0</v>
      </c>
      <c r="P333" s="7">
        <v>79.148922999999996</v>
      </c>
      <c r="Q333" s="7">
        <v>50</v>
      </c>
      <c r="R333" s="7">
        <v>50</v>
      </c>
      <c r="S333" s="7">
        <v>76.120996000000005</v>
      </c>
      <c r="T333" s="7">
        <v>75</v>
      </c>
      <c r="U333" s="7">
        <v>50</v>
      </c>
      <c r="V333" s="7">
        <v>50</v>
      </c>
      <c r="W333" s="7">
        <v>77.402286000000004</v>
      </c>
      <c r="X333" s="7">
        <v>50</v>
      </c>
      <c r="Y333" s="7">
        <v>50</v>
      </c>
      <c r="Z333" s="7">
        <v>75</v>
      </c>
      <c r="AA333" s="7">
        <v>74.360434999999995</v>
      </c>
      <c r="AB333" s="7">
        <v>49.573624000000002</v>
      </c>
      <c r="AC333" s="7">
        <v>50</v>
      </c>
      <c r="AD333" s="7">
        <v>73.872467999999998</v>
      </c>
      <c r="AE333" s="7">
        <v>49.248311999999999</v>
      </c>
      <c r="AF333" s="7">
        <v>50</v>
      </c>
      <c r="AG333" s="7">
        <v>71.474654000000001</v>
      </c>
      <c r="AH333" s="4" t="s">
        <v>124</v>
      </c>
      <c r="AI333" s="7">
        <v>47.649769999999997</v>
      </c>
      <c r="AJ333" s="7">
        <v>50</v>
      </c>
      <c r="AK333" s="7">
        <v>-1.1200000000000001</v>
      </c>
      <c r="AL333" s="7">
        <v>0.63</v>
      </c>
      <c r="AM333" s="4" t="s">
        <v>124</v>
      </c>
      <c r="AN333" s="7">
        <v>0.86375900000000005</v>
      </c>
      <c r="AO333" s="7">
        <v>86.375941999999995</v>
      </c>
      <c r="AP333" s="7">
        <v>100</v>
      </c>
      <c r="AQ333" s="7">
        <v>0.83096899999999996</v>
      </c>
      <c r="AR333" s="7">
        <v>83.096856000000002</v>
      </c>
      <c r="AS333" s="7">
        <v>100</v>
      </c>
      <c r="AT333" s="7">
        <v>0.84257899999999997</v>
      </c>
      <c r="AU333" s="7">
        <v>0.89615299999999998</v>
      </c>
      <c r="AV333" s="7">
        <v>84.257910999999993</v>
      </c>
      <c r="AW333" s="7">
        <v>100</v>
      </c>
      <c r="AX333" s="7">
        <v>0.84540099999999996</v>
      </c>
      <c r="AY333" s="7">
        <v>0.80889500000000003</v>
      </c>
      <c r="AZ333" s="7">
        <v>84.540137999999999</v>
      </c>
      <c r="BA333" s="7">
        <v>100</v>
      </c>
      <c r="BB333" s="7">
        <v>0.77166599999999996</v>
      </c>
      <c r="BC333" s="7">
        <v>38.583286999999999</v>
      </c>
      <c r="BD333" s="7">
        <v>50</v>
      </c>
      <c r="BE333" s="7">
        <v>0.48389900000000002</v>
      </c>
      <c r="BF333" s="7">
        <v>24.194932999999999</v>
      </c>
      <c r="BG333" s="7">
        <v>50</v>
      </c>
      <c r="BH333" s="7">
        <v>0</v>
      </c>
      <c r="BI333" s="7">
        <v>0.99259299999999995</v>
      </c>
      <c r="BJ333" s="7">
        <v>0.988506</v>
      </c>
      <c r="BK333" s="7">
        <v>1</v>
      </c>
      <c r="BL333" s="7">
        <v>0.99259299999999995</v>
      </c>
      <c r="BM333" s="7">
        <v>0.988506</v>
      </c>
      <c r="BN333" s="7">
        <v>1</v>
      </c>
      <c r="BO333" s="7">
        <v>0.97916700000000001</v>
      </c>
      <c r="BP333" s="7">
        <v>0.96969700000000003</v>
      </c>
      <c r="BQ333" s="4" t="s">
        <v>124</v>
      </c>
      <c r="BR333" s="7">
        <v>4.3478000000000003E-2</v>
      </c>
      <c r="BS333" s="7">
        <v>50</v>
      </c>
      <c r="BT333" s="7">
        <v>50</v>
      </c>
      <c r="BU333" s="7">
        <v>5.6180000000000001E-2</v>
      </c>
      <c r="BV333" s="7">
        <v>48.764045000000003</v>
      </c>
      <c r="BW333" s="7">
        <v>50</v>
      </c>
      <c r="BX333" s="4" t="s">
        <v>124</v>
      </c>
      <c r="BY333" s="4" t="s">
        <v>124</v>
      </c>
      <c r="BZ333" s="4" t="s">
        <v>124</v>
      </c>
      <c r="CA333" s="4" t="s">
        <v>124</v>
      </c>
      <c r="CB333" s="4" t="s">
        <v>124</v>
      </c>
      <c r="CC333" s="4" t="s">
        <v>124</v>
      </c>
      <c r="CD333" s="4" t="s">
        <v>124</v>
      </c>
      <c r="CE333" s="4" t="s">
        <v>124</v>
      </c>
      <c r="CF333" s="4" t="s">
        <v>124</v>
      </c>
      <c r="CG333" s="4" t="s">
        <v>124</v>
      </c>
      <c r="CH333" s="4" t="s">
        <v>124</v>
      </c>
      <c r="CI333" s="4" t="s">
        <v>124</v>
      </c>
      <c r="CJ333" s="4" t="s">
        <v>124</v>
      </c>
      <c r="CK333" s="4" t="s">
        <v>124</v>
      </c>
      <c r="CL333" s="4" t="s">
        <v>124</v>
      </c>
      <c r="CM333" s="4" t="s">
        <v>124</v>
      </c>
      <c r="CN333" s="4" t="s">
        <v>124</v>
      </c>
      <c r="CO333" s="4" t="s">
        <v>124</v>
      </c>
      <c r="CP333" s="4" t="s">
        <v>124</v>
      </c>
      <c r="CQ333" s="7">
        <v>0.66</v>
      </c>
      <c r="CR333" s="7">
        <v>1</v>
      </c>
      <c r="CS333" s="7">
        <v>44</v>
      </c>
      <c r="CT333" s="7">
        <v>50</v>
      </c>
      <c r="CU333" s="4" t="s">
        <v>124</v>
      </c>
      <c r="CV333" s="4" t="s">
        <v>124</v>
      </c>
      <c r="CW333" s="4" t="s">
        <v>124</v>
      </c>
      <c r="CX333" s="4" t="s">
        <v>124</v>
      </c>
      <c r="CY333" s="4" t="s">
        <v>124</v>
      </c>
      <c r="CZ333" s="4" t="s">
        <v>124</v>
      </c>
      <c r="DA333" s="7">
        <v>15.314097</v>
      </c>
      <c r="DB333" s="7">
        <v>17.400950000000002</v>
      </c>
      <c r="DC333" s="7">
        <v>16.332519999999999</v>
      </c>
      <c r="DD333" s="4" t="s">
        <v>124</v>
      </c>
      <c r="DE333" s="7">
        <v>0</v>
      </c>
      <c r="DF333" s="6"/>
      <c r="DG333" s="6"/>
      <c r="DH333" s="4" t="s">
        <v>331</v>
      </c>
      <c r="DI333" s="4" t="s">
        <v>478</v>
      </c>
      <c r="DJ333" s="7">
        <v>1</v>
      </c>
      <c r="DK333" s="7">
        <v>1</v>
      </c>
      <c r="DL333" s="7">
        <v>0</v>
      </c>
      <c r="DM333" s="7">
        <v>1</v>
      </c>
      <c r="DN333" s="7">
        <v>1</v>
      </c>
      <c r="DO333" s="7">
        <v>0</v>
      </c>
      <c r="DP333" s="6"/>
      <c r="DQ333" s="4" t="s">
        <v>125</v>
      </c>
    </row>
    <row r="334" spans="1:121" ht="20" customHeight="1" x14ac:dyDescent="0.15">
      <c r="A334" s="5">
        <v>2018</v>
      </c>
      <c r="B334" s="3" t="s">
        <v>222</v>
      </c>
      <c r="C334" s="4" t="str">
        <f>"0340011"</f>
        <v>0340011</v>
      </c>
      <c r="D334" s="4" t="s">
        <v>479</v>
      </c>
      <c r="E334" s="4" t="str">
        <f>"0340211"</f>
        <v>0340211</v>
      </c>
      <c r="F334" s="4" t="s">
        <v>327</v>
      </c>
      <c r="G334" s="4" t="s">
        <v>328</v>
      </c>
      <c r="H334" s="7">
        <v>5</v>
      </c>
      <c r="I334" s="4" t="s">
        <v>335</v>
      </c>
      <c r="J334" s="4" t="s">
        <v>330</v>
      </c>
      <c r="K334" s="7">
        <v>783.87807499999997</v>
      </c>
      <c r="L334" s="7">
        <v>950</v>
      </c>
      <c r="M334" s="7">
        <v>82.513481999999996</v>
      </c>
      <c r="N334" s="7">
        <v>2</v>
      </c>
      <c r="O334" s="7">
        <v>0</v>
      </c>
      <c r="P334" s="7">
        <v>70.826964000000004</v>
      </c>
      <c r="Q334" s="7">
        <v>47.217976</v>
      </c>
      <c r="R334" s="7">
        <v>50</v>
      </c>
      <c r="S334" s="7">
        <v>68.997371000000001</v>
      </c>
      <c r="T334" s="7">
        <v>75</v>
      </c>
      <c r="U334" s="7">
        <v>45.998246999999999</v>
      </c>
      <c r="V334" s="7">
        <v>50</v>
      </c>
      <c r="W334" s="7">
        <v>68.406149999999997</v>
      </c>
      <c r="X334" s="7">
        <v>45.604100000000003</v>
      </c>
      <c r="Y334" s="7">
        <v>50</v>
      </c>
      <c r="Z334" s="7">
        <v>75</v>
      </c>
      <c r="AA334" s="7">
        <v>66.049706</v>
      </c>
      <c r="AB334" s="7">
        <v>44.033137000000004</v>
      </c>
      <c r="AC334" s="7">
        <v>50</v>
      </c>
      <c r="AD334" s="7">
        <v>66.841099</v>
      </c>
      <c r="AE334" s="7">
        <v>44.560732999999999</v>
      </c>
      <c r="AF334" s="7">
        <v>50</v>
      </c>
      <c r="AG334" s="7">
        <v>65.006451999999996</v>
      </c>
      <c r="AH334" s="4" t="s">
        <v>124</v>
      </c>
      <c r="AI334" s="7">
        <v>43.337634000000001</v>
      </c>
      <c r="AJ334" s="7">
        <v>50</v>
      </c>
      <c r="AK334" s="7">
        <v>6</v>
      </c>
      <c r="AL334" s="7">
        <v>8.9499999999999993</v>
      </c>
      <c r="AM334" s="4" t="s">
        <v>124</v>
      </c>
      <c r="AN334" s="7">
        <v>0.74782599999999999</v>
      </c>
      <c r="AO334" s="7">
        <v>74.782595999999998</v>
      </c>
      <c r="AP334" s="7">
        <v>100</v>
      </c>
      <c r="AQ334" s="7">
        <v>0.883521</v>
      </c>
      <c r="AR334" s="7">
        <v>88.352091000000001</v>
      </c>
      <c r="AS334" s="7">
        <v>100</v>
      </c>
      <c r="AT334" s="7">
        <v>0.75728099999999998</v>
      </c>
      <c r="AU334" s="7">
        <v>0.71301400000000004</v>
      </c>
      <c r="AV334" s="7">
        <v>75.728098000000003</v>
      </c>
      <c r="AW334" s="7">
        <v>100</v>
      </c>
      <c r="AX334" s="7">
        <v>0.85169099999999998</v>
      </c>
      <c r="AY334" s="7">
        <v>0.99926700000000002</v>
      </c>
      <c r="AZ334" s="7">
        <v>85.169072</v>
      </c>
      <c r="BA334" s="7">
        <v>100</v>
      </c>
      <c r="BB334" s="7">
        <v>0.63359299999999996</v>
      </c>
      <c r="BC334" s="7">
        <v>31.679669000000001</v>
      </c>
      <c r="BD334" s="7">
        <v>50</v>
      </c>
      <c r="BE334" s="7">
        <v>0.44134699999999999</v>
      </c>
      <c r="BF334" s="7">
        <v>22.067333999999999</v>
      </c>
      <c r="BG334" s="7">
        <v>50</v>
      </c>
      <c r="BH334" s="7">
        <v>0</v>
      </c>
      <c r="BI334" s="7">
        <v>1</v>
      </c>
      <c r="BJ334" s="7">
        <v>1</v>
      </c>
      <c r="BK334" s="7">
        <v>1</v>
      </c>
      <c r="BL334" s="7">
        <v>0.99487199999999998</v>
      </c>
      <c r="BM334" s="7">
        <v>0.99397599999999997</v>
      </c>
      <c r="BN334" s="7">
        <v>1</v>
      </c>
      <c r="BO334" s="7">
        <v>1</v>
      </c>
      <c r="BP334" s="7">
        <v>1</v>
      </c>
      <c r="BQ334" s="4" t="s">
        <v>124</v>
      </c>
      <c r="BR334" s="7">
        <v>5.7214000000000001E-2</v>
      </c>
      <c r="BS334" s="7">
        <v>48.557214000000002</v>
      </c>
      <c r="BT334" s="7">
        <v>50</v>
      </c>
      <c r="BU334" s="7">
        <v>5.8139999999999997E-2</v>
      </c>
      <c r="BV334" s="7">
        <v>48.372093</v>
      </c>
      <c r="BW334" s="7">
        <v>50</v>
      </c>
      <c r="BX334" s="4" t="s">
        <v>124</v>
      </c>
      <c r="BY334" s="4" t="s">
        <v>124</v>
      </c>
      <c r="BZ334" s="4" t="s">
        <v>124</v>
      </c>
      <c r="CA334" s="4" t="s">
        <v>124</v>
      </c>
      <c r="CB334" s="4" t="s">
        <v>124</v>
      </c>
      <c r="CC334" s="4" t="s">
        <v>124</v>
      </c>
      <c r="CD334" s="4" t="s">
        <v>124</v>
      </c>
      <c r="CE334" s="4" t="s">
        <v>124</v>
      </c>
      <c r="CF334" s="4" t="s">
        <v>124</v>
      </c>
      <c r="CG334" s="4" t="s">
        <v>124</v>
      </c>
      <c r="CH334" s="4" t="s">
        <v>124</v>
      </c>
      <c r="CI334" s="4" t="s">
        <v>124</v>
      </c>
      <c r="CJ334" s="4" t="s">
        <v>124</v>
      </c>
      <c r="CK334" s="4" t="s">
        <v>124</v>
      </c>
      <c r="CL334" s="4" t="s">
        <v>124</v>
      </c>
      <c r="CM334" s="4" t="s">
        <v>124</v>
      </c>
      <c r="CN334" s="4" t="s">
        <v>124</v>
      </c>
      <c r="CO334" s="4" t="s">
        <v>124</v>
      </c>
      <c r="CP334" s="4" t="s">
        <v>124</v>
      </c>
      <c r="CQ334" s="7">
        <v>0.57627099999999998</v>
      </c>
      <c r="CR334" s="7">
        <v>0.95161300000000004</v>
      </c>
      <c r="CS334" s="7">
        <v>38.418078999999999</v>
      </c>
      <c r="CT334" s="7">
        <v>50</v>
      </c>
      <c r="CU334" s="4" t="s">
        <v>124</v>
      </c>
      <c r="CV334" s="4" t="s">
        <v>124</v>
      </c>
      <c r="CW334" s="4" t="s">
        <v>124</v>
      </c>
      <c r="CX334" s="4" t="s">
        <v>124</v>
      </c>
      <c r="CY334" s="4" t="s">
        <v>124</v>
      </c>
      <c r="CZ334" s="4" t="s">
        <v>124</v>
      </c>
      <c r="DA334" s="7">
        <v>15.314097</v>
      </c>
      <c r="DB334" s="7">
        <v>17.400950000000002</v>
      </c>
      <c r="DC334" s="7">
        <v>16.332519999999999</v>
      </c>
      <c r="DD334" s="4" t="s">
        <v>124</v>
      </c>
      <c r="DE334" s="7">
        <v>0</v>
      </c>
      <c r="DF334" s="6"/>
      <c r="DG334" s="6"/>
      <c r="DH334" s="4" t="s">
        <v>331</v>
      </c>
      <c r="DI334" s="4" t="s">
        <v>476</v>
      </c>
      <c r="DJ334" s="7">
        <v>0</v>
      </c>
      <c r="DK334" s="7">
        <v>0</v>
      </c>
      <c r="DL334" s="7">
        <v>1</v>
      </c>
      <c r="DM334" s="7">
        <v>1</v>
      </c>
      <c r="DN334" s="7">
        <v>1</v>
      </c>
      <c r="DO334" s="7">
        <v>0</v>
      </c>
      <c r="DP334" s="6"/>
      <c r="DQ334" s="4" t="s">
        <v>125</v>
      </c>
    </row>
    <row r="335" spans="1:121" ht="20" customHeight="1" x14ac:dyDescent="0.15">
      <c r="A335" s="5">
        <v>2018</v>
      </c>
      <c r="B335" s="3" t="s">
        <v>222</v>
      </c>
      <c r="C335" s="4" t="str">
        <f t="shared" si="97"/>
        <v>0340011</v>
      </c>
      <c r="D335" s="4" t="s">
        <v>480</v>
      </c>
      <c r="E335" s="4" t="str">
        <f>"0341711"</f>
        <v>0341711</v>
      </c>
      <c r="F335" s="4" t="s">
        <v>327</v>
      </c>
      <c r="G335" s="7">
        <v>4</v>
      </c>
      <c r="H335" s="7">
        <v>5</v>
      </c>
      <c r="I335" s="4" t="s">
        <v>335</v>
      </c>
      <c r="J335" s="4" t="s">
        <v>330</v>
      </c>
      <c r="K335" s="7">
        <v>701.264544</v>
      </c>
      <c r="L335" s="7">
        <v>950</v>
      </c>
      <c r="M335" s="7">
        <v>73.817319999999995</v>
      </c>
      <c r="N335" s="7">
        <v>2</v>
      </c>
      <c r="O335" s="7">
        <v>0</v>
      </c>
      <c r="P335" s="7">
        <v>67.916413000000006</v>
      </c>
      <c r="Q335" s="7">
        <v>45.277608999999998</v>
      </c>
      <c r="R335" s="7">
        <v>50</v>
      </c>
      <c r="S335" s="7">
        <v>63.074688000000002</v>
      </c>
      <c r="T335" s="7">
        <v>75</v>
      </c>
      <c r="U335" s="7">
        <v>42.049791999999997</v>
      </c>
      <c r="V335" s="7">
        <v>50</v>
      </c>
      <c r="W335" s="7">
        <v>65.704764999999995</v>
      </c>
      <c r="X335" s="7">
        <v>43.803176000000001</v>
      </c>
      <c r="Y335" s="7">
        <v>50</v>
      </c>
      <c r="Z335" s="7">
        <v>74.510333000000003</v>
      </c>
      <c r="AA335" s="7">
        <v>60.808394999999997</v>
      </c>
      <c r="AB335" s="7">
        <v>40.538930000000001</v>
      </c>
      <c r="AC335" s="7">
        <v>50</v>
      </c>
      <c r="AD335" s="7">
        <v>66.693819000000005</v>
      </c>
      <c r="AE335" s="7">
        <v>44.462546000000003</v>
      </c>
      <c r="AF335" s="7">
        <v>50</v>
      </c>
      <c r="AG335" s="7">
        <v>62.793779000000001</v>
      </c>
      <c r="AH335" s="7">
        <v>73.213288000000006</v>
      </c>
      <c r="AI335" s="7">
        <v>41.862518999999999</v>
      </c>
      <c r="AJ335" s="7">
        <v>50</v>
      </c>
      <c r="AK335" s="7">
        <v>11.92</v>
      </c>
      <c r="AL335" s="7">
        <v>13.7</v>
      </c>
      <c r="AM335" s="7">
        <v>10.41</v>
      </c>
      <c r="AN335" s="7">
        <v>0.58263100000000001</v>
      </c>
      <c r="AO335" s="7">
        <v>58.263064</v>
      </c>
      <c r="AP335" s="7">
        <v>100</v>
      </c>
      <c r="AQ335" s="7">
        <v>0.65559900000000004</v>
      </c>
      <c r="AR335" s="7">
        <v>65.559895999999995</v>
      </c>
      <c r="AS335" s="7">
        <v>100</v>
      </c>
      <c r="AT335" s="7">
        <v>0.56665900000000002</v>
      </c>
      <c r="AU335" s="7">
        <v>0.61180199999999996</v>
      </c>
      <c r="AV335" s="7">
        <v>56.665900999999998</v>
      </c>
      <c r="AW335" s="7">
        <v>100</v>
      </c>
      <c r="AX335" s="7">
        <v>0.63536199999999998</v>
      </c>
      <c r="AY335" s="7">
        <v>0.69301299999999999</v>
      </c>
      <c r="AZ335" s="7">
        <v>63.536158</v>
      </c>
      <c r="BA335" s="7">
        <v>100</v>
      </c>
      <c r="BB335" s="7">
        <v>0.73989300000000002</v>
      </c>
      <c r="BC335" s="7">
        <v>36.994661999999998</v>
      </c>
      <c r="BD335" s="7">
        <v>50</v>
      </c>
      <c r="BE335" s="7">
        <v>0.63176399999999999</v>
      </c>
      <c r="BF335" s="7">
        <v>31.588206</v>
      </c>
      <c r="BG335" s="7">
        <v>50</v>
      </c>
      <c r="BH335" s="7">
        <v>0</v>
      </c>
      <c r="BI335" s="7">
        <v>0.99193500000000001</v>
      </c>
      <c r="BJ335" s="7">
        <v>1</v>
      </c>
      <c r="BK335" s="7">
        <v>0.97777800000000004</v>
      </c>
      <c r="BL335" s="7">
        <v>0.991892</v>
      </c>
      <c r="BM335" s="7">
        <v>1</v>
      </c>
      <c r="BN335" s="7">
        <v>0.97744399999999998</v>
      </c>
      <c r="BO335" s="7">
        <v>0.98941800000000002</v>
      </c>
      <c r="BP335" s="7">
        <v>1</v>
      </c>
      <c r="BQ335" s="7">
        <v>0.972603</v>
      </c>
      <c r="BR335" s="7">
        <v>7.3370000000000005E-2</v>
      </c>
      <c r="BS335" s="7">
        <v>45.326087000000001</v>
      </c>
      <c r="BT335" s="7">
        <v>50</v>
      </c>
      <c r="BU335" s="7">
        <v>8.5106000000000001E-2</v>
      </c>
      <c r="BV335" s="7">
        <v>42.978723000000002</v>
      </c>
      <c r="BW335" s="7">
        <v>50</v>
      </c>
      <c r="BX335" s="4" t="s">
        <v>124</v>
      </c>
      <c r="BY335" s="4" t="s">
        <v>124</v>
      </c>
      <c r="BZ335" s="4" t="s">
        <v>124</v>
      </c>
      <c r="CA335" s="4" t="s">
        <v>124</v>
      </c>
      <c r="CB335" s="4" t="s">
        <v>124</v>
      </c>
      <c r="CC335" s="4" t="s">
        <v>124</v>
      </c>
      <c r="CD335" s="4" t="s">
        <v>124</v>
      </c>
      <c r="CE335" s="4" t="s">
        <v>124</v>
      </c>
      <c r="CF335" s="4" t="s">
        <v>124</v>
      </c>
      <c r="CG335" s="4" t="s">
        <v>124</v>
      </c>
      <c r="CH335" s="4" t="s">
        <v>124</v>
      </c>
      <c r="CI335" s="4" t="s">
        <v>124</v>
      </c>
      <c r="CJ335" s="4" t="s">
        <v>124</v>
      </c>
      <c r="CK335" s="4" t="s">
        <v>124</v>
      </c>
      <c r="CL335" s="4" t="s">
        <v>124</v>
      </c>
      <c r="CM335" s="4" t="s">
        <v>124</v>
      </c>
      <c r="CN335" s="4" t="s">
        <v>124</v>
      </c>
      <c r="CO335" s="4" t="s">
        <v>124</v>
      </c>
      <c r="CP335" s="4" t="s">
        <v>124</v>
      </c>
      <c r="CQ335" s="7">
        <v>0.63535900000000001</v>
      </c>
      <c r="CR335" s="7">
        <v>1.0055559999999999</v>
      </c>
      <c r="CS335" s="7">
        <v>42.357273999999997</v>
      </c>
      <c r="CT335" s="7">
        <v>50</v>
      </c>
      <c r="CU335" s="4" t="s">
        <v>124</v>
      </c>
      <c r="CV335" s="4" t="s">
        <v>124</v>
      </c>
      <c r="CW335" s="4" t="s">
        <v>124</v>
      </c>
      <c r="CX335" s="4" t="s">
        <v>124</v>
      </c>
      <c r="CY335" s="4" t="s">
        <v>124</v>
      </c>
      <c r="CZ335" s="4" t="s">
        <v>124</v>
      </c>
      <c r="DA335" s="7">
        <v>15.314097</v>
      </c>
      <c r="DB335" s="7">
        <v>17.400950000000002</v>
      </c>
      <c r="DC335" s="7">
        <v>16.332519999999999</v>
      </c>
      <c r="DD335" s="4" t="s">
        <v>124</v>
      </c>
      <c r="DE335" s="7">
        <v>0</v>
      </c>
      <c r="DF335" s="6"/>
      <c r="DG335" s="6"/>
      <c r="DH335" s="6"/>
      <c r="DI335" s="6"/>
      <c r="DJ335" s="7">
        <v>0</v>
      </c>
      <c r="DK335" s="7">
        <v>0</v>
      </c>
      <c r="DL335" s="7">
        <v>0</v>
      </c>
      <c r="DM335" s="7">
        <v>0</v>
      </c>
      <c r="DN335" s="7">
        <v>0</v>
      </c>
      <c r="DO335" s="7">
        <v>0</v>
      </c>
      <c r="DP335" s="6"/>
      <c r="DQ335" s="4" t="s">
        <v>125</v>
      </c>
    </row>
    <row r="336" spans="1:121" ht="20" customHeight="1" x14ac:dyDescent="0.15">
      <c r="A336" s="5">
        <v>2018</v>
      </c>
      <c r="B336" s="3" t="s">
        <v>222</v>
      </c>
      <c r="C336" s="4" t="str">
        <f t="shared" si="97"/>
        <v>0340011</v>
      </c>
      <c r="D336" s="4" t="s">
        <v>481</v>
      </c>
      <c r="E336" s="4" t="str">
        <f>"0341311"</f>
        <v>0341311</v>
      </c>
      <c r="F336" s="4" t="s">
        <v>327</v>
      </c>
      <c r="G336" s="4" t="s">
        <v>338</v>
      </c>
      <c r="H336" s="7">
        <v>3</v>
      </c>
      <c r="I336" s="4" t="s">
        <v>335</v>
      </c>
      <c r="J336" s="4" t="s">
        <v>330</v>
      </c>
      <c r="K336" s="7">
        <v>426.43408799999997</v>
      </c>
      <c r="L336" s="7">
        <v>600</v>
      </c>
      <c r="M336" s="7">
        <v>71.072348000000005</v>
      </c>
      <c r="N336" s="7">
        <v>3</v>
      </c>
      <c r="O336" s="7">
        <v>1</v>
      </c>
      <c r="P336" s="7">
        <v>59.826788000000001</v>
      </c>
      <c r="Q336" s="7">
        <v>79.769049999999993</v>
      </c>
      <c r="R336" s="7">
        <v>100</v>
      </c>
      <c r="S336" s="7">
        <v>54.861930000000001</v>
      </c>
      <c r="T336" s="7">
        <v>69.488133000000005</v>
      </c>
      <c r="U336" s="7">
        <v>73.149240000000006</v>
      </c>
      <c r="V336" s="7">
        <v>100</v>
      </c>
      <c r="W336" s="7">
        <v>53.268985999999998</v>
      </c>
      <c r="X336" s="7">
        <v>71.025313999999995</v>
      </c>
      <c r="Y336" s="7">
        <v>100</v>
      </c>
      <c r="Z336" s="7">
        <v>66.712963000000002</v>
      </c>
      <c r="AA336" s="7">
        <v>46.360275000000001</v>
      </c>
      <c r="AB336" s="7">
        <v>61.813699999999997</v>
      </c>
      <c r="AC336" s="7">
        <v>100</v>
      </c>
      <c r="AD336" s="4" t="s">
        <v>124</v>
      </c>
      <c r="AE336" s="4" t="s">
        <v>124</v>
      </c>
      <c r="AF336" s="4" t="s">
        <v>124</v>
      </c>
      <c r="AG336" s="4" t="s">
        <v>124</v>
      </c>
      <c r="AH336" s="4" t="s">
        <v>124</v>
      </c>
      <c r="AI336" s="4" t="s">
        <v>124</v>
      </c>
      <c r="AJ336" s="4" t="s">
        <v>124</v>
      </c>
      <c r="AK336" s="7">
        <v>14.62</v>
      </c>
      <c r="AL336" s="7">
        <v>20.350000000000001</v>
      </c>
      <c r="AM336" s="4" t="s">
        <v>124</v>
      </c>
      <c r="AN336" s="4" t="s">
        <v>124</v>
      </c>
      <c r="AO336" s="4" t="s">
        <v>124</v>
      </c>
      <c r="AP336" s="4" t="s">
        <v>124</v>
      </c>
      <c r="AQ336" s="4" t="s">
        <v>124</v>
      </c>
      <c r="AR336" s="4" t="s">
        <v>124</v>
      </c>
      <c r="AS336" s="4" t="s">
        <v>124</v>
      </c>
      <c r="AT336" s="4" t="s">
        <v>124</v>
      </c>
      <c r="AU336" s="4" t="s">
        <v>124</v>
      </c>
      <c r="AV336" s="4" t="s">
        <v>124</v>
      </c>
      <c r="AW336" s="4" t="s">
        <v>124</v>
      </c>
      <c r="AX336" s="4" t="s">
        <v>124</v>
      </c>
      <c r="AY336" s="4" t="s">
        <v>124</v>
      </c>
      <c r="AZ336" s="4" t="s">
        <v>124</v>
      </c>
      <c r="BA336" s="4" t="s">
        <v>124</v>
      </c>
      <c r="BB336" s="7">
        <v>0.56375900000000001</v>
      </c>
      <c r="BC336" s="7">
        <v>28.187958999999999</v>
      </c>
      <c r="BD336" s="7">
        <v>50</v>
      </c>
      <c r="BE336" s="7">
        <v>0.34798600000000002</v>
      </c>
      <c r="BF336" s="7">
        <v>17.399322000000002</v>
      </c>
      <c r="BG336" s="7">
        <v>50</v>
      </c>
      <c r="BH336" s="7">
        <v>0</v>
      </c>
      <c r="BI336" s="7">
        <v>0.99159699999999995</v>
      </c>
      <c r="BJ336" s="7">
        <v>0.98765400000000003</v>
      </c>
      <c r="BK336" s="7">
        <v>1</v>
      </c>
      <c r="BL336" s="7">
        <v>0.99159699999999995</v>
      </c>
      <c r="BM336" s="7">
        <v>0.98765400000000003</v>
      </c>
      <c r="BN336" s="7">
        <v>1</v>
      </c>
      <c r="BO336" s="4" t="s">
        <v>124</v>
      </c>
      <c r="BP336" s="4" t="s">
        <v>124</v>
      </c>
      <c r="BQ336" s="4" t="s">
        <v>124</v>
      </c>
      <c r="BR336" s="7">
        <v>5.5065999999999997E-2</v>
      </c>
      <c r="BS336" s="7">
        <v>48.986784</v>
      </c>
      <c r="BT336" s="7">
        <v>50</v>
      </c>
      <c r="BU336" s="7">
        <v>6.9486000000000006E-2</v>
      </c>
      <c r="BV336" s="7">
        <v>46.102719</v>
      </c>
      <c r="BW336" s="7">
        <v>50</v>
      </c>
      <c r="BX336" s="4" t="s">
        <v>124</v>
      </c>
      <c r="BY336" s="4" t="s">
        <v>124</v>
      </c>
      <c r="BZ336" s="4" t="s">
        <v>124</v>
      </c>
      <c r="CA336" s="4" t="s">
        <v>124</v>
      </c>
      <c r="CB336" s="4" t="s">
        <v>124</v>
      </c>
      <c r="CC336" s="4" t="s">
        <v>124</v>
      </c>
      <c r="CD336" s="4" t="s">
        <v>124</v>
      </c>
      <c r="CE336" s="4" t="s">
        <v>124</v>
      </c>
      <c r="CF336" s="4" t="s">
        <v>124</v>
      </c>
      <c r="CG336" s="4" t="s">
        <v>124</v>
      </c>
      <c r="CH336" s="4" t="s">
        <v>124</v>
      </c>
      <c r="CI336" s="4" t="s">
        <v>124</v>
      </c>
      <c r="CJ336" s="4" t="s">
        <v>124</v>
      </c>
      <c r="CK336" s="4" t="s">
        <v>124</v>
      </c>
      <c r="CL336" s="4" t="s">
        <v>124</v>
      </c>
      <c r="CM336" s="4" t="s">
        <v>124</v>
      </c>
      <c r="CN336" s="4" t="s">
        <v>124</v>
      </c>
      <c r="CO336" s="4" t="s">
        <v>124</v>
      </c>
      <c r="CP336" s="4" t="s">
        <v>124</v>
      </c>
      <c r="CQ336" s="4" t="s">
        <v>124</v>
      </c>
      <c r="CR336" s="4" t="s">
        <v>124</v>
      </c>
      <c r="CS336" s="4" t="s">
        <v>124</v>
      </c>
      <c r="CT336" s="4" t="s">
        <v>124</v>
      </c>
      <c r="CU336" s="4" t="s">
        <v>124</v>
      </c>
      <c r="CV336" s="4" t="s">
        <v>124</v>
      </c>
      <c r="CW336" s="4" t="s">
        <v>124</v>
      </c>
      <c r="CX336" s="4" t="s">
        <v>124</v>
      </c>
      <c r="CY336" s="4" t="s">
        <v>124</v>
      </c>
      <c r="CZ336" s="4" t="s">
        <v>124</v>
      </c>
      <c r="DA336" s="7">
        <v>15.314097</v>
      </c>
      <c r="DB336" s="7">
        <v>17.400950000000002</v>
      </c>
      <c r="DC336" s="7">
        <v>16.332519999999999</v>
      </c>
      <c r="DD336" s="4" t="s">
        <v>124</v>
      </c>
      <c r="DE336" s="7">
        <v>1</v>
      </c>
      <c r="DF336" s="6"/>
      <c r="DG336" s="6"/>
      <c r="DH336" s="6"/>
      <c r="DI336" s="6"/>
      <c r="DJ336" s="7">
        <v>0</v>
      </c>
      <c r="DK336" s="7">
        <v>0</v>
      </c>
      <c r="DL336" s="7">
        <v>0</v>
      </c>
      <c r="DM336" s="7">
        <v>0</v>
      </c>
      <c r="DN336" s="7">
        <v>0</v>
      </c>
      <c r="DO336" s="7">
        <v>0</v>
      </c>
      <c r="DP336" s="6"/>
      <c r="DQ336" s="4" t="s">
        <v>125</v>
      </c>
    </row>
    <row r="337" spans="1:121" ht="20" customHeight="1" x14ac:dyDescent="0.15">
      <c r="A337" s="5">
        <v>2018</v>
      </c>
      <c r="B337" s="3" t="s">
        <v>222</v>
      </c>
      <c r="C337" s="4" t="str">
        <f t="shared" si="97"/>
        <v>0340011</v>
      </c>
      <c r="D337" s="4" t="s">
        <v>482</v>
      </c>
      <c r="E337" s="4" t="str">
        <f>"0340511"</f>
        <v>0340511</v>
      </c>
      <c r="F337" s="4" t="s">
        <v>327</v>
      </c>
      <c r="G337" s="4" t="s">
        <v>338</v>
      </c>
      <c r="H337" s="7">
        <v>3</v>
      </c>
      <c r="I337" s="4" t="s">
        <v>335</v>
      </c>
      <c r="J337" s="4" t="s">
        <v>330</v>
      </c>
      <c r="K337" s="7">
        <v>527.25093300000003</v>
      </c>
      <c r="L337" s="7">
        <v>600</v>
      </c>
      <c r="M337" s="7">
        <v>87.875156000000004</v>
      </c>
      <c r="N337" s="7">
        <v>1</v>
      </c>
      <c r="O337" s="7">
        <v>0</v>
      </c>
      <c r="P337" s="7">
        <v>70.534193999999999</v>
      </c>
      <c r="Q337" s="7">
        <v>94.045591999999999</v>
      </c>
      <c r="R337" s="7">
        <v>100</v>
      </c>
      <c r="S337" s="7">
        <v>68.212181000000001</v>
      </c>
      <c r="T337" s="7">
        <v>74.938012000000001</v>
      </c>
      <c r="U337" s="7">
        <v>90.949573999999998</v>
      </c>
      <c r="V337" s="7">
        <v>100</v>
      </c>
      <c r="W337" s="7">
        <v>70.192901000000006</v>
      </c>
      <c r="X337" s="7">
        <v>93.590535000000003</v>
      </c>
      <c r="Y337" s="7">
        <v>100</v>
      </c>
      <c r="Z337" s="7">
        <v>72.604566000000005</v>
      </c>
      <c r="AA337" s="7">
        <v>68.921295999999998</v>
      </c>
      <c r="AB337" s="7">
        <v>91.895061999999996</v>
      </c>
      <c r="AC337" s="7">
        <v>100</v>
      </c>
      <c r="AD337" s="4" t="s">
        <v>124</v>
      </c>
      <c r="AE337" s="4" t="s">
        <v>124</v>
      </c>
      <c r="AF337" s="4" t="s">
        <v>124</v>
      </c>
      <c r="AG337" s="4" t="s">
        <v>124</v>
      </c>
      <c r="AH337" s="4" t="s">
        <v>124</v>
      </c>
      <c r="AI337" s="4" t="s">
        <v>124</v>
      </c>
      <c r="AJ337" s="4" t="s">
        <v>124</v>
      </c>
      <c r="AK337" s="7">
        <v>6.72</v>
      </c>
      <c r="AL337" s="7">
        <v>3.68</v>
      </c>
      <c r="AM337" s="4" t="s">
        <v>124</v>
      </c>
      <c r="AN337" s="4" t="s">
        <v>124</v>
      </c>
      <c r="AO337" s="4" t="s">
        <v>124</v>
      </c>
      <c r="AP337" s="4" t="s">
        <v>124</v>
      </c>
      <c r="AQ337" s="4" t="s">
        <v>124</v>
      </c>
      <c r="AR337" s="4" t="s">
        <v>124</v>
      </c>
      <c r="AS337" s="4" t="s">
        <v>124</v>
      </c>
      <c r="AT337" s="4" t="s">
        <v>124</v>
      </c>
      <c r="AU337" s="4" t="s">
        <v>124</v>
      </c>
      <c r="AV337" s="4" t="s">
        <v>124</v>
      </c>
      <c r="AW337" s="4" t="s">
        <v>124</v>
      </c>
      <c r="AX337" s="4" t="s">
        <v>124</v>
      </c>
      <c r="AY337" s="4" t="s">
        <v>124</v>
      </c>
      <c r="AZ337" s="4" t="s">
        <v>124</v>
      </c>
      <c r="BA337" s="4" t="s">
        <v>124</v>
      </c>
      <c r="BB337" s="7">
        <v>0.69868300000000005</v>
      </c>
      <c r="BC337" s="7">
        <v>34.934136000000002</v>
      </c>
      <c r="BD337" s="7">
        <v>50</v>
      </c>
      <c r="BE337" s="7">
        <v>0.450712</v>
      </c>
      <c r="BF337" s="7">
        <v>22.535623000000001</v>
      </c>
      <c r="BG337" s="7">
        <v>50</v>
      </c>
      <c r="BH337" s="7">
        <v>0</v>
      </c>
      <c r="BI337" s="7">
        <v>1</v>
      </c>
      <c r="BJ337" s="7">
        <v>1</v>
      </c>
      <c r="BK337" s="7">
        <v>1</v>
      </c>
      <c r="BL337" s="7">
        <v>1</v>
      </c>
      <c r="BM337" s="7">
        <v>1</v>
      </c>
      <c r="BN337" s="7">
        <v>1</v>
      </c>
      <c r="BO337" s="4" t="s">
        <v>124</v>
      </c>
      <c r="BP337" s="4" t="s">
        <v>124</v>
      </c>
      <c r="BQ337" s="4" t="s">
        <v>124</v>
      </c>
      <c r="BR337" s="7">
        <v>4.6632E-2</v>
      </c>
      <c r="BS337" s="7">
        <v>50</v>
      </c>
      <c r="BT337" s="7">
        <v>50</v>
      </c>
      <c r="BU337" s="7">
        <v>5.3497999999999997E-2</v>
      </c>
      <c r="BV337" s="7">
        <v>49.300412000000001</v>
      </c>
      <c r="BW337" s="7">
        <v>50</v>
      </c>
      <c r="BX337" s="4" t="s">
        <v>124</v>
      </c>
      <c r="BY337" s="4" t="s">
        <v>124</v>
      </c>
      <c r="BZ337" s="4" t="s">
        <v>124</v>
      </c>
      <c r="CA337" s="4" t="s">
        <v>124</v>
      </c>
      <c r="CB337" s="4" t="s">
        <v>124</v>
      </c>
      <c r="CC337" s="4" t="s">
        <v>124</v>
      </c>
      <c r="CD337" s="4" t="s">
        <v>124</v>
      </c>
      <c r="CE337" s="4" t="s">
        <v>124</v>
      </c>
      <c r="CF337" s="4" t="s">
        <v>124</v>
      </c>
      <c r="CG337" s="4" t="s">
        <v>124</v>
      </c>
      <c r="CH337" s="4" t="s">
        <v>124</v>
      </c>
      <c r="CI337" s="4" t="s">
        <v>124</v>
      </c>
      <c r="CJ337" s="4" t="s">
        <v>124</v>
      </c>
      <c r="CK337" s="4" t="s">
        <v>124</v>
      </c>
      <c r="CL337" s="4" t="s">
        <v>124</v>
      </c>
      <c r="CM337" s="4" t="s">
        <v>124</v>
      </c>
      <c r="CN337" s="4" t="s">
        <v>124</v>
      </c>
      <c r="CO337" s="4" t="s">
        <v>124</v>
      </c>
      <c r="CP337" s="4" t="s">
        <v>124</v>
      </c>
      <c r="CQ337" s="4" t="s">
        <v>124</v>
      </c>
      <c r="CR337" s="4" t="s">
        <v>124</v>
      </c>
      <c r="CS337" s="4" t="s">
        <v>124</v>
      </c>
      <c r="CT337" s="4" t="s">
        <v>124</v>
      </c>
      <c r="CU337" s="4" t="s">
        <v>124</v>
      </c>
      <c r="CV337" s="4" t="s">
        <v>124</v>
      </c>
      <c r="CW337" s="4" t="s">
        <v>124</v>
      </c>
      <c r="CX337" s="4" t="s">
        <v>124</v>
      </c>
      <c r="CY337" s="4" t="s">
        <v>124</v>
      </c>
      <c r="CZ337" s="4" t="s">
        <v>124</v>
      </c>
      <c r="DA337" s="7">
        <v>15.314097</v>
      </c>
      <c r="DB337" s="7">
        <v>17.400950000000002</v>
      </c>
      <c r="DC337" s="7">
        <v>16.332519999999999</v>
      </c>
      <c r="DD337" s="4" t="s">
        <v>124</v>
      </c>
      <c r="DE337" s="7">
        <v>0</v>
      </c>
      <c r="DF337" s="6"/>
      <c r="DG337" s="6"/>
      <c r="DH337" s="4" t="s">
        <v>331</v>
      </c>
      <c r="DI337" s="4" t="s">
        <v>332</v>
      </c>
      <c r="DJ337" s="7">
        <v>1</v>
      </c>
      <c r="DK337" s="7">
        <v>0</v>
      </c>
      <c r="DL337" s="7">
        <v>0</v>
      </c>
      <c r="DM337" s="7">
        <v>0</v>
      </c>
      <c r="DN337" s="7">
        <v>0</v>
      </c>
      <c r="DO337" s="7">
        <v>0</v>
      </c>
      <c r="DP337" s="6"/>
      <c r="DQ337" s="4" t="s">
        <v>125</v>
      </c>
    </row>
    <row r="338" spans="1:121" ht="20" customHeight="1" x14ac:dyDescent="0.15">
      <c r="A338" s="5">
        <v>2018</v>
      </c>
      <c r="B338" s="3" t="s">
        <v>222</v>
      </c>
      <c r="C338" s="4" t="str">
        <f t="shared" si="97"/>
        <v>0340011</v>
      </c>
      <c r="D338" s="4" t="s">
        <v>483</v>
      </c>
      <c r="E338" s="4" t="str">
        <f>"0340611"</f>
        <v>0340611</v>
      </c>
      <c r="F338" s="4" t="s">
        <v>327</v>
      </c>
      <c r="G338" s="4" t="s">
        <v>328</v>
      </c>
      <c r="H338" s="7">
        <v>5</v>
      </c>
      <c r="I338" s="4" t="s">
        <v>335</v>
      </c>
      <c r="J338" s="4" t="s">
        <v>330</v>
      </c>
      <c r="K338" s="7">
        <v>677.65896399999997</v>
      </c>
      <c r="L338" s="7">
        <v>950</v>
      </c>
      <c r="M338" s="7">
        <v>71.332522999999995</v>
      </c>
      <c r="N338" s="7">
        <v>2</v>
      </c>
      <c r="O338" s="7">
        <v>0</v>
      </c>
      <c r="P338" s="7">
        <v>64.826864999999998</v>
      </c>
      <c r="Q338" s="7">
        <v>43.217910000000003</v>
      </c>
      <c r="R338" s="7">
        <v>50</v>
      </c>
      <c r="S338" s="7">
        <v>64.782281999999995</v>
      </c>
      <c r="T338" s="4" t="s">
        <v>124</v>
      </c>
      <c r="U338" s="7">
        <v>43.188187999999997</v>
      </c>
      <c r="V338" s="7">
        <v>50</v>
      </c>
      <c r="W338" s="7">
        <v>59.363593999999999</v>
      </c>
      <c r="X338" s="7">
        <v>39.575729000000003</v>
      </c>
      <c r="Y338" s="7">
        <v>50</v>
      </c>
      <c r="Z338" s="4" t="s">
        <v>124</v>
      </c>
      <c r="AA338" s="7">
        <v>59.428930000000001</v>
      </c>
      <c r="AB338" s="7">
        <v>39.619287</v>
      </c>
      <c r="AC338" s="7">
        <v>50</v>
      </c>
      <c r="AD338" s="7">
        <v>62.195664000000001</v>
      </c>
      <c r="AE338" s="7">
        <v>41.463776000000003</v>
      </c>
      <c r="AF338" s="7">
        <v>50</v>
      </c>
      <c r="AG338" s="7">
        <v>62.211044000000001</v>
      </c>
      <c r="AH338" s="4" t="s">
        <v>124</v>
      </c>
      <c r="AI338" s="7">
        <v>41.474029999999999</v>
      </c>
      <c r="AJ338" s="7">
        <v>50</v>
      </c>
      <c r="AK338" s="4" t="s">
        <v>124</v>
      </c>
      <c r="AL338" s="4" t="s">
        <v>124</v>
      </c>
      <c r="AM338" s="4" t="s">
        <v>124</v>
      </c>
      <c r="AN338" s="7">
        <v>0.56340299999999999</v>
      </c>
      <c r="AO338" s="7">
        <v>56.340321000000003</v>
      </c>
      <c r="AP338" s="7">
        <v>100</v>
      </c>
      <c r="AQ338" s="7">
        <v>0.66910700000000001</v>
      </c>
      <c r="AR338" s="7">
        <v>66.910728000000006</v>
      </c>
      <c r="AS338" s="7">
        <v>100</v>
      </c>
      <c r="AT338" s="7">
        <v>0.56496000000000002</v>
      </c>
      <c r="AU338" s="4" t="s">
        <v>124</v>
      </c>
      <c r="AV338" s="7">
        <v>56.495992999999999</v>
      </c>
      <c r="AW338" s="7">
        <v>100</v>
      </c>
      <c r="AX338" s="7">
        <v>0.65656899999999996</v>
      </c>
      <c r="AY338" s="4" t="s">
        <v>124</v>
      </c>
      <c r="AZ338" s="7">
        <v>65.656932999999995</v>
      </c>
      <c r="BA338" s="7">
        <v>100</v>
      </c>
      <c r="BB338" s="7">
        <v>0.60544200000000004</v>
      </c>
      <c r="BC338" s="7">
        <v>30.272112</v>
      </c>
      <c r="BD338" s="7">
        <v>50</v>
      </c>
      <c r="BE338" s="7">
        <v>0.53554599999999997</v>
      </c>
      <c r="BF338" s="7">
        <v>26.777291999999999</v>
      </c>
      <c r="BG338" s="7">
        <v>50</v>
      </c>
      <c r="BH338" s="7">
        <v>0</v>
      </c>
      <c r="BI338" s="7">
        <v>1</v>
      </c>
      <c r="BJ338" s="7">
        <v>1</v>
      </c>
      <c r="BK338" s="4" t="s">
        <v>124</v>
      </c>
      <c r="BL338" s="7">
        <v>1</v>
      </c>
      <c r="BM338" s="7">
        <v>1</v>
      </c>
      <c r="BN338" s="4" t="s">
        <v>124</v>
      </c>
      <c r="BO338" s="7">
        <v>1</v>
      </c>
      <c r="BP338" s="7">
        <v>1</v>
      </c>
      <c r="BQ338" s="4" t="s">
        <v>124</v>
      </c>
      <c r="BR338" s="7">
        <v>2.6012E-2</v>
      </c>
      <c r="BS338" s="7">
        <v>50</v>
      </c>
      <c r="BT338" s="7">
        <v>50</v>
      </c>
      <c r="BU338" s="7">
        <v>2.1406999999999999E-2</v>
      </c>
      <c r="BV338" s="7">
        <v>50</v>
      </c>
      <c r="BW338" s="7">
        <v>50</v>
      </c>
      <c r="BX338" s="4" t="s">
        <v>124</v>
      </c>
      <c r="BY338" s="4" t="s">
        <v>124</v>
      </c>
      <c r="BZ338" s="4" t="s">
        <v>124</v>
      </c>
      <c r="CA338" s="4" t="s">
        <v>124</v>
      </c>
      <c r="CB338" s="4" t="s">
        <v>124</v>
      </c>
      <c r="CC338" s="4" t="s">
        <v>124</v>
      </c>
      <c r="CD338" s="4" t="s">
        <v>124</v>
      </c>
      <c r="CE338" s="4" t="s">
        <v>124</v>
      </c>
      <c r="CF338" s="4" t="s">
        <v>124</v>
      </c>
      <c r="CG338" s="4" t="s">
        <v>124</v>
      </c>
      <c r="CH338" s="4" t="s">
        <v>124</v>
      </c>
      <c r="CI338" s="4" t="s">
        <v>124</v>
      </c>
      <c r="CJ338" s="4" t="s">
        <v>124</v>
      </c>
      <c r="CK338" s="4" t="s">
        <v>124</v>
      </c>
      <c r="CL338" s="4" t="s">
        <v>124</v>
      </c>
      <c r="CM338" s="4" t="s">
        <v>124</v>
      </c>
      <c r="CN338" s="4" t="s">
        <v>124</v>
      </c>
      <c r="CO338" s="4" t="s">
        <v>124</v>
      </c>
      <c r="CP338" s="4" t="s">
        <v>124</v>
      </c>
      <c r="CQ338" s="7">
        <v>0.4</v>
      </c>
      <c r="CR338" s="7">
        <v>1</v>
      </c>
      <c r="CS338" s="7">
        <v>26.666667</v>
      </c>
      <c r="CT338" s="7">
        <v>50</v>
      </c>
      <c r="CU338" s="4" t="s">
        <v>124</v>
      </c>
      <c r="CV338" s="4" t="s">
        <v>124</v>
      </c>
      <c r="CW338" s="4" t="s">
        <v>124</v>
      </c>
      <c r="CX338" s="4" t="s">
        <v>124</v>
      </c>
      <c r="CY338" s="4" t="s">
        <v>124</v>
      </c>
      <c r="CZ338" s="4" t="s">
        <v>124</v>
      </c>
      <c r="DA338" s="7">
        <v>15.314097</v>
      </c>
      <c r="DB338" s="7">
        <v>17.400950000000002</v>
      </c>
      <c r="DC338" s="7">
        <v>16.332519999999999</v>
      </c>
      <c r="DD338" s="4" t="s">
        <v>124</v>
      </c>
      <c r="DE338" s="7">
        <v>0</v>
      </c>
      <c r="DF338" s="6"/>
      <c r="DG338" s="6"/>
      <c r="DH338" s="6"/>
      <c r="DI338" s="6"/>
      <c r="DJ338" s="7">
        <v>0</v>
      </c>
      <c r="DK338" s="7">
        <v>0</v>
      </c>
      <c r="DL338" s="7">
        <v>0</v>
      </c>
      <c r="DM338" s="7">
        <v>0</v>
      </c>
      <c r="DN338" s="7">
        <v>0</v>
      </c>
      <c r="DO338" s="7">
        <v>0</v>
      </c>
      <c r="DP338" s="6"/>
      <c r="DQ338" s="4" t="s">
        <v>125</v>
      </c>
    </row>
    <row r="339" spans="1:121" ht="20" customHeight="1" x14ac:dyDescent="0.15">
      <c r="A339" s="5">
        <v>2018</v>
      </c>
      <c r="B339" s="3" t="s">
        <v>222</v>
      </c>
      <c r="C339" s="4" t="str">
        <f t="shared" si="97"/>
        <v>0340011</v>
      </c>
      <c r="D339" s="4" t="s">
        <v>484</v>
      </c>
      <c r="E339" s="4" t="str">
        <f>"0340811"</f>
        <v>0340811</v>
      </c>
      <c r="F339" s="4" t="s">
        <v>327</v>
      </c>
      <c r="G339" s="4" t="s">
        <v>338</v>
      </c>
      <c r="H339" s="7">
        <v>5</v>
      </c>
      <c r="I339" s="4" t="s">
        <v>335</v>
      </c>
      <c r="J339" s="4" t="s">
        <v>330</v>
      </c>
      <c r="K339" s="7">
        <v>727.21081900000001</v>
      </c>
      <c r="L339" s="7">
        <v>950</v>
      </c>
      <c r="M339" s="7">
        <v>76.548507000000001</v>
      </c>
      <c r="N339" s="7">
        <v>2</v>
      </c>
      <c r="O339" s="7">
        <v>0</v>
      </c>
      <c r="P339" s="7">
        <v>65.947002999999995</v>
      </c>
      <c r="Q339" s="7">
        <v>43.964669000000001</v>
      </c>
      <c r="R339" s="7">
        <v>50</v>
      </c>
      <c r="S339" s="7">
        <v>65.061145999999994</v>
      </c>
      <c r="T339" s="7">
        <v>73.729890999999995</v>
      </c>
      <c r="U339" s="7">
        <v>43.374096999999999</v>
      </c>
      <c r="V339" s="7">
        <v>50</v>
      </c>
      <c r="W339" s="7">
        <v>67.456755000000001</v>
      </c>
      <c r="X339" s="7">
        <v>44.971170000000001</v>
      </c>
      <c r="Y339" s="7">
        <v>50</v>
      </c>
      <c r="Z339" s="7">
        <v>74.066370000000006</v>
      </c>
      <c r="AA339" s="7">
        <v>66.704441000000003</v>
      </c>
      <c r="AB339" s="7">
        <v>44.469627000000003</v>
      </c>
      <c r="AC339" s="7">
        <v>50</v>
      </c>
      <c r="AD339" s="7">
        <v>62.494624000000002</v>
      </c>
      <c r="AE339" s="7">
        <v>41.663082000000003</v>
      </c>
      <c r="AF339" s="7">
        <v>50</v>
      </c>
      <c r="AG339" s="7">
        <v>60.890323000000002</v>
      </c>
      <c r="AH339" s="4" t="s">
        <v>124</v>
      </c>
      <c r="AI339" s="7">
        <v>40.593547999999998</v>
      </c>
      <c r="AJ339" s="7">
        <v>50</v>
      </c>
      <c r="AK339" s="7">
        <v>8.66</v>
      </c>
      <c r="AL339" s="7">
        <v>7.36</v>
      </c>
      <c r="AM339" s="4" t="s">
        <v>124</v>
      </c>
      <c r="AN339" s="7">
        <v>0.65440299999999996</v>
      </c>
      <c r="AO339" s="7">
        <v>65.440333999999993</v>
      </c>
      <c r="AP339" s="7">
        <v>100</v>
      </c>
      <c r="AQ339" s="7">
        <v>0.75783400000000001</v>
      </c>
      <c r="AR339" s="7">
        <v>75.783407999999994</v>
      </c>
      <c r="AS339" s="7">
        <v>100</v>
      </c>
      <c r="AT339" s="7">
        <v>0.64020100000000002</v>
      </c>
      <c r="AU339" s="4" t="s">
        <v>124</v>
      </c>
      <c r="AV339" s="7">
        <v>64.020146999999994</v>
      </c>
      <c r="AW339" s="7">
        <v>100</v>
      </c>
      <c r="AX339" s="7">
        <v>0.74978</v>
      </c>
      <c r="AY339" s="4" t="s">
        <v>124</v>
      </c>
      <c r="AZ339" s="7">
        <v>74.978032999999996</v>
      </c>
      <c r="BA339" s="7">
        <v>100</v>
      </c>
      <c r="BB339" s="7">
        <v>0.65968599999999999</v>
      </c>
      <c r="BC339" s="7">
        <v>32.984293999999998</v>
      </c>
      <c r="BD339" s="7">
        <v>50</v>
      </c>
      <c r="BE339" s="7">
        <v>0.53137500000000004</v>
      </c>
      <c r="BF339" s="7">
        <v>26.568742</v>
      </c>
      <c r="BG339" s="7">
        <v>50</v>
      </c>
      <c r="BH339" s="7">
        <v>0</v>
      </c>
      <c r="BI339" s="7">
        <v>0.99691399999999997</v>
      </c>
      <c r="BJ339" s="7">
        <v>0.99656400000000001</v>
      </c>
      <c r="BK339" s="7">
        <v>1</v>
      </c>
      <c r="BL339" s="7">
        <v>0.99691399999999997</v>
      </c>
      <c r="BM339" s="7">
        <v>0.99656400000000001</v>
      </c>
      <c r="BN339" s="7">
        <v>1</v>
      </c>
      <c r="BO339" s="7">
        <v>1</v>
      </c>
      <c r="BP339" s="7">
        <v>1</v>
      </c>
      <c r="BQ339" s="4" t="s">
        <v>124</v>
      </c>
      <c r="BR339" s="7">
        <v>7.8312999999999994E-2</v>
      </c>
      <c r="BS339" s="7">
        <v>44.337349000000003</v>
      </c>
      <c r="BT339" s="7">
        <v>50</v>
      </c>
      <c r="BU339" s="7">
        <v>8.3892999999999995E-2</v>
      </c>
      <c r="BV339" s="7">
        <v>43.221477</v>
      </c>
      <c r="BW339" s="7">
        <v>50</v>
      </c>
      <c r="BX339" s="4" t="s">
        <v>124</v>
      </c>
      <c r="BY339" s="4" t="s">
        <v>124</v>
      </c>
      <c r="BZ339" s="4" t="s">
        <v>124</v>
      </c>
      <c r="CA339" s="4" t="s">
        <v>124</v>
      </c>
      <c r="CB339" s="4" t="s">
        <v>124</v>
      </c>
      <c r="CC339" s="4" t="s">
        <v>124</v>
      </c>
      <c r="CD339" s="4" t="s">
        <v>124</v>
      </c>
      <c r="CE339" s="4" t="s">
        <v>124</v>
      </c>
      <c r="CF339" s="4" t="s">
        <v>124</v>
      </c>
      <c r="CG339" s="4" t="s">
        <v>124</v>
      </c>
      <c r="CH339" s="4" t="s">
        <v>124</v>
      </c>
      <c r="CI339" s="4" t="s">
        <v>124</v>
      </c>
      <c r="CJ339" s="4" t="s">
        <v>124</v>
      </c>
      <c r="CK339" s="4" t="s">
        <v>124</v>
      </c>
      <c r="CL339" s="4" t="s">
        <v>124</v>
      </c>
      <c r="CM339" s="4" t="s">
        <v>124</v>
      </c>
      <c r="CN339" s="4" t="s">
        <v>124</v>
      </c>
      <c r="CO339" s="4" t="s">
        <v>124</v>
      </c>
      <c r="CP339" s="4" t="s">
        <v>124</v>
      </c>
      <c r="CQ339" s="7">
        <v>0.61261299999999996</v>
      </c>
      <c r="CR339" s="7">
        <v>1.009091</v>
      </c>
      <c r="CS339" s="7">
        <v>40.840840999999998</v>
      </c>
      <c r="CT339" s="7">
        <v>50</v>
      </c>
      <c r="CU339" s="4" t="s">
        <v>124</v>
      </c>
      <c r="CV339" s="4" t="s">
        <v>124</v>
      </c>
      <c r="CW339" s="4" t="s">
        <v>124</v>
      </c>
      <c r="CX339" s="4" t="s">
        <v>124</v>
      </c>
      <c r="CY339" s="4" t="s">
        <v>124</v>
      </c>
      <c r="CZ339" s="4" t="s">
        <v>124</v>
      </c>
      <c r="DA339" s="7">
        <v>15.314097</v>
      </c>
      <c r="DB339" s="7">
        <v>17.400950000000002</v>
      </c>
      <c r="DC339" s="7">
        <v>16.332519999999999</v>
      </c>
      <c r="DD339" s="4" t="s">
        <v>124</v>
      </c>
      <c r="DE339" s="7">
        <v>0</v>
      </c>
      <c r="DF339" s="6"/>
      <c r="DG339" s="6"/>
      <c r="DH339" s="6"/>
      <c r="DI339" s="6"/>
      <c r="DJ339" s="7">
        <v>0</v>
      </c>
      <c r="DK339" s="7">
        <v>0</v>
      </c>
      <c r="DL339" s="7">
        <v>0</v>
      </c>
      <c r="DM339" s="7">
        <v>0</v>
      </c>
      <c r="DN339" s="7">
        <v>0</v>
      </c>
      <c r="DO339" s="7">
        <v>0</v>
      </c>
      <c r="DP339" s="6"/>
      <c r="DQ339" s="4" t="s">
        <v>125</v>
      </c>
    </row>
    <row r="340" spans="1:121" ht="20" customHeight="1" x14ac:dyDescent="0.15">
      <c r="A340" s="5">
        <v>2018</v>
      </c>
      <c r="B340" s="3" t="s">
        <v>222</v>
      </c>
      <c r="C340" s="4" t="str">
        <f t="shared" si="97"/>
        <v>0340011</v>
      </c>
      <c r="D340" s="4" t="s">
        <v>485</v>
      </c>
      <c r="E340" s="4" t="str">
        <f>"0341511"</f>
        <v>0341511</v>
      </c>
      <c r="F340" s="4" t="s">
        <v>327</v>
      </c>
      <c r="G340" s="4" t="s">
        <v>338</v>
      </c>
      <c r="H340" s="7">
        <v>5</v>
      </c>
      <c r="I340" s="4" t="s">
        <v>335</v>
      </c>
      <c r="J340" s="4" t="s">
        <v>330</v>
      </c>
      <c r="K340" s="7">
        <v>605.266076</v>
      </c>
      <c r="L340" s="7">
        <v>950</v>
      </c>
      <c r="M340" s="7">
        <v>63.712218999999997</v>
      </c>
      <c r="N340" s="7">
        <v>3</v>
      </c>
      <c r="O340" s="7">
        <v>1</v>
      </c>
      <c r="P340" s="7">
        <v>62.212449999999997</v>
      </c>
      <c r="Q340" s="7">
        <v>41.474966999999999</v>
      </c>
      <c r="R340" s="7">
        <v>50</v>
      </c>
      <c r="S340" s="7">
        <v>52.879274000000002</v>
      </c>
      <c r="T340" s="7">
        <v>75</v>
      </c>
      <c r="U340" s="7">
        <v>35.252848999999998</v>
      </c>
      <c r="V340" s="7">
        <v>50</v>
      </c>
      <c r="W340" s="7">
        <v>57.005388000000004</v>
      </c>
      <c r="X340" s="7">
        <v>38.003591999999998</v>
      </c>
      <c r="Y340" s="7">
        <v>50</v>
      </c>
      <c r="Z340" s="7">
        <v>74.026779000000005</v>
      </c>
      <c r="AA340" s="7">
        <v>47.236589000000002</v>
      </c>
      <c r="AB340" s="7">
        <v>31.491059</v>
      </c>
      <c r="AC340" s="7">
        <v>50</v>
      </c>
      <c r="AD340" s="7">
        <v>60.401434000000002</v>
      </c>
      <c r="AE340" s="7">
        <v>40.267622000000003</v>
      </c>
      <c r="AF340" s="7">
        <v>50</v>
      </c>
      <c r="AG340" s="7">
        <v>51.235247999999999</v>
      </c>
      <c r="AH340" s="7">
        <v>75</v>
      </c>
      <c r="AI340" s="7">
        <v>34.156832000000001</v>
      </c>
      <c r="AJ340" s="7">
        <v>50</v>
      </c>
      <c r="AK340" s="7">
        <v>22.12</v>
      </c>
      <c r="AL340" s="7">
        <v>26.79</v>
      </c>
      <c r="AM340" s="7">
        <v>23.76</v>
      </c>
      <c r="AN340" s="7">
        <v>0.62437699999999996</v>
      </c>
      <c r="AO340" s="7">
        <v>62.437665000000003</v>
      </c>
      <c r="AP340" s="7">
        <v>100</v>
      </c>
      <c r="AQ340" s="7">
        <v>0.69852599999999998</v>
      </c>
      <c r="AR340" s="7">
        <v>69.85257</v>
      </c>
      <c r="AS340" s="7">
        <v>100</v>
      </c>
      <c r="AT340" s="7">
        <v>0.56108100000000005</v>
      </c>
      <c r="AU340" s="7">
        <v>0.72233400000000003</v>
      </c>
      <c r="AV340" s="7">
        <v>56.108110000000003</v>
      </c>
      <c r="AW340" s="7">
        <v>100</v>
      </c>
      <c r="AX340" s="7">
        <v>0.62741499999999994</v>
      </c>
      <c r="AY340" s="7">
        <v>0.80857800000000002</v>
      </c>
      <c r="AZ340" s="7">
        <v>62.741487999999997</v>
      </c>
      <c r="BA340" s="7">
        <v>100</v>
      </c>
      <c r="BB340" s="7">
        <v>0.56457100000000005</v>
      </c>
      <c r="BC340" s="7">
        <v>28.228549999999998</v>
      </c>
      <c r="BD340" s="7">
        <v>50</v>
      </c>
      <c r="BE340" s="7">
        <v>0.42028199999999999</v>
      </c>
      <c r="BF340" s="7">
        <v>21.014075999999999</v>
      </c>
      <c r="BG340" s="7">
        <v>50</v>
      </c>
      <c r="BH340" s="7">
        <v>0</v>
      </c>
      <c r="BI340" s="7">
        <v>0.99473699999999998</v>
      </c>
      <c r="BJ340" s="7">
        <v>1</v>
      </c>
      <c r="BK340" s="7">
        <v>0.98507500000000003</v>
      </c>
      <c r="BL340" s="7">
        <v>0.99476399999999998</v>
      </c>
      <c r="BM340" s="7">
        <v>1</v>
      </c>
      <c r="BN340" s="7">
        <v>0.98507500000000003</v>
      </c>
      <c r="BO340" s="7">
        <v>1</v>
      </c>
      <c r="BP340" s="7">
        <v>1</v>
      </c>
      <c r="BQ340" s="7">
        <v>1</v>
      </c>
      <c r="BR340" s="7">
        <v>0.113314</v>
      </c>
      <c r="BS340" s="7">
        <v>37.337110000000003</v>
      </c>
      <c r="BT340" s="7">
        <v>50</v>
      </c>
      <c r="BU340" s="7">
        <v>0.14574899999999999</v>
      </c>
      <c r="BV340" s="7">
        <v>30.850201999999999</v>
      </c>
      <c r="BW340" s="7">
        <v>50</v>
      </c>
      <c r="BX340" s="4" t="s">
        <v>124</v>
      </c>
      <c r="BY340" s="4" t="s">
        <v>124</v>
      </c>
      <c r="BZ340" s="4" t="s">
        <v>124</v>
      </c>
      <c r="CA340" s="4" t="s">
        <v>124</v>
      </c>
      <c r="CB340" s="4" t="s">
        <v>124</v>
      </c>
      <c r="CC340" s="4" t="s">
        <v>124</v>
      </c>
      <c r="CD340" s="4" t="s">
        <v>124</v>
      </c>
      <c r="CE340" s="4" t="s">
        <v>124</v>
      </c>
      <c r="CF340" s="4" t="s">
        <v>124</v>
      </c>
      <c r="CG340" s="4" t="s">
        <v>124</v>
      </c>
      <c r="CH340" s="4" t="s">
        <v>124</v>
      </c>
      <c r="CI340" s="4" t="s">
        <v>124</v>
      </c>
      <c r="CJ340" s="4" t="s">
        <v>124</v>
      </c>
      <c r="CK340" s="4" t="s">
        <v>124</v>
      </c>
      <c r="CL340" s="4" t="s">
        <v>124</v>
      </c>
      <c r="CM340" s="4" t="s">
        <v>124</v>
      </c>
      <c r="CN340" s="4" t="s">
        <v>124</v>
      </c>
      <c r="CO340" s="4" t="s">
        <v>124</v>
      </c>
      <c r="CP340" s="4" t="s">
        <v>124</v>
      </c>
      <c r="CQ340" s="7">
        <v>0.48148099999999999</v>
      </c>
      <c r="CR340" s="7">
        <v>0.81818199999999996</v>
      </c>
      <c r="CS340" s="7">
        <v>16.049382999999999</v>
      </c>
      <c r="CT340" s="7">
        <v>50</v>
      </c>
      <c r="CU340" s="4" t="s">
        <v>124</v>
      </c>
      <c r="CV340" s="4" t="s">
        <v>124</v>
      </c>
      <c r="CW340" s="4" t="s">
        <v>124</v>
      </c>
      <c r="CX340" s="4" t="s">
        <v>124</v>
      </c>
      <c r="CY340" s="4" t="s">
        <v>124</v>
      </c>
      <c r="CZ340" s="4" t="s">
        <v>124</v>
      </c>
      <c r="DA340" s="7">
        <v>15.314097</v>
      </c>
      <c r="DB340" s="7">
        <v>17.400950000000002</v>
      </c>
      <c r="DC340" s="7">
        <v>16.332519999999999</v>
      </c>
      <c r="DD340" s="4" t="s">
        <v>124</v>
      </c>
      <c r="DE340" s="7">
        <v>1</v>
      </c>
      <c r="DF340" s="6"/>
      <c r="DG340" s="6"/>
      <c r="DH340" s="6"/>
      <c r="DI340" s="6"/>
      <c r="DJ340" s="7">
        <v>0</v>
      </c>
      <c r="DK340" s="7">
        <v>0</v>
      </c>
      <c r="DL340" s="7">
        <v>0</v>
      </c>
      <c r="DM340" s="7">
        <v>0</v>
      </c>
      <c r="DN340" s="7">
        <v>0</v>
      </c>
      <c r="DO340" s="7">
        <v>0</v>
      </c>
      <c r="DP340" s="6"/>
      <c r="DQ340" s="4" t="s">
        <v>125</v>
      </c>
    </row>
    <row r="341" spans="1:121" ht="20" customHeight="1" x14ac:dyDescent="0.15">
      <c r="A341" s="5">
        <v>2018</v>
      </c>
      <c r="B341" s="3" t="s">
        <v>222</v>
      </c>
      <c r="C341" s="4" t="str">
        <f t="shared" si="97"/>
        <v>0340011</v>
      </c>
      <c r="D341" s="4" t="s">
        <v>486</v>
      </c>
      <c r="E341" s="4" t="str">
        <f>"0345211"</f>
        <v>0345211</v>
      </c>
      <c r="F341" s="4" t="s">
        <v>327</v>
      </c>
      <c r="G341" s="7">
        <v>6</v>
      </c>
      <c r="H341" s="7">
        <v>8</v>
      </c>
      <c r="I341" s="6"/>
      <c r="J341" s="4" t="s">
        <v>330</v>
      </c>
      <c r="K341" s="7">
        <v>620.53521799999999</v>
      </c>
      <c r="L341" s="7">
        <v>1000</v>
      </c>
      <c r="M341" s="7">
        <v>62.053522000000001</v>
      </c>
      <c r="N341" s="7">
        <v>3</v>
      </c>
      <c r="O341" s="7">
        <v>1</v>
      </c>
      <c r="P341" s="7">
        <v>58.983547999999999</v>
      </c>
      <c r="Q341" s="7">
        <v>39.322364999999998</v>
      </c>
      <c r="R341" s="7">
        <v>50</v>
      </c>
      <c r="S341" s="7">
        <v>55.575848999999998</v>
      </c>
      <c r="T341" s="7">
        <v>74.848529999999997</v>
      </c>
      <c r="U341" s="7">
        <v>37.050566000000003</v>
      </c>
      <c r="V341" s="7">
        <v>50</v>
      </c>
      <c r="W341" s="7">
        <v>50.308902000000003</v>
      </c>
      <c r="X341" s="7">
        <v>33.539268</v>
      </c>
      <c r="Y341" s="7">
        <v>50</v>
      </c>
      <c r="Z341" s="7">
        <v>63.987062999999999</v>
      </c>
      <c r="AA341" s="7">
        <v>47.354106999999999</v>
      </c>
      <c r="AB341" s="7">
        <v>31.569403999999999</v>
      </c>
      <c r="AC341" s="7">
        <v>50</v>
      </c>
      <c r="AD341" s="7">
        <v>53.648944999999998</v>
      </c>
      <c r="AE341" s="7">
        <v>35.765962999999999</v>
      </c>
      <c r="AF341" s="7">
        <v>50</v>
      </c>
      <c r="AG341" s="7">
        <v>50.286177000000002</v>
      </c>
      <c r="AH341" s="7">
        <v>65.754907000000003</v>
      </c>
      <c r="AI341" s="7">
        <v>33.524118000000001</v>
      </c>
      <c r="AJ341" s="7">
        <v>50</v>
      </c>
      <c r="AK341" s="7">
        <v>19.27</v>
      </c>
      <c r="AL341" s="7">
        <v>16.63</v>
      </c>
      <c r="AM341" s="7">
        <v>15.46</v>
      </c>
      <c r="AN341" s="7">
        <v>0.476935</v>
      </c>
      <c r="AO341" s="7">
        <v>47.693536000000002</v>
      </c>
      <c r="AP341" s="7">
        <v>100</v>
      </c>
      <c r="AQ341" s="7">
        <v>0.41278599999999999</v>
      </c>
      <c r="AR341" s="7">
        <v>41.278609000000003</v>
      </c>
      <c r="AS341" s="7">
        <v>100</v>
      </c>
      <c r="AT341" s="7">
        <v>0.45798699999999998</v>
      </c>
      <c r="AU341" s="7">
        <v>0.56519299999999995</v>
      </c>
      <c r="AV341" s="7">
        <v>45.798741</v>
      </c>
      <c r="AW341" s="7">
        <v>100</v>
      </c>
      <c r="AX341" s="7">
        <v>0.39760299999999998</v>
      </c>
      <c r="AY341" s="7">
        <v>0.48357499999999998</v>
      </c>
      <c r="AZ341" s="7">
        <v>39.760264999999997</v>
      </c>
      <c r="BA341" s="7">
        <v>100</v>
      </c>
      <c r="BB341" s="7">
        <v>0.65878099999999995</v>
      </c>
      <c r="BC341" s="7">
        <v>32.939041000000003</v>
      </c>
      <c r="BD341" s="7">
        <v>50</v>
      </c>
      <c r="BE341" s="7">
        <v>0.65476199999999996</v>
      </c>
      <c r="BF341" s="7">
        <v>32.738092999999999</v>
      </c>
      <c r="BG341" s="7">
        <v>50</v>
      </c>
      <c r="BH341" s="7">
        <v>0</v>
      </c>
      <c r="BI341" s="7">
        <v>0.99605100000000002</v>
      </c>
      <c r="BJ341" s="7">
        <v>0.99532200000000004</v>
      </c>
      <c r="BK341" s="7">
        <v>1</v>
      </c>
      <c r="BL341" s="7">
        <v>0.99211000000000005</v>
      </c>
      <c r="BM341" s="7">
        <v>0.99065400000000003</v>
      </c>
      <c r="BN341" s="7">
        <v>1</v>
      </c>
      <c r="BO341" s="7">
        <v>0.99147700000000005</v>
      </c>
      <c r="BP341" s="7">
        <v>0.98947399999999996</v>
      </c>
      <c r="BQ341" s="7">
        <v>1</v>
      </c>
      <c r="BR341" s="7">
        <v>6.7979999999999999E-2</v>
      </c>
      <c r="BS341" s="7">
        <v>46.403941000000003</v>
      </c>
      <c r="BT341" s="7">
        <v>50</v>
      </c>
      <c r="BU341" s="7">
        <v>7.3112999999999997E-2</v>
      </c>
      <c r="BV341" s="7">
        <v>45.377358000000001</v>
      </c>
      <c r="BW341" s="7">
        <v>50</v>
      </c>
      <c r="BX341" s="4" t="s">
        <v>124</v>
      </c>
      <c r="BY341" s="4" t="s">
        <v>124</v>
      </c>
      <c r="BZ341" s="4" t="s">
        <v>124</v>
      </c>
      <c r="CA341" s="4" t="s">
        <v>124</v>
      </c>
      <c r="CB341" s="4" t="s">
        <v>124</v>
      </c>
      <c r="CC341" s="4" t="s">
        <v>124</v>
      </c>
      <c r="CD341" s="7">
        <v>0.88925100000000001</v>
      </c>
      <c r="CE341" s="7">
        <v>47.300575000000002</v>
      </c>
      <c r="CF341" s="7">
        <v>50</v>
      </c>
      <c r="CG341" s="4" t="s">
        <v>124</v>
      </c>
      <c r="CH341" s="4" t="s">
        <v>124</v>
      </c>
      <c r="CI341" s="4" t="s">
        <v>124</v>
      </c>
      <c r="CJ341" s="4" t="s">
        <v>124</v>
      </c>
      <c r="CK341" s="4" t="s">
        <v>124</v>
      </c>
      <c r="CL341" s="4" t="s">
        <v>124</v>
      </c>
      <c r="CM341" s="4" t="s">
        <v>124</v>
      </c>
      <c r="CN341" s="4" t="s">
        <v>124</v>
      </c>
      <c r="CO341" s="4" t="s">
        <v>124</v>
      </c>
      <c r="CP341" s="4" t="s">
        <v>124</v>
      </c>
      <c r="CQ341" s="7">
        <v>0.45710099999999998</v>
      </c>
      <c r="CR341" s="7">
        <v>0.96848100000000004</v>
      </c>
      <c r="CS341" s="7">
        <v>30.473372999999999</v>
      </c>
      <c r="CT341" s="7">
        <v>50</v>
      </c>
      <c r="CU341" s="4" t="s">
        <v>124</v>
      </c>
      <c r="CV341" s="4" t="s">
        <v>124</v>
      </c>
      <c r="CW341" s="4" t="s">
        <v>124</v>
      </c>
      <c r="CX341" s="4" t="s">
        <v>124</v>
      </c>
      <c r="CY341" s="4" t="s">
        <v>124</v>
      </c>
      <c r="CZ341" s="4" t="s">
        <v>124</v>
      </c>
      <c r="DA341" s="7">
        <v>15.314097</v>
      </c>
      <c r="DB341" s="7">
        <v>17.400950000000002</v>
      </c>
      <c r="DC341" s="7">
        <v>16.332519999999999</v>
      </c>
      <c r="DD341" s="4" t="s">
        <v>124</v>
      </c>
      <c r="DE341" s="7">
        <v>1</v>
      </c>
      <c r="DF341" s="6"/>
      <c r="DG341" s="6"/>
      <c r="DH341" s="6"/>
      <c r="DI341" s="6"/>
      <c r="DJ341" s="7">
        <v>0</v>
      </c>
      <c r="DK341" s="7">
        <v>0</v>
      </c>
      <c r="DL341" s="7">
        <v>0</v>
      </c>
      <c r="DM341" s="7">
        <v>0</v>
      </c>
      <c r="DN341" s="7">
        <v>0</v>
      </c>
      <c r="DO341" s="7">
        <v>0</v>
      </c>
      <c r="DP341" s="6"/>
      <c r="DQ341" s="4" t="s">
        <v>125</v>
      </c>
    </row>
    <row r="342" spans="1:121" ht="20" customHeight="1" x14ac:dyDescent="0.15">
      <c r="A342" s="5">
        <v>2018</v>
      </c>
      <c r="B342" s="3" t="s">
        <v>222</v>
      </c>
      <c r="C342" s="4" t="str">
        <f t="shared" si="97"/>
        <v>0340011</v>
      </c>
      <c r="D342" s="4" t="s">
        <v>487</v>
      </c>
      <c r="E342" s="4" t="str">
        <f>"0341211"</f>
        <v>0341211</v>
      </c>
      <c r="F342" s="4" t="s">
        <v>327</v>
      </c>
      <c r="G342" s="4" t="s">
        <v>338</v>
      </c>
      <c r="H342" s="7">
        <v>5</v>
      </c>
      <c r="I342" s="4" t="s">
        <v>335</v>
      </c>
      <c r="J342" s="4" t="s">
        <v>330</v>
      </c>
      <c r="K342" s="7">
        <v>718.13880200000006</v>
      </c>
      <c r="L342" s="7">
        <v>950</v>
      </c>
      <c r="M342" s="7">
        <v>75.593558000000002</v>
      </c>
      <c r="N342" s="7">
        <v>2</v>
      </c>
      <c r="O342" s="7">
        <v>0</v>
      </c>
      <c r="P342" s="7">
        <v>68.278435999999999</v>
      </c>
      <c r="Q342" s="7">
        <v>45.518957</v>
      </c>
      <c r="R342" s="7">
        <v>50</v>
      </c>
      <c r="S342" s="7">
        <v>65.316559999999996</v>
      </c>
      <c r="T342" s="7">
        <v>75</v>
      </c>
      <c r="U342" s="7">
        <v>43.544373</v>
      </c>
      <c r="V342" s="7">
        <v>50</v>
      </c>
      <c r="W342" s="7">
        <v>67.236022000000006</v>
      </c>
      <c r="X342" s="7">
        <v>44.824015000000003</v>
      </c>
      <c r="Y342" s="7">
        <v>50</v>
      </c>
      <c r="Z342" s="7">
        <v>75</v>
      </c>
      <c r="AA342" s="7">
        <v>63.535533000000001</v>
      </c>
      <c r="AB342" s="7">
        <v>42.357022000000001</v>
      </c>
      <c r="AC342" s="7">
        <v>50</v>
      </c>
      <c r="AD342" s="7">
        <v>62.039825</v>
      </c>
      <c r="AE342" s="7">
        <v>41.359883000000004</v>
      </c>
      <c r="AF342" s="7">
        <v>50</v>
      </c>
      <c r="AG342" s="7">
        <v>58.219355</v>
      </c>
      <c r="AH342" s="7">
        <v>70.121588000000003</v>
      </c>
      <c r="AI342" s="7">
        <v>38.812902999999999</v>
      </c>
      <c r="AJ342" s="7">
        <v>50</v>
      </c>
      <c r="AK342" s="7">
        <v>9.68</v>
      </c>
      <c r="AL342" s="7">
        <v>11.46</v>
      </c>
      <c r="AM342" s="7">
        <v>11.9</v>
      </c>
      <c r="AN342" s="7">
        <v>0.696913</v>
      </c>
      <c r="AO342" s="7">
        <v>69.691323999999994</v>
      </c>
      <c r="AP342" s="7">
        <v>100</v>
      </c>
      <c r="AQ342" s="7">
        <v>0.72413300000000003</v>
      </c>
      <c r="AR342" s="7">
        <v>72.413281999999995</v>
      </c>
      <c r="AS342" s="7">
        <v>100</v>
      </c>
      <c r="AT342" s="7">
        <v>0.67352500000000004</v>
      </c>
      <c r="AU342" s="7">
        <v>0.75397999999999998</v>
      </c>
      <c r="AV342" s="7">
        <v>67.352521999999993</v>
      </c>
      <c r="AW342" s="7">
        <v>100</v>
      </c>
      <c r="AX342" s="7">
        <v>0.67917499999999997</v>
      </c>
      <c r="AY342" s="7">
        <v>0.83383099999999999</v>
      </c>
      <c r="AZ342" s="7">
        <v>67.917454000000006</v>
      </c>
      <c r="BA342" s="7">
        <v>100</v>
      </c>
      <c r="BB342" s="7">
        <v>0.63931300000000002</v>
      </c>
      <c r="BC342" s="7">
        <v>31.965629</v>
      </c>
      <c r="BD342" s="7">
        <v>50</v>
      </c>
      <c r="BE342" s="7">
        <v>0.54597899999999999</v>
      </c>
      <c r="BF342" s="7">
        <v>27.298928</v>
      </c>
      <c r="BG342" s="7">
        <v>50</v>
      </c>
      <c r="BH342" s="7">
        <v>0</v>
      </c>
      <c r="BI342" s="7">
        <v>1</v>
      </c>
      <c r="BJ342" s="7">
        <v>1</v>
      </c>
      <c r="BK342" s="7">
        <v>1</v>
      </c>
      <c r="BL342" s="7">
        <v>1</v>
      </c>
      <c r="BM342" s="7">
        <v>1</v>
      </c>
      <c r="BN342" s="7">
        <v>1</v>
      </c>
      <c r="BO342" s="7">
        <v>0.98947399999999996</v>
      </c>
      <c r="BP342" s="7">
        <v>0.98550700000000002</v>
      </c>
      <c r="BQ342" s="7">
        <v>1</v>
      </c>
      <c r="BR342" s="7">
        <v>4.6468000000000002E-2</v>
      </c>
      <c r="BS342" s="7">
        <v>50</v>
      </c>
      <c r="BT342" s="7">
        <v>50</v>
      </c>
      <c r="BU342" s="7">
        <v>4.7030000000000002E-2</v>
      </c>
      <c r="BV342" s="7">
        <v>50</v>
      </c>
      <c r="BW342" s="7">
        <v>50</v>
      </c>
      <c r="BX342" s="4" t="s">
        <v>124</v>
      </c>
      <c r="BY342" s="4" t="s">
        <v>124</v>
      </c>
      <c r="BZ342" s="4" t="s">
        <v>124</v>
      </c>
      <c r="CA342" s="4" t="s">
        <v>124</v>
      </c>
      <c r="CB342" s="4" t="s">
        <v>124</v>
      </c>
      <c r="CC342" s="4" t="s">
        <v>124</v>
      </c>
      <c r="CD342" s="4" t="s">
        <v>124</v>
      </c>
      <c r="CE342" s="4" t="s">
        <v>124</v>
      </c>
      <c r="CF342" s="4" t="s">
        <v>124</v>
      </c>
      <c r="CG342" s="4" t="s">
        <v>124</v>
      </c>
      <c r="CH342" s="4" t="s">
        <v>124</v>
      </c>
      <c r="CI342" s="4" t="s">
        <v>124</v>
      </c>
      <c r="CJ342" s="4" t="s">
        <v>124</v>
      </c>
      <c r="CK342" s="4" t="s">
        <v>124</v>
      </c>
      <c r="CL342" s="4" t="s">
        <v>124</v>
      </c>
      <c r="CM342" s="4" t="s">
        <v>124</v>
      </c>
      <c r="CN342" s="4" t="s">
        <v>124</v>
      </c>
      <c r="CO342" s="4" t="s">
        <v>124</v>
      </c>
      <c r="CP342" s="4" t="s">
        <v>124</v>
      </c>
      <c r="CQ342" s="7">
        <v>0.37623800000000002</v>
      </c>
      <c r="CR342" s="7">
        <v>1.01</v>
      </c>
      <c r="CS342" s="7">
        <v>25.082508000000001</v>
      </c>
      <c r="CT342" s="7">
        <v>50</v>
      </c>
      <c r="CU342" s="4" t="s">
        <v>124</v>
      </c>
      <c r="CV342" s="4" t="s">
        <v>124</v>
      </c>
      <c r="CW342" s="4" t="s">
        <v>124</v>
      </c>
      <c r="CX342" s="4" t="s">
        <v>124</v>
      </c>
      <c r="CY342" s="4" t="s">
        <v>124</v>
      </c>
      <c r="CZ342" s="4" t="s">
        <v>124</v>
      </c>
      <c r="DA342" s="7">
        <v>15.314097</v>
      </c>
      <c r="DB342" s="7">
        <v>17.400950000000002</v>
      </c>
      <c r="DC342" s="7">
        <v>16.332519999999999</v>
      </c>
      <c r="DD342" s="4" t="s">
        <v>124</v>
      </c>
      <c r="DE342" s="7">
        <v>0</v>
      </c>
      <c r="DF342" s="6"/>
      <c r="DG342" s="6"/>
      <c r="DH342" s="6"/>
      <c r="DI342" s="6"/>
      <c r="DJ342" s="7">
        <v>0</v>
      </c>
      <c r="DK342" s="7">
        <v>0</v>
      </c>
      <c r="DL342" s="7">
        <v>0</v>
      </c>
      <c r="DM342" s="7">
        <v>0</v>
      </c>
      <c r="DN342" s="7">
        <v>0</v>
      </c>
      <c r="DO342" s="7">
        <v>0</v>
      </c>
      <c r="DP342" s="6"/>
      <c r="DQ342" s="4" t="s">
        <v>125</v>
      </c>
    </row>
    <row r="343" spans="1:121" ht="20" customHeight="1" x14ac:dyDescent="0.15">
      <c r="A343" s="5">
        <v>2018</v>
      </c>
      <c r="B343" s="3" t="s">
        <v>222</v>
      </c>
      <c r="C343" s="4" t="str">
        <f t="shared" si="97"/>
        <v>0340011</v>
      </c>
      <c r="D343" s="4" t="s">
        <v>488</v>
      </c>
      <c r="E343" s="4" t="str">
        <f>"0341011"</f>
        <v>0341011</v>
      </c>
      <c r="F343" s="4" t="s">
        <v>327</v>
      </c>
      <c r="G343" s="4" t="s">
        <v>338</v>
      </c>
      <c r="H343" s="7">
        <v>5</v>
      </c>
      <c r="I343" s="4" t="s">
        <v>335</v>
      </c>
      <c r="J343" s="4" t="s">
        <v>330</v>
      </c>
      <c r="K343" s="7">
        <v>778.58234100000004</v>
      </c>
      <c r="L343" s="7">
        <v>950</v>
      </c>
      <c r="M343" s="7">
        <v>81.956035999999997</v>
      </c>
      <c r="N343" s="7">
        <v>2</v>
      </c>
      <c r="O343" s="7">
        <v>0</v>
      </c>
      <c r="P343" s="7">
        <v>66.651511999999997</v>
      </c>
      <c r="Q343" s="7">
        <v>44.434342000000001</v>
      </c>
      <c r="R343" s="7">
        <v>50</v>
      </c>
      <c r="S343" s="7">
        <v>66.308661999999998</v>
      </c>
      <c r="T343" s="4" t="s">
        <v>124</v>
      </c>
      <c r="U343" s="7">
        <v>44.205775000000003</v>
      </c>
      <c r="V343" s="7">
        <v>50</v>
      </c>
      <c r="W343" s="7">
        <v>66.027687999999998</v>
      </c>
      <c r="X343" s="7">
        <v>44.018459</v>
      </c>
      <c r="Y343" s="7">
        <v>50</v>
      </c>
      <c r="Z343" s="4" t="s">
        <v>124</v>
      </c>
      <c r="AA343" s="7">
        <v>65.487728000000004</v>
      </c>
      <c r="AB343" s="7">
        <v>43.658484999999999</v>
      </c>
      <c r="AC343" s="7">
        <v>50</v>
      </c>
      <c r="AD343" s="7">
        <v>61.398924999999998</v>
      </c>
      <c r="AE343" s="7">
        <v>40.932616000000003</v>
      </c>
      <c r="AF343" s="7">
        <v>50</v>
      </c>
      <c r="AG343" s="7">
        <v>60.555061000000002</v>
      </c>
      <c r="AH343" s="4" t="s">
        <v>124</v>
      </c>
      <c r="AI343" s="7">
        <v>40.370041000000001</v>
      </c>
      <c r="AJ343" s="7">
        <v>50</v>
      </c>
      <c r="AK343" s="4" t="s">
        <v>124</v>
      </c>
      <c r="AL343" s="4" t="s">
        <v>124</v>
      </c>
      <c r="AM343" s="4" t="s">
        <v>124</v>
      </c>
      <c r="AN343" s="7">
        <v>0.75462300000000004</v>
      </c>
      <c r="AO343" s="7">
        <v>75.462280000000007</v>
      </c>
      <c r="AP343" s="7">
        <v>100</v>
      </c>
      <c r="AQ343" s="7">
        <v>0.88436700000000001</v>
      </c>
      <c r="AR343" s="7">
        <v>88.436677000000003</v>
      </c>
      <c r="AS343" s="7">
        <v>100</v>
      </c>
      <c r="AT343" s="7">
        <v>0.7581</v>
      </c>
      <c r="AU343" s="4" t="s">
        <v>124</v>
      </c>
      <c r="AV343" s="7">
        <v>75.810050000000004</v>
      </c>
      <c r="AW343" s="7">
        <v>100</v>
      </c>
      <c r="AX343" s="7">
        <v>0.87281500000000001</v>
      </c>
      <c r="AY343" s="4" t="s">
        <v>124</v>
      </c>
      <c r="AZ343" s="7">
        <v>87.281498999999997</v>
      </c>
      <c r="BA343" s="7">
        <v>100</v>
      </c>
      <c r="BB343" s="7">
        <v>0.72935899999999998</v>
      </c>
      <c r="BC343" s="7">
        <v>36.467927000000003</v>
      </c>
      <c r="BD343" s="7">
        <v>50</v>
      </c>
      <c r="BE343" s="7">
        <v>0.58577599999999996</v>
      </c>
      <c r="BF343" s="7">
        <v>29.288791</v>
      </c>
      <c r="BG343" s="7">
        <v>50</v>
      </c>
      <c r="BH343" s="7">
        <v>0</v>
      </c>
      <c r="BI343" s="7">
        <v>1</v>
      </c>
      <c r="BJ343" s="7">
        <v>1</v>
      </c>
      <c r="BK343" s="4" t="s">
        <v>124</v>
      </c>
      <c r="BL343" s="7">
        <v>1</v>
      </c>
      <c r="BM343" s="7">
        <v>1</v>
      </c>
      <c r="BN343" s="4" t="s">
        <v>124</v>
      </c>
      <c r="BO343" s="7">
        <v>0.98461500000000002</v>
      </c>
      <c r="BP343" s="7">
        <v>0.98412699999999997</v>
      </c>
      <c r="BQ343" s="4" t="s">
        <v>124</v>
      </c>
      <c r="BR343" s="7">
        <v>5.7935E-2</v>
      </c>
      <c r="BS343" s="7">
        <v>48.413097999999998</v>
      </c>
      <c r="BT343" s="7">
        <v>50</v>
      </c>
      <c r="BU343" s="7">
        <v>5.7851E-2</v>
      </c>
      <c r="BV343" s="7">
        <v>48.429752000000001</v>
      </c>
      <c r="BW343" s="7">
        <v>50</v>
      </c>
      <c r="BX343" s="4" t="s">
        <v>124</v>
      </c>
      <c r="BY343" s="4" t="s">
        <v>124</v>
      </c>
      <c r="BZ343" s="4" t="s">
        <v>124</v>
      </c>
      <c r="CA343" s="4" t="s">
        <v>124</v>
      </c>
      <c r="CB343" s="4" t="s">
        <v>124</v>
      </c>
      <c r="CC343" s="4" t="s">
        <v>124</v>
      </c>
      <c r="CD343" s="4" t="s">
        <v>124</v>
      </c>
      <c r="CE343" s="4" t="s">
        <v>124</v>
      </c>
      <c r="CF343" s="4" t="s">
        <v>124</v>
      </c>
      <c r="CG343" s="4" t="s">
        <v>124</v>
      </c>
      <c r="CH343" s="4" t="s">
        <v>124</v>
      </c>
      <c r="CI343" s="4" t="s">
        <v>124</v>
      </c>
      <c r="CJ343" s="4" t="s">
        <v>124</v>
      </c>
      <c r="CK343" s="4" t="s">
        <v>124</v>
      </c>
      <c r="CL343" s="4" t="s">
        <v>124</v>
      </c>
      <c r="CM343" s="4" t="s">
        <v>124</v>
      </c>
      <c r="CN343" s="4" t="s">
        <v>124</v>
      </c>
      <c r="CO343" s="4" t="s">
        <v>124</v>
      </c>
      <c r="CP343" s="4" t="s">
        <v>124</v>
      </c>
      <c r="CQ343" s="7">
        <v>0.47058800000000001</v>
      </c>
      <c r="CR343" s="7">
        <v>1</v>
      </c>
      <c r="CS343" s="7">
        <v>31.372548999999999</v>
      </c>
      <c r="CT343" s="7">
        <v>50</v>
      </c>
      <c r="CU343" s="4" t="s">
        <v>124</v>
      </c>
      <c r="CV343" s="4" t="s">
        <v>124</v>
      </c>
      <c r="CW343" s="4" t="s">
        <v>124</v>
      </c>
      <c r="CX343" s="4" t="s">
        <v>124</v>
      </c>
      <c r="CY343" s="4" t="s">
        <v>124</v>
      </c>
      <c r="CZ343" s="4" t="s">
        <v>124</v>
      </c>
      <c r="DA343" s="7">
        <v>15.314097</v>
      </c>
      <c r="DB343" s="7">
        <v>17.400950000000002</v>
      </c>
      <c r="DC343" s="7">
        <v>16.332519999999999</v>
      </c>
      <c r="DD343" s="4" t="s">
        <v>124</v>
      </c>
      <c r="DE343" s="7">
        <v>0</v>
      </c>
      <c r="DF343" s="6"/>
      <c r="DG343" s="6"/>
      <c r="DH343" s="4" t="s">
        <v>331</v>
      </c>
      <c r="DI343" s="4" t="s">
        <v>476</v>
      </c>
      <c r="DJ343" s="7">
        <v>0</v>
      </c>
      <c r="DK343" s="7">
        <v>0</v>
      </c>
      <c r="DL343" s="7">
        <v>1</v>
      </c>
      <c r="DM343" s="7">
        <v>1</v>
      </c>
      <c r="DN343" s="7">
        <v>1</v>
      </c>
      <c r="DO343" s="7">
        <v>0</v>
      </c>
      <c r="DP343" s="6"/>
      <c r="DQ343" s="4" t="s">
        <v>125</v>
      </c>
    </row>
    <row r="344" spans="1:121" ht="20" customHeight="1" x14ac:dyDescent="0.15">
      <c r="A344" s="5">
        <v>2018</v>
      </c>
      <c r="B344" s="3" t="s">
        <v>222</v>
      </c>
      <c r="C344" s="4" t="str">
        <f t="shared" si="97"/>
        <v>0340011</v>
      </c>
      <c r="D344" s="4" t="s">
        <v>489</v>
      </c>
      <c r="E344" s="4" t="str">
        <f>"0341611"</f>
        <v>0341611</v>
      </c>
      <c r="F344" s="4" t="s">
        <v>327</v>
      </c>
      <c r="G344" s="4" t="s">
        <v>338</v>
      </c>
      <c r="H344" s="7">
        <v>5</v>
      </c>
      <c r="I344" s="4" t="s">
        <v>335</v>
      </c>
      <c r="J344" s="4" t="s">
        <v>330</v>
      </c>
      <c r="K344" s="7">
        <v>702.24069999999995</v>
      </c>
      <c r="L344" s="7">
        <v>950</v>
      </c>
      <c r="M344" s="7">
        <v>73.920074</v>
      </c>
      <c r="N344" s="7">
        <v>2</v>
      </c>
      <c r="O344" s="7">
        <v>0</v>
      </c>
      <c r="P344" s="7">
        <v>66.492260999999999</v>
      </c>
      <c r="Q344" s="7">
        <v>44.328173999999997</v>
      </c>
      <c r="R344" s="7">
        <v>50</v>
      </c>
      <c r="S344" s="7">
        <v>61.604658000000001</v>
      </c>
      <c r="T344" s="7">
        <v>75</v>
      </c>
      <c r="U344" s="7">
        <v>41.069772</v>
      </c>
      <c r="V344" s="7">
        <v>50</v>
      </c>
      <c r="W344" s="7">
        <v>63.336177999999997</v>
      </c>
      <c r="X344" s="7">
        <v>42.224119000000002</v>
      </c>
      <c r="Y344" s="7">
        <v>50</v>
      </c>
      <c r="Z344" s="7">
        <v>72.693577000000005</v>
      </c>
      <c r="AA344" s="7">
        <v>58.998311000000001</v>
      </c>
      <c r="AB344" s="7">
        <v>39.332206999999997</v>
      </c>
      <c r="AC344" s="7">
        <v>50</v>
      </c>
      <c r="AD344" s="7">
        <v>62.350230000000003</v>
      </c>
      <c r="AE344" s="7">
        <v>41.56682</v>
      </c>
      <c r="AF344" s="7">
        <v>50</v>
      </c>
      <c r="AG344" s="7">
        <v>56.723502000000003</v>
      </c>
      <c r="AH344" s="7">
        <v>70.790323000000001</v>
      </c>
      <c r="AI344" s="7">
        <v>37.815668000000002</v>
      </c>
      <c r="AJ344" s="7">
        <v>50</v>
      </c>
      <c r="AK344" s="7">
        <v>13.39</v>
      </c>
      <c r="AL344" s="7">
        <v>13.69</v>
      </c>
      <c r="AM344" s="7">
        <v>14.06</v>
      </c>
      <c r="AN344" s="7">
        <v>0.63154699999999997</v>
      </c>
      <c r="AO344" s="7">
        <v>63.154730999999998</v>
      </c>
      <c r="AP344" s="7">
        <v>100</v>
      </c>
      <c r="AQ344" s="7">
        <v>0.79462900000000003</v>
      </c>
      <c r="AR344" s="7">
        <v>79.462875999999994</v>
      </c>
      <c r="AS344" s="7">
        <v>100</v>
      </c>
      <c r="AT344" s="7">
        <v>0.61438400000000004</v>
      </c>
      <c r="AU344" s="7">
        <v>0.66724700000000003</v>
      </c>
      <c r="AV344" s="7">
        <v>61.438414999999999</v>
      </c>
      <c r="AW344" s="7">
        <v>100</v>
      </c>
      <c r="AX344" s="7">
        <v>0.781366</v>
      </c>
      <c r="AY344" s="7">
        <v>0.82195099999999999</v>
      </c>
      <c r="AZ344" s="7">
        <v>78.136559000000005</v>
      </c>
      <c r="BA344" s="7">
        <v>100</v>
      </c>
      <c r="BB344" s="7">
        <v>0.56942300000000001</v>
      </c>
      <c r="BC344" s="7">
        <v>28.471146999999998</v>
      </c>
      <c r="BD344" s="7">
        <v>50</v>
      </c>
      <c r="BE344" s="7">
        <v>0.49565399999999998</v>
      </c>
      <c r="BF344" s="7">
        <v>24.782696999999999</v>
      </c>
      <c r="BG344" s="7">
        <v>50</v>
      </c>
      <c r="BH344" s="7">
        <v>0</v>
      </c>
      <c r="BI344" s="7">
        <v>0.98823499999999997</v>
      </c>
      <c r="BJ344" s="7">
        <v>0.99441299999999999</v>
      </c>
      <c r="BK344" s="7">
        <v>0.97368399999999999</v>
      </c>
      <c r="BL344" s="7">
        <v>0.98425200000000002</v>
      </c>
      <c r="BM344" s="7">
        <v>0.98876399999999998</v>
      </c>
      <c r="BN344" s="7">
        <v>0.97368399999999999</v>
      </c>
      <c r="BO344" s="7">
        <v>1</v>
      </c>
      <c r="BP344" s="7">
        <v>1</v>
      </c>
      <c r="BQ344" s="7">
        <v>1</v>
      </c>
      <c r="BR344" s="7">
        <v>4.9903999999999997E-2</v>
      </c>
      <c r="BS344" s="7">
        <v>50</v>
      </c>
      <c r="BT344" s="7">
        <v>50</v>
      </c>
      <c r="BU344" s="7">
        <v>5.8824000000000001E-2</v>
      </c>
      <c r="BV344" s="7">
        <v>48.235294000000003</v>
      </c>
      <c r="BW344" s="7">
        <v>50</v>
      </c>
      <c r="BX344" s="4" t="s">
        <v>124</v>
      </c>
      <c r="BY344" s="4" t="s">
        <v>124</v>
      </c>
      <c r="BZ344" s="4" t="s">
        <v>124</v>
      </c>
      <c r="CA344" s="4" t="s">
        <v>124</v>
      </c>
      <c r="CB344" s="4" t="s">
        <v>124</v>
      </c>
      <c r="CC344" s="4" t="s">
        <v>124</v>
      </c>
      <c r="CD344" s="4" t="s">
        <v>124</v>
      </c>
      <c r="CE344" s="4" t="s">
        <v>124</v>
      </c>
      <c r="CF344" s="4" t="s">
        <v>124</v>
      </c>
      <c r="CG344" s="4" t="s">
        <v>124</v>
      </c>
      <c r="CH344" s="4" t="s">
        <v>124</v>
      </c>
      <c r="CI344" s="4" t="s">
        <v>124</v>
      </c>
      <c r="CJ344" s="4" t="s">
        <v>124</v>
      </c>
      <c r="CK344" s="4" t="s">
        <v>124</v>
      </c>
      <c r="CL344" s="4" t="s">
        <v>124</v>
      </c>
      <c r="CM344" s="4" t="s">
        <v>124</v>
      </c>
      <c r="CN344" s="4" t="s">
        <v>124</v>
      </c>
      <c r="CO344" s="4" t="s">
        <v>124</v>
      </c>
      <c r="CP344" s="4" t="s">
        <v>124</v>
      </c>
      <c r="CQ344" s="7">
        <v>0.66666700000000001</v>
      </c>
      <c r="CR344" s="7">
        <v>0.88421099999999997</v>
      </c>
      <c r="CS344" s="7">
        <v>22.222221999999999</v>
      </c>
      <c r="CT344" s="7">
        <v>50</v>
      </c>
      <c r="CU344" s="4" t="s">
        <v>124</v>
      </c>
      <c r="CV344" s="4" t="s">
        <v>124</v>
      </c>
      <c r="CW344" s="4" t="s">
        <v>124</v>
      </c>
      <c r="CX344" s="4" t="s">
        <v>124</v>
      </c>
      <c r="CY344" s="4" t="s">
        <v>124</v>
      </c>
      <c r="CZ344" s="4" t="s">
        <v>124</v>
      </c>
      <c r="DA344" s="7">
        <v>15.314097</v>
      </c>
      <c r="DB344" s="7">
        <v>17.400950000000002</v>
      </c>
      <c r="DC344" s="7">
        <v>16.332519999999999</v>
      </c>
      <c r="DD344" s="4" t="s">
        <v>124</v>
      </c>
      <c r="DE344" s="7">
        <v>0</v>
      </c>
      <c r="DF344" s="6"/>
      <c r="DG344" s="6"/>
      <c r="DH344" s="4" t="s">
        <v>331</v>
      </c>
      <c r="DI344" s="4" t="s">
        <v>431</v>
      </c>
      <c r="DJ344" s="7">
        <v>0</v>
      </c>
      <c r="DK344" s="7">
        <v>0</v>
      </c>
      <c r="DL344" s="7">
        <v>0</v>
      </c>
      <c r="DM344" s="7">
        <v>0</v>
      </c>
      <c r="DN344" s="7">
        <v>1</v>
      </c>
      <c r="DO344" s="7">
        <v>0</v>
      </c>
      <c r="DP344" s="6"/>
      <c r="DQ344" s="4" t="s">
        <v>125</v>
      </c>
    </row>
    <row r="345" spans="1:121" ht="20" customHeight="1" x14ac:dyDescent="0.15">
      <c r="A345" s="5">
        <v>2018</v>
      </c>
      <c r="B345" s="3" t="s">
        <v>222</v>
      </c>
      <c r="C345" s="4" t="str">
        <f t="shared" si="97"/>
        <v>0340011</v>
      </c>
      <c r="D345" s="4" t="s">
        <v>490</v>
      </c>
      <c r="E345" s="4" t="str">
        <f>"0341911"</f>
        <v>0341911</v>
      </c>
      <c r="F345" s="4" t="s">
        <v>327</v>
      </c>
      <c r="G345" s="4" t="s">
        <v>338</v>
      </c>
      <c r="H345" s="7">
        <v>5</v>
      </c>
      <c r="I345" s="6"/>
      <c r="J345" s="4" t="s">
        <v>330</v>
      </c>
      <c r="K345" s="7">
        <v>814.97044700000004</v>
      </c>
      <c r="L345" s="7">
        <v>950</v>
      </c>
      <c r="M345" s="7">
        <v>85.786362999999994</v>
      </c>
      <c r="N345" s="7">
        <v>1</v>
      </c>
      <c r="O345" s="7">
        <v>0</v>
      </c>
      <c r="P345" s="7">
        <v>80.529909000000004</v>
      </c>
      <c r="Q345" s="7">
        <v>50</v>
      </c>
      <c r="R345" s="7">
        <v>50</v>
      </c>
      <c r="S345" s="7">
        <v>73.454249000000004</v>
      </c>
      <c r="T345" s="7">
        <v>75</v>
      </c>
      <c r="U345" s="7">
        <v>48.969498999999999</v>
      </c>
      <c r="V345" s="7">
        <v>50</v>
      </c>
      <c r="W345" s="7">
        <v>75.902445</v>
      </c>
      <c r="X345" s="7">
        <v>50</v>
      </c>
      <c r="Y345" s="7">
        <v>50</v>
      </c>
      <c r="Z345" s="7">
        <v>75</v>
      </c>
      <c r="AA345" s="7">
        <v>68.948676000000006</v>
      </c>
      <c r="AB345" s="7">
        <v>45.965783999999999</v>
      </c>
      <c r="AC345" s="7">
        <v>50</v>
      </c>
      <c r="AD345" s="7">
        <v>79.856161</v>
      </c>
      <c r="AE345" s="7">
        <v>50</v>
      </c>
      <c r="AF345" s="7">
        <v>50</v>
      </c>
      <c r="AG345" s="7">
        <v>74.794931000000005</v>
      </c>
      <c r="AH345" s="7">
        <v>75</v>
      </c>
      <c r="AI345" s="7">
        <v>49.863287</v>
      </c>
      <c r="AJ345" s="7">
        <v>50</v>
      </c>
      <c r="AK345" s="7">
        <v>1.54</v>
      </c>
      <c r="AL345" s="7">
        <v>6.05</v>
      </c>
      <c r="AM345" s="7">
        <v>0.2</v>
      </c>
      <c r="AN345" s="7">
        <v>0.76620500000000002</v>
      </c>
      <c r="AO345" s="7">
        <v>76.620508999999998</v>
      </c>
      <c r="AP345" s="7">
        <v>100</v>
      </c>
      <c r="AQ345" s="7">
        <v>0.879189</v>
      </c>
      <c r="AR345" s="7">
        <v>87.918869000000001</v>
      </c>
      <c r="AS345" s="7">
        <v>100</v>
      </c>
      <c r="AT345" s="7">
        <v>0.68952899999999995</v>
      </c>
      <c r="AU345" s="7">
        <v>0.82038999999999995</v>
      </c>
      <c r="AV345" s="7">
        <v>68.952865000000003</v>
      </c>
      <c r="AW345" s="7">
        <v>100</v>
      </c>
      <c r="AX345" s="7">
        <v>0.81493099999999996</v>
      </c>
      <c r="AY345" s="7">
        <v>0.92459800000000003</v>
      </c>
      <c r="AZ345" s="7">
        <v>81.493078999999994</v>
      </c>
      <c r="BA345" s="7">
        <v>100</v>
      </c>
      <c r="BB345" s="7">
        <v>0.62980800000000003</v>
      </c>
      <c r="BC345" s="7">
        <v>31.490397000000002</v>
      </c>
      <c r="BD345" s="7">
        <v>50</v>
      </c>
      <c r="BE345" s="7">
        <v>0.63078599999999996</v>
      </c>
      <c r="BF345" s="7">
        <v>31.539294999999999</v>
      </c>
      <c r="BG345" s="7">
        <v>50</v>
      </c>
      <c r="BH345" s="7">
        <v>0</v>
      </c>
      <c r="BI345" s="7">
        <v>1</v>
      </c>
      <c r="BJ345" s="7">
        <v>1</v>
      </c>
      <c r="BK345" s="7">
        <v>1</v>
      </c>
      <c r="BL345" s="7">
        <v>1</v>
      </c>
      <c r="BM345" s="7">
        <v>1</v>
      </c>
      <c r="BN345" s="7">
        <v>1</v>
      </c>
      <c r="BO345" s="7">
        <v>1</v>
      </c>
      <c r="BP345" s="7">
        <v>1</v>
      </c>
      <c r="BQ345" s="7">
        <v>1</v>
      </c>
      <c r="BR345" s="7">
        <v>1.8817E-2</v>
      </c>
      <c r="BS345" s="7">
        <v>50</v>
      </c>
      <c r="BT345" s="7">
        <v>50</v>
      </c>
      <c r="BU345" s="7">
        <v>3.6364E-2</v>
      </c>
      <c r="BV345" s="7">
        <v>50</v>
      </c>
      <c r="BW345" s="7">
        <v>50</v>
      </c>
      <c r="BX345" s="4" t="s">
        <v>124</v>
      </c>
      <c r="BY345" s="4" t="s">
        <v>124</v>
      </c>
      <c r="BZ345" s="4" t="s">
        <v>124</v>
      </c>
      <c r="CA345" s="4" t="s">
        <v>124</v>
      </c>
      <c r="CB345" s="4" t="s">
        <v>124</v>
      </c>
      <c r="CC345" s="4" t="s">
        <v>124</v>
      </c>
      <c r="CD345" s="4" t="s">
        <v>124</v>
      </c>
      <c r="CE345" s="4" t="s">
        <v>124</v>
      </c>
      <c r="CF345" s="4" t="s">
        <v>124</v>
      </c>
      <c r="CG345" s="4" t="s">
        <v>124</v>
      </c>
      <c r="CH345" s="4" t="s">
        <v>124</v>
      </c>
      <c r="CI345" s="4" t="s">
        <v>124</v>
      </c>
      <c r="CJ345" s="4" t="s">
        <v>124</v>
      </c>
      <c r="CK345" s="4" t="s">
        <v>124</v>
      </c>
      <c r="CL345" s="4" t="s">
        <v>124</v>
      </c>
      <c r="CM345" s="4" t="s">
        <v>124</v>
      </c>
      <c r="CN345" s="4" t="s">
        <v>124</v>
      </c>
      <c r="CO345" s="4" t="s">
        <v>124</v>
      </c>
      <c r="CP345" s="4" t="s">
        <v>124</v>
      </c>
      <c r="CQ345" s="7">
        <v>0.63235300000000005</v>
      </c>
      <c r="CR345" s="7">
        <v>1</v>
      </c>
      <c r="CS345" s="7">
        <v>42.156863000000001</v>
      </c>
      <c r="CT345" s="7">
        <v>50</v>
      </c>
      <c r="CU345" s="4" t="s">
        <v>124</v>
      </c>
      <c r="CV345" s="4" t="s">
        <v>124</v>
      </c>
      <c r="CW345" s="4" t="s">
        <v>124</v>
      </c>
      <c r="CX345" s="4" t="s">
        <v>124</v>
      </c>
      <c r="CY345" s="4" t="s">
        <v>124</v>
      </c>
      <c r="CZ345" s="4" t="s">
        <v>124</v>
      </c>
      <c r="DA345" s="7">
        <v>15.314097</v>
      </c>
      <c r="DB345" s="7">
        <v>17.400950000000002</v>
      </c>
      <c r="DC345" s="7">
        <v>16.332519999999999</v>
      </c>
      <c r="DD345" s="4" t="s">
        <v>124</v>
      </c>
      <c r="DE345" s="7">
        <v>0</v>
      </c>
      <c r="DF345" s="6"/>
      <c r="DG345" s="6"/>
      <c r="DH345" s="4" t="s">
        <v>331</v>
      </c>
      <c r="DI345" s="4" t="s">
        <v>452</v>
      </c>
      <c r="DJ345" s="7">
        <v>0</v>
      </c>
      <c r="DK345" s="7">
        <v>0</v>
      </c>
      <c r="DL345" s="7">
        <v>1</v>
      </c>
      <c r="DM345" s="7">
        <v>0</v>
      </c>
      <c r="DN345" s="7">
        <v>1</v>
      </c>
      <c r="DO345" s="7">
        <v>0</v>
      </c>
      <c r="DP345" s="6"/>
      <c r="DQ345" s="4" t="s">
        <v>125</v>
      </c>
    </row>
    <row r="346" spans="1:121" ht="20" customHeight="1" x14ac:dyDescent="0.15">
      <c r="A346" s="5">
        <v>2018</v>
      </c>
      <c r="B346" s="3" t="s">
        <v>222</v>
      </c>
      <c r="C346" s="4" t="str">
        <f t="shared" si="97"/>
        <v>0340011</v>
      </c>
      <c r="D346" s="4" t="s">
        <v>491</v>
      </c>
      <c r="E346" s="4" t="str">
        <f>"0340311"</f>
        <v>0340311</v>
      </c>
      <c r="F346" s="4" t="s">
        <v>327</v>
      </c>
      <c r="G346" s="7">
        <v>6</v>
      </c>
      <c r="H346" s="7">
        <v>8</v>
      </c>
      <c r="I346" s="6"/>
      <c r="J346" s="4" t="s">
        <v>330</v>
      </c>
      <c r="K346" s="7">
        <v>690.11115600000005</v>
      </c>
      <c r="L346" s="7">
        <v>1000</v>
      </c>
      <c r="M346" s="7">
        <v>69.011116000000001</v>
      </c>
      <c r="N346" s="7">
        <v>3</v>
      </c>
      <c r="O346" s="7">
        <v>0</v>
      </c>
      <c r="P346" s="7">
        <v>69.024506000000002</v>
      </c>
      <c r="Q346" s="7">
        <v>46.016337</v>
      </c>
      <c r="R346" s="7">
        <v>50</v>
      </c>
      <c r="S346" s="7">
        <v>64.444850000000002</v>
      </c>
      <c r="T346" s="7">
        <v>75</v>
      </c>
      <c r="U346" s="7">
        <v>42.963233000000002</v>
      </c>
      <c r="V346" s="7">
        <v>50</v>
      </c>
      <c r="W346" s="7">
        <v>62.779221</v>
      </c>
      <c r="X346" s="7">
        <v>41.852814000000002</v>
      </c>
      <c r="Y346" s="7">
        <v>50</v>
      </c>
      <c r="Z346" s="7">
        <v>68.791745000000006</v>
      </c>
      <c r="AA346" s="7">
        <v>58.248538000000003</v>
      </c>
      <c r="AB346" s="7">
        <v>38.832358999999997</v>
      </c>
      <c r="AC346" s="7">
        <v>50</v>
      </c>
      <c r="AD346" s="7">
        <v>63.787686999999998</v>
      </c>
      <c r="AE346" s="7">
        <v>42.525125000000003</v>
      </c>
      <c r="AF346" s="7">
        <v>50</v>
      </c>
      <c r="AG346" s="7">
        <v>57.866334999999999</v>
      </c>
      <c r="AH346" s="7">
        <v>69.898019000000005</v>
      </c>
      <c r="AI346" s="7">
        <v>38.577556999999999</v>
      </c>
      <c r="AJ346" s="7">
        <v>50</v>
      </c>
      <c r="AK346" s="7">
        <v>10.55</v>
      </c>
      <c r="AL346" s="7">
        <v>10.54</v>
      </c>
      <c r="AM346" s="7">
        <v>12.03</v>
      </c>
      <c r="AN346" s="7">
        <v>0.48860700000000001</v>
      </c>
      <c r="AO346" s="7">
        <v>48.860725000000002</v>
      </c>
      <c r="AP346" s="7">
        <v>100</v>
      </c>
      <c r="AQ346" s="7">
        <v>0.434031</v>
      </c>
      <c r="AR346" s="7">
        <v>43.403104999999996</v>
      </c>
      <c r="AS346" s="7">
        <v>100</v>
      </c>
      <c r="AT346" s="7">
        <v>0.48812499999999998</v>
      </c>
      <c r="AU346" s="7">
        <v>0.48918499999999998</v>
      </c>
      <c r="AV346" s="7">
        <v>48.812488000000002</v>
      </c>
      <c r="AW346" s="7">
        <v>100</v>
      </c>
      <c r="AX346" s="7">
        <v>0.40840900000000002</v>
      </c>
      <c r="AY346" s="7">
        <v>0.46481499999999998</v>
      </c>
      <c r="AZ346" s="7">
        <v>40.840871</v>
      </c>
      <c r="BA346" s="7">
        <v>100</v>
      </c>
      <c r="BB346" s="7">
        <v>0.64457900000000001</v>
      </c>
      <c r="BC346" s="7">
        <v>32.228965000000002</v>
      </c>
      <c r="BD346" s="7">
        <v>50</v>
      </c>
      <c r="BE346" s="7">
        <v>0.71565299999999998</v>
      </c>
      <c r="BF346" s="7">
        <v>35.782642000000003</v>
      </c>
      <c r="BG346" s="7">
        <v>50</v>
      </c>
      <c r="BH346" s="7">
        <v>0</v>
      </c>
      <c r="BI346" s="7">
        <v>0.99206300000000003</v>
      </c>
      <c r="BJ346" s="7">
        <v>0.99720699999999995</v>
      </c>
      <c r="BK346" s="7">
        <v>0.985294</v>
      </c>
      <c r="BL346" s="7">
        <v>0.98890599999999995</v>
      </c>
      <c r="BM346" s="7">
        <v>0.99442900000000001</v>
      </c>
      <c r="BN346" s="7">
        <v>0.98161799999999999</v>
      </c>
      <c r="BO346" s="7">
        <v>0.979487</v>
      </c>
      <c r="BP346" s="7">
        <v>0.97979799999999995</v>
      </c>
      <c r="BQ346" s="7">
        <v>0.97916700000000001</v>
      </c>
      <c r="BR346" s="7">
        <v>2.2221999999999999E-2</v>
      </c>
      <c r="BS346" s="7">
        <v>50</v>
      </c>
      <c r="BT346" s="7">
        <v>50</v>
      </c>
      <c r="BU346" s="7">
        <v>2.2922999999999999E-2</v>
      </c>
      <c r="BV346" s="7">
        <v>50</v>
      </c>
      <c r="BW346" s="7">
        <v>50</v>
      </c>
      <c r="BX346" s="4" t="s">
        <v>124</v>
      </c>
      <c r="BY346" s="4" t="s">
        <v>124</v>
      </c>
      <c r="BZ346" s="4" t="s">
        <v>124</v>
      </c>
      <c r="CA346" s="4" t="s">
        <v>124</v>
      </c>
      <c r="CB346" s="4" t="s">
        <v>124</v>
      </c>
      <c r="CC346" s="4" t="s">
        <v>124</v>
      </c>
      <c r="CD346" s="7">
        <v>0.95360800000000001</v>
      </c>
      <c r="CE346" s="7">
        <v>50</v>
      </c>
      <c r="CF346" s="7">
        <v>50</v>
      </c>
      <c r="CG346" s="4" t="s">
        <v>124</v>
      </c>
      <c r="CH346" s="4" t="s">
        <v>124</v>
      </c>
      <c r="CI346" s="4" t="s">
        <v>124</v>
      </c>
      <c r="CJ346" s="4" t="s">
        <v>124</v>
      </c>
      <c r="CK346" s="4" t="s">
        <v>124</v>
      </c>
      <c r="CL346" s="4" t="s">
        <v>124</v>
      </c>
      <c r="CM346" s="4" t="s">
        <v>124</v>
      </c>
      <c r="CN346" s="4" t="s">
        <v>124</v>
      </c>
      <c r="CO346" s="4" t="s">
        <v>124</v>
      </c>
      <c r="CP346" s="4" t="s">
        <v>124</v>
      </c>
      <c r="CQ346" s="7">
        <v>0.59122399999999997</v>
      </c>
      <c r="CR346" s="7">
        <v>0.99311899999999997</v>
      </c>
      <c r="CS346" s="7">
        <v>39.414935</v>
      </c>
      <c r="CT346" s="7">
        <v>50</v>
      </c>
      <c r="CU346" s="4" t="s">
        <v>124</v>
      </c>
      <c r="CV346" s="4" t="s">
        <v>124</v>
      </c>
      <c r="CW346" s="4" t="s">
        <v>124</v>
      </c>
      <c r="CX346" s="4" t="s">
        <v>124</v>
      </c>
      <c r="CY346" s="4" t="s">
        <v>124</v>
      </c>
      <c r="CZ346" s="4" t="s">
        <v>124</v>
      </c>
      <c r="DA346" s="7">
        <v>15.314097</v>
      </c>
      <c r="DB346" s="7">
        <v>17.400950000000002</v>
      </c>
      <c r="DC346" s="7">
        <v>16.332519999999999</v>
      </c>
      <c r="DD346" s="4" t="s">
        <v>124</v>
      </c>
      <c r="DE346" s="7">
        <v>0</v>
      </c>
      <c r="DF346" s="6"/>
      <c r="DG346" s="6"/>
      <c r="DH346" s="6"/>
      <c r="DI346" s="6"/>
      <c r="DJ346" s="7">
        <v>0</v>
      </c>
      <c r="DK346" s="7">
        <v>0</v>
      </c>
      <c r="DL346" s="7">
        <v>0</v>
      </c>
      <c r="DM346" s="7">
        <v>0</v>
      </c>
      <c r="DN346" s="7">
        <v>0</v>
      </c>
      <c r="DO346" s="7">
        <v>0</v>
      </c>
      <c r="DP346" s="6"/>
      <c r="DQ346" s="4" t="s">
        <v>125</v>
      </c>
    </row>
    <row r="347" spans="1:121" ht="20" customHeight="1" x14ac:dyDescent="0.15">
      <c r="A347" s="5">
        <v>2018</v>
      </c>
      <c r="B347" s="3" t="s">
        <v>170</v>
      </c>
      <c r="C347" s="4" t="str">
        <f t="shared" si="45"/>
        <v>0350011</v>
      </c>
      <c r="D347" s="4" t="s">
        <v>492</v>
      </c>
      <c r="E347" s="4" t="str">
        <f>"0356111"</f>
        <v>0356111</v>
      </c>
      <c r="F347" s="4" t="s">
        <v>327</v>
      </c>
      <c r="G347" s="7">
        <v>9</v>
      </c>
      <c r="H347" s="7">
        <v>12</v>
      </c>
      <c r="I347" s="4" t="s">
        <v>329</v>
      </c>
      <c r="J347" s="4" t="s">
        <v>330</v>
      </c>
      <c r="K347" s="7">
        <v>1340.6565700000001</v>
      </c>
      <c r="L347" s="7">
        <v>1450</v>
      </c>
      <c r="M347" s="7">
        <v>92.459074000000001</v>
      </c>
      <c r="N347" s="7">
        <v>2</v>
      </c>
      <c r="O347" s="7">
        <v>1</v>
      </c>
      <c r="P347" s="7">
        <v>75.014331999999996</v>
      </c>
      <c r="Q347" s="7">
        <v>150</v>
      </c>
      <c r="R347" s="7">
        <v>150</v>
      </c>
      <c r="S347" s="7">
        <v>59.099145</v>
      </c>
      <c r="T347" s="7">
        <v>75</v>
      </c>
      <c r="U347" s="7">
        <v>118.198291</v>
      </c>
      <c r="V347" s="7">
        <v>150</v>
      </c>
      <c r="W347" s="7">
        <v>78.460271000000006</v>
      </c>
      <c r="X347" s="7">
        <v>150</v>
      </c>
      <c r="Y347" s="7">
        <v>150</v>
      </c>
      <c r="Z347" s="7">
        <v>75</v>
      </c>
      <c r="AA347" s="7">
        <v>60.270833000000003</v>
      </c>
      <c r="AB347" s="7">
        <v>120.541667</v>
      </c>
      <c r="AC347" s="7">
        <v>150</v>
      </c>
      <c r="AD347" s="7">
        <v>74.512393000000003</v>
      </c>
      <c r="AE347" s="7">
        <v>99.349857</v>
      </c>
      <c r="AF347" s="7">
        <v>100</v>
      </c>
      <c r="AG347" s="7">
        <v>51.380144000000001</v>
      </c>
      <c r="AH347" s="7">
        <v>75</v>
      </c>
      <c r="AI347" s="7">
        <v>68.506859000000006</v>
      </c>
      <c r="AJ347" s="7">
        <v>100</v>
      </c>
      <c r="AK347" s="7">
        <v>15.9</v>
      </c>
      <c r="AL347" s="7">
        <v>14.72</v>
      </c>
      <c r="AM347" s="7">
        <v>23.61</v>
      </c>
      <c r="AN347" s="4" t="s">
        <v>124</v>
      </c>
      <c r="AO347" s="4" t="s">
        <v>124</v>
      </c>
      <c r="AP347" s="4" t="s">
        <v>124</v>
      </c>
      <c r="AQ347" s="4" t="s">
        <v>124</v>
      </c>
      <c r="AR347" s="4" t="s">
        <v>124</v>
      </c>
      <c r="AS347" s="4" t="s">
        <v>124</v>
      </c>
      <c r="AT347" s="4" t="s">
        <v>124</v>
      </c>
      <c r="AU347" s="4" t="s">
        <v>124</v>
      </c>
      <c r="AV347" s="4" t="s">
        <v>124</v>
      </c>
      <c r="AW347" s="4" t="s">
        <v>124</v>
      </c>
      <c r="AX347" s="4" t="s">
        <v>124</v>
      </c>
      <c r="AY347" s="4" t="s">
        <v>124</v>
      </c>
      <c r="AZ347" s="4" t="s">
        <v>124</v>
      </c>
      <c r="BA347" s="4" t="s">
        <v>124</v>
      </c>
      <c r="BB347" s="4" t="s">
        <v>124</v>
      </c>
      <c r="BC347" s="4" t="s">
        <v>124</v>
      </c>
      <c r="BD347" s="4" t="s">
        <v>124</v>
      </c>
      <c r="BE347" s="4" t="s">
        <v>124</v>
      </c>
      <c r="BF347" s="4" t="s">
        <v>124</v>
      </c>
      <c r="BG347" s="4" t="s">
        <v>124</v>
      </c>
      <c r="BH347" s="7">
        <v>1</v>
      </c>
      <c r="BI347" s="7">
        <v>0.96927399999999997</v>
      </c>
      <c r="BJ347" s="7">
        <v>0.92957699999999999</v>
      </c>
      <c r="BK347" s="7">
        <v>0.97909400000000002</v>
      </c>
      <c r="BL347" s="7">
        <v>0.96648000000000001</v>
      </c>
      <c r="BM347" s="7">
        <v>0.915493</v>
      </c>
      <c r="BN347" s="7">
        <v>0.97909400000000002</v>
      </c>
      <c r="BO347" s="7">
        <v>0.98603399999999997</v>
      </c>
      <c r="BP347" s="7">
        <v>0.971831</v>
      </c>
      <c r="BQ347" s="7">
        <v>0.98954699999999995</v>
      </c>
      <c r="BR347" s="7">
        <v>3.0432000000000001E-2</v>
      </c>
      <c r="BS347" s="7">
        <v>50</v>
      </c>
      <c r="BT347" s="7">
        <v>50</v>
      </c>
      <c r="BU347" s="7">
        <v>5.6939999999999998E-2</v>
      </c>
      <c r="BV347" s="7">
        <v>48.612099999999998</v>
      </c>
      <c r="BW347" s="7">
        <v>50</v>
      </c>
      <c r="BX347" s="7">
        <v>0.60745000000000005</v>
      </c>
      <c r="BY347" s="7">
        <v>40.496656999999999</v>
      </c>
      <c r="BZ347" s="7">
        <v>50</v>
      </c>
      <c r="CA347" s="7">
        <v>0.86676200000000003</v>
      </c>
      <c r="CB347" s="7">
        <v>50</v>
      </c>
      <c r="CC347" s="7">
        <v>50</v>
      </c>
      <c r="CD347" s="7">
        <v>0.98421099999999995</v>
      </c>
      <c r="CE347" s="7">
        <v>50</v>
      </c>
      <c r="CF347" s="7">
        <v>50</v>
      </c>
      <c r="CG347" s="7">
        <v>0.973607</v>
      </c>
      <c r="CH347" s="7">
        <v>100</v>
      </c>
      <c r="CI347" s="7">
        <v>100</v>
      </c>
      <c r="CJ347" s="7">
        <v>0</v>
      </c>
      <c r="CK347" s="7">
        <v>0.982456</v>
      </c>
      <c r="CL347" s="7">
        <v>100</v>
      </c>
      <c r="CM347" s="7">
        <v>100</v>
      </c>
      <c r="CN347" s="7">
        <v>0.89759</v>
      </c>
      <c r="CO347" s="7">
        <v>100</v>
      </c>
      <c r="CP347" s="7">
        <v>100</v>
      </c>
      <c r="CQ347" s="7">
        <v>0.67426699999999995</v>
      </c>
      <c r="CR347" s="7">
        <v>0.91641799999999995</v>
      </c>
      <c r="CS347" s="7">
        <v>44.951140000000002</v>
      </c>
      <c r="CT347" s="7">
        <v>50</v>
      </c>
      <c r="CU347" s="7">
        <v>0.61429599999999995</v>
      </c>
      <c r="CV347" s="7">
        <v>50</v>
      </c>
      <c r="CW347" s="7">
        <v>50</v>
      </c>
      <c r="CX347" s="7">
        <v>0.982456</v>
      </c>
      <c r="CY347" s="7">
        <v>0.94</v>
      </c>
      <c r="CZ347" s="7">
        <v>-4.2456000000000001E-2</v>
      </c>
      <c r="DA347" s="7">
        <v>15.314097</v>
      </c>
      <c r="DB347" s="7">
        <v>17.400950000000002</v>
      </c>
      <c r="DC347" s="7">
        <v>16.332519999999999</v>
      </c>
      <c r="DD347" s="7">
        <v>7.9891730000000001</v>
      </c>
      <c r="DE347" s="7">
        <v>1</v>
      </c>
      <c r="DF347" s="6"/>
      <c r="DG347" s="6"/>
      <c r="DH347" s="6"/>
      <c r="DI347" s="6"/>
      <c r="DJ347" s="7">
        <v>0</v>
      </c>
      <c r="DK347" s="7">
        <v>0</v>
      </c>
      <c r="DL347" s="7">
        <v>0</v>
      </c>
      <c r="DM347" s="7">
        <v>0</v>
      </c>
      <c r="DN347" s="7">
        <v>0</v>
      </c>
      <c r="DO347" s="7">
        <v>0</v>
      </c>
      <c r="DP347" s="6"/>
      <c r="DQ347" s="4" t="s">
        <v>125</v>
      </c>
    </row>
    <row r="348" spans="1:121" ht="20" customHeight="1" x14ac:dyDescent="0.15">
      <c r="A348" s="5">
        <v>2018</v>
      </c>
      <c r="B348" s="3" t="s">
        <v>170</v>
      </c>
      <c r="C348" s="4" t="str">
        <f t="shared" ref="C348:C353" si="191">"0350011"</f>
        <v>0350011</v>
      </c>
      <c r="D348" s="4" t="s">
        <v>493</v>
      </c>
      <c r="E348" s="4" t="str">
        <f>"0350211"</f>
        <v>0350211</v>
      </c>
      <c r="F348" s="4" t="s">
        <v>327</v>
      </c>
      <c r="G348" s="4" t="s">
        <v>328</v>
      </c>
      <c r="H348" s="7">
        <v>5</v>
      </c>
      <c r="I348" s="6"/>
      <c r="J348" s="4" t="s">
        <v>330</v>
      </c>
      <c r="K348" s="7">
        <v>771.93025599999999</v>
      </c>
      <c r="L348" s="7">
        <v>800</v>
      </c>
      <c r="M348" s="7">
        <v>96.491281999999998</v>
      </c>
      <c r="N348" s="7">
        <v>1</v>
      </c>
      <c r="O348" s="7">
        <v>0</v>
      </c>
      <c r="P348" s="7">
        <v>87.555154999999999</v>
      </c>
      <c r="Q348" s="7">
        <v>50</v>
      </c>
      <c r="R348" s="7">
        <v>50</v>
      </c>
      <c r="S348" s="7">
        <v>75.027083000000005</v>
      </c>
      <c r="T348" s="7">
        <v>75</v>
      </c>
      <c r="U348" s="7">
        <v>50</v>
      </c>
      <c r="V348" s="7">
        <v>50</v>
      </c>
      <c r="W348" s="7">
        <v>87.556117999999998</v>
      </c>
      <c r="X348" s="7">
        <v>50</v>
      </c>
      <c r="Y348" s="7">
        <v>50</v>
      </c>
      <c r="Z348" s="7">
        <v>75</v>
      </c>
      <c r="AA348" s="7">
        <v>75.001632000000001</v>
      </c>
      <c r="AB348" s="7">
        <v>50</v>
      </c>
      <c r="AC348" s="7">
        <v>50</v>
      </c>
      <c r="AD348" s="7">
        <v>87.217534999999998</v>
      </c>
      <c r="AE348" s="7">
        <v>50</v>
      </c>
      <c r="AF348" s="7">
        <v>50</v>
      </c>
      <c r="AG348" s="4" t="s">
        <v>124</v>
      </c>
      <c r="AH348" s="7">
        <v>75</v>
      </c>
      <c r="AI348" s="4" t="s">
        <v>124</v>
      </c>
      <c r="AJ348" s="4" t="s">
        <v>124</v>
      </c>
      <c r="AK348" s="7">
        <v>-0.02</v>
      </c>
      <c r="AL348" s="7">
        <v>0</v>
      </c>
      <c r="AM348" s="4" t="s">
        <v>124</v>
      </c>
      <c r="AN348" s="7">
        <v>0.88380599999999998</v>
      </c>
      <c r="AO348" s="7">
        <v>88.380604000000005</v>
      </c>
      <c r="AP348" s="7">
        <v>100</v>
      </c>
      <c r="AQ348" s="7">
        <v>0.96591000000000005</v>
      </c>
      <c r="AR348" s="7">
        <v>96.591035000000005</v>
      </c>
      <c r="AS348" s="7">
        <v>100</v>
      </c>
      <c r="AT348" s="7">
        <v>0.87929599999999997</v>
      </c>
      <c r="AU348" s="7">
        <v>0.88448700000000002</v>
      </c>
      <c r="AV348" s="7">
        <v>87.929598999999996</v>
      </c>
      <c r="AW348" s="7">
        <v>100</v>
      </c>
      <c r="AX348" s="7">
        <v>0.99029</v>
      </c>
      <c r="AY348" s="7">
        <v>0.96222700000000005</v>
      </c>
      <c r="AZ348" s="7">
        <v>99.029017999999994</v>
      </c>
      <c r="BA348" s="7">
        <v>100</v>
      </c>
      <c r="BB348" s="4" t="s">
        <v>124</v>
      </c>
      <c r="BC348" s="4" t="s">
        <v>124</v>
      </c>
      <c r="BD348" s="4" t="s">
        <v>124</v>
      </c>
      <c r="BE348" s="4" t="s">
        <v>124</v>
      </c>
      <c r="BF348" s="4" t="s">
        <v>124</v>
      </c>
      <c r="BG348" s="4" t="s">
        <v>124</v>
      </c>
      <c r="BH348" s="7">
        <v>0</v>
      </c>
      <c r="BI348" s="7">
        <v>1</v>
      </c>
      <c r="BJ348" s="7">
        <v>1</v>
      </c>
      <c r="BK348" s="7">
        <v>1</v>
      </c>
      <c r="BL348" s="7">
        <v>1</v>
      </c>
      <c r="BM348" s="7">
        <v>1</v>
      </c>
      <c r="BN348" s="7">
        <v>1</v>
      </c>
      <c r="BO348" s="7">
        <v>1</v>
      </c>
      <c r="BP348" s="4" t="s">
        <v>124</v>
      </c>
      <c r="BQ348" s="7">
        <v>1</v>
      </c>
      <c r="BR348" s="7">
        <v>1.4893999999999999E-2</v>
      </c>
      <c r="BS348" s="7">
        <v>50</v>
      </c>
      <c r="BT348" s="7">
        <v>50</v>
      </c>
      <c r="BU348" s="7">
        <v>2.7397000000000001E-2</v>
      </c>
      <c r="BV348" s="7">
        <v>50</v>
      </c>
      <c r="BW348" s="7">
        <v>50</v>
      </c>
      <c r="BX348" s="4" t="s">
        <v>124</v>
      </c>
      <c r="BY348" s="4" t="s">
        <v>124</v>
      </c>
      <c r="BZ348" s="4" t="s">
        <v>124</v>
      </c>
      <c r="CA348" s="4" t="s">
        <v>124</v>
      </c>
      <c r="CB348" s="4" t="s">
        <v>124</v>
      </c>
      <c r="CC348" s="4" t="s">
        <v>124</v>
      </c>
      <c r="CD348" s="4" t="s">
        <v>124</v>
      </c>
      <c r="CE348" s="4" t="s">
        <v>124</v>
      </c>
      <c r="CF348" s="4" t="s">
        <v>124</v>
      </c>
      <c r="CG348" s="4" t="s">
        <v>124</v>
      </c>
      <c r="CH348" s="4" t="s">
        <v>124</v>
      </c>
      <c r="CI348" s="4" t="s">
        <v>124</v>
      </c>
      <c r="CJ348" s="4" t="s">
        <v>124</v>
      </c>
      <c r="CK348" s="4" t="s">
        <v>124</v>
      </c>
      <c r="CL348" s="4" t="s">
        <v>124</v>
      </c>
      <c r="CM348" s="4" t="s">
        <v>124</v>
      </c>
      <c r="CN348" s="4" t="s">
        <v>124</v>
      </c>
      <c r="CO348" s="4" t="s">
        <v>124</v>
      </c>
      <c r="CP348" s="4" t="s">
        <v>124</v>
      </c>
      <c r="CQ348" s="7">
        <v>0.764706</v>
      </c>
      <c r="CR348" s="7">
        <v>0.98837200000000003</v>
      </c>
      <c r="CS348" s="7">
        <v>50</v>
      </c>
      <c r="CT348" s="7">
        <v>50</v>
      </c>
      <c r="CU348" s="4" t="s">
        <v>124</v>
      </c>
      <c r="CV348" s="4" t="s">
        <v>124</v>
      </c>
      <c r="CW348" s="4" t="s">
        <v>124</v>
      </c>
      <c r="CX348" s="4" t="s">
        <v>124</v>
      </c>
      <c r="CY348" s="4" t="s">
        <v>124</v>
      </c>
      <c r="CZ348" s="4" t="s">
        <v>124</v>
      </c>
      <c r="DA348" s="7">
        <v>15.314097</v>
      </c>
      <c r="DB348" s="7">
        <v>17.400950000000002</v>
      </c>
      <c r="DC348" s="7">
        <v>16.332519999999999</v>
      </c>
      <c r="DD348" s="4" t="s">
        <v>124</v>
      </c>
      <c r="DE348" s="7">
        <v>0</v>
      </c>
      <c r="DF348" s="6"/>
      <c r="DG348" s="6"/>
      <c r="DH348" s="4" t="s">
        <v>331</v>
      </c>
      <c r="DI348" s="4" t="s">
        <v>332</v>
      </c>
      <c r="DJ348" s="7">
        <v>1</v>
      </c>
      <c r="DK348" s="7">
        <v>0</v>
      </c>
      <c r="DL348" s="7">
        <v>0</v>
      </c>
      <c r="DM348" s="7">
        <v>0</v>
      </c>
      <c r="DN348" s="7">
        <v>0</v>
      </c>
      <c r="DO348" s="7">
        <v>0</v>
      </c>
      <c r="DP348" s="6"/>
      <c r="DQ348" s="4" t="s">
        <v>125</v>
      </c>
    </row>
    <row r="349" spans="1:121" ht="20" customHeight="1" x14ac:dyDescent="0.15">
      <c r="A349" s="5">
        <v>2018</v>
      </c>
      <c r="B349" s="3" t="s">
        <v>170</v>
      </c>
      <c r="C349" s="4" t="str">
        <f t="shared" si="191"/>
        <v>0350011</v>
      </c>
      <c r="D349" s="4" t="s">
        <v>494</v>
      </c>
      <c r="E349" s="4" t="str">
        <f>"0350711"</f>
        <v>0350711</v>
      </c>
      <c r="F349" s="4" t="s">
        <v>327</v>
      </c>
      <c r="G349" s="4" t="s">
        <v>338</v>
      </c>
      <c r="H349" s="7">
        <v>5</v>
      </c>
      <c r="I349" s="6"/>
      <c r="J349" s="4" t="s">
        <v>330</v>
      </c>
      <c r="K349" s="7">
        <v>709.62241400000005</v>
      </c>
      <c r="L349" s="7">
        <v>800</v>
      </c>
      <c r="M349" s="7">
        <v>88.702802000000005</v>
      </c>
      <c r="N349" s="7">
        <v>2</v>
      </c>
      <c r="O349" s="7">
        <v>0</v>
      </c>
      <c r="P349" s="7">
        <v>85.783524999999997</v>
      </c>
      <c r="Q349" s="7">
        <v>50</v>
      </c>
      <c r="R349" s="7">
        <v>50</v>
      </c>
      <c r="S349" s="7">
        <v>73.702783999999994</v>
      </c>
      <c r="T349" s="7">
        <v>75</v>
      </c>
      <c r="U349" s="7">
        <v>49.135188999999997</v>
      </c>
      <c r="V349" s="7">
        <v>50</v>
      </c>
      <c r="W349" s="7">
        <v>83.532684000000003</v>
      </c>
      <c r="X349" s="7">
        <v>50</v>
      </c>
      <c r="Y349" s="7">
        <v>50</v>
      </c>
      <c r="Z349" s="7">
        <v>75</v>
      </c>
      <c r="AA349" s="7">
        <v>71.816249999999997</v>
      </c>
      <c r="AB349" s="7">
        <v>47.877499999999998</v>
      </c>
      <c r="AC349" s="7">
        <v>50</v>
      </c>
      <c r="AD349" s="7">
        <v>85.190061</v>
      </c>
      <c r="AE349" s="7">
        <v>50</v>
      </c>
      <c r="AF349" s="7">
        <v>50</v>
      </c>
      <c r="AG349" s="4" t="s">
        <v>124</v>
      </c>
      <c r="AH349" s="7">
        <v>75</v>
      </c>
      <c r="AI349" s="4" t="s">
        <v>124</v>
      </c>
      <c r="AJ349" s="4" t="s">
        <v>124</v>
      </c>
      <c r="AK349" s="7">
        <v>1.29</v>
      </c>
      <c r="AL349" s="7">
        <v>3.18</v>
      </c>
      <c r="AM349" s="4" t="s">
        <v>124</v>
      </c>
      <c r="AN349" s="7">
        <v>0.78495599999999999</v>
      </c>
      <c r="AO349" s="7">
        <v>78.495568000000006</v>
      </c>
      <c r="AP349" s="7">
        <v>100</v>
      </c>
      <c r="AQ349" s="7">
        <v>0.80246799999999996</v>
      </c>
      <c r="AR349" s="7">
        <v>80.246823000000006</v>
      </c>
      <c r="AS349" s="7">
        <v>100</v>
      </c>
      <c r="AT349" s="7">
        <v>0.72540099999999996</v>
      </c>
      <c r="AU349" s="7">
        <v>0.79404799999999998</v>
      </c>
      <c r="AV349" s="7">
        <v>72.540114000000003</v>
      </c>
      <c r="AW349" s="7">
        <v>100</v>
      </c>
      <c r="AX349" s="7">
        <v>0.81327199999999999</v>
      </c>
      <c r="AY349" s="7">
        <v>0.80081899999999995</v>
      </c>
      <c r="AZ349" s="7">
        <v>81.327218999999999</v>
      </c>
      <c r="BA349" s="7">
        <v>100</v>
      </c>
      <c r="BB349" s="4" t="s">
        <v>124</v>
      </c>
      <c r="BC349" s="4" t="s">
        <v>124</v>
      </c>
      <c r="BD349" s="4" t="s">
        <v>124</v>
      </c>
      <c r="BE349" s="4" t="s">
        <v>124</v>
      </c>
      <c r="BF349" s="4" t="s">
        <v>124</v>
      </c>
      <c r="BG349" s="4" t="s">
        <v>124</v>
      </c>
      <c r="BH349" s="7">
        <v>1</v>
      </c>
      <c r="BI349" s="7">
        <v>0.99078299999999997</v>
      </c>
      <c r="BJ349" s="7">
        <v>0.9375</v>
      </c>
      <c r="BK349" s="7">
        <v>1</v>
      </c>
      <c r="BL349" s="7">
        <v>0.99078299999999997</v>
      </c>
      <c r="BM349" s="7">
        <v>0.9375</v>
      </c>
      <c r="BN349" s="7">
        <v>1</v>
      </c>
      <c r="BO349" s="7">
        <v>0.97368399999999999</v>
      </c>
      <c r="BP349" s="4" t="s">
        <v>124</v>
      </c>
      <c r="BQ349" s="7">
        <v>1</v>
      </c>
      <c r="BR349" s="7">
        <v>8.8690000000000001E-3</v>
      </c>
      <c r="BS349" s="7">
        <v>50</v>
      </c>
      <c r="BT349" s="7">
        <v>50</v>
      </c>
      <c r="BU349" s="7">
        <v>2.7026999999999999E-2</v>
      </c>
      <c r="BV349" s="7">
        <v>50</v>
      </c>
      <c r="BW349" s="7">
        <v>50</v>
      </c>
      <c r="BX349" s="4" t="s">
        <v>124</v>
      </c>
      <c r="BY349" s="4" t="s">
        <v>124</v>
      </c>
      <c r="BZ349" s="4" t="s">
        <v>124</v>
      </c>
      <c r="CA349" s="4" t="s">
        <v>124</v>
      </c>
      <c r="CB349" s="4" t="s">
        <v>124</v>
      </c>
      <c r="CC349" s="4" t="s">
        <v>124</v>
      </c>
      <c r="CD349" s="4" t="s">
        <v>124</v>
      </c>
      <c r="CE349" s="4" t="s">
        <v>124</v>
      </c>
      <c r="CF349" s="4" t="s">
        <v>124</v>
      </c>
      <c r="CG349" s="4" t="s">
        <v>124</v>
      </c>
      <c r="CH349" s="4" t="s">
        <v>124</v>
      </c>
      <c r="CI349" s="4" t="s">
        <v>124</v>
      </c>
      <c r="CJ349" s="4" t="s">
        <v>124</v>
      </c>
      <c r="CK349" s="4" t="s">
        <v>124</v>
      </c>
      <c r="CL349" s="4" t="s">
        <v>124</v>
      </c>
      <c r="CM349" s="4" t="s">
        <v>124</v>
      </c>
      <c r="CN349" s="4" t="s">
        <v>124</v>
      </c>
      <c r="CO349" s="4" t="s">
        <v>124</v>
      </c>
      <c r="CP349" s="4" t="s">
        <v>124</v>
      </c>
      <c r="CQ349" s="7">
        <v>0.97435899999999998</v>
      </c>
      <c r="CR349" s="7">
        <v>0.98734200000000005</v>
      </c>
      <c r="CS349" s="7">
        <v>50</v>
      </c>
      <c r="CT349" s="7">
        <v>50</v>
      </c>
      <c r="CU349" s="4" t="s">
        <v>124</v>
      </c>
      <c r="CV349" s="4" t="s">
        <v>124</v>
      </c>
      <c r="CW349" s="4" t="s">
        <v>124</v>
      </c>
      <c r="CX349" s="4" t="s">
        <v>124</v>
      </c>
      <c r="CY349" s="4" t="s">
        <v>124</v>
      </c>
      <c r="CZ349" s="4" t="s">
        <v>124</v>
      </c>
      <c r="DA349" s="7">
        <v>15.314097</v>
      </c>
      <c r="DB349" s="7">
        <v>17.400950000000002</v>
      </c>
      <c r="DC349" s="7">
        <v>16.332519999999999</v>
      </c>
      <c r="DD349" s="4" t="s">
        <v>124</v>
      </c>
      <c r="DE349" s="7">
        <v>1</v>
      </c>
      <c r="DF349" s="6"/>
      <c r="DG349" s="6"/>
      <c r="DH349" s="6"/>
      <c r="DI349" s="6"/>
      <c r="DJ349" s="7">
        <v>0</v>
      </c>
      <c r="DK349" s="7">
        <v>0</v>
      </c>
      <c r="DL349" s="7">
        <v>0</v>
      </c>
      <c r="DM349" s="7">
        <v>0</v>
      </c>
      <c r="DN349" s="7">
        <v>0</v>
      </c>
      <c r="DO349" s="7">
        <v>0</v>
      </c>
      <c r="DP349" s="6"/>
      <c r="DQ349" s="4" t="s">
        <v>125</v>
      </c>
    </row>
    <row r="350" spans="1:121" ht="20" customHeight="1" x14ac:dyDescent="0.15">
      <c r="A350" s="5">
        <v>2018</v>
      </c>
      <c r="B350" s="3" t="s">
        <v>170</v>
      </c>
      <c r="C350" s="4" t="str">
        <f t="shared" si="191"/>
        <v>0350011</v>
      </c>
      <c r="D350" s="4" t="s">
        <v>495</v>
      </c>
      <c r="E350" s="4" t="str">
        <f>"0355111"</f>
        <v>0355111</v>
      </c>
      <c r="F350" s="4" t="s">
        <v>327</v>
      </c>
      <c r="G350" s="7">
        <v>6</v>
      </c>
      <c r="H350" s="7">
        <v>8</v>
      </c>
      <c r="I350" s="4" t="s">
        <v>329</v>
      </c>
      <c r="J350" s="4" t="s">
        <v>330</v>
      </c>
      <c r="K350" s="7">
        <v>743.26298599999996</v>
      </c>
      <c r="L350" s="7">
        <v>900</v>
      </c>
      <c r="M350" s="7">
        <v>82.584776000000005</v>
      </c>
      <c r="N350" s="7">
        <v>2</v>
      </c>
      <c r="O350" s="7">
        <v>0</v>
      </c>
      <c r="P350" s="7">
        <v>84.101249999999993</v>
      </c>
      <c r="Q350" s="7">
        <v>50</v>
      </c>
      <c r="R350" s="7">
        <v>50</v>
      </c>
      <c r="S350" s="7">
        <v>66.405668000000006</v>
      </c>
      <c r="T350" s="7">
        <v>75</v>
      </c>
      <c r="U350" s="7">
        <v>44.270445000000002</v>
      </c>
      <c r="V350" s="7">
        <v>50</v>
      </c>
      <c r="W350" s="7">
        <v>84.588427999999993</v>
      </c>
      <c r="X350" s="7">
        <v>50</v>
      </c>
      <c r="Y350" s="7">
        <v>50</v>
      </c>
      <c r="Z350" s="7">
        <v>75</v>
      </c>
      <c r="AA350" s="7">
        <v>66.599932999999993</v>
      </c>
      <c r="AB350" s="7">
        <v>44.399954999999999</v>
      </c>
      <c r="AC350" s="7">
        <v>50</v>
      </c>
      <c r="AD350" s="7">
        <v>78.364153000000002</v>
      </c>
      <c r="AE350" s="7">
        <v>50</v>
      </c>
      <c r="AF350" s="7">
        <v>50</v>
      </c>
      <c r="AG350" s="7">
        <v>60.788581999999998</v>
      </c>
      <c r="AH350" s="7">
        <v>75</v>
      </c>
      <c r="AI350" s="7">
        <v>40.525720999999997</v>
      </c>
      <c r="AJ350" s="7">
        <v>50</v>
      </c>
      <c r="AK350" s="7">
        <v>8.59</v>
      </c>
      <c r="AL350" s="7">
        <v>8.4</v>
      </c>
      <c r="AM350" s="7">
        <v>14.21</v>
      </c>
      <c r="AN350" s="7">
        <v>0.65865799999999997</v>
      </c>
      <c r="AO350" s="7">
        <v>65.865806000000006</v>
      </c>
      <c r="AP350" s="7">
        <v>100</v>
      </c>
      <c r="AQ350" s="7">
        <v>0.84975999999999996</v>
      </c>
      <c r="AR350" s="7">
        <v>84.975988000000001</v>
      </c>
      <c r="AS350" s="7">
        <v>100</v>
      </c>
      <c r="AT350" s="7">
        <v>0.53763799999999995</v>
      </c>
      <c r="AU350" s="7">
        <v>0.68294600000000005</v>
      </c>
      <c r="AV350" s="7">
        <v>53.763824999999997</v>
      </c>
      <c r="AW350" s="7">
        <v>100</v>
      </c>
      <c r="AX350" s="7">
        <v>0.72860599999999998</v>
      </c>
      <c r="AY350" s="7">
        <v>0.87376699999999996</v>
      </c>
      <c r="AZ350" s="7">
        <v>72.860557999999997</v>
      </c>
      <c r="BA350" s="7">
        <v>100</v>
      </c>
      <c r="BB350" s="4" t="s">
        <v>124</v>
      </c>
      <c r="BC350" s="4" t="s">
        <v>124</v>
      </c>
      <c r="BD350" s="4" t="s">
        <v>124</v>
      </c>
      <c r="BE350" s="4" t="s">
        <v>124</v>
      </c>
      <c r="BF350" s="4" t="s">
        <v>124</v>
      </c>
      <c r="BG350" s="4" t="s">
        <v>124</v>
      </c>
      <c r="BH350" s="7">
        <v>0</v>
      </c>
      <c r="BI350" s="7">
        <v>0.99276699999999996</v>
      </c>
      <c r="BJ350" s="7">
        <v>0.98477199999999998</v>
      </c>
      <c r="BK350" s="7">
        <v>0.99449900000000002</v>
      </c>
      <c r="BL350" s="7">
        <v>0.99276699999999996</v>
      </c>
      <c r="BM350" s="7">
        <v>0.97969499999999998</v>
      </c>
      <c r="BN350" s="7">
        <v>0.99560000000000004</v>
      </c>
      <c r="BO350" s="7">
        <v>0.98870100000000005</v>
      </c>
      <c r="BP350" s="7">
        <v>0.98507500000000003</v>
      </c>
      <c r="BQ350" s="7">
        <v>0.98954699999999995</v>
      </c>
      <c r="BR350" s="7">
        <v>5.1583999999999998E-2</v>
      </c>
      <c r="BS350" s="7">
        <v>49.683258000000002</v>
      </c>
      <c r="BT350" s="7">
        <v>50</v>
      </c>
      <c r="BU350" s="7">
        <v>8.5859000000000005E-2</v>
      </c>
      <c r="BV350" s="7">
        <v>42.828282999999999</v>
      </c>
      <c r="BW350" s="7">
        <v>50</v>
      </c>
      <c r="BX350" s="4" t="s">
        <v>124</v>
      </c>
      <c r="BY350" s="4" t="s">
        <v>124</v>
      </c>
      <c r="BZ350" s="4" t="s">
        <v>124</v>
      </c>
      <c r="CA350" s="4" t="s">
        <v>124</v>
      </c>
      <c r="CB350" s="4" t="s">
        <v>124</v>
      </c>
      <c r="CC350" s="4" t="s">
        <v>124</v>
      </c>
      <c r="CD350" s="7">
        <v>0.98895</v>
      </c>
      <c r="CE350" s="7">
        <v>50</v>
      </c>
      <c r="CF350" s="7">
        <v>50</v>
      </c>
      <c r="CG350" s="4" t="s">
        <v>124</v>
      </c>
      <c r="CH350" s="4" t="s">
        <v>124</v>
      </c>
      <c r="CI350" s="4" t="s">
        <v>124</v>
      </c>
      <c r="CJ350" s="4" t="s">
        <v>124</v>
      </c>
      <c r="CK350" s="4" t="s">
        <v>124</v>
      </c>
      <c r="CL350" s="4" t="s">
        <v>124</v>
      </c>
      <c r="CM350" s="4" t="s">
        <v>124</v>
      </c>
      <c r="CN350" s="4" t="s">
        <v>124</v>
      </c>
      <c r="CO350" s="4" t="s">
        <v>124</v>
      </c>
      <c r="CP350" s="4" t="s">
        <v>124</v>
      </c>
      <c r="CQ350" s="7">
        <v>0.66133699999999995</v>
      </c>
      <c r="CR350" s="7">
        <v>0.93478300000000003</v>
      </c>
      <c r="CS350" s="7">
        <v>44.089146999999997</v>
      </c>
      <c r="CT350" s="7">
        <v>50</v>
      </c>
      <c r="CU350" s="4" t="s">
        <v>124</v>
      </c>
      <c r="CV350" s="4" t="s">
        <v>124</v>
      </c>
      <c r="CW350" s="4" t="s">
        <v>124</v>
      </c>
      <c r="CX350" s="4" t="s">
        <v>124</v>
      </c>
      <c r="CY350" s="4" t="s">
        <v>124</v>
      </c>
      <c r="CZ350" s="4" t="s">
        <v>124</v>
      </c>
      <c r="DA350" s="7">
        <v>15.314097</v>
      </c>
      <c r="DB350" s="7">
        <v>17.400950000000002</v>
      </c>
      <c r="DC350" s="7">
        <v>16.332519999999999</v>
      </c>
      <c r="DD350" s="4" t="s">
        <v>124</v>
      </c>
      <c r="DE350" s="7">
        <v>0</v>
      </c>
      <c r="DF350" s="6"/>
      <c r="DG350" s="6"/>
      <c r="DH350" s="6"/>
      <c r="DI350" s="6"/>
      <c r="DJ350" s="7">
        <v>0</v>
      </c>
      <c r="DK350" s="7">
        <v>0</v>
      </c>
      <c r="DL350" s="7">
        <v>0</v>
      </c>
      <c r="DM350" s="7">
        <v>0</v>
      </c>
      <c r="DN350" s="7">
        <v>0</v>
      </c>
      <c r="DO350" s="7">
        <v>0</v>
      </c>
      <c r="DP350" s="6"/>
      <c r="DQ350" s="4" t="s">
        <v>125</v>
      </c>
    </row>
    <row r="351" spans="1:121" ht="20" customHeight="1" x14ac:dyDescent="0.15">
      <c r="A351" s="5">
        <v>2018</v>
      </c>
      <c r="B351" s="3" t="s">
        <v>170</v>
      </c>
      <c r="C351" s="4" t="str">
        <f t="shared" si="191"/>
        <v>0350011</v>
      </c>
      <c r="D351" s="4" t="s">
        <v>496</v>
      </c>
      <c r="E351" s="4" t="str">
        <f>"0351311"</f>
        <v>0351311</v>
      </c>
      <c r="F351" s="4" t="s">
        <v>327</v>
      </c>
      <c r="G351" s="4" t="s">
        <v>328</v>
      </c>
      <c r="H351" s="7">
        <v>5</v>
      </c>
      <c r="I351" s="6"/>
      <c r="J351" s="4" t="s">
        <v>330</v>
      </c>
      <c r="K351" s="7">
        <v>710.38531999999998</v>
      </c>
      <c r="L351" s="7">
        <v>800</v>
      </c>
      <c r="M351" s="7">
        <v>88.798164999999997</v>
      </c>
      <c r="N351" s="7">
        <v>1</v>
      </c>
      <c r="O351" s="7">
        <v>0</v>
      </c>
      <c r="P351" s="7">
        <v>84.558645999999996</v>
      </c>
      <c r="Q351" s="7">
        <v>50</v>
      </c>
      <c r="R351" s="7">
        <v>50</v>
      </c>
      <c r="S351" s="7">
        <v>68.553742</v>
      </c>
      <c r="T351" s="7">
        <v>75</v>
      </c>
      <c r="U351" s="7">
        <v>45.702494999999999</v>
      </c>
      <c r="V351" s="7">
        <v>50</v>
      </c>
      <c r="W351" s="7">
        <v>83.677053000000001</v>
      </c>
      <c r="X351" s="7">
        <v>50</v>
      </c>
      <c r="Y351" s="7">
        <v>50</v>
      </c>
      <c r="Z351" s="7">
        <v>75</v>
      </c>
      <c r="AA351" s="7">
        <v>67.012046999999995</v>
      </c>
      <c r="AB351" s="7">
        <v>44.674697999999999</v>
      </c>
      <c r="AC351" s="7">
        <v>50</v>
      </c>
      <c r="AD351" s="7">
        <v>83.192155</v>
      </c>
      <c r="AE351" s="7">
        <v>50</v>
      </c>
      <c r="AF351" s="7">
        <v>50</v>
      </c>
      <c r="AG351" s="4" t="s">
        <v>124</v>
      </c>
      <c r="AH351" s="7">
        <v>75</v>
      </c>
      <c r="AI351" s="4" t="s">
        <v>124</v>
      </c>
      <c r="AJ351" s="4" t="s">
        <v>124</v>
      </c>
      <c r="AK351" s="7">
        <v>6.44</v>
      </c>
      <c r="AL351" s="7">
        <v>7.98</v>
      </c>
      <c r="AM351" s="4" t="s">
        <v>124</v>
      </c>
      <c r="AN351" s="7">
        <v>0.85281099999999999</v>
      </c>
      <c r="AO351" s="7">
        <v>85.281103000000002</v>
      </c>
      <c r="AP351" s="7">
        <v>100</v>
      </c>
      <c r="AQ351" s="7">
        <v>0.90169699999999997</v>
      </c>
      <c r="AR351" s="7">
        <v>90.169689000000005</v>
      </c>
      <c r="AS351" s="7">
        <v>100</v>
      </c>
      <c r="AT351" s="7">
        <v>0.68809699999999996</v>
      </c>
      <c r="AU351" s="7">
        <v>0.89398999999999995</v>
      </c>
      <c r="AV351" s="7">
        <v>68.809672000000006</v>
      </c>
      <c r="AW351" s="7">
        <v>100</v>
      </c>
      <c r="AX351" s="7">
        <v>0.77176199999999995</v>
      </c>
      <c r="AY351" s="7">
        <v>0.93418100000000004</v>
      </c>
      <c r="AZ351" s="7">
        <v>77.176233999999994</v>
      </c>
      <c r="BA351" s="7">
        <v>100</v>
      </c>
      <c r="BB351" s="4" t="s">
        <v>124</v>
      </c>
      <c r="BC351" s="4" t="s">
        <v>124</v>
      </c>
      <c r="BD351" s="4" t="s">
        <v>124</v>
      </c>
      <c r="BE351" s="4" t="s">
        <v>124</v>
      </c>
      <c r="BF351" s="4" t="s">
        <v>124</v>
      </c>
      <c r="BG351" s="4" t="s">
        <v>124</v>
      </c>
      <c r="BH351" s="7">
        <v>0</v>
      </c>
      <c r="BI351" s="7">
        <v>1</v>
      </c>
      <c r="BJ351" s="7">
        <v>1</v>
      </c>
      <c r="BK351" s="7">
        <v>1</v>
      </c>
      <c r="BL351" s="7">
        <v>1</v>
      </c>
      <c r="BM351" s="7">
        <v>1</v>
      </c>
      <c r="BN351" s="7">
        <v>1</v>
      </c>
      <c r="BO351" s="7">
        <v>1</v>
      </c>
      <c r="BP351" s="4" t="s">
        <v>124</v>
      </c>
      <c r="BQ351" s="7">
        <v>1</v>
      </c>
      <c r="BR351" s="7">
        <v>2.7990000000000001E-2</v>
      </c>
      <c r="BS351" s="7">
        <v>50</v>
      </c>
      <c r="BT351" s="7">
        <v>50</v>
      </c>
      <c r="BU351" s="7">
        <v>5.7142999999999999E-2</v>
      </c>
      <c r="BV351" s="7">
        <v>48.571429000000002</v>
      </c>
      <c r="BW351" s="7">
        <v>50</v>
      </c>
      <c r="BX351" s="4" t="s">
        <v>124</v>
      </c>
      <c r="BY351" s="4" t="s">
        <v>124</v>
      </c>
      <c r="BZ351" s="4" t="s">
        <v>124</v>
      </c>
      <c r="CA351" s="4" t="s">
        <v>124</v>
      </c>
      <c r="CB351" s="4" t="s">
        <v>124</v>
      </c>
      <c r="CC351" s="4" t="s">
        <v>124</v>
      </c>
      <c r="CD351" s="4" t="s">
        <v>124</v>
      </c>
      <c r="CE351" s="4" t="s">
        <v>124</v>
      </c>
      <c r="CF351" s="4" t="s">
        <v>124</v>
      </c>
      <c r="CG351" s="4" t="s">
        <v>124</v>
      </c>
      <c r="CH351" s="4" t="s">
        <v>124</v>
      </c>
      <c r="CI351" s="4" t="s">
        <v>124</v>
      </c>
      <c r="CJ351" s="4" t="s">
        <v>124</v>
      </c>
      <c r="CK351" s="4" t="s">
        <v>124</v>
      </c>
      <c r="CL351" s="4" t="s">
        <v>124</v>
      </c>
      <c r="CM351" s="4" t="s">
        <v>124</v>
      </c>
      <c r="CN351" s="4" t="s">
        <v>124</v>
      </c>
      <c r="CO351" s="4" t="s">
        <v>124</v>
      </c>
      <c r="CP351" s="4" t="s">
        <v>124</v>
      </c>
      <c r="CQ351" s="7">
        <v>0.78431399999999996</v>
      </c>
      <c r="CR351" s="7">
        <v>0.96226400000000001</v>
      </c>
      <c r="CS351" s="7">
        <v>50</v>
      </c>
      <c r="CT351" s="7">
        <v>50</v>
      </c>
      <c r="CU351" s="4" t="s">
        <v>124</v>
      </c>
      <c r="CV351" s="4" t="s">
        <v>124</v>
      </c>
      <c r="CW351" s="4" t="s">
        <v>124</v>
      </c>
      <c r="CX351" s="4" t="s">
        <v>124</v>
      </c>
      <c r="CY351" s="4" t="s">
        <v>124</v>
      </c>
      <c r="CZ351" s="4" t="s">
        <v>124</v>
      </c>
      <c r="DA351" s="7">
        <v>15.314097</v>
      </c>
      <c r="DB351" s="7">
        <v>17.400950000000002</v>
      </c>
      <c r="DC351" s="7">
        <v>16.332519999999999</v>
      </c>
      <c r="DD351" s="4" t="s">
        <v>124</v>
      </c>
      <c r="DE351" s="7">
        <v>0</v>
      </c>
      <c r="DF351" s="6"/>
      <c r="DG351" s="6"/>
      <c r="DH351" s="4" t="s">
        <v>331</v>
      </c>
      <c r="DI351" s="4" t="s">
        <v>497</v>
      </c>
      <c r="DJ351" s="7">
        <v>1</v>
      </c>
      <c r="DK351" s="7">
        <v>1</v>
      </c>
      <c r="DL351" s="7">
        <v>1</v>
      </c>
      <c r="DM351" s="7">
        <v>0</v>
      </c>
      <c r="DN351" s="7">
        <v>0</v>
      </c>
      <c r="DO351" s="7">
        <v>0</v>
      </c>
      <c r="DP351" s="6"/>
      <c r="DQ351" s="4" t="s">
        <v>125</v>
      </c>
    </row>
    <row r="352" spans="1:121" ht="20" customHeight="1" x14ac:dyDescent="0.15">
      <c r="A352" s="5">
        <v>2018</v>
      </c>
      <c r="B352" s="3" t="s">
        <v>170</v>
      </c>
      <c r="C352" s="4" t="str">
        <f t="shared" si="191"/>
        <v>0350011</v>
      </c>
      <c r="D352" s="4" t="s">
        <v>498</v>
      </c>
      <c r="E352" s="4" t="str">
        <f>"0350511"</f>
        <v>0350511</v>
      </c>
      <c r="F352" s="4" t="s">
        <v>327</v>
      </c>
      <c r="G352" s="4" t="s">
        <v>328</v>
      </c>
      <c r="H352" s="7">
        <v>5</v>
      </c>
      <c r="I352" s="4" t="s">
        <v>329</v>
      </c>
      <c r="J352" s="4" t="s">
        <v>330</v>
      </c>
      <c r="K352" s="7">
        <v>516.35075200000006</v>
      </c>
      <c r="L352" s="7">
        <v>600</v>
      </c>
      <c r="M352" s="7">
        <v>86.058458999999999</v>
      </c>
      <c r="N352" s="7">
        <v>1</v>
      </c>
      <c r="O352" s="7">
        <v>0</v>
      </c>
      <c r="P352" s="7">
        <v>82.233688000000001</v>
      </c>
      <c r="Q352" s="7">
        <v>50</v>
      </c>
      <c r="R352" s="7">
        <v>50</v>
      </c>
      <c r="S352" s="7">
        <v>66.564558000000005</v>
      </c>
      <c r="T352" s="7">
        <v>75</v>
      </c>
      <c r="U352" s="7">
        <v>44.376372000000003</v>
      </c>
      <c r="V352" s="7">
        <v>50</v>
      </c>
      <c r="W352" s="7">
        <v>79.811420999999996</v>
      </c>
      <c r="X352" s="7">
        <v>50</v>
      </c>
      <c r="Y352" s="7">
        <v>50</v>
      </c>
      <c r="Z352" s="7">
        <v>75</v>
      </c>
      <c r="AA352" s="7">
        <v>62.030177999999999</v>
      </c>
      <c r="AB352" s="7">
        <v>41.353451999999997</v>
      </c>
      <c r="AC352" s="7">
        <v>50</v>
      </c>
      <c r="AD352" s="7">
        <v>77.277218000000005</v>
      </c>
      <c r="AE352" s="7">
        <v>50</v>
      </c>
      <c r="AF352" s="7">
        <v>50</v>
      </c>
      <c r="AG352" s="4" t="s">
        <v>124</v>
      </c>
      <c r="AH352" s="7">
        <v>75</v>
      </c>
      <c r="AI352" s="4" t="s">
        <v>124</v>
      </c>
      <c r="AJ352" s="4" t="s">
        <v>124</v>
      </c>
      <c r="AK352" s="7">
        <v>8.43</v>
      </c>
      <c r="AL352" s="7">
        <v>12.96</v>
      </c>
      <c r="AM352" s="4" t="s">
        <v>124</v>
      </c>
      <c r="AN352" s="7">
        <v>0.61899099999999996</v>
      </c>
      <c r="AO352" s="7">
        <v>61.899081000000002</v>
      </c>
      <c r="AP352" s="7">
        <v>100</v>
      </c>
      <c r="AQ352" s="7">
        <v>0.71938199999999997</v>
      </c>
      <c r="AR352" s="7">
        <v>71.938220999999999</v>
      </c>
      <c r="AS352" s="7">
        <v>100</v>
      </c>
      <c r="AT352" s="4" t="s">
        <v>124</v>
      </c>
      <c r="AU352" s="7">
        <v>0.64418600000000004</v>
      </c>
      <c r="AV352" s="4" t="s">
        <v>124</v>
      </c>
      <c r="AW352" s="4" t="s">
        <v>124</v>
      </c>
      <c r="AX352" s="4" t="s">
        <v>124</v>
      </c>
      <c r="AY352" s="7">
        <v>0.73911800000000005</v>
      </c>
      <c r="AZ352" s="4" t="s">
        <v>124</v>
      </c>
      <c r="BA352" s="4" t="s">
        <v>124</v>
      </c>
      <c r="BB352" s="4" t="s">
        <v>124</v>
      </c>
      <c r="BC352" s="4" t="s">
        <v>124</v>
      </c>
      <c r="BD352" s="4" t="s">
        <v>124</v>
      </c>
      <c r="BE352" s="4" t="s">
        <v>124</v>
      </c>
      <c r="BF352" s="4" t="s">
        <v>124</v>
      </c>
      <c r="BG352" s="4" t="s">
        <v>124</v>
      </c>
      <c r="BH352" s="7">
        <v>0</v>
      </c>
      <c r="BI352" s="7">
        <v>0.99494899999999997</v>
      </c>
      <c r="BJ352" s="7">
        <v>0.97142899999999999</v>
      </c>
      <c r="BK352" s="7">
        <v>1</v>
      </c>
      <c r="BL352" s="7">
        <v>0.99494899999999997</v>
      </c>
      <c r="BM352" s="7">
        <v>0.97142899999999999</v>
      </c>
      <c r="BN352" s="7">
        <v>1</v>
      </c>
      <c r="BO352" s="7">
        <v>0.98461500000000002</v>
      </c>
      <c r="BP352" s="4" t="s">
        <v>124</v>
      </c>
      <c r="BQ352" s="7">
        <v>1</v>
      </c>
      <c r="BR352" s="7">
        <v>1.6303999999999999E-2</v>
      </c>
      <c r="BS352" s="7">
        <v>50</v>
      </c>
      <c r="BT352" s="7">
        <v>50</v>
      </c>
      <c r="BU352" s="7">
        <v>2.7778000000000001E-2</v>
      </c>
      <c r="BV352" s="7">
        <v>50</v>
      </c>
      <c r="BW352" s="7">
        <v>50</v>
      </c>
      <c r="BX352" s="4" t="s">
        <v>124</v>
      </c>
      <c r="BY352" s="4" t="s">
        <v>124</v>
      </c>
      <c r="BZ352" s="4" t="s">
        <v>124</v>
      </c>
      <c r="CA352" s="4" t="s">
        <v>124</v>
      </c>
      <c r="CB352" s="4" t="s">
        <v>124</v>
      </c>
      <c r="CC352" s="4" t="s">
        <v>124</v>
      </c>
      <c r="CD352" s="4" t="s">
        <v>124</v>
      </c>
      <c r="CE352" s="4" t="s">
        <v>124</v>
      </c>
      <c r="CF352" s="4" t="s">
        <v>124</v>
      </c>
      <c r="CG352" s="4" t="s">
        <v>124</v>
      </c>
      <c r="CH352" s="4" t="s">
        <v>124</v>
      </c>
      <c r="CI352" s="4" t="s">
        <v>124</v>
      </c>
      <c r="CJ352" s="4" t="s">
        <v>124</v>
      </c>
      <c r="CK352" s="4" t="s">
        <v>124</v>
      </c>
      <c r="CL352" s="4" t="s">
        <v>124</v>
      </c>
      <c r="CM352" s="4" t="s">
        <v>124</v>
      </c>
      <c r="CN352" s="4" t="s">
        <v>124</v>
      </c>
      <c r="CO352" s="4" t="s">
        <v>124</v>
      </c>
      <c r="CP352" s="4" t="s">
        <v>124</v>
      </c>
      <c r="CQ352" s="7">
        <v>0.70175399999999999</v>
      </c>
      <c r="CR352" s="7">
        <v>0.96610200000000002</v>
      </c>
      <c r="CS352" s="7">
        <v>46.783625999999998</v>
      </c>
      <c r="CT352" s="7">
        <v>50</v>
      </c>
      <c r="CU352" s="4" t="s">
        <v>124</v>
      </c>
      <c r="CV352" s="4" t="s">
        <v>124</v>
      </c>
      <c r="CW352" s="4" t="s">
        <v>124</v>
      </c>
      <c r="CX352" s="4" t="s">
        <v>124</v>
      </c>
      <c r="CY352" s="4" t="s">
        <v>124</v>
      </c>
      <c r="CZ352" s="4" t="s">
        <v>124</v>
      </c>
      <c r="DA352" s="7">
        <v>15.314097</v>
      </c>
      <c r="DB352" s="7">
        <v>17.400950000000002</v>
      </c>
      <c r="DC352" s="7">
        <v>16.332519999999999</v>
      </c>
      <c r="DD352" s="4" t="s">
        <v>124</v>
      </c>
      <c r="DE352" s="7">
        <v>0</v>
      </c>
      <c r="DF352" s="6"/>
      <c r="DG352" s="6"/>
      <c r="DH352" s="6"/>
      <c r="DI352" s="6"/>
      <c r="DJ352" s="7">
        <v>0</v>
      </c>
      <c r="DK352" s="7">
        <v>0</v>
      </c>
      <c r="DL352" s="7">
        <v>0</v>
      </c>
      <c r="DM352" s="7">
        <v>0</v>
      </c>
      <c r="DN352" s="7">
        <v>0</v>
      </c>
      <c r="DO352" s="7">
        <v>0</v>
      </c>
      <c r="DP352" s="6"/>
      <c r="DQ352" s="4" t="s">
        <v>125</v>
      </c>
    </row>
    <row r="353" spans="1:121" ht="20" customHeight="1" x14ac:dyDescent="0.15">
      <c r="A353" s="5">
        <v>2018</v>
      </c>
      <c r="B353" s="3" t="s">
        <v>170</v>
      </c>
      <c r="C353" s="4" t="str">
        <f t="shared" si="191"/>
        <v>0350011</v>
      </c>
      <c r="D353" s="4" t="s">
        <v>499</v>
      </c>
      <c r="E353" s="4" t="str">
        <f>"0350611"</f>
        <v>0350611</v>
      </c>
      <c r="F353" s="4" t="s">
        <v>327</v>
      </c>
      <c r="G353" s="4" t="s">
        <v>328</v>
      </c>
      <c r="H353" s="7">
        <v>5</v>
      </c>
      <c r="I353" s="4" t="s">
        <v>329</v>
      </c>
      <c r="J353" s="4" t="s">
        <v>330</v>
      </c>
      <c r="K353" s="7">
        <v>680.87845700000003</v>
      </c>
      <c r="L353" s="7">
        <v>800</v>
      </c>
      <c r="M353" s="7">
        <v>85.109807000000004</v>
      </c>
      <c r="N353" s="7">
        <v>1</v>
      </c>
      <c r="O353" s="7">
        <v>0</v>
      </c>
      <c r="P353" s="7">
        <v>87.027439999999999</v>
      </c>
      <c r="Q353" s="7">
        <v>50</v>
      </c>
      <c r="R353" s="7">
        <v>50</v>
      </c>
      <c r="S353" s="7">
        <v>69.034105999999994</v>
      </c>
      <c r="T353" s="7">
        <v>75</v>
      </c>
      <c r="U353" s="7">
        <v>46.022737999999997</v>
      </c>
      <c r="V353" s="7">
        <v>50</v>
      </c>
      <c r="W353" s="7">
        <v>86.252309999999994</v>
      </c>
      <c r="X353" s="7">
        <v>50</v>
      </c>
      <c r="Y353" s="7">
        <v>50</v>
      </c>
      <c r="Z353" s="7">
        <v>75</v>
      </c>
      <c r="AA353" s="7">
        <v>71.291874000000007</v>
      </c>
      <c r="AB353" s="7">
        <v>47.527915999999998</v>
      </c>
      <c r="AC353" s="7">
        <v>50</v>
      </c>
      <c r="AD353" s="7">
        <v>80.256468999999996</v>
      </c>
      <c r="AE353" s="7">
        <v>50</v>
      </c>
      <c r="AF353" s="7">
        <v>50</v>
      </c>
      <c r="AG353" s="4" t="s">
        <v>124</v>
      </c>
      <c r="AH353" s="7">
        <v>75</v>
      </c>
      <c r="AI353" s="4" t="s">
        <v>124</v>
      </c>
      <c r="AJ353" s="4" t="s">
        <v>124</v>
      </c>
      <c r="AK353" s="7">
        <v>5.96</v>
      </c>
      <c r="AL353" s="7">
        <v>3.7</v>
      </c>
      <c r="AM353" s="4" t="s">
        <v>124</v>
      </c>
      <c r="AN353" s="7">
        <v>0.83808800000000006</v>
      </c>
      <c r="AO353" s="7">
        <v>83.808751999999998</v>
      </c>
      <c r="AP353" s="7">
        <v>100</v>
      </c>
      <c r="AQ353" s="7">
        <v>0.81462000000000001</v>
      </c>
      <c r="AR353" s="7">
        <v>81.461976000000007</v>
      </c>
      <c r="AS353" s="7">
        <v>100</v>
      </c>
      <c r="AT353" s="7">
        <v>0.65970600000000001</v>
      </c>
      <c r="AU353" s="7">
        <v>0.87741599999999997</v>
      </c>
      <c r="AV353" s="7">
        <v>65.970616000000007</v>
      </c>
      <c r="AW353" s="7">
        <v>100</v>
      </c>
      <c r="AX353" s="7">
        <v>0.62250799999999995</v>
      </c>
      <c r="AY353" s="7">
        <v>0.85697500000000004</v>
      </c>
      <c r="AZ353" s="7">
        <v>62.250844000000001</v>
      </c>
      <c r="BA353" s="7">
        <v>100</v>
      </c>
      <c r="BB353" s="4" t="s">
        <v>124</v>
      </c>
      <c r="BC353" s="4" t="s">
        <v>124</v>
      </c>
      <c r="BD353" s="4" t="s">
        <v>124</v>
      </c>
      <c r="BE353" s="4" t="s">
        <v>124</v>
      </c>
      <c r="BF353" s="4" t="s">
        <v>124</v>
      </c>
      <c r="BG353" s="4" t="s">
        <v>124</v>
      </c>
      <c r="BH353" s="7">
        <v>0</v>
      </c>
      <c r="BI353" s="7">
        <v>1</v>
      </c>
      <c r="BJ353" s="7">
        <v>1</v>
      </c>
      <c r="BK353" s="7">
        <v>1</v>
      </c>
      <c r="BL353" s="7">
        <v>1</v>
      </c>
      <c r="BM353" s="7">
        <v>1</v>
      </c>
      <c r="BN353" s="7">
        <v>1</v>
      </c>
      <c r="BO353" s="7">
        <v>1</v>
      </c>
      <c r="BP353" s="4" t="s">
        <v>124</v>
      </c>
      <c r="BQ353" s="7">
        <v>1</v>
      </c>
      <c r="BR353" s="7">
        <v>0.02</v>
      </c>
      <c r="BS353" s="7">
        <v>50</v>
      </c>
      <c r="BT353" s="7">
        <v>50</v>
      </c>
      <c r="BU353" s="7">
        <v>4.5455000000000002E-2</v>
      </c>
      <c r="BV353" s="7">
        <v>50</v>
      </c>
      <c r="BW353" s="7">
        <v>50</v>
      </c>
      <c r="BX353" s="4" t="s">
        <v>124</v>
      </c>
      <c r="BY353" s="4" t="s">
        <v>124</v>
      </c>
      <c r="BZ353" s="4" t="s">
        <v>124</v>
      </c>
      <c r="CA353" s="4" t="s">
        <v>124</v>
      </c>
      <c r="CB353" s="4" t="s">
        <v>124</v>
      </c>
      <c r="CC353" s="4" t="s">
        <v>124</v>
      </c>
      <c r="CD353" s="4" t="s">
        <v>124</v>
      </c>
      <c r="CE353" s="4" t="s">
        <v>124</v>
      </c>
      <c r="CF353" s="4" t="s">
        <v>124</v>
      </c>
      <c r="CG353" s="4" t="s">
        <v>124</v>
      </c>
      <c r="CH353" s="4" t="s">
        <v>124</v>
      </c>
      <c r="CI353" s="4" t="s">
        <v>124</v>
      </c>
      <c r="CJ353" s="4" t="s">
        <v>124</v>
      </c>
      <c r="CK353" s="4" t="s">
        <v>124</v>
      </c>
      <c r="CL353" s="4" t="s">
        <v>124</v>
      </c>
      <c r="CM353" s="4" t="s">
        <v>124</v>
      </c>
      <c r="CN353" s="4" t="s">
        <v>124</v>
      </c>
      <c r="CO353" s="4" t="s">
        <v>124</v>
      </c>
      <c r="CP353" s="4" t="s">
        <v>124</v>
      </c>
      <c r="CQ353" s="7">
        <v>0.65753399999999995</v>
      </c>
      <c r="CR353" s="7">
        <v>0.96052599999999999</v>
      </c>
      <c r="CS353" s="7">
        <v>43.835616000000002</v>
      </c>
      <c r="CT353" s="7">
        <v>50</v>
      </c>
      <c r="CU353" s="4" t="s">
        <v>124</v>
      </c>
      <c r="CV353" s="4" t="s">
        <v>124</v>
      </c>
      <c r="CW353" s="4" t="s">
        <v>124</v>
      </c>
      <c r="CX353" s="4" t="s">
        <v>124</v>
      </c>
      <c r="CY353" s="4" t="s">
        <v>124</v>
      </c>
      <c r="CZ353" s="4" t="s">
        <v>124</v>
      </c>
      <c r="DA353" s="7">
        <v>15.314097</v>
      </c>
      <c r="DB353" s="7">
        <v>17.400950000000002</v>
      </c>
      <c r="DC353" s="7">
        <v>16.332519999999999</v>
      </c>
      <c r="DD353" s="4" t="s">
        <v>124</v>
      </c>
      <c r="DE353" s="7">
        <v>0</v>
      </c>
      <c r="DF353" s="6"/>
      <c r="DG353" s="6"/>
      <c r="DH353" s="4" t="s">
        <v>331</v>
      </c>
      <c r="DI353" s="4" t="s">
        <v>500</v>
      </c>
      <c r="DJ353" s="7">
        <v>0</v>
      </c>
      <c r="DK353" s="7">
        <v>1</v>
      </c>
      <c r="DL353" s="7">
        <v>0</v>
      </c>
      <c r="DM353" s="7">
        <v>0</v>
      </c>
      <c r="DN353" s="7">
        <v>0</v>
      </c>
      <c r="DO353" s="7">
        <v>0</v>
      </c>
      <c r="DP353" s="6"/>
      <c r="DQ353" s="4" t="s">
        <v>125</v>
      </c>
    </row>
    <row r="354" spans="1:121" ht="20" customHeight="1" x14ac:dyDescent="0.15">
      <c r="A354" s="5">
        <v>2018</v>
      </c>
      <c r="B354" s="3" t="s">
        <v>143</v>
      </c>
      <c r="C354" s="4" t="str">
        <f t="shared" si="19"/>
        <v>0360011</v>
      </c>
      <c r="D354" s="4" t="s">
        <v>501</v>
      </c>
      <c r="E354" s="4" t="str">
        <f>"0360111"</f>
        <v>0360111</v>
      </c>
      <c r="F354" s="4" t="s">
        <v>327</v>
      </c>
      <c r="G354" s="4" t="s">
        <v>328</v>
      </c>
      <c r="H354" s="7">
        <v>6</v>
      </c>
      <c r="I354" s="4" t="s">
        <v>329</v>
      </c>
      <c r="J354" s="4" t="s">
        <v>330</v>
      </c>
      <c r="K354" s="7">
        <v>654.64005699999996</v>
      </c>
      <c r="L354" s="7">
        <v>800</v>
      </c>
      <c r="M354" s="7">
        <v>81.830006999999995</v>
      </c>
      <c r="N354" s="7">
        <v>2</v>
      </c>
      <c r="O354" s="7">
        <v>0</v>
      </c>
      <c r="P354" s="7">
        <v>77.763588999999996</v>
      </c>
      <c r="Q354" s="7">
        <v>50</v>
      </c>
      <c r="R354" s="7">
        <v>50</v>
      </c>
      <c r="S354" s="7">
        <v>70.790107000000006</v>
      </c>
      <c r="T354" s="7">
        <v>75</v>
      </c>
      <c r="U354" s="7">
        <v>47.193404999999998</v>
      </c>
      <c r="V354" s="7">
        <v>50</v>
      </c>
      <c r="W354" s="7">
        <v>79.071746000000005</v>
      </c>
      <c r="X354" s="7">
        <v>50</v>
      </c>
      <c r="Y354" s="7">
        <v>50</v>
      </c>
      <c r="Z354" s="7">
        <v>75</v>
      </c>
      <c r="AA354" s="7">
        <v>72.326300000000003</v>
      </c>
      <c r="AB354" s="7">
        <v>48.217533000000003</v>
      </c>
      <c r="AC354" s="7">
        <v>50</v>
      </c>
      <c r="AD354" s="7">
        <v>73.376344000000003</v>
      </c>
      <c r="AE354" s="7">
        <v>48.917563000000001</v>
      </c>
      <c r="AF354" s="7">
        <v>50</v>
      </c>
      <c r="AG354" s="4" t="s">
        <v>124</v>
      </c>
      <c r="AH354" s="4" t="s">
        <v>124</v>
      </c>
      <c r="AI354" s="4" t="s">
        <v>124</v>
      </c>
      <c r="AJ354" s="4" t="s">
        <v>124</v>
      </c>
      <c r="AK354" s="7">
        <v>4.2</v>
      </c>
      <c r="AL354" s="7">
        <v>2.67</v>
      </c>
      <c r="AM354" s="4" t="s">
        <v>124</v>
      </c>
      <c r="AN354" s="7">
        <v>0.63374299999999995</v>
      </c>
      <c r="AO354" s="7">
        <v>63.374339999999997</v>
      </c>
      <c r="AP354" s="7">
        <v>100</v>
      </c>
      <c r="AQ354" s="7">
        <v>0.78485199999999999</v>
      </c>
      <c r="AR354" s="7">
        <v>78.485161000000005</v>
      </c>
      <c r="AS354" s="7">
        <v>100</v>
      </c>
      <c r="AT354" s="7">
        <v>0.53260600000000002</v>
      </c>
      <c r="AU354" s="7">
        <v>0.702206</v>
      </c>
      <c r="AV354" s="7">
        <v>53.260598999999999</v>
      </c>
      <c r="AW354" s="7">
        <v>100</v>
      </c>
      <c r="AX354" s="7">
        <v>0.653609</v>
      </c>
      <c r="AY354" s="7">
        <v>0.87369200000000002</v>
      </c>
      <c r="AZ354" s="7">
        <v>65.360947999999993</v>
      </c>
      <c r="BA354" s="7">
        <v>100</v>
      </c>
      <c r="BB354" s="4" t="s">
        <v>124</v>
      </c>
      <c r="BC354" s="4" t="s">
        <v>124</v>
      </c>
      <c r="BD354" s="4" t="s">
        <v>124</v>
      </c>
      <c r="BE354" s="4" t="s">
        <v>124</v>
      </c>
      <c r="BF354" s="4" t="s">
        <v>124</v>
      </c>
      <c r="BG354" s="4" t="s">
        <v>124</v>
      </c>
      <c r="BH354" s="7">
        <v>0</v>
      </c>
      <c r="BI354" s="7">
        <v>1</v>
      </c>
      <c r="BJ354" s="7">
        <v>1</v>
      </c>
      <c r="BK354" s="7">
        <v>1</v>
      </c>
      <c r="BL354" s="7">
        <v>1</v>
      </c>
      <c r="BM354" s="7">
        <v>1</v>
      </c>
      <c r="BN354" s="7">
        <v>1</v>
      </c>
      <c r="BO354" s="7">
        <v>1</v>
      </c>
      <c r="BP354" s="4" t="s">
        <v>124</v>
      </c>
      <c r="BQ354" s="4" t="s">
        <v>124</v>
      </c>
      <c r="BR354" s="7">
        <v>2.8688999999999999E-2</v>
      </c>
      <c r="BS354" s="7">
        <v>50</v>
      </c>
      <c r="BT354" s="7">
        <v>50</v>
      </c>
      <c r="BU354" s="7">
        <v>5.0847000000000003E-2</v>
      </c>
      <c r="BV354" s="7">
        <v>49.830508000000002</v>
      </c>
      <c r="BW354" s="7">
        <v>50</v>
      </c>
      <c r="BX354" s="4" t="s">
        <v>124</v>
      </c>
      <c r="BY354" s="4" t="s">
        <v>124</v>
      </c>
      <c r="BZ354" s="4" t="s">
        <v>124</v>
      </c>
      <c r="CA354" s="4" t="s">
        <v>124</v>
      </c>
      <c r="CB354" s="4" t="s">
        <v>124</v>
      </c>
      <c r="CC354" s="4" t="s">
        <v>124</v>
      </c>
      <c r="CD354" s="4" t="s">
        <v>124</v>
      </c>
      <c r="CE354" s="4" t="s">
        <v>124</v>
      </c>
      <c r="CF354" s="4" t="s">
        <v>124</v>
      </c>
      <c r="CG354" s="4" t="s">
        <v>124</v>
      </c>
      <c r="CH354" s="4" t="s">
        <v>124</v>
      </c>
      <c r="CI354" s="4" t="s">
        <v>124</v>
      </c>
      <c r="CJ354" s="4" t="s">
        <v>124</v>
      </c>
      <c r="CK354" s="4" t="s">
        <v>124</v>
      </c>
      <c r="CL354" s="4" t="s">
        <v>124</v>
      </c>
      <c r="CM354" s="4" t="s">
        <v>124</v>
      </c>
      <c r="CN354" s="4" t="s">
        <v>124</v>
      </c>
      <c r="CO354" s="4" t="s">
        <v>124</v>
      </c>
      <c r="CP354" s="4" t="s">
        <v>124</v>
      </c>
      <c r="CQ354" s="7">
        <v>0.84337300000000004</v>
      </c>
      <c r="CR354" s="7">
        <v>1</v>
      </c>
      <c r="CS354" s="7">
        <v>50</v>
      </c>
      <c r="CT354" s="7">
        <v>50</v>
      </c>
      <c r="CU354" s="4" t="s">
        <v>124</v>
      </c>
      <c r="CV354" s="4" t="s">
        <v>124</v>
      </c>
      <c r="CW354" s="4" t="s">
        <v>124</v>
      </c>
      <c r="CX354" s="4" t="s">
        <v>124</v>
      </c>
      <c r="CY354" s="4" t="s">
        <v>124</v>
      </c>
      <c r="CZ354" s="4" t="s">
        <v>124</v>
      </c>
      <c r="DA354" s="7">
        <v>15.314097</v>
      </c>
      <c r="DB354" s="7">
        <v>17.400950000000002</v>
      </c>
      <c r="DC354" s="7">
        <v>16.332519999999999</v>
      </c>
      <c r="DD354" s="4" t="s">
        <v>124</v>
      </c>
      <c r="DE354" s="7">
        <v>0</v>
      </c>
      <c r="DF354" s="6"/>
      <c r="DG354" s="6"/>
      <c r="DH354" s="6"/>
      <c r="DI354" s="6"/>
      <c r="DJ354" s="7">
        <v>0</v>
      </c>
      <c r="DK354" s="7">
        <v>0</v>
      </c>
      <c r="DL354" s="7">
        <v>0</v>
      </c>
      <c r="DM354" s="7">
        <v>0</v>
      </c>
      <c r="DN354" s="7">
        <v>0</v>
      </c>
      <c r="DO354" s="7">
        <v>0</v>
      </c>
      <c r="DP354" s="6"/>
      <c r="DQ354" s="4" t="s">
        <v>125</v>
      </c>
    </row>
    <row r="355" spans="1:121" ht="20" customHeight="1" x14ac:dyDescent="0.15">
      <c r="A355" s="5">
        <v>2018</v>
      </c>
      <c r="B355" s="3" t="s">
        <v>144</v>
      </c>
      <c r="C355" s="4" t="str">
        <f t="shared" si="20"/>
        <v>0370011</v>
      </c>
      <c r="D355" s="4" t="s">
        <v>502</v>
      </c>
      <c r="E355" s="4" t="str">
        <f>"0370611"</f>
        <v>0370611</v>
      </c>
      <c r="F355" s="4" t="s">
        <v>327</v>
      </c>
      <c r="G355" s="4" t="s">
        <v>338</v>
      </c>
      <c r="H355" s="7">
        <v>5</v>
      </c>
      <c r="I355" s="6"/>
      <c r="J355" s="4" t="s">
        <v>330</v>
      </c>
      <c r="K355" s="7">
        <v>659.37973899999997</v>
      </c>
      <c r="L355" s="7">
        <v>850</v>
      </c>
      <c r="M355" s="7">
        <v>77.574087000000006</v>
      </c>
      <c r="N355" s="7">
        <v>2</v>
      </c>
      <c r="O355" s="7">
        <v>0</v>
      </c>
      <c r="P355" s="7">
        <v>71.03058</v>
      </c>
      <c r="Q355" s="7">
        <v>47.353720000000003</v>
      </c>
      <c r="R355" s="7">
        <v>50</v>
      </c>
      <c r="S355" s="7">
        <v>66.177923000000007</v>
      </c>
      <c r="T355" s="7">
        <v>75</v>
      </c>
      <c r="U355" s="7">
        <v>44.118616000000003</v>
      </c>
      <c r="V355" s="7">
        <v>50</v>
      </c>
      <c r="W355" s="7">
        <v>69.044148000000007</v>
      </c>
      <c r="X355" s="7">
        <v>46.029432</v>
      </c>
      <c r="Y355" s="7">
        <v>50</v>
      </c>
      <c r="Z355" s="7">
        <v>75</v>
      </c>
      <c r="AA355" s="7">
        <v>63.945954</v>
      </c>
      <c r="AB355" s="7">
        <v>42.630636000000003</v>
      </c>
      <c r="AC355" s="7">
        <v>50</v>
      </c>
      <c r="AD355" s="7">
        <v>72.239805000000004</v>
      </c>
      <c r="AE355" s="7">
        <v>48.159869999999998</v>
      </c>
      <c r="AF355" s="7">
        <v>50</v>
      </c>
      <c r="AG355" s="7">
        <v>68.436559000000003</v>
      </c>
      <c r="AH355" s="7">
        <v>75</v>
      </c>
      <c r="AI355" s="7">
        <v>45.624372999999999</v>
      </c>
      <c r="AJ355" s="7">
        <v>50</v>
      </c>
      <c r="AK355" s="7">
        <v>8.82</v>
      </c>
      <c r="AL355" s="7">
        <v>11.05</v>
      </c>
      <c r="AM355" s="7">
        <v>6.56</v>
      </c>
      <c r="AN355" s="7">
        <v>0.61801499999999998</v>
      </c>
      <c r="AO355" s="7">
        <v>61.801541</v>
      </c>
      <c r="AP355" s="7">
        <v>100</v>
      </c>
      <c r="AQ355" s="7">
        <v>0.69600600000000001</v>
      </c>
      <c r="AR355" s="7">
        <v>69.600645999999998</v>
      </c>
      <c r="AS355" s="7">
        <v>100</v>
      </c>
      <c r="AT355" s="7">
        <v>0.61837299999999995</v>
      </c>
      <c r="AU355" s="7">
        <v>0.61747399999999997</v>
      </c>
      <c r="AV355" s="7">
        <v>61.837274000000001</v>
      </c>
      <c r="AW355" s="7">
        <v>100</v>
      </c>
      <c r="AX355" s="7">
        <v>0.58341799999999999</v>
      </c>
      <c r="AY355" s="7">
        <v>0.86649799999999999</v>
      </c>
      <c r="AZ355" s="7">
        <v>58.341777</v>
      </c>
      <c r="BA355" s="7">
        <v>100</v>
      </c>
      <c r="BB355" s="4" t="s">
        <v>124</v>
      </c>
      <c r="BC355" s="4" t="s">
        <v>124</v>
      </c>
      <c r="BD355" s="4" t="s">
        <v>124</v>
      </c>
      <c r="BE355" s="4" t="s">
        <v>124</v>
      </c>
      <c r="BF355" s="4" t="s">
        <v>124</v>
      </c>
      <c r="BG355" s="4" t="s">
        <v>124</v>
      </c>
      <c r="BH355" s="7">
        <v>0</v>
      </c>
      <c r="BI355" s="7">
        <v>1</v>
      </c>
      <c r="BJ355" s="7">
        <v>1</v>
      </c>
      <c r="BK355" s="7">
        <v>1</v>
      </c>
      <c r="BL355" s="7">
        <v>1</v>
      </c>
      <c r="BM355" s="7">
        <v>1</v>
      </c>
      <c r="BN355" s="7">
        <v>1</v>
      </c>
      <c r="BO355" s="7">
        <v>1</v>
      </c>
      <c r="BP355" s="7">
        <v>1</v>
      </c>
      <c r="BQ355" s="7">
        <v>1</v>
      </c>
      <c r="BR355" s="7">
        <v>7.3770000000000002E-2</v>
      </c>
      <c r="BS355" s="7">
        <v>45.245902000000001</v>
      </c>
      <c r="BT355" s="7">
        <v>50</v>
      </c>
      <c r="BU355" s="7">
        <v>9.7560999999999995E-2</v>
      </c>
      <c r="BV355" s="7">
        <v>40.487805000000002</v>
      </c>
      <c r="BW355" s="7">
        <v>50</v>
      </c>
      <c r="BX355" s="4" t="s">
        <v>124</v>
      </c>
      <c r="BY355" s="4" t="s">
        <v>124</v>
      </c>
      <c r="BZ355" s="4" t="s">
        <v>124</v>
      </c>
      <c r="CA355" s="4" t="s">
        <v>124</v>
      </c>
      <c r="CB355" s="4" t="s">
        <v>124</v>
      </c>
      <c r="CC355" s="4" t="s">
        <v>124</v>
      </c>
      <c r="CD355" s="4" t="s">
        <v>124</v>
      </c>
      <c r="CE355" s="4" t="s">
        <v>124</v>
      </c>
      <c r="CF355" s="4" t="s">
        <v>124</v>
      </c>
      <c r="CG355" s="4" t="s">
        <v>124</v>
      </c>
      <c r="CH355" s="4" t="s">
        <v>124</v>
      </c>
      <c r="CI355" s="4" t="s">
        <v>124</v>
      </c>
      <c r="CJ355" s="4" t="s">
        <v>124</v>
      </c>
      <c r="CK355" s="4" t="s">
        <v>124</v>
      </c>
      <c r="CL355" s="4" t="s">
        <v>124</v>
      </c>
      <c r="CM355" s="4" t="s">
        <v>124</v>
      </c>
      <c r="CN355" s="4" t="s">
        <v>124</v>
      </c>
      <c r="CO355" s="4" t="s">
        <v>124</v>
      </c>
      <c r="CP355" s="4" t="s">
        <v>124</v>
      </c>
      <c r="CQ355" s="7">
        <v>0.72222200000000003</v>
      </c>
      <c r="CR355" s="7">
        <v>1</v>
      </c>
      <c r="CS355" s="7">
        <v>48.148147999999999</v>
      </c>
      <c r="CT355" s="7">
        <v>50</v>
      </c>
      <c r="CU355" s="4" t="s">
        <v>124</v>
      </c>
      <c r="CV355" s="4" t="s">
        <v>124</v>
      </c>
      <c r="CW355" s="4" t="s">
        <v>124</v>
      </c>
      <c r="CX355" s="4" t="s">
        <v>124</v>
      </c>
      <c r="CY355" s="4" t="s">
        <v>124</v>
      </c>
      <c r="CZ355" s="4" t="s">
        <v>124</v>
      </c>
      <c r="DA355" s="7">
        <v>15.314097</v>
      </c>
      <c r="DB355" s="7">
        <v>17.400950000000002</v>
      </c>
      <c r="DC355" s="7">
        <v>16.332519999999999</v>
      </c>
      <c r="DD355" s="4" t="s">
        <v>124</v>
      </c>
      <c r="DE355" s="7">
        <v>0</v>
      </c>
      <c r="DF355" s="6"/>
      <c r="DG355" s="6"/>
      <c r="DH355" s="6"/>
      <c r="DI355" s="6"/>
      <c r="DJ355" s="7">
        <v>0</v>
      </c>
      <c r="DK355" s="7">
        <v>0</v>
      </c>
      <c r="DL355" s="7">
        <v>0</v>
      </c>
      <c r="DM355" s="7">
        <v>0</v>
      </c>
      <c r="DN355" s="7">
        <v>0</v>
      </c>
      <c r="DO355" s="7">
        <v>0</v>
      </c>
      <c r="DP355" s="6"/>
      <c r="DQ355" s="4" t="s">
        <v>125</v>
      </c>
    </row>
    <row r="356" spans="1:121" ht="20" customHeight="1" x14ac:dyDescent="0.15">
      <c r="A356" s="5">
        <v>2018</v>
      </c>
      <c r="B356" s="3" t="s">
        <v>144</v>
      </c>
      <c r="C356" s="4" t="str">
        <f t="shared" ref="C356:C358" si="192">"0370011"</f>
        <v>0370011</v>
      </c>
      <c r="D356" s="4" t="s">
        <v>503</v>
      </c>
      <c r="E356" s="4" t="str">
        <f>"0376111"</f>
        <v>0376111</v>
      </c>
      <c r="F356" s="4" t="s">
        <v>327</v>
      </c>
      <c r="G356" s="7">
        <v>9</v>
      </c>
      <c r="H356" s="7">
        <v>12</v>
      </c>
      <c r="I356" s="4" t="s">
        <v>335</v>
      </c>
      <c r="J356" s="4" t="s">
        <v>330</v>
      </c>
      <c r="K356" s="7">
        <v>945.61128499999995</v>
      </c>
      <c r="L356" s="7">
        <v>1450</v>
      </c>
      <c r="M356" s="7">
        <v>65.214571000000007</v>
      </c>
      <c r="N356" s="7">
        <v>3</v>
      </c>
      <c r="O356" s="7">
        <v>0</v>
      </c>
      <c r="P356" s="7">
        <v>48.857143000000001</v>
      </c>
      <c r="Q356" s="7">
        <v>97.714286000000001</v>
      </c>
      <c r="R356" s="7">
        <v>150</v>
      </c>
      <c r="S356" s="7">
        <v>43.775509999999997</v>
      </c>
      <c r="T356" s="7">
        <v>57.75</v>
      </c>
      <c r="U356" s="7">
        <v>87.551019999999994</v>
      </c>
      <c r="V356" s="7">
        <v>150</v>
      </c>
      <c r="W356" s="7">
        <v>41.261904999999999</v>
      </c>
      <c r="X356" s="7">
        <v>82.523809999999997</v>
      </c>
      <c r="Y356" s="7">
        <v>150</v>
      </c>
      <c r="Z356" s="7">
        <v>48.517856999999999</v>
      </c>
      <c r="AA356" s="7">
        <v>37.115645999999998</v>
      </c>
      <c r="AB356" s="7">
        <v>74.231292999999994</v>
      </c>
      <c r="AC356" s="7">
        <v>150</v>
      </c>
      <c r="AD356" s="7">
        <v>41.315289999999997</v>
      </c>
      <c r="AE356" s="7">
        <v>55.087052999999997</v>
      </c>
      <c r="AF356" s="7">
        <v>100</v>
      </c>
      <c r="AG356" s="7">
        <v>38.236575000000002</v>
      </c>
      <c r="AH356" s="7">
        <v>47.142856999999999</v>
      </c>
      <c r="AI356" s="7">
        <v>50.982100000000003</v>
      </c>
      <c r="AJ356" s="7">
        <v>100</v>
      </c>
      <c r="AK356" s="7">
        <v>13.97</v>
      </c>
      <c r="AL356" s="7">
        <v>11.4</v>
      </c>
      <c r="AM356" s="7">
        <v>8.9</v>
      </c>
      <c r="AN356" s="4" t="s">
        <v>124</v>
      </c>
      <c r="AO356" s="4" t="s">
        <v>124</v>
      </c>
      <c r="AP356" s="4" t="s">
        <v>124</v>
      </c>
      <c r="AQ356" s="4" t="s">
        <v>124</v>
      </c>
      <c r="AR356" s="4" t="s">
        <v>124</v>
      </c>
      <c r="AS356" s="4" t="s">
        <v>124</v>
      </c>
      <c r="AT356" s="4" t="s">
        <v>124</v>
      </c>
      <c r="AU356" s="4" t="s">
        <v>124</v>
      </c>
      <c r="AV356" s="4" t="s">
        <v>124</v>
      </c>
      <c r="AW356" s="4" t="s">
        <v>124</v>
      </c>
      <c r="AX356" s="4" t="s">
        <v>124</v>
      </c>
      <c r="AY356" s="4" t="s">
        <v>124</v>
      </c>
      <c r="AZ356" s="4" t="s">
        <v>124</v>
      </c>
      <c r="BA356" s="4" t="s">
        <v>124</v>
      </c>
      <c r="BB356" s="4" t="s">
        <v>124</v>
      </c>
      <c r="BC356" s="4" t="s">
        <v>124</v>
      </c>
      <c r="BD356" s="4" t="s">
        <v>124</v>
      </c>
      <c r="BE356" s="4" t="s">
        <v>124</v>
      </c>
      <c r="BF356" s="4" t="s">
        <v>124</v>
      </c>
      <c r="BG356" s="4" t="s">
        <v>124</v>
      </c>
      <c r="BH356" s="7">
        <v>1</v>
      </c>
      <c r="BI356" s="7">
        <v>0.94117600000000001</v>
      </c>
      <c r="BJ356" s="7">
        <v>0.92727300000000001</v>
      </c>
      <c r="BK356" s="7">
        <v>0.96666700000000005</v>
      </c>
      <c r="BL356" s="7">
        <v>0.94117600000000001</v>
      </c>
      <c r="BM356" s="7">
        <v>0.92727300000000001</v>
      </c>
      <c r="BN356" s="7">
        <v>0.96666700000000005</v>
      </c>
      <c r="BO356" s="7">
        <v>0.96470599999999995</v>
      </c>
      <c r="BP356" s="7">
        <v>0.96363600000000005</v>
      </c>
      <c r="BQ356" s="7">
        <v>0.96666700000000005</v>
      </c>
      <c r="BR356" s="7">
        <v>0.12893099999999999</v>
      </c>
      <c r="BS356" s="7">
        <v>34.213836000000001</v>
      </c>
      <c r="BT356" s="7">
        <v>50</v>
      </c>
      <c r="BU356" s="7">
        <v>0.16087000000000001</v>
      </c>
      <c r="BV356" s="7">
        <v>27.826087000000001</v>
      </c>
      <c r="BW356" s="7">
        <v>50</v>
      </c>
      <c r="BX356" s="7">
        <v>0.68387100000000001</v>
      </c>
      <c r="BY356" s="7">
        <v>45.591397999999998</v>
      </c>
      <c r="BZ356" s="7">
        <v>50</v>
      </c>
      <c r="CA356" s="7">
        <v>0.18709700000000001</v>
      </c>
      <c r="CB356" s="7">
        <v>12.473117999999999</v>
      </c>
      <c r="CC356" s="7">
        <v>50</v>
      </c>
      <c r="CD356" s="7">
        <v>0.83750000000000002</v>
      </c>
      <c r="CE356" s="7">
        <v>44.547871999999998</v>
      </c>
      <c r="CF356" s="7">
        <v>50</v>
      </c>
      <c r="CG356" s="7">
        <v>0.81443299999999996</v>
      </c>
      <c r="CH356" s="7">
        <v>86.641807</v>
      </c>
      <c r="CI356" s="7">
        <v>100</v>
      </c>
      <c r="CJ356" s="7">
        <v>0</v>
      </c>
      <c r="CK356" s="7">
        <v>0.86363599999999996</v>
      </c>
      <c r="CL356" s="7">
        <v>91.876209000000003</v>
      </c>
      <c r="CM356" s="7">
        <v>100</v>
      </c>
      <c r="CN356" s="7">
        <v>0.57142899999999996</v>
      </c>
      <c r="CO356" s="7">
        <v>76.190476000000004</v>
      </c>
      <c r="CP356" s="7">
        <v>100</v>
      </c>
      <c r="CQ356" s="7">
        <v>0.42241400000000001</v>
      </c>
      <c r="CR356" s="7">
        <v>1.3975900000000001</v>
      </c>
      <c r="CS356" s="7">
        <v>28.160920000000001</v>
      </c>
      <c r="CT356" s="7">
        <v>50</v>
      </c>
      <c r="CU356" s="7">
        <v>0.63522000000000001</v>
      </c>
      <c r="CV356" s="7">
        <v>50</v>
      </c>
      <c r="CW356" s="7">
        <v>50</v>
      </c>
      <c r="CX356" s="7">
        <v>0.86363599999999996</v>
      </c>
      <c r="CY356" s="7">
        <v>0.92</v>
      </c>
      <c r="CZ356" s="7">
        <v>5.6363999999999997E-2</v>
      </c>
      <c r="DA356" s="7">
        <v>15.314097</v>
      </c>
      <c r="DB356" s="7">
        <v>17.400950000000002</v>
      </c>
      <c r="DC356" s="7">
        <v>16.332519999999999</v>
      </c>
      <c r="DD356" s="7">
        <v>7.9891730000000001</v>
      </c>
      <c r="DE356" s="7">
        <v>1</v>
      </c>
      <c r="DF356" s="6"/>
      <c r="DG356" s="6"/>
      <c r="DH356" s="6"/>
      <c r="DI356" s="6"/>
      <c r="DJ356" s="7">
        <v>0</v>
      </c>
      <c r="DK356" s="7">
        <v>0</v>
      </c>
      <c r="DL356" s="7">
        <v>0</v>
      </c>
      <c r="DM356" s="7">
        <v>0</v>
      </c>
      <c r="DN356" s="7">
        <v>0</v>
      </c>
      <c r="DO356" s="7">
        <v>0</v>
      </c>
      <c r="DP356" s="6"/>
      <c r="DQ356" s="4" t="s">
        <v>125</v>
      </c>
    </row>
    <row r="357" spans="1:121" ht="20" customHeight="1" x14ac:dyDescent="0.15">
      <c r="A357" s="5">
        <v>2018</v>
      </c>
      <c r="B357" s="3" t="s">
        <v>144</v>
      </c>
      <c r="C357" s="4" t="str">
        <f t="shared" si="192"/>
        <v>0370011</v>
      </c>
      <c r="D357" s="4" t="s">
        <v>504</v>
      </c>
      <c r="E357" s="4" t="str">
        <f>"0375011"</f>
        <v>0375011</v>
      </c>
      <c r="F357" s="4" t="s">
        <v>327</v>
      </c>
      <c r="G357" s="7">
        <v>6</v>
      </c>
      <c r="H357" s="7">
        <v>8</v>
      </c>
      <c r="I357" s="4" t="s">
        <v>335</v>
      </c>
      <c r="J357" s="4" t="s">
        <v>330</v>
      </c>
      <c r="K357" s="7">
        <v>488.22441300000003</v>
      </c>
      <c r="L357" s="7">
        <v>900</v>
      </c>
      <c r="M357" s="7">
        <v>54.247157000000001</v>
      </c>
      <c r="N357" s="7">
        <v>4</v>
      </c>
      <c r="O357" s="7">
        <v>1</v>
      </c>
      <c r="P357" s="7">
        <v>52.834398</v>
      </c>
      <c r="Q357" s="7">
        <v>35.222932</v>
      </c>
      <c r="R357" s="7">
        <v>50</v>
      </c>
      <c r="S357" s="7">
        <v>47.462248000000002</v>
      </c>
      <c r="T357" s="7">
        <v>63.242939</v>
      </c>
      <c r="U357" s="7">
        <v>31.641499</v>
      </c>
      <c r="V357" s="7">
        <v>50</v>
      </c>
      <c r="W357" s="7">
        <v>46.344349000000001</v>
      </c>
      <c r="X357" s="7">
        <v>30.896232999999999</v>
      </c>
      <c r="Y357" s="7">
        <v>50</v>
      </c>
      <c r="Z357" s="7">
        <v>56.729680000000002</v>
      </c>
      <c r="AA357" s="7">
        <v>40.984178</v>
      </c>
      <c r="AB357" s="7">
        <v>27.322786000000001</v>
      </c>
      <c r="AC357" s="7">
        <v>50</v>
      </c>
      <c r="AD357" s="7">
        <v>55.016140999999998</v>
      </c>
      <c r="AE357" s="7">
        <v>36.677427000000002</v>
      </c>
      <c r="AF357" s="7">
        <v>50</v>
      </c>
      <c r="AG357" s="7">
        <v>49.727586000000002</v>
      </c>
      <c r="AH357" s="7">
        <v>64.348883999999998</v>
      </c>
      <c r="AI357" s="7">
        <v>33.151724000000002</v>
      </c>
      <c r="AJ357" s="7">
        <v>50</v>
      </c>
      <c r="AK357" s="7">
        <v>15.78</v>
      </c>
      <c r="AL357" s="7">
        <v>15.74</v>
      </c>
      <c r="AM357" s="7">
        <v>14.62</v>
      </c>
      <c r="AN357" s="7">
        <v>0.39811600000000003</v>
      </c>
      <c r="AO357" s="7">
        <v>39.811611999999997</v>
      </c>
      <c r="AP357" s="7">
        <v>100</v>
      </c>
      <c r="AQ357" s="7">
        <v>0.42605700000000002</v>
      </c>
      <c r="AR357" s="7">
        <v>42.605697999999997</v>
      </c>
      <c r="AS357" s="7">
        <v>100</v>
      </c>
      <c r="AT357" s="7">
        <v>0.36555199999999999</v>
      </c>
      <c r="AU357" s="7">
        <v>0.461113</v>
      </c>
      <c r="AV357" s="7">
        <v>36.555239999999998</v>
      </c>
      <c r="AW357" s="7">
        <v>100</v>
      </c>
      <c r="AX357" s="7">
        <v>0.411161</v>
      </c>
      <c r="AY357" s="7">
        <v>0.45487499999999997</v>
      </c>
      <c r="AZ357" s="7">
        <v>41.116087</v>
      </c>
      <c r="BA357" s="7">
        <v>100</v>
      </c>
      <c r="BB357" s="4" t="s">
        <v>124</v>
      </c>
      <c r="BC357" s="4" t="s">
        <v>124</v>
      </c>
      <c r="BD357" s="4" t="s">
        <v>124</v>
      </c>
      <c r="BE357" s="4" t="s">
        <v>124</v>
      </c>
      <c r="BF357" s="4" t="s">
        <v>124</v>
      </c>
      <c r="BG357" s="4" t="s">
        <v>124</v>
      </c>
      <c r="BH357" s="7">
        <v>0</v>
      </c>
      <c r="BI357" s="7">
        <v>1</v>
      </c>
      <c r="BJ357" s="7">
        <v>1</v>
      </c>
      <c r="BK357" s="7">
        <v>1</v>
      </c>
      <c r="BL357" s="7">
        <v>1</v>
      </c>
      <c r="BM357" s="7">
        <v>1</v>
      </c>
      <c r="BN357" s="7">
        <v>1</v>
      </c>
      <c r="BO357" s="7">
        <v>0.97</v>
      </c>
      <c r="BP357" s="7">
        <v>0.95384599999999997</v>
      </c>
      <c r="BQ357" s="7">
        <v>1</v>
      </c>
      <c r="BR357" s="7">
        <v>0.12571399999999999</v>
      </c>
      <c r="BS357" s="7">
        <v>34.857143000000001</v>
      </c>
      <c r="BT357" s="7">
        <v>50</v>
      </c>
      <c r="BU357" s="7">
        <v>0.145594</v>
      </c>
      <c r="BV357" s="7">
        <v>30.881226000000002</v>
      </c>
      <c r="BW357" s="7">
        <v>50</v>
      </c>
      <c r="BX357" s="4" t="s">
        <v>124</v>
      </c>
      <c r="BY357" s="4" t="s">
        <v>124</v>
      </c>
      <c r="BZ357" s="4" t="s">
        <v>124</v>
      </c>
      <c r="CA357" s="4" t="s">
        <v>124</v>
      </c>
      <c r="CB357" s="4" t="s">
        <v>124</v>
      </c>
      <c r="CC357" s="4" t="s">
        <v>124</v>
      </c>
      <c r="CD357" s="7">
        <v>0.92660600000000004</v>
      </c>
      <c r="CE357" s="7">
        <v>49.287526999999997</v>
      </c>
      <c r="CF357" s="7">
        <v>50</v>
      </c>
      <c r="CG357" s="4" t="s">
        <v>124</v>
      </c>
      <c r="CH357" s="4" t="s">
        <v>124</v>
      </c>
      <c r="CI357" s="4" t="s">
        <v>124</v>
      </c>
      <c r="CJ357" s="4" t="s">
        <v>124</v>
      </c>
      <c r="CK357" s="4" t="s">
        <v>124</v>
      </c>
      <c r="CL357" s="4" t="s">
        <v>124</v>
      </c>
      <c r="CM357" s="4" t="s">
        <v>124</v>
      </c>
      <c r="CN357" s="4" t="s">
        <v>124</v>
      </c>
      <c r="CO357" s="4" t="s">
        <v>124</v>
      </c>
      <c r="CP357" s="4" t="s">
        <v>124</v>
      </c>
      <c r="CQ357" s="7">
        <v>0.54591800000000001</v>
      </c>
      <c r="CR357" s="7">
        <v>0.88288299999999997</v>
      </c>
      <c r="CS357" s="7">
        <v>18.197279000000002</v>
      </c>
      <c r="CT357" s="7">
        <v>50</v>
      </c>
      <c r="CU357" s="4" t="s">
        <v>124</v>
      </c>
      <c r="CV357" s="4" t="s">
        <v>124</v>
      </c>
      <c r="CW357" s="4" t="s">
        <v>124</v>
      </c>
      <c r="CX357" s="4" t="s">
        <v>124</v>
      </c>
      <c r="CY357" s="4" t="s">
        <v>124</v>
      </c>
      <c r="CZ357" s="4" t="s">
        <v>124</v>
      </c>
      <c r="DA357" s="7">
        <v>15.314097</v>
      </c>
      <c r="DB357" s="7">
        <v>17.400950000000002</v>
      </c>
      <c r="DC357" s="7">
        <v>16.332519999999999</v>
      </c>
      <c r="DD357" s="4" t="s">
        <v>124</v>
      </c>
      <c r="DE357" s="7">
        <v>1</v>
      </c>
      <c r="DF357" s="4" t="s">
        <v>384</v>
      </c>
      <c r="DG357" s="4" t="s">
        <v>417</v>
      </c>
      <c r="DH357" s="6"/>
      <c r="DI357" s="6"/>
      <c r="DJ357" s="7">
        <v>0</v>
      </c>
      <c r="DK357" s="7">
        <v>0</v>
      </c>
      <c r="DL357" s="7">
        <v>0</v>
      </c>
      <c r="DM357" s="7">
        <v>0</v>
      </c>
      <c r="DN357" s="7">
        <v>0</v>
      </c>
      <c r="DO357" s="7">
        <v>0</v>
      </c>
      <c r="DP357" s="6"/>
      <c r="DQ357" s="4" t="s">
        <v>125</v>
      </c>
    </row>
    <row r="358" spans="1:121" ht="20" customHeight="1" x14ac:dyDescent="0.15">
      <c r="A358" s="5">
        <v>2018</v>
      </c>
      <c r="B358" s="3" t="s">
        <v>144</v>
      </c>
      <c r="C358" s="4" t="str">
        <f t="shared" si="192"/>
        <v>0370011</v>
      </c>
      <c r="D358" s="4" t="s">
        <v>505</v>
      </c>
      <c r="E358" s="4" t="str">
        <f>"0370411"</f>
        <v>0370411</v>
      </c>
      <c r="F358" s="4" t="s">
        <v>327</v>
      </c>
      <c r="G358" s="4" t="s">
        <v>338</v>
      </c>
      <c r="H358" s="7">
        <v>5</v>
      </c>
      <c r="I358" s="4" t="s">
        <v>335</v>
      </c>
      <c r="J358" s="4" t="s">
        <v>330</v>
      </c>
      <c r="K358" s="7">
        <v>663.36302499999999</v>
      </c>
      <c r="L358" s="7">
        <v>850</v>
      </c>
      <c r="M358" s="7">
        <v>78.042709000000002</v>
      </c>
      <c r="N358" s="7">
        <v>2</v>
      </c>
      <c r="O358" s="7">
        <v>0</v>
      </c>
      <c r="P358" s="7">
        <v>62.530948000000002</v>
      </c>
      <c r="Q358" s="7">
        <v>41.687299000000003</v>
      </c>
      <c r="R358" s="7">
        <v>50</v>
      </c>
      <c r="S358" s="7">
        <v>60.104187000000003</v>
      </c>
      <c r="T358" s="7">
        <v>72.551122000000007</v>
      </c>
      <c r="U358" s="7">
        <v>40.069457999999997</v>
      </c>
      <c r="V358" s="7">
        <v>50</v>
      </c>
      <c r="W358" s="7">
        <v>59.395069999999997</v>
      </c>
      <c r="X358" s="7">
        <v>39.596713999999999</v>
      </c>
      <c r="Y358" s="7">
        <v>50</v>
      </c>
      <c r="Z358" s="7">
        <v>72.874267000000003</v>
      </c>
      <c r="AA358" s="7">
        <v>56.130578</v>
      </c>
      <c r="AB358" s="7">
        <v>37.420385000000003</v>
      </c>
      <c r="AC358" s="7">
        <v>50</v>
      </c>
      <c r="AD358" s="7">
        <v>57.546334000000002</v>
      </c>
      <c r="AE358" s="7">
        <v>38.364223000000003</v>
      </c>
      <c r="AF358" s="7">
        <v>50</v>
      </c>
      <c r="AG358" s="7">
        <v>55.401724999999999</v>
      </c>
      <c r="AH358" s="4" t="s">
        <v>124</v>
      </c>
      <c r="AI358" s="7">
        <v>36.934483999999998</v>
      </c>
      <c r="AJ358" s="7">
        <v>50</v>
      </c>
      <c r="AK358" s="7">
        <v>12.44</v>
      </c>
      <c r="AL358" s="7">
        <v>16.739999999999998</v>
      </c>
      <c r="AM358" s="4" t="s">
        <v>124</v>
      </c>
      <c r="AN358" s="7">
        <v>0.66559400000000002</v>
      </c>
      <c r="AO358" s="7">
        <v>66.559421</v>
      </c>
      <c r="AP358" s="7">
        <v>100</v>
      </c>
      <c r="AQ358" s="7">
        <v>0.85311400000000004</v>
      </c>
      <c r="AR358" s="7">
        <v>85.311432999999994</v>
      </c>
      <c r="AS358" s="7">
        <v>100</v>
      </c>
      <c r="AT358" s="7">
        <v>0.64949900000000005</v>
      </c>
      <c r="AU358" s="7">
        <v>0.73227299999999995</v>
      </c>
      <c r="AV358" s="7">
        <v>64.949935999999994</v>
      </c>
      <c r="AW358" s="7">
        <v>100</v>
      </c>
      <c r="AX358" s="7">
        <v>0.82111500000000004</v>
      </c>
      <c r="AY358" s="7">
        <v>0.98568199999999995</v>
      </c>
      <c r="AZ358" s="7">
        <v>82.111528000000007</v>
      </c>
      <c r="BA358" s="7">
        <v>100</v>
      </c>
      <c r="BB358" s="4" t="s">
        <v>124</v>
      </c>
      <c r="BC358" s="4" t="s">
        <v>124</v>
      </c>
      <c r="BD358" s="4" t="s">
        <v>124</v>
      </c>
      <c r="BE358" s="4" t="s">
        <v>124</v>
      </c>
      <c r="BF358" s="4" t="s">
        <v>124</v>
      </c>
      <c r="BG358" s="4" t="s">
        <v>124</v>
      </c>
      <c r="BH358" s="7">
        <v>0</v>
      </c>
      <c r="BI358" s="7">
        <v>1</v>
      </c>
      <c r="BJ358" s="7">
        <v>1</v>
      </c>
      <c r="BK358" s="7">
        <v>1</v>
      </c>
      <c r="BL358" s="7">
        <v>1</v>
      </c>
      <c r="BM358" s="7">
        <v>1</v>
      </c>
      <c r="BN358" s="7">
        <v>1</v>
      </c>
      <c r="BO358" s="7">
        <v>1</v>
      </c>
      <c r="BP358" s="7">
        <v>1</v>
      </c>
      <c r="BQ358" s="4" t="s">
        <v>124</v>
      </c>
      <c r="BR358" s="7">
        <v>9.2308000000000001E-2</v>
      </c>
      <c r="BS358" s="7">
        <v>41.538462000000003</v>
      </c>
      <c r="BT358" s="7">
        <v>50</v>
      </c>
      <c r="BU358" s="7">
        <v>0.100346</v>
      </c>
      <c r="BV358" s="7">
        <v>39.930796000000001</v>
      </c>
      <c r="BW358" s="7">
        <v>50</v>
      </c>
      <c r="BX358" s="4" t="s">
        <v>124</v>
      </c>
      <c r="BY358" s="4" t="s">
        <v>124</v>
      </c>
      <c r="BZ358" s="4" t="s">
        <v>124</v>
      </c>
      <c r="CA358" s="4" t="s">
        <v>124</v>
      </c>
      <c r="CB358" s="4" t="s">
        <v>124</v>
      </c>
      <c r="CC358" s="4" t="s">
        <v>124</v>
      </c>
      <c r="CD358" s="4" t="s">
        <v>124</v>
      </c>
      <c r="CE358" s="4" t="s">
        <v>124</v>
      </c>
      <c r="CF358" s="4" t="s">
        <v>124</v>
      </c>
      <c r="CG358" s="4" t="s">
        <v>124</v>
      </c>
      <c r="CH358" s="4" t="s">
        <v>124</v>
      </c>
      <c r="CI358" s="4" t="s">
        <v>124</v>
      </c>
      <c r="CJ358" s="4" t="s">
        <v>124</v>
      </c>
      <c r="CK358" s="4" t="s">
        <v>124</v>
      </c>
      <c r="CL358" s="4" t="s">
        <v>124</v>
      </c>
      <c r="CM358" s="4" t="s">
        <v>124</v>
      </c>
      <c r="CN358" s="4" t="s">
        <v>124</v>
      </c>
      <c r="CO358" s="4" t="s">
        <v>124</v>
      </c>
      <c r="CP358" s="4" t="s">
        <v>124</v>
      </c>
      <c r="CQ358" s="7">
        <v>0.73333300000000001</v>
      </c>
      <c r="CR358" s="7">
        <v>0.95238100000000003</v>
      </c>
      <c r="CS358" s="7">
        <v>48.888888999999999</v>
      </c>
      <c r="CT358" s="7">
        <v>50</v>
      </c>
      <c r="CU358" s="4" t="s">
        <v>124</v>
      </c>
      <c r="CV358" s="4" t="s">
        <v>124</v>
      </c>
      <c r="CW358" s="4" t="s">
        <v>124</v>
      </c>
      <c r="CX358" s="4" t="s">
        <v>124</v>
      </c>
      <c r="CY358" s="4" t="s">
        <v>124</v>
      </c>
      <c r="CZ358" s="4" t="s">
        <v>124</v>
      </c>
      <c r="DA358" s="7">
        <v>15.314097</v>
      </c>
      <c r="DB358" s="7">
        <v>17.400950000000002</v>
      </c>
      <c r="DC358" s="7">
        <v>16.332519999999999</v>
      </c>
      <c r="DD358" s="4" t="s">
        <v>124</v>
      </c>
      <c r="DE358" s="7">
        <v>0</v>
      </c>
      <c r="DF358" s="6"/>
      <c r="DG358" s="6"/>
      <c r="DH358" s="4" t="s">
        <v>331</v>
      </c>
      <c r="DI358" s="4" t="s">
        <v>452</v>
      </c>
      <c r="DJ358" s="7">
        <v>0</v>
      </c>
      <c r="DK358" s="7">
        <v>0</v>
      </c>
      <c r="DL358" s="7">
        <v>1</v>
      </c>
      <c r="DM358" s="7">
        <v>0</v>
      </c>
      <c r="DN358" s="7">
        <v>1</v>
      </c>
      <c r="DO358" s="7">
        <v>0</v>
      </c>
      <c r="DP358" s="6"/>
      <c r="DQ358" s="4" t="s">
        <v>125</v>
      </c>
    </row>
    <row r="359" spans="1:121" ht="20" customHeight="1" x14ac:dyDescent="0.15">
      <c r="A359" s="5">
        <v>2018</v>
      </c>
      <c r="B359" s="3" t="s">
        <v>127</v>
      </c>
      <c r="C359" s="4" t="str">
        <f t="shared" si="3"/>
        <v>0390011</v>
      </c>
      <c r="D359" s="4" t="s">
        <v>506</v>
      </c>
      <c r="E359" s="4" t="str">
        <f>"0390111"</f>
        <v>0390111</v>
      </c>
      <c r="F359" s="4" t="s">
        <v>327</v>
      </c>
      <c r="G359" s="4" t="s">
        <v>328</v>
      </c>
      <c r="H359" s="7">
        <v>8</v>
      </c>
      <c r="I359" s="6"/>
      <c r="J359" s="4" t="s">
        <v>330</v>
      </c>
      <c r="K359" s="7">
        <v>606.51128600000004</v>
      </c>
      <c r="L359" s="7">
        <v>800</v>
      </c>
      <c r="M359" s="7">
        <v>75.813911000000004</v>
      </c>
      <c r="N359" s="7">
        <v>2</v>
      </c>
      <c r="O359" s="7">
        <v>0</v>
      </c>
      <c r="P359" s="7">
        <v>71.037477999999993</v>
      </c>
      <c r="Q359" s="7">
        <v>47.358317999999997</v>
      </c>
      <c r="R359" s="7">
        <v>50</v>
      </c>
      <c r="S359" s="7">
        <v>66.263181000000003</v>
      </c>
      <c r="T359" s="7">
        <v>75</v>
      </c>
      <c r="U359" s="7">
        <v>44.175454000000002</v>
      </c>
      <c r="V359" s="7">
        <v>50</v>
      </c>
      <c r="W359" s="7">
        <v>69.699123</v>
      </c>
      <c r="X359" s="7">
        <v>46.466082</v>
      </c>
      <c r="Y359" s="7">
        <v>50</v>
      </c>
      <c r="Z359" s="7">
        <v>74.345657000000003</v>
      </c>
      <c r="AA359" s="7">
        <v>64.123282000000003</v>
      </c>
      <c r="AB359" s="7">
        <v>42.748854999999999</v>
      </c>
      <c r="AC359" s="7">
        <v>50</v>
      </c>
      <c r="AD359" s="7">
        <v>63.388733000000002</v>
      </c>
      <c r="AE359" s="7">
        <v>42.259155</v>
      </c>
      <c r="AF359" s="7">
        <v>50</v>
      </c>
      <c r="AG359" s="4" t="s">
        <v>124</v>
      </c>
      <c r="AH359" s="7">
        <v>66.355951000000005</v>
      </c>
      <c r="AI359" s="4" t="s">
        <v>124</v>
      </c>
      <c r="AJ359" s="4" t="s">
        <v>124</v>
      </c>
      <c r="AK359" s="7">
        <v>8.73</v>
      </c>
      <c r="AL359" s="7">
        <v>10.220000000000001</v>
      </c>
      <c r="AM359" s="4" t="s">
        <v>124</v>
      </c>
      <c r="AN359" s="7">
        <v>0.54137000000000002</v>
      </c>
      <c r="AO359" s="7">
        <v>54.137031999999998</v>
      </c>
      <c r="AP359" s="7">
        <v>100</v>
      </c>
      <c r="AQ359" s="7">
        <v>0.67159500000000005</v>
      </c>
      <c r="AR359" s="7">
        <v>67.159508000000002</v>
      </c>
      <c r="AS359" s="7">
        <v>100</v>
      </c>
      <c r="AT359" s="7">
        <v>0.54813900000000004</v>
      </c>
      <c r="AU359" s="7">
        <v>0.53512199999999999</v>
      </c>
      <c r="AV359" s="7">
        <v>54.813929000000002</v>
      </c>
      <c r="AW359" s="7">
        <v>100</v>
      </c>
      <c r="AX359" s="7">
        <v>0.662582</v>
      </c>
      <c r="AY359" s="7">
        <v>0.67991500000000005</v>
      </c>
      <c r="AZ359" s="7">
        <v>66.258201</v>
      </c>
      <c r="BA359" s="7">
        <v>100</v>
      </c>
      <c r="BB359" s="4" t="s">
        <v>124</v>
      </c>
      <c r="BC359" s="4" t="s">
        <v>124</v>
      </c>
      <c r="BD359" s="4" t="s">
        <v>124</v>
      </c>
      <c r="BE359" s="4" t="s">
        <v>124</v>
      </c>
      <c r="BF359" s="4" t="s">
        <v>124</v>
      </c>
      <c r="BG359" s="4" t="s">
        <v>124</v>
      </c>
      <c r="BH359" s="7">
        <v>0</v>
      </c>
      <c r="BI359" s="7">
        <v>1</v>
      </c>
      <c r="BJ359" s="7">
        <v>1</v>
      </c>
      <c r="BK359" s="7">
        <v>1</v>
      </c>
      <c r="BL359" s="7">
        <v>1</v>
      </c>
      <c r="BM359" s="7">
        <v>1</v>
      </c>
      <c r="BN359" s="7">
        <v>1</v>
      </c>
      <c r="BO359" s="7">
        <v>1</v>
      </c>
      <c r="BP359" s="4" t="s">
        <v>124</v>
      </c>
      <c r="BQ359" s="7">
        <v>1</v>
      </c>
      <c r="BR359" s="7">
        <v>4.1378999999999999E-2</v>
      </c>
      <c r="BS359" s="7">
        <v>50</v>
      </c>
      <c r="BT359" s="7">
        <v>50</v>
      </c>
      <c r="BU359" s="7">
        <v>4.4776000000000003E-2</v>
      </c>
      <c r="BV359" s="7">
        <v>50</v>
      </c>
      <c r="BW359" s="7">
        <v>50</v>
      </c>
      <c r="BX359" s="4" t="s">
        <v>124</v>
      </c>
      <c r="BY359" s="4" t="s">
        <v>124</v>
      </c>
      <c r="BZ359" s="4" t="s">
        <v>124</v>
      </c>
      <c r="CA359" s="4" t="s">
        <v>124</v>
      </c>
      <c r="CB359" s="4" t="s">
        <v>124</v>
      </c>
      <c r="CC359" s="4" t="s">
        <v>124</v>
      </c>
      <c r="CD359" s="4" t="s">
        <v>124</v>
      </c>
      <c r="CE359" s="4" t="s">
        <v>124</v>
      </c>
      <c r="CF359" s="4" t="s">
        <v>124</v>
      </c>
      <c r="CG359" s="4" t="s">
        <v>124</v>
      </c>
      <c r="CH359" s="4" t="s">
        <v>124</v>
      </c>
      <c r="CI359" s="4" t="s">
        <v>124</v>
      </c>
      <c r="CJ359" s="4" t="s">
        <v>124</v>
      </c>
      <c r="CK359" s="4" t="s">
        <v>124</v>
      </c>
      <c r="CL359" s="4" t="s">
        <v>124</v>
      </c>
      <c r="CM359" s="4" t="s">
        <v>124</v>
      </c>
      <c r="CN359" s="4" t="s">
        <v>124</v>
      </c>
      <c r="CO359" s="4" t="s">
        <v>124</v>
      </c>
      <c r="CP359" s="4" t="s">
        <v>124</v>
      </c>
      <c r="CQ359" s="7">
        <v>0.61702100000000004</v>
      </c>
      <c r="CR359" s="7">
        <v>0.95918400000000004</v>
      </c>
      <c r="CS359" s="7">
        <v>41.134751999999999</v>
      </c>
      <c r="CT359" s="7">
        <v>50</v>
      </c>
      <c r="CU359" s="4" t="s">
        <v>124</v>
      </c>
      <c r="CV359" s="4" t="s">
        <v>124</v>
      </c>
      <c r="CW359" s="4" t="s">
        <v>124</v>
      </c>
      <c r="CX359" s="4" t="s">
        <v>124</v>
      </c>
      <c r="CY359" s="4" t="s">
        <v>124</v>
      </c>
      <c r="CZ359" s="4" t="s">
        <v>124</v>
      </c>
      <c r="DA359" s="7">
        <v>15.314097</v>
      </c>
      <c r="DB359" s="7">
        <v>17.400950000000002</v>
      </c>
      <c r="DC359" s="7">
        <v>16.332519999999999</v>
      </c>
      <c r="DD359" s="4" t="s">
        <v>124</v>
      </c>
      <c r="DE359" s="7">
        <v>0</v>
      </c>
      <c r="DF359" s="6"/>
      <c r="DG359" s="6"/>
      <c r="DH359" s="6"/>
      <c r="DI359" s="6"/>
      <c r="DJ359" s="7">
        <v>0</v>
      </c>
      <c r="DK359" s="7">
        <v>0</v>
      </c>
      <c r="DL359" s="7">
        <v>0</v>
      </c>
      <c r="DM359" s="7">
        <v>0</v>
      </c>
      <c r="DN359" s="7">
        <v>0</v>
      </c>
      <c r="DO359" s="7">
        <v>0</v>
      </c>
      <c r="DP359" s="6"/>
      <c r="DQ359" s="4" t="s">
        <v>125</v>
      </c>
    </row>
    <row r="360" spans="1:121" ht="20" customHeight="1" x14ac:dyDescent="0.15">
      <c r="A360" s="5">
        <v>2018</v>
      </c>
      <c r="B360" s="3" t="s">
        <v>135</v>
      </c>
      <c r="C360" s="4" t="str">
        <f t="shared" si="11"/>
        <v>0400011</v>
      </c>
      <c r="D360" s="4" t="s">
        <v>507</v>
      </c>
      <c r="E360" s="4" t="str">
        <f>"0400111"</f>
        <v>0400111</v>
      </c>
      <c r="F360" s="4" t="s">
        <v>327</v>
      </c>
      <c r="G360" s="4" t="s">
        <v>328</v>
      </c>
      <c r="H360" s="7">
        <v>2</v>
      </c>
      <c r="I360" s="4" t="s">
        <v>329</v>
      </c>
      <c r="J360" s="4" t="s">
        <v>330</v>
      </c>
      <c r="K360" s="7">
        <v>82.984082000000001</v>
      </c>
      <c r="L360" s="7">
        <v>100</v>
      </c>
      <c r="M360" s="7">
        <v>82.984082000000001</v>
      </c>
      <c r="N360" s="4" t="s">
        <v>124</v>
      </c>
      <c r="O360" s="4" t="s">
        <v>124</v>
      </c>
      <c r="P360" s="4" t="s">
        <v>124</v>
      </c>
      <c r="Q360" s="4" t="s">
        <v>124</v>
      </c>
      <c r="R360" s="4" t="s">
        <v>124</v>
      </c>
      <c r="S360" s="4" t="s">
        <v>124</v>
      </c>
      <c r="T360" s="4" t="s">
        <v>124</v>
      </c>
      <c r="U360" s="4" t="s">
        <v>124</v>
      </c>
      <c r="V360" s="4" t="s">
        <v>124</v>
      </c>
      <c r="W360" s="4" t="s">
        <v>124</v>
      </c>
      <c r="X360" s="4" t="s">
        <v>124</v>
      </c>
      <c r="Y360" s="4" t="s">
        <v>124</v>
      </c>
      <c r="Z360" s="4" t="s">
        <v>124</v>
      </c>
      <c r="AA360" s="4" t="s">
        <v>124</v>
      </c>
      <c r="AB360" s="4" t="s">
        <v>124</v>
      </c>
      <c r="AC360" s="4" t="s">
        <v>124</v>
      </c>
      <c r="AD360" s="4" t="s">
        <v>124</v>
      </c>
      <c r="AE360" s="4" t="s">
        <v>124</v>
      </c>
      <c r="AF360" s="4" t="s">
        <v>124</v>
      </c>
      <c r="AG360" s="4" t="s">
        <v>124</v>
      </c>
      <c r="AH360" s="4" t="s">
        <v>124</v>
      </c>
      <c r="AI360" s="4" t="s">
        <v>124</v>
      </c>
      <c r="AJ360" s="4" t="s">
        <v>124</v>
      </c>
      <c r="AK360" s="4" t="s">
        <v>124</v>
      </c>
      <c r="AL360" s="4" t="s">
        <v>124</v>
      </c>
      <c r="AM360" s="4" t="s">
        <v>124</v>
      </c>
      <c r="AN360" s="4" t="s">
        <v>124</v>
      </c>
      <c r="AO360" s="4" t="s">
        <v>124</v>
      </c>
      <c r="AP360" s="4" t="s">
        <v>124</v>
      </c>
      <c r="AQ360" s="4" t="s">
        <v>124</v>
      </c>
      <c r="AR360" s="4" t="s">
        <v>124</v>
      </c>
      <c r="AS360" s="4" t="s">
        <v>124</v>
      </c>
      <c r="AT360" s="4" t="s">
        <v>124</v>
      </c>
      <c r="AU360" s="4" t="s">
        <v>124</v>
      </c>
      <c r="AV360" s="4" t="s">
        <v>124</v>
      </c>
      <c r="AW360" s="4" t="s">
        <v>124</v>
      </c>
      <c r="AX360" s="4" t="s">
        <v>124</v>
      </c>
      <c r="AY360" s="4" t="s">
        <v>124</v>
      </c>
      <c r="AZ360" s="4" t="s">
        <v>124</v>
      </c>
      <c r="BA360" s="4" t="s">
        <v>124</v>
      </c>
      <c r="BB360" s="4" t="s">
        <v>124</v>
      </c>
      <c r="BC360" s="4" t="s">
        <v>124</v>
      </c>
      <c r="BD360" s="4" t="s">
        <v>124</v>
      </c>
      <c r="BE360" s="4" t="s">
        <v>124</v>
      </c>
      <c r="BF360" s="4" t="s">
        <v>124</v>
      </c>
      <c r="BG360" s="4" t="s">
        <v>124</v>
      </c>
      <c r="BH360" s="4" t="s">
        <v>124</v>
      </c>
      <c r="BI360" s="4" t="s">
        <v>124</v>
      </c>
      <c r="BJ360" s="4" t="s">
        <v>124</v>
      </c>
      <c r="BK360" s="4" t="s">
        <v>124</v>
      </c>
      <c r="BL360" s="4" t="s">
        <v>124</v>
      </c>
      <c r="BM360" s="4" t="s">
        <v>124</v>
      </c>
      <c r="BN360" s="4" t="s">
        <v>124</v>
      </c>
      <c r="BO360" s="4" t="s">
        <v>124</v>
      </c>
      <c r="BP360" s="4" t="s">
        <v>124</v>
      </c>
      <c r="BQ360" s="4" t="s">
        <v>124</v>
      </c>
      <c r="BR360" s="7">
        <v>5.4644999999999999E-2</v>
      </c>
      <c r="BS360" s="7">
        <v>49.071038000000001</v>
      </c>
      <c r="BT360" s="7">
        <v>50</v>
      </c>
      <c r="BU360" s="7">
        <v>0.130435</v>
      </c>
      <c r="BV360" s="7">
        <v>33.913043000000002</v>
      </c>
      <c r="BW360" s="7">
        <v>50</v>
      </c>
      <c r="BX360" s="4" t="s">
        <v>124</v>
      </c>
      <c r="BY360" s="4" t="s">
        <v>124</v>
      </c>
      <c r="BZ360" s="4" t="s">
        <v>124</v>
      </c>
      <c r="CA360" s="4" t="s">
        <v>124</v>
      </c>
      <c r="CB360" s="4" t="s">
        <v>124</v>
      </c>
      <c r="CC360" s="4" t="s">
        <v>124</v>
      </c>
      <c r="CD360" s="4" t="s">
        <v>124</v>
      </c>
      <c r="CE360" s="4" t="s">
        <v>124</v>
      </c>
      <c r="CF360" s="4" t="s">
        <v>124</v>
      </c>
      <c r="CG360" s="4" t="s">
        <v>124</v>
      </c>
      <c r="CH360" s="4" t="s">
        <v>124</v>
      </c>
      <c r="CI360" s="4" t="s">
        <v>124</v>
      </c>
      <c r="CJ360" s="4" t="s">
        <v>124</v>
      </c>
      <c r="CK360" s="4" t="s">
        <v>124</v>
      </c>
      <c r="CL360" s="4" t="s">
        <v>124</v>
      </c>
      <c r="CM360" s="4" t="s">
        <v>124</v>
      </c>
      <c r="CN360" s="4" t="s">
        <v>124</v>
      </c>
      <c r="CO360" s="4" t="s">
        <v>124</v>
      </c>
      <c r="CP360" s="4" t="s">
        <v>124</v>
      </c>
      <c r="CQ360" s="4" t="s">
        <v>124</v>
      </c>
      <c r="CR360" s="4" t="s">
        <v>124</v>
      </c>
      <c r="CS360" s="4" t="s">
        <v>124</v>
      </c>
      <c r="CT360" s="4" t="s">
        <v>124</v>
      </c>
      <c r="CU360" s="4" t="s">
        <v>124</v>
      </c>
      <c r="CV360" s="4" t="s">
        <v>124</v>
      </c>
      <c r="CW360" s="4" t="s">
        <v>124</v>
      </c>
      <c r="CX360" s="4" t="s">
        <v>124</v>
      </c>
      <c r="CY360" s="4" t="s">
        <v>124</v>
      </c>
      <c r="CZ360" s="4" t="s">
        <v>124</v>
      </c>
      <c r="DA360" s="4" t="s">
        <v>124</v>
      </c>
      <c r="DB360" s="4" t="s">
        <v>124</v>
      </c>
      <c r="DC360" s="4" t="s">
        <v>124</v>
      </c>
      <c r="DD360" s="4" t="s">
        <v>124</v>
      </c>
      <c r="DE360" s="4" t="s">
        <v>124</v>
      </c>
      <c r="DF360" s="6"/>
      <c r="DG360" s="6"/>
      <c r="DH360" s="6"/>
      <c r="DI360" s="6"/>
      <c r="DJ360" s="4" t="s">
        <v>124</v>
      </c>
      <c r="DK360" s="4" t="s">
        <v>124</v>
      </c>
      <c r="DL360" s="4" t="s">
        <v>124</v>
      </c>
      <c r="DM360" s="4" t="s">
        <v>124</v>
      </c>
      <c r="DN360" s="4" t="s">
        <v>124</v>
      </c>
      <c r="DO360" s="4" t="s">
        <v>124</v>
      </c>
      <c r="DP360" s="6"/>
      <c r="DQ360" s="4" t="s">
        <v>125</v>
      </c>
    </row>
    <row r="361" spans="1:121" ht="20" customHeight="1" x14ac:dyDescent="0.15">
      <c r="A361" s="5">
        <v>2018</v>
      </c>
      <c r="B361" s="3" t="s">
        <v>135</v>
      </c>
      <c r="C361" s="4" t="str">
        <f t="shared" ref="C361:C363" si="193">"0400011"</f>
        <v>0400011</v>
      </c>
      <c r="D361" s="4" t="s">
        <v>508</v>
      </c>
      <c r="E361" s="4" t="str">
        <f>"0406111"</f>
        <v>0406111</v>
      </c>
      <c r="F361" s="4" t="s">
        <v>327</v>
      </c>
      <c r="G361" s="7">
        <v>9</v>
      </c>
      <c r="H361" s="7">
        <v>12</v>
      </c>
      <c r="I361" s="6"/>
      <c r="J361" s="4" t="s">
        <v>330</v>
      </c>
      <c r="K361" s="7">
        <v>823.81552699999997</v>
      </c>
      <c r="L361" s="7">
        <v>950</v>
      </c>
      <c r="M361" s="7">
        <v>86.717423999999994</v>
      </c>
      <c r="N361" s="7">
        <v>1</v>
      </c>
      <c r="O361" s="7">
        <v>0</v>
      </c>
      <c r="P361" s="7">
        <v>66</v>
      </c>
      <c r="Q361" s="7">
        <v>132</v>
      </c>
      <c r="R361" s="7">
        <v>150</v>
      </c>
      <c r="S361" s="4" t="s">
        <v>124</v>
      </c>
      <c r="T361" s="7">
        <v>69.807692000000003</v>
      </c>
      <c r="U361" s="4" t="s">
        <v>124</v>
      </c>
      <c r="V361" s="4" t="s">
        <v>124</v>
      </c>
      <c r="W361" s="7">
        <v>58.309224</v>
      </c>
      <c r="X361" s="7">
        <v>116.618449</v>
      </c>
      <c r="Y361" s="7">
        <v>150</v>
      </c>
      <c r="Z361" s="7">
        <v>63.179487000000002</v>
      </c>
      <c r="AA361" s="4" t="s">
        <v>124</v>
      </c>
      <c r="AB361" s="4" t="s">
        <v>124</v>
      </c>
      <c r="AC361" s="4" t="s">
        <v>124</v>
      </c>
      <c r="AD361" s="7">
        <v>67.875996999999998</v>
      </c>
      <c r="AE361" s="7">
        <v>90.501328999999998</v>
      </c>
      <c r="AF361" s="7">
        <v>100</v>
      </c>
      <c r="AG361" s="4" t="s">
        <v>124</v>
      </c>
      <c r="AH361" s="7">
        <v>69.270269999999996</v>
      </c>
      <c r="AI361" s="4" t="s">
        <v>124</v>
      </c>
      <c r="AJ361" s="4" t="s">
        <v>124</v>
      </c>
      <c r="AK361" s="4" t="s">
        <v>124</v>
      </c>
      <c r="AL361" s="4" t="s">
        <v>124</v>
      </c>
      <c r="AM361" s="4" t="s">
        <v>124</v>
      </c>
      <c r="AN361" s="4" t="s">
        <v>124</v>
      </c>
      <c r="AO361" s="4" t="s">
        <v>124</v>
      </c>
      <c r="AP361" s="4" t="s">
        <v>124</v>
      </c>
      <c r="AQ361" s="4" t="s">
        <v>124</v>
      </c>
      <c r="AR361" s="4" t="s">
        <v>124</v>
      </c>
      <c r="AS361" s="4" t="s">
        <v>124</v>
      </c>
      <c r="AT361" s="4" t="s">
        <v>124</v>
      </c>
      <c r="AU361" s="4" t="s">
        <v>124</v>
      </c>
      <c r="AV361" s="4" t="s">
        <v>124</v>
      </c>
      <c r="AW361" s="4" t="s">
        <v>124</v>
      </c>
      <c r="AX361" s="4" t="s">
        <v>124</v>
      </c>
      <c r="AY361" s="4" t="s">
        <v>124</v>
      </c>
      <c r="AZ361" s="4" t="s">
        <v>124</v>
      </c>
      <c r="BA361" s="4" t="s">
        <v>124</v>
      </c>
      <c r="BB361" s="4" t="s">
        <v>124</v>
      </c>
      <c r="BC361" s="4" t="s">
        <v>124</v>
      </c>
      <c r="BD361" s="4" t="s">
        <v>124</v>
      </c>
      <c r="BE361" s="4" t="s">
        <v>124</v>
      </c>
      <c r="BF361" s="4" t="s">
        <v>124</v>
      </c>
      <c r="BG361" s="4" t="s">
        <v>124</v>
      </c>
      <c r="BH361" s="7">
        <v>0</v>
      </c>
      <c r="BI361" s="7">
        <v>1</v>
      </c>
      <c r="BJ361" s="4" t="s">
        <v>124</v>
      </c>
      <c r="BK361" s="7">
        <v>1</v>
      </c>
      <c r="BL361" s="7">
        <v>1</v>
      </c>
      <c r="BM361" s="4" t="s">
        <v>124</v>
      </c>
      <c r="BN361" s="7">
        <v>1</v>
      </c>
      <c r="BO361" s="7">
        <v>0.981132</v>
      </c>
      <c r="BP361" s="4" t="s">
        <v>124</v>
      </c>
      <c r="BQ361" s="7">
        <v>0.97435899999999998</v>
      </c>
      <c r="BR361" s="7">
        <v>6.4884999999999998E-2</v>
      </c>
      <c r="BS361" s="7">
        <v>47.022900999999997</v>
      </c>
      <c r="BT361" s="7">
        <v>50</v>
      </c>
      <c r="BU361" s="7">
        <v>0.16666700000000001</v>
      </c>
      <c r="BV361" s="7">
        <v>26.666667</v>
      </c>
      <c r="BW361" s="7">
        <v>50</v>
      </c>
      <c r="BX361" s="7">
        <v>0.922481</v>
      </c>
      <c r="BY361" s="7">
        <v>50</v>
      </c>
      <c r="BZ361" s="7">
        <v>50</v>
      </c>
      <c r="CA361" s="7">
        <v>0.55813999999999997</v>
      </c>
      <c r="CB361" s="7">
        <v>37.209302000000001</v>
      </c>
      <c r="CC361" s="7">
        <v>50</v>
      </c>
      <c r="CD361" s="7">
        <v>0.98461500000000002</v>
      </c>
      <c r="CE361" s="7">
        <v>50</v>
      </c>
      <c r="CF361" s="7">
        <v>50</v>
      </c>
      <c r="CG361" s="7">
        <v>0.96551699999999996</v>
      </c>
      <c r="CH361" s="7">
        <v>100</v>
      </c>
      <c r="CI361" s="7">
        <v>100</v>
      </c>
      <c r="CJ361" s="7">
        <v>0</v>
      </c>
      <c r="CK361" s="4" t="s">
        <v>124</v>
      </c>
      <c r="CL361" s="4" t="s">
        <v>124</v>
      </c>
      <c r="CM361" s="4" t="s">
        <v>124</v>
      </c>
      <c r="CN361" s="7">
        <v>0.84210499999999999</v>
      </c>
      <c r="CO361" s="7">
        <v>100</v>
      </c>
      <c r="CP361" s="7">
        <v>100</v>
      </c>
      <c r="CQ361" s="7">
        <v>0.39130399999999999</v>
      </c>
      <c r="CR361" s="7">
        <v>1.0147060000000001</v>
      </c>
      <c r="CS361" s="7">
        <v>26.086957000000002</v>
      </c>
      <c r="CT361" s="7">
        <v>50</v>
      </c>
      <c r="CU361" s="7">
        <v>0.572519</v>
      </c>
      <c r="CV361" s="7">
        <v>47.709924000000001</v>
      </c>
      <c r="CW361" s="7">
        <v>50</v>
      </c>
      <c r="CX361" s="4" t="s">
        <v>124</v>
      </c>
      <c r="CY361" s="4" t="s">
        <v>124</v>
      </c>
      <c r="CZ361" s="4" t="s">
        <v>124</v>
      </c>
      <c r="DA361" s="7">
        <v>15.314097</v>
      </c>
      <c r="DB361" s="7">
        <v>17.400950000000002</v>
      </c>
      <c r="DC361" s="7">
        <v>16.332519999999999</v>
      </c>
      <c r="DD361" s="7">
        <v>7.9891730000000001</v>
      </c>
      <c r="DE361" s="7">
        <v>0</v>
      </c>
      <c r="DF361" s="6"/>
      <c r="DG361" s="6"/>
      <c r="DH361" s="6"/>
      <c r="DI361" s="6"/>
      <c r="DJ361" s="7">
        <v>0</v>
      </c>
      <c r="DK361" s="7">
        <v>0</v>
      </c>
      <c r="DL361" s="7">
        <v>0</v>
      </c>
      <c r="DM361" s="7">
        <v>0</v>
      </c>
      <c r="DN361" s="7">
        <v>0</v>
      </c>
      <c r="DO361" s="7">
        <v>0</v>
      </c>
      <c r="DP361" s="6"/>
      <c r="DQ361" s="4" t="s">
        <v>125</v>
      </c>
    </row>
    <row r="362" spans="1:121" ht="20" customHeight="1" x14ac:dyDescent="0.15">
      <c r="A362" s="5">
        <v>2018</v>
      </c>
      <c r="B362" s="3" t="s">
        <v>135</v>
      </c>
      <c r="C362" s="4" t="str">
        <f t="shared" si="193"/>
        <v>0400011</v>
      </c>
      <c r="D362" s="4" t="s">
        <v>509</v>
      </c>
      <c r="E362" s="4" t="str">
        <f>"0405111"</f>
        <v>0405111</v>
      </c>
      <c r="F362" s="4" t="s">
        <v>327</v>
      </c>
      <c r="G362" s="7">
        <v>6</v>
      </c>
      <c r="H362" s="7">
        <v>8</v>
      </c>
      <c r="I362" s="6"/>
      <c r="J362" s="4" t="s">
        <v>330</v>
      </c>
      <c r="K362" s="7">
        <v>651.87536699999998</v>
      </c>
      <c r="L362" s="7">
        <v>850</v>
      </c>
      <c r="M362" s="7">
        <v>76.691220000000001</v>
      </c>
      <c r="N362" s="7">
        <v>2</v>
      </c>
      <c r="O362" s="7">
        <v>0</v>
      </c>
      <c r="P362" s="7">
        <v>78.120560999999995</v>
      </c>
      <c r="Q362" s="7">
        <v>50</v>
      </c>
      <c r="R362" s="7">
        <v>50</v>
      </c>
      <c r="S362" s="7">
        <v>65.119349999999997</v>
      </c>
      <c r="T362" s="7">
        <v>75</v>
      </c>
      <c r="U362" s="7">
        <v>43.4129</v>
      </c>
      <c r="V362" s="7">
        <v>50</v>
      </c>
      <c r="W362" s="7">
        <v>72.412946000000005</v>
      </c>
      <c r="X362" s="7">
        <v>48.275297000000002</v>
      </c>
      <c r="Y362" s="7">
        <v>50</v>
      </c>
      <c r="Z362" s="7">
        <v>75</v>
      </c>
      <c r="AA362" s="7">
        <v>58.981354000000003</v>
      </c>
      <c r="AB362" s="7">
        <v>39.320903000000001</v>
      </c>
      <c r="AC362" s="7">
        <v>50</v>
      </c>
      <c r="AD362" s="7">
        <v>78.357821000000001</v>
      </c>
      <c r="AE362" s="7">
        <v>50</v>
      </c>
      <c r="AF362" s="7">
        <v>50</v>
      </c>
      <c r="AG362" s="4" t="s">
        <v>124</v>
      </c>
      <c r="AH362" s="7">
        <v>75</v>
      </c>
      <c r="AI362" s="4" t="s">
        <v>124</v>
      </c>
      <c r="AJ362" s="4" t="s">
        <v>124</v>
      </c>
      <c r="AK362" s="7">
        <v>9.8800000000000008</v>
      </c>
      <c r="AL362" s="7">
        <v>16.010000000000002</v>
      </c>
      <c r="AM362" s="4" t="s">
        <v>124</v>
      </c>
      <c r="AN362" s="7">
        <v>0.67154999999999998</v>
      </c>
      <c r="AO362" s="7">
        <v>67.154973999999996</v>
      </c>
      <c r="AP362" s="7">
        <v>100</v>
      </c>
      <c r="AQ362" s="7">
        <v>0.600773</v>
      </c>
      <c r="AR362" s="7">
        <v>60.077298999999996</v>
      </c>
      <c r="AS362" s="7">
        <v>100</v>
      </c>
      <c r="AT362" s="7">
        <v>0.57871899999999998</v>
      </c>
      <c r="AU362" s="7">
        <v>0.70427399999999996</v>
      </c>
      <c r="AV362" s="7">
        <v>57.871898000000002</v>
      </c>
      <c r="AW362" s="7">
        <v>100</v>
      </c>
      <c r="AX362" s="7">
        <v>0.52265600000000001</v>
      </c>
      <c r="AY362" s="7">
        <v>0.627749</v>
      </c>
      <c r="AZ362" s="7">
        <v>52.265593000000003</v>
      </c>
      <c r="BA362" s="7">
        <v>100</v>
      </c>
      <c r="BB362" s="4" t="s">
        <v>124</v>
      </c>
      <c r="BC362" s="4" t="s">
        <v>124</v>
      </c>
      <c r="BD362" s="4" t="s">
        <v>124</v>
      </c>
      <c r="BE362" s="4" t="s">
        <v>124</v>
      </c>
      <c r="BF362" s="4" t="s">
        <v>124</v>
      </c>
      <c r="BG362" s="4" t="s">
        <v>124</v>
      </c>
      <c r="BH362" s="7">
        <v>0</v>
      </c>
      <c r="BI362" s="7">
        <v>0.99497500000000005</v>
      </c>
      <c r="BJ362" s="7">
        <v>1</v>
      </c>
      <c r="BK362" s="7">
        <v>0.99295800000000001</v>
      </c>
      <c r="BL362" s="7">
        <v>0.995</v>
      </c>
      <c r="BM362" s="7">
        <v>1</v>
      </c>
      <c r="BN362" s="7">
        <v>0.99300699999999997</v>
      </c>
      <c r="BO362" s="7">
        <v>0.98630099999999998</v>
      </c>
      <c r="BP362" s="4" t="s">
        <v>124</v>
      </c>
      <c r="BQ362" s="7">
        <v>0.98181799999999997</v>
      </c>
      <c r="BR362" s="7">
        <v>0.05</v>
      </c>
      <c r="BS362" s="7">
        <v>50</v>
      </c>
      <c r="BT362" s="7">
        <v>50</v>
      </c>
      <c r="BU362" s="7">
        <v>0.127273</v>
      </c>
      <c r="BV362" s="7">
        <v>34.545454999999997</v>
      </c>
      <c r="BW362" s="7">
        <v>50</v>
      </c>
      <c r="BX362" s="4" t="s">
        <v>124</v>
      </c>
      <c r="BY362" s="4" t="s">
        <v>124</v>
      </c>
      <c r="BZ362" s="4" t="s">
        <v>124</v>
      </c>
      <c r="CA362" s="4" t="s">
        <v>124</v>
      </c>
      <c r="CB362" s="4" t="s">
        <v>124</v>
      </c>
      <c r="CC362" s="4" t="s">
        <v>124</v>
      </c>
      <c r="CD362" s="7">
        <v>0.98305100000000001</v>
      </c>
      <c r="CE362" s="7">
        <v>50</v>
      </c>
      <c r="CF362" s="7">
        <v>50</v>
      </c>
      <c r="CG362" s="4" t="s">
        <v>124</v>
      </c>
      <c r="CH362" s="4" t="s">
        <v>124</v>
      </c>
      <c r="CI362" s="4" t="s">
        <v>124</v>
      </c>
      <c r="CJ362" s="4" t="s">
        <v>124</v>
      </c>
      <c r="CK362" s="4" t="s">
        <v>124</v>
      </c>
      <c r="CL362" s="4" t="s">
        <v>124</v>
      </c>
      <c r="CM362" s="4" t="s">
        <v>124</v>
      </c>
      <c r="CN362" s="4" t="s">
        <v>124</v>
      </c>
      <c r="CO362" s="4" t="s">
        <v>124</v>
      </c>
      <c r="CP362" s="4" t="s">
        <v>124</v>
      </c>
      <c r="CQ362" s="7">
        <v>0.73426599999999997</v>
      </c>
      <c r="CR362" s="7">
        <v>1</v>
      </c>
      <c r="CS362" s="7">
        <v>48.951048999999998</v>
      </c>
      <c r="CT362" s="7">
        <v>50</v>
      </c>
      <c r="CU362" s="4" t="s">
        <v>124</v>
      </c>
      <c r="CV362" s="4" t="s">
        <v>124</v>
      </c>
      <c r="CW362" s="4" t="s">
        <v>124</v>
      </c>
      <c r="CX362" s="4" t="s">
        <v>124</v>
      </c>
      <c r="CY362" s="4" t="s">
        <v>124</v>
      </c>
      <c r="CZ362" s="4" t="s">
        <v>124</v>
      </c>
      <c r="DA362" s="7">
        <v>15.314097</v>
      </c>
      <c r="DB362" s="7">
        <v>17.400950000000002</v>
      </c>
      <c r="DC362" s="7">
        <v>16.332519999999999</v>
      </c>
      <c r="DD362" s="4" t="s">
        <v>124</v>
      </c>
      <c r="DE362" s="7">
        <v>0</v>
      </c>
      <c r="DF362" s="6"/>
      <c r="DG362" s="6"/>
      <c r="DH362" s="6"/>
      <c r="DI362" s="6"/>
      <c r="DJ362" s="7">
        <v>0</v>
      </c>
      <c r="DK362" s="7">
        <v>0</v>
      </c>
      <c r="DL362" s="7">
        <v>0</v>
      </c>
      <c r="DM362" s="7">
        <v>0</v>
      </c>
      <c r="DN362" s="7">
        <v>0</v>
      </c>
      <c r="DO362" s="7">
        <v>0</v>
      </c>
      <c r="DP362" s="6"/>
      <c r="DQ362" s="4" t="s">
        <v>125</v>
      </c>
    </row>
    <row r="363" spans="1:121" ht="20" customHeight="1" x14ac:dyDescent="0.15">
      <c r="A363" s="5">
        <v>2018</v>
      </c>
      <c r="B363" s="3" t="s">
        <v>135</v>
      </c>
      <c r="C363" s="4" t="str">
        <f t="shared" si="193"/>
        <v>0400011</v>
      </c>
      <c r="D363" s="4" t="s">
        <v>510</v>
      </c>
      <c r="E363" s="4" t="str">
        <f>"0400211"</f>
        <v>0400211</v>
      </c>
      <c r="F363" s="4" t="s">
        <v>327</v>
      </c>
      <c r="G363" s="7">
        <v>3</v>
      </c>
      <c r="H363" s="7">
        <v>5</v>
      </c>
      <c r="I363" s="4" t="s">
        <v>329</v>
      </c>
      <c r="J363" s="4" t="s">
        <v>330</v>
      </c>
      <c r="K363" s="7">
        <v>728.85201099999995</v>
      </c>
      <c r="L363" s="7">
        <v>850</v>
      </c>
      <c r="M363" s="7">
        <v>85.747294999999994</v>
      </c>
      <c r="N363" s="7">
        <v>1</v>
      </c>
      <c r="O363" s="7">
        <v>0</v>
      </c>
      <c r="P363" s="7">
        <v>79.013598000000002</v>
      </c>
      <c r="Q363" s="7">
        <v>50</v>
      </c>
      <c r="R363" s="7">
        <v>50</v>
      </c>
      <c r="S363" s="7">
        <v>70.500415000000004</v>
      </c>
      <c r="T363" s="7">
        <v>75</v>
      </c>
      <c r="U363" s="7">
        <v>47.000275999999999</v>
      </c>
      <c r="V363" s="7">
        <v>50</v>
      </c>
      <c r="W363" s="7">
        <v>77.595961000000003</v>
      </c>
      <c r="X363" s="7">
        <v>50</v>
      </c>
      <c r="Y363" s="7">
        <v>50</v>
      </c>
      <c r="Z363" s="7">
        <v>75</v>
      </c>
      <c r="AA363" s="7">
        <v>65.341316000000006</v>
      </c>
      <c r="AB363" s="7">
        <v>43.560876999999998</v>
      </c>
      <c r="AC363" s="7">
        <v>50</v>
      </c>
      <c r="AD363" s="7">
        <v>85.646859000000006</v>
      </c>
      <c r="AE363" s="7">
        <v>50</v>
      </c>
      <c r="AF363" s="7">
        <v>50</v>
      </c>
      <c r="AG363" s="7">
        <v>78.605222999999995</v>
      </c>
      <c r="AH363" s="7">
        <v>75</v>
      </c>
      <c r="AI363" s="7">
        <v>50</v>
      </c>
      <c r="AJ363" s="7">
        <v>50</v>
      </c>
      <c r="AK363" s="7">
        <v>4.49</v>
      </c>
      <c r="AL363" s="7">
        <v>9.65</v>
      </c>
      <c r="AM363" s="7">
        <v>-3.6</v>
      </c>
      <c r="AN363" s="7">
        <v>0.78613100000000002</v>
      </c>
      <c r="AO363" s="7">
        <v>78.613117000000003</v>
      </c>
      <c r="AP363" s="7">
        <v>100</v>
      </c>
      <c r="AQ363" s="7">
        <v>0.86772099999999996</v>
      </c>
      <c r="AR363" s="7">
        <v>86.772063000000003</v>
      </c>
      <c r="AS363" s="7">
        <v>100</v>
      </c>
      <c r="AT363" s="7">
        <v>0.74525300000000005</v>
      </c>
      <c r="AU363" s="7">
        <v>0.80110700000000001</v>
      </c>
      <c r="AV363" s="7">
        <v>74.525250999999997</v>
      </c>
      <c r="AW363" s="7">
        <v>100</v>
      </c>
      <c r="AX363" s="7">
        <v>0.75939000000000001</v>
      </c>
      <c r="AY363" s="7">
        <v>0.90633399999999997</v>
      </c>
      <c r="AZ363" s="7">
        <v>75.939004999999995</v>
      </c>
      <c r="BA363" s="7">
        <v>100</v>
      </c>
      <c r="BB363" s="4" t="s">
        <v>124</v>
      </c>
      <c r="BC363" s="4" t="s">
        <v>124</v>
      </c>
      <c r="BD363" s="4" t="s">
        <v>124</v>
      </c>
      <c r="BE363" s="4" t="s">
        <v>124</v>
      </c>
      <c r="BF363" s="4" t="s">
        <v>124</v>
      </c>
      <c r="BG363" s="4" t="s">
        <v>124</v>
      </c>
      <c r="BH363" s="7">
        <v>0</v>
      </c>
      <c r="BI363" s="7">
        <v>0.99489799999999995</v>
      </c>
      <c r="BJ363" s="7">
        <v>1</v>
      </c>
      <c r="BK363" s="7">
        <v>0.99242399999999997</v>
      </c>
      <c r="BL363" s="7">
        <v>0.98979600000000001</v>
      </c>
      <c r="BM363" s="7">
        <v>0.984375</v>
      </c>
      <c r="BN363" s="7">
        <v>0.99242399999999997</v>
      </c>
      <c r="BO363" s="7">
        <v>1</v>
      </c>
      <c r="BP363" s="7">
        <v>1</v>
      </c>
      <c r="BQ363" s="7">
        <v>1</v>
      </c>
      <c r="BR363" s="7">
        <v>5.1020000000000003E-2</v>
      </c>
      <c r="BS363" s="7">
        <v>49.795918</v>
      </c>
      <c r="BT363" s="7">
        <v>50</v>
      </c>
      <c r="BU363" s="7">
        <v>0.11666700000000001</v>
      </c>
      <c r="BV363" s="7">
        <v>36.666666999999997</v>
      </c>
      <c r="BW363" s="7">
        <v>50</v>
      </c>
      <c r="BX363" s="4" t="s">
        <v>124</v>
      </c>
      <c r="BY363" s="4" t="s">
        <v>124</v>
      </c>
      <c r="BZ363" s="4" t="s">
        <v>124</v>
      </c>
      <c r="CA363" s="4" t="s">
        <v>124</v>
      </c>
      <c r="CB363" s="4" t="s">
        <v>124</v>
      </c>
      <c r="CC363" s="4" t="s">
        <v>124</v>
      </c>
      <c r="CD363" s="4" t="s">
        <v>124</v>
      </c>
      <c r="CE363" s="4" t="s">
        <v>124</v>
      </c>
      <c r="CF363" s="4" t="s">
        <v>124</v>
      </c>
      <c r="CG363" s="4" t="s">
        <v>124</v>
      </c>
      <c r="CH363" s="4" t="s">
        <v>124</v>
      </c>
      <c r="CI363" s="4" t="s">
        <v>124</v>
      </c>
      <c r="CJ363" s="4" t="s">
        <v>124</v>
      </c>
      <c r="CK363" s="4" t="s">
        <v>124</v>
      </c>
      <c r="CL363" s="4" t="s">
        <v>124</v>
      </c>
      <c r="CM363" s="4" t="s">
        <v>124</v>
      </c>
      <c r="CN363" s="4" t="s">
        <v>124</v>
      </c>
      <c r="CO363" s="4" t="s">
        <v>124</v>
      </c>
      <c r="CP363" s="4" t="s">
        <v>124</v>
      </c>
      <c r="CQ363" s="7">
        <v>0.53968300000000002</v>
      </c>
      <c r="CR363" s="7">
        <v>0.95454499999999998</v>
      </c>
      <c r="CS363" s="7">
        <v>35.978836000000001</v>
      </c>
      <c r="CT363" s="7">
        <v>50</v>
      </c>
      <c r="CU363" s="4" t="s">
        <v>124</v>
      </c>
      <c r="CV363" s="4" t="s">
        <v>124</v>
      </c>
      <c r="CW363" s="4" t="s">
        <v>124</v>
      </c>
      <c r="CX363" s="4" t="s">
        <v>124</v>
      </c>
      <c r="CY363" s="4" t="s">
        <v>124</v>
      </c>
      <c r="CZ363" s="4" t="s">
        <v>124</v>
      </c>
      <c r="DA363" s="7">
        <v>15.314097</v>
      </c>
      <c r="DB363" s="7">
        <v>17.400950000000002</v>
      </c>
      <c r="DC363" s="7">
        <v>16.332519999999999</v>
      </c>
      <c r="DD363" s="4" t="s">
        <v>124</v>
      </c>
      <c r="DE363" s="7">
        <v>0</v>
      </c>
      <c r="DF363" s="6"/>
      <c r="DG363" s="6"/>
      <c r="DH363" s="4" t="s">
        <v>331</v>
      </c>
      <c r="DI363" s="4" t="s">
        <v>511</v>
      </c>
      <c r="DJ363" s="7">
        <v>0</v>
      </c>
      <c r="DK363" s="7">
        <v>1</v>
      </c>
      <c r="DL363" s="7">
        <v>1</v>
      </c>
      <c r="DM363" s="7">
        <v>1</v>
      </c>
      <c r="DN363" s="7">
        <v>0</v>
      </c>
      <c r="DO363" s="7">
        <v>0</v>
      </c>
      <c r="DP363" s="6"/>
      <c r="DQ363" s="4" t="s">
        <v>125</v>
      </c>
    </row>
    <row r="364" spans="1:121" ht="20" customHeight="1" x14ac:dyDescent="0.15">
      <c r="A364" s="5">
        <v>2018</v>
      </c>
      <c r="B364" s="3" t="s">
        <v>128</v>
      </c>
      <c r="C364" s="4" t="str">
        <f t="shared" si="4"/>
        <v>0410011</v>
      </c>
      <c r="D364" s="4" t="s">
        <v>512</v>
      </c>
      <c r="E364" s="4" t="str">
        <f>"0410111"</f>
        <v>0410111</v>
      </c>
      <c r="F364" s="4" t="s">
        <v>327</v>
      </c>
      <c r="G364" s="4" t="s">
        <v>328</v>
      </c>
      <c r="H364" s="7">
        <v>3</v>
      </c>
      <c r="I364" s="6"/>
      <c r="J364" s="4" t="s">
        <v>330</v>
      </c>
      <c r="K364" s="7">
        <v>455.18487800000003</v>
      </c>
      <c r="L364" s="7">
        <v>500</v>
      </c>
      <c r="M364" s="7">
        <v>91.036975999999996</v>
      </c>
      <c r="N364" s="7">
        <v>1</v>
      </c>
      <c r="O364" s="7">
        <v>0</v>
      </c>
      <c r="P364" s="7">
        <v>75.225436000000002</v>
      </c>
      <c r="Q364" s="7">
        <v>100</v>
      </c>
      <c r="R364" s="7">
        <v>100</v>
      </c>
      <c r="S364" s="7">
        <v>67.886431000000002</v>
      </c>
      <c r="T364" s="7">
        <v>75</v>
      </c>
      <c r="U364" s="7">
        <v>90.515242000000001</v>
      </c>
      <c r="V364" s="7">
        <v>100</v>
      </c>
      <c r="W364" s="7">
        <v>70.238603999999995</v>
      </c>
      <c r="X364" s="7">
        <v>93.651471999999998</v>
      </c>
      <c r="Y364" s="7">
        <v>100</v>
      </c>
      <c r="Z364" s="7">
        <v>75</v>
      </c>
      <c r="AA364" s="7">
        <v>61.280864000000001</v>
      </c>
      <c r="AB364" s="7">
        <v>81.707819000000001</v>
      </c>
      <c r="AC364" s="7">
        <v>100</v>
      </c>
      <c r="AD364" s="4" t="s">
        <v>124</v>
      </c>
      <c r="AE364" s="4" t="s">
        <v>124</v>
      </c>
      <c r="AF364" s="4" t="s">
        <v>124</v>
      </c>
      <c r="AG364" s="4" t="s">
        <v>124</v>
      </c>
      <c r="AH364" s="4" t="s">
        <v>124</v>
      </c>
      <c r="AI364" s="4" t="s">
        <v>124</v>
      </c>
      <c r="AJ364" s="4" t="s">
        <v>124</v>
      </c>
      <c r="AK364" s="7">
        <v>7.11</v>
      </c>
      <c r="AL364" s="7">
        <v>13.71</v>
      </c>
      <c r="AM364" s="4" t="s">
        <v>124</v>
      </c>
      <c r="AN364" s="4" t="s">
        <v>124</v>
      </c>
      <c r="AO364" s="4" t="s">
        <v>124</v>
      </c>
      <c r="AP364" s="4" t="s">
        <v>124</v>
      </c>
      <c r="AQ364" s="4" t="s">
        <v>124</v>
      </c>
      <c r="AR364" s="4" t="s">
        <v>124</v>
      </c>
      <c r="AS364" s="4" t="s">
        <v>124</v>
      </c>
      <c r="AT364" s="4" t="s">
        <v>124</v>
      </c>
      <c r="AU364" s="4" t="s">
        <v>124</v>
      </c>
      <c r="AV364" s="4" t="s">
        <v>124</v>
      </c>
      <c r="AW364" s="4" t="s">
        <v>124</v>
      </c>
      <c r="AX364" s="4" t="s">
        <v>124</v>
      </c>
      <c r="AY364" s="4" t="s">
        <v>124</v>
      </c>
      <c r="AZ364" s="4" t="s">
        <v>124</v>
      </c>
      <c r="BA364" s="4" t="s">
        <v>124</v>
      </c>
      <c r="BB364" s="4" t="s">
        <v>124</v>
      </c>
      <c r="BC364" s="4" t="s">
        <v>124</v>
      </c>
      <c r="BD364" s="4" t="s">
        <v>124</v>
      </c>
      <c r="BE364" s="4" t="s">
        <v>124</v>
      </c>
      <c r="BF364" s="4" t="s">
        <v>124</v>
      </c>
      <c r="BG364" s="4" t="s">
        <v>124</v>
      </c>
      <c r="BH364" s="7">
        <v>0</v>
      </c>
      <c r="BI364" s="7">
        <v>0.98765400000000003</v>
      </c>
      <c r="BJ364" s="7">
        <v>1</v>
      </c>
      <c r="BK364" s="7">
        <v>0.97959200000000002</v>
      </c>
      <c r="BL364" s="7">
        <v>0.97530899999999998</v>
      </c>
      <c r="BM364" s="7">
        <v>0.96875</v>
      </c>
      <c r="BN364" s="7">
        <v>0.97959200000000002</v>
      </c>
      <c r="BO364" s="4" t="s">
        <v>124</v>
      </c>
      <c r="BP364" s="4" t="s">
        <v>124</v>
      </c>
      <c r="BQ364" s="4" t="s">
        <v>124</v>
      </c>
      <c r="BR364" s="7">
        <v>3.8061999999999999E-2</v>
      </c>
      <c r="BS364" s="7">
        <v>50</v>
      </c>
      <c r="BT364" s="7">
        <v>50</v>
      </c>
      <c r="BU364" s="7">
        <v>0.103448</v>
      </c>
      <c r="BV364" s="7">
        <v>39.310344999999998</v>
      </c>
      <c r="BW364" s="7">
        <v>50</v>
      </c>
      <c r="BX364" s="4" t="s">
        <v>124</v>
      </c>
      <c r="BY364" s="4" t="s">
        <v>124</v>
      </c>
      <c r="BZ364" s="4" t="s">
        <v>124</v>
      </c>
      <c r="CA364" s="4" t="s">
        <v>124</v>
      </c>
      <c r="CB364" s="4" t="s">
        <v>124</v>
      </c>
      <c r="CC364" s="4" t="s">
        <v>124</v>
      </c>
      <c r="CD364" s="4" t="s">
        <v>124</v>
      </c>
      <c r="CE364" s="4" t="s">
        <v>124</v>
      </c>
      <c r="CF364" s="4" t="s">
        <v>124</v>
      </c>
      <c r="CG364" s="4" t="s">
        <v>124</v>
      </c>
      <c r="CH364" s="4" t="s">
        <v>124</v>
      </c>
      <c r="CI364" s="4" t="s">
        <v>124</v>
      </c>
      <c r="CJ364" s="4" t="s">
        <v>124</v>
      </c>
      <c r="CK364" s="4" t="s">
        <v>124</v>
      </c>
      <c r="CL364" s="4" t="s">
        <v>124</v>
      </c>
      <c r="CM364" s="4" t="s">
        <v>124</v>
      </c>
      <c r="CN364" s="4" t="s">
        <v>124</v>
      </c>
      <c r="CO364" s="4" t="s">
        <v>124</v>
      </c>
      <c r="CP364" s="4" t="s">
        <v>124</v>
      </c>
      <c r="CQ364" s="4" t="s">
        <v>124</v>
      </c>
      <c r="CR364" s="4" t="s">
        <v>124</v>
      </c>
      <c r="CS364" s="4" t="s">
        <v>124</v>
      </c>
      <c r="CT364" s="4" t="s">
        <v>124</v>
      </c>
      <c r="CU364" s="4" t="s">
        <v>124</v>
      </c>
      <c r="CV364" s="4" t="s">
        <v>124</v>
      </c>
      <c r="CW364" s="4" t="s">
        <v>124</v>
      </c>
      <c r="CX364" s="4" t="s">
        <v>124</v>
      </c>
      <c r="CY364" s="4" t="s">
        <v>124</v>
      </c>
      <c r="CZ364" s="4" t="s">
        <v>124</v>
      </c>
      <c r="DA364" s="7">
        <v>15.314097</v>
      </c>
      <c r="DB364" s="7">
        <v>17.400950000000002</v>
      </c>
      <c r="DC364" s="7">
        <v>16.332519999999999</v>
      </c>
      <c r="DD364" s="4" t="s">
        <v>124</v>
      </c>
      <c r="DE364" s="7">
        <v>0</v>
      </c>
      <c r="DF364" s="6"/>
      <c r="DG364" s="6"/>
      <c r="DH364" s="4" t="s">
        <v>331</v>
      </c>
      <c r="DI364" s="4" t="s">
        <v>332</v>
      </c>
      <c r="DJ364" s="7">
        <v>1</v>
      </c>
      <c r="DK364" s="7">
        <v>0</v>
      </c>
      <c r="DL364" s="7">
        <v>0</v>
      </c>
      <c r="DM364" s="7">
        <v>0</v>
      </c>
      <c r="DN364" s="7">
        <v>0</v>
      </c>
      <c r="DO364" s="7">
        <v>0</v>
      </c>
      <c r="DP364" s="6"/>
      <c r="DQ364" s="4" t="s">
        <v>125</v>
      </c>
    </row>
    <row r="365" spans="1:121" ht="20" customHeight="1" x14ac:dyDescent="0.15">
      <c r="A365" s="5">
        <v>2018</v>
      </c>
      <c r="B365" s="3" t="s">
        <v>128</v>
      </c>
      <c r="C365" s="4" t="str">
        <f t="shared" ref="C365:C366" si="194">"0410011"</f>
        <v>0410011</v>
      </c>
      <c r="D365" s="4" t="s">
        <v>513</v>
      </c>
      <c r="E365" s="4" t="str">
        <f>"0416111"</f>
        <v>0416111</v>
      </c>
      <c r="F365" s="4" t="s">
        <v>327</v>
      </c>
      <c r="G365" s="7">
        <v>9</v>
      </c>
      <c r="H365" s="7">
        <v>12</v>
      </c>
      <c r="I365" s="4" t="s">
        <v>329</v>
      </c>
      <c r="J365" s="4" t="s">
        <v>330</v>
      </c>
      <c r="K365" s="7">
        <v>1180.319358</v>
      </c>
      <c r="L365" s="7">
        <v>1450</v>
      </c>
      <c r="M365" s="7">
        <v>81.401335000000003</v>
      </c>
      <c r="N365" s="7">
        <v>2</v>
      </c>
      <c r="O365" s="7">
        <v>0</v>
      </c>
      <c r="P365" s="7">
        <v>62.272221999999999</v>
      </c>
      <c r="Q365" s="7">
        <v>124.544444</v>
      </c>
      <c r="R365" s="7">
        <v>150</v>
      </c>
      <c r="S365" s="7">
        <v>54.592593000000001</v>
      </c>
      <c r="T365" s="7">
        <v>65.005650000000003</v>
      </c>
      <c r="U365" s="7">
        <v>109.185185</v>
      </c>
      <c r="V365" s="7">
        <v>150</v>
      </c>
      <c r="W365" s="7">
        <v>56.978471999999996</v>
      </c>
      <c r="X365" s="7">
        <v>113.95694399999999</v>
      </c>
      <c r="Y365" s="7">
        <v>150</v>
      </c>
      <c r="Z365" s="7">
        <v>60.344633000000002</v>
      </c>
      <c r="AA365" s="7">
        <v>47.521163999999999</v>
      </c>
      <c r="AB365" s="7">
        <v>95.042327999999998</v>
      </c>
      <c r="AC365" s="7">
        <v>150</v>
      </c>
      <c r="AD365" s="7">
        <v>56.276941000000001</v>
      </c>
      <c r="AE365" s="7">
        <v>75.035921999999999</v>
      </c>
      <c r="AF365" s="7">
        <v>100</v>
      </c>
      <c r="AG365" s="7">
        <v>53.438164999999998</v>
      </c>
      <c r="AH365" s="7">
        <v>57.270513000000001</v>
      </c>
      <c r="AI365" s="7">
        <v>71.250887000000006</v>
      </c>
      <c r="AJ365" s="7">
        <v>100</v>
      </c>
      <c r="AK365" s="7">
        <v>10.41</v>
      </c>
      <c r="AL365" s="7">
        <v>12.82</v>
      </c>
      <c r="AM365" s="7">
        <v>3.83</v>
      </c>
      <c r="AN365" s="4" t="s">
        <v>124</v>
      </c>
      <c r="AO365" s="4" t="s">
        <v>124</v>
      </c>
      <c r="AP365" s="4" t="s">
        <v>124</v>
      </c>
      <c r="AQ365" s="4" t="s">
        <v>124</v>
      </c>
      <c r="AR365" s="4" t="s">
        <v>124</v>
      </c>
      <c r="AS365" s="4" t="s">
        <v>124</v>
      </c>
      <c r="AT365" s="4" t="s">
        <v>124</v>
      </c>
      <c r="AU365" s="4" t="s">
        <v>124</v>
      </c>
      <c r="AV365" s="4" t="s">
        <v>124</v>
      </c>
      <c r="AW365" s="4" t="s">
        <v>124</v>
      </c>
      <c r="AX365" s="4" t="s">
        <v>124</v>
      </c>
      <c r="AY365" s="4" t="s">
        <v>124</v>
      </c>
      <c r="AZ365" s="4" t="s">
        <v>124</v>
      </c>
      <c r="BA365" s="4" t="s">
        <v>124</v>
      </c>
      <c r="BB365" s="4" t="s">
        <v>124</v>
      </c>
      <c r="BC365" s="4" t="s">
        <v>124</v>
      </c>
      <c r="BD365" s="4" t="s">
        <v>124</v>
      </c>
      <c r="BE365" s="4" t="s">
        <v>124</v>
      </c>
      <c r="BF365" s="4" t="s">
        <v>124</v>
      </c>
      <c r="BG365" s="4" t="s">
        <v>124</v>
      </c>
      <c r="BH365" s="7">
        <v>0</v>
      </c>
      <c r="BI365" s="7">
        <v>0.98765400000000003</v>
      </c>
      <c r="BJ365" s="7">
        <v>1</v>
      </c>
      <c r="BK365" s="7">
        <v>0.98333300000000001</v>
      </c>
      <c r="BL365" s="7">
        <v>0.98765400000000003</v>
      </c>
      <c r="BM365" s="7">
        <v>1</v>
      </c>
      <c r="BN365" s="7">
        <v>0.98333300000000001</v>
      </c>
      <c r="BO365" s="7">
        <v>1</v>
      </c>
      <c r="BP365" s="7">
        <v>1</v>
      </c>
      <c r="BQ365" s="7">
        <v>1</v>
      </c>
      <c r="BR365" s="7">
        <v>5.6425999999999997E-2</v>
      </c>
      <c r="BS365" s="7">
        <v>48.714734</v>
      </c>
      <c r="BT365" s="7">
        <v>50</v>
      </c>
      <c r="BU365" s="7">
        <v>8.1966999999999998E-2</v>
      </c>
      <c r="BV365" s="7">
        <v>43.606557000000002</v>
      </c>
      <c r="BW365" s="7">
        <v>50</v>
      </c>
      <c r="BX365" s="7">
        <v>0.98064499999999999</v>
      </c>
      <c r="BY365" s="7">
        <v>50</v>
      </c>
      <c r="BZ365" s="7">
        <v>50</v>
      </c>
      <c r="CA365" s="7">
        <v>0.50967700000000005</v>
      </c>
      <c r="CB365" s="7">
        <v>33.978495000000002</v>
      </c>
      <c r="CC365" s="7">
        <v>50</v>
      </c>
      <c r="CD365" s="7">
        <v>1</v>
      </c>
      <c r="CE365" s="7">
        <v>50</v>
      </c>
      <c r="CF365" s="7">
        <v>50</v>
      </c>
      <c r="CG365" s="7">
        <v>0.92857100000000004</v>
      </c>
      <c r="CH365" s="7">
        <v>98.784194999999997</v>
      </c>
      <c r="CI365" s="7">
        <v>100</v>
      </c>
      <c r="CJ365" s="7">
        <v>0</v>
      </c>
      <c r="CK365" s="7">
        <v>0.95454499999999998</v>
      </c>
      <c r="CL365" s="7">
        <v>100</v>
      </c>
      <c r="CM365" s="7">
        <v>100</v>
      </c>
      <c r="CN365" s="7">
        <v>0.55555600000000005</v>
      </c>
      <c r="CO365" s="7">
        <v>74.074073999999996</v>
      </c>
      <c r="CP365" s="7">
        <v>100</v>
      </c>
      <c r="CQ365" s="7">
        <v>0.63218399999999997</v>
      </c>
      <c r="CR365" s="7">
        <v>0.92553200000000002</v>
      </c>
      <c r="CS365" s="7">
        <v>42.145594000000003</v>
      </c>
      <c r="CT365" s="7">
        <v>50</v>
      </c>
      <c r="CU365" s="7">
        <v>0.68965500000000002</v>
      </c>
      <c r="CV365" s="7">
        <v>50</v>
      </c>
      <c r="CW365" s="7">
        <v>50</v>
      </c>
      <c r="CX365" s="7">
        <v>0.95454499999999998</v>
      </c>
      <c r="CY365" s="7">
        <v>0.94</v>
      </c>
      <c r="CZ365" s="7">
        <v>-1.4545000000000001E-2</v>
      </c>
      <c r="DA365" s="7">
        <v>15.314097</v>
      </c>
      <c r="DB365" s="7">
        <v>17.400950000000002</v>
      </c>
      <c r="DC365" s="7">
        <v>16.332519999999999</v>
      </c>
      <c r="DD365" s="7">
        <v>7.9891730000000001</v>
      </c>
      <c r="DE365" s="7">
        <v>0</v>
      </c>
      <c r="DF365" s="6"/>
      <c r="DG365" s="6"/>
      <c r="DH365" s="6"/>
      <c r="DI365" s="6"/>
      <c r="DJ365" s="7">
        <v>0</v>
      </c>
      <c r="DK365" s="7">
        <v>0</v>
      </c>
      <c r="DL365" s="7">
        <v>0</v>
      </c>
      <c r="DM365" s="7">
        <v>0</v>
      </c>
      <c r="DN365" s="7">
        <v>0</v>
      </c>
      <c r="DO365" s="7">
        <v>0</v>
      </c>
      <c r="DP365" s="6"/>
      <c r="DQ365" s="4" t="s">
        <v>125</v>
      </c>
    </row>
    <row r="366" spans="1:121" ht="20" customHeight="1" x14ac:dyDescent="0.15">
      <c r="A366" s="5">
        <v>2018</v>
      </c>
      <c r="B366" s="3" t="s">
        <v>128</v>
      </c>
      <c r="C366" s="4" t="str">
        <f t="shared" si="194"/>
        <v>0410011</v>
      </c>
      <c r="D366" s="4" t="s">
        <v>514</v>
      </c>
      <c r="E366" s="4" t="str">
        <f>"0415111"</f>
        <v>0415111</v>
      </c>
      <c r="F366" s="4" t="s">
        <v>327</v>
      </c>
      <c r="G366" s="7">
        <v>4</v>
      </c>
      <c r="H366" s="7">
        <v>8</v>
      </c>
      <c r="I366" s="4" t="s">
        <v>329</v>
      </c>
      <c r="J366" s="4" t="s">
        <v>330</v>
      </c>
      <c r="K366" s="7">
        <v>717.33903499999997</v>
      </c>
      <c r="L366" s="7">
        <v>900</v>
      </c>
      <c r="M366" s="7">
        <v>79.704336999999995</v>
      </c>
      <c r="N366" s="7">
        <v>2</v>
      </c>
      <c r="O366" s="7">
        <v>0</v>
      </c>
      <c r="P366" s="7">
        <v>76.365863000000004</v>
      </c>
      <c r="Q366" s="7">
        <v>50</v>
      </c>
      <c r="R366" s="7">
        <v>50</v>
      </c>
      <c r="S366" s="7">
        <v>66.700846999999996</v>
      </c>
      <c r="T366" s="7">
        <v>75</v>
      </c>
      <c r="U366" s="7">
        <v>44.467232000000003</v>
      </c>
      <c r="V366" s="7">
        <v>50</v>
      </c>
      <c r="W366" s="7">
        <v>69.491283999999993</v>
      </c>
      <c r="X366" s="7">
        <v>46.327522999999999</v>
      </c>
      <c r="Y366" s="7">
        <v>50</v>
      </c>
      <c r="Z366" s="7">
        <v>74.612009</v>
      </c>
      <c r="AA366" s="7">
        <v>60.151082000000002</v>
      </c>
      <c r="AB366" s="7">
        <v>40.100721999999998</v>
      </c>
      <c r="AC366" s="7">
        <v>50</v>
      </c>
      <c r="AD366" s="7">
        <v>74.117000000000004</v>
      </c>
      <c r="AE366" s="7">
        <v>49.411332999999999</v>
      </c>
      <c r="AF366" s="7">
        <v>50</v>
      </c>
      <c r="AG366" s="7">
        <v>62.741289000000002</v>
      </c>
      <c r="AH366" s="7">
        <v>75</v>
      </c>
      <c r="AI366" s="7">
        <v>41.827525999999999</v>
      </c>
      <c r="AJ366" s="7">
        <v>50</v>
      </c>
      <c r="AK366" s="7">
        <v>8.2899999999999991</v>
      </c>
      <c r="AL366" s="7">
        <v>14.46</v>
      </c>
      <c r="AM366" s="7">
        <v>12.25</v>
      </c>
      <c r="AN366" s="7">
        <v>0.66315199999999996</v>
      </c>
      <c r="AO366" s="7">
        <v>66.315207999999998</v>
      </c>
      <c r="AP366" s="7">
        <v>100</v>
      </c>
      <c r="AQ366" s="7">
        <v>0.66435299999999997</v>
      </c>
      <c r="AR366" s="7">
        <v>66.435276999999999</v>
      </c>
      <c r="AS366" s="7">
        <v>100</v>
      </c>
      <c r="AT366" s="7">
        <v>0.63939299999999999</v>
      </c>
      <c r="AU366" s="7">
        <v>0.67554800000000004</v>
      </c>
      <c r="AV366" s="7">
        <v>63.939292999999999</v>
      </c>
      <c r="AW366" s="7">
        <v>100</v>
      </c>
      <c r="AX366" s="7">
        <v>0.643841</v>
      </c>
      <c r="AY366" s="7">
        <v>0.67501500000000003</v>
      </c>
      <c r="AZ366" s="7">
        <v>64.384140000000002</v>
      </c>
      <c r="BA366" s="7">
        <v>100</v>
      </c>
      <c r="BB366" s="4" t="s">
        <v>124</v>
      </c>
      <c r="BC366" s="4" t="s">
        <v>124</v>
      </c>
      <c r="BD366" s="4" t="s">
        <v>124</v>
      </c>
      <c r="BE366" s="4" t="s">
        <v>124</v>
      </c>
      <c r="BF366" s="4" t="s">
        <v>124</v>
      </c>
      <c r="BG366" s="4" t="s">
        <v>124</v>
      </c>
      <c r="BH366" s="7">
        <v>0</v>
      </c>
      <c r="BI366" s="7">
        <v>0.99455000000000005</v>
      </c>
      <c r="BJ366" s="7">
        <v>1</v>
      </c>
      <c r="BK366" s="7">
        <v>0.99152499999999999</v>
      </c>
      <c r="BL366" s="7">
        <v>0.98365100000000005</v>
      </c>
      <c r="BM366" s="7">
        <v>0.99236599999999997</v>
      </c>
      <c r="BN366" s="7">
        <v>0.97881399999999996</v>
      </c>
      <c r="BO366" s="7">
        <v>0.99310299999999996</v>
      </c>
      <c r="BP366" s="7">
        <v>1</v>
      </c>
      <c r="BQ366" s="7">
        <v>0.99</v>
      </c>
      <c r="BR366" s="7">
        <v>2.9973E-2</v>
      </c>
      <c r="BS366" s="7">
        <v>50</v>
      </c>
      <c r="BT366" s="7">
        <v>50</v>
      </c>
      <c r="BU366" s="7">
        <v>4.6511999999999998E-2</v>
      </c>
      <c r="BV366" s="7">
        <v>50</v>
      </c>
      <c r="BW366" s="7">
        <v>50</v>
      </c>
      <c r="BX366" s="4" t="s">
        <v>124</v>
      </c>
      <c r="BY366" s="4" t="s">
        <v>124</v>
      </c>
      <c r="BZ366" s="4" t="s">
        <v>124</v>
      </c>
      <c r="CA366" s="4" t="s">
        <v>124</v>
      </c>
      <c r="CB366" s="4" t="s">
        <v>124</v>
      </c>
      <c r="CC366" s="4" t="s">
        <v>124</v>
      </c>
      <c r="CD366" s="7">
        <v>1</v>
      </c>
      <c r="CE366" s="7">
        <v>50</v>
      </c>
      <c r="CF366" s="7">
        <v>50</v>
      </c>
      <c r="CG366" s="4" t="s">
        <v>124</v>
      </c>
      <c r="CH366" s="4" t="s">
        <v>124</v>
      </c>
      <c r="CI366" s="4" t="s">
        <v>124</v>
      </c>
      <c r="CJ366" s="4" t="s">
        <v>124</v>
      </c>
      <c r="CK366" s="4" t="s">
        <v>124</v>
      </c>
      <c r="CL366" s="4" t="s">
        <v>124</v>
      </c>
      <c r="CM366" s="4" t="s">
        <v>124</v>
      </c>
      <c r="CN366" s="4" t="s">
        <v>124</v>
      </c>
      <c r="CO366" s="4" t="s">
        <v>124</v>
      </c>
      <c r="CP366" s="4" t="s">
        <v>124</v>
      </c>
      <c r="CQ366" s="7">
        <v>0.51196200000000003</v>
      </c>
      <c r="CR366" s="7">
        <v>0.95433800000000002</v>
      </c>
      <c r="CS366" s="7">
        <v>34.130780999999999</v>
      </c>
      <c r="CT366" s="7">
        <v>50</v>
      </c>
      <c r="CU366" s="4" t="s">
        <v>124</v>
      </c>
      <c r="CV366" s="4" t="s">
        <v>124</v>
      </c>
      <c r="CW366" s="4" t="s">
        <v>124</v>
      </c>
      <c r="CX366" s="4" t="s">
        <v>124</v>
      </c>
      <c r="CY366" s="4" t="s">
        <v>124</v>
      </c>
      <c r="CZ366" s="4" t="s">
        <v>124</v>
      </c>
      <c r="DA366" s="7">
        <v>15.314097</v>
      </c>
      <c r="DB366" s="7">
        <v>17.400950000000002</v>
      </c>
      <c r="DC366" s="7">
        <v>16.332519999999999</v>
      </c>
      <c r="DD366" s="4" t="s">
        <v>124</v>
      </c>
      <c r="DE366" s="7">
        <v>0</v>
      </c>
      <c r="DF366" s="6"/>
      <c r="DG366" s="6"/>
      <c r="DH366" s="6"/>
      <c r="DI366" s="6"/>
      <c r="DJ366" s="7">
        <v>0</v>
      </c>
      <c r="DK366" s="7">
        <v>0</v>
      </c>
      <c r="DL366" s="7">
        <v>0</v>
      </c>
      <c r="DM366" s="7">
        <v>0</v>
      </c>
      <c r="DN366" s="7">
        <v>0</v>
      </c>
      <c r="DO366" s="7">
        <v>0</v>
      </c>
      <c r="DP366" s="6"/>
      <c r="DQ366" s="4" t="s">
        <v>125</v>
      </c>
    </row>
    <row r="367" spans="1:121" ht="20" customHeight="1" x14ac:dyDescent="0.15">
      <c r="A367" s="5">
        <v>2018</v>
      </c>
      <c r="B367" s="3" t="s">
        <v>161</v>
      </c>
      <c r="C367" s="4" t="str">
        <f t="shared" si="36"/>
        <v>0420011</v>
      </c>
      <c r="D367" s="4" t="s">
        <v>515</v>
      </c>
      <c r="E367" s="4" t="str">
        <f>"0420311"</f>
        <v>0420311</v>
      </c>
      <c r="F367" s="4" t="s">
        <v>327</v>
      </c>
      <c r="G367" s="7">
        <v>4</v>
      </c>
      <c r="H367" s="7">
        <v>5</v>
      </c>
      <c r="I367" s="4" t="s">
        <v>329</v>
      </c>
      <c r="J367" s="4" t="s">
        <v>330</v>
      </c>
      <c r="K367" s="7">
        <v>654.85230799999999</v>
      </c>
      <c r="L367" s="7">
        <v>850</v>
      </c>
      <c r="M367" s="7">
        <v>77.041448000000003</v>
      </c>
      <c r="N367" s="7">
        <v>2</v>
      </c>
      <c r="O367" s="7">
        <v>0</v>
      </c>
      <c r="P367" s="7">
        <v>74.780066000000005</v>
      </c>
      <c r="Q367" s="7">
        <v>49.853377000000002</v>
      </c>
      <c r="R367" s="7">
        <v>50</v>
      </c>
      <c r="S367" s="7">
        <v>68.236913999999999</v>
      </c>
      <c r="T367" s="7">
        <v>75</v>
      </c>
      <c r="U367" s="7">
        <v>45.491275999999999</v>
      </c>
      <c r="V367" s="7">
        <v>50</v>
      </c>
      <c r="W367" s="7">
        <v>71.404353</v>
      </c>
      <c r="X367" s="7">
        <v>47.602902</v>
      </c>
      <c r="Y367" s="7">
        <v>50</v>
      </c>
      <c r="Z367" s="7">
        <v>74.452872999999997</v>
      </c>
      <c r="AA367" s="7">
        <v>64.536001999999996</v>
      </c>
      <c r="AB367" s="7">
        <v>43.024000999999998</v>
      </c>
      <c r="AC367" s="7">
        <v>50</v>
      </c>
      <c r="AD367" s="7">
        <v>72.608555999999993</v>
      </c>
      <c r="AE367" s="7">
        <v>48.405704</v>
      </c>
      <c r="AF367" s="7">
        <v>50</v>
      </c>
      <c r="AG367" s="7">
        <v>70.060015000000007</v>
      </c>
      <c r="AH367" s="7">
        <v>73.726793999999998</v>
      </c>
      <c r="AI367" s="7">
        <v>46.706676999999999</v>
      </c>
      <c r="AJ367" s="7">
        <v>50</v>
      </c>
      <c r="AK367" s="7">
        <v>6.76</v>
      </c>
      <c r="AL367" s="7">
        <v>9.91</v>
      </c>
      <c r="AM367" s="7">
        <v>3.66</v>
      </c>
      <c r="AN367" s="7">
        <v>0.62914700000000001</v>
      </c>
      <c r="AO367" s="7">
        <v>62.914675000000003</v>
      </c>
      <c r="AP367" s="7">
        <v>100</v>
      </c>
      <c r="AQ367" s="7">
        <v>0.68754700000000002</v>
      </c>
      <c r="AR367" s="7">
        <v>68.754664000000005</v>
      </c>
      <c r="AS367" s="7">
        <v>100</v>
      </c>
      <c r="AT367" s="7">
        <v>0.66304700000000005</v>
      </c>
      <c r="AU367" s="7">
        <v>0.61508200000000002</v>
      </c>
      <c r="AV367" s="7">
        <v>66.304693999999998</v>
      </c>
      <c r="AW367" s="7">
        <v>100</v>
      </c>
      <c r="AX367" s="7">
        <v>0.66364999999999996</v>
      </c>
      <c r="AY367" s="7">
        <v>0.69751399999999997</v>
      </c>
      <c r="AZ367" s="7">
        <v>66.365044999999995</v>
      </c>
      <c r="BA367" s="7">
        <v>100</v>
      </c>
      <c r="BB367" s="4" t="s">
        <v>124</v>
      </c>
      <c r="BC367" s="4" t="s">
        <v>124</v>
      </c>
      <c r="BD367" s="4" t="s">
        <v>124</v>
      </c>
      <c r="BE367" s="4" t="s">
        <v>124</v>
      </c>
      <c r="BF367" s="4" t="s">
        <v>124</v>
      </c>
      <c r="BG367" s="4" t="s">
        <v>124</v>
      </c>
      <c r="BH367" s="7">
        <v>0</v>
      </c>
      <c r="BI367" s="7">
        <v>0.98912999999999995</v>
      </c>
      <c r="BJ367" s="7">
        <v>0.98837200000000003</v>
      </c>
      <c r="BK367" s="7">
        <v>0.98947399999999996</v>
      </c>
      <c r="BL367" s="7">
        <v>0.98912999999999995</v>
      </c>
      <c r="BM367" s="7">
        <v>0.98837200000000003</v>
      </c>
      <c r="BN367" s="7">
        <v>0.98947399999999996</v>
      </c>
      <c r="BO367" s="7">
        <v>0.99300699999999997</v>
      </c>
      <c r="BP367" s="7">
        <v>1</v>
      </c>
      <c r="BQ367" s="7">
        <v>0.98989899999999997</v>
      </c>
      <c r="BR367" s="7">
        <v>6.1817999999999998E-2</v>
      </c>
      <c r="BS367" s="7">
        <v>47.636364</v>
      </c>
      <c r="BT367" s="7">
        <v>50</v>
      </c>
      <c r="BU367" s="7">
        <v>0.13750000000000001</v>
      </c>
      <c r="BV367" s="7">
        <v>32.5</v>
      </c>
      <c r="BW367" s="7">
        <v>50</v>
      </c>
      <c r="BX367" s="4" t="s">
        <v>124</v>
      </c>
      <c r="BY367" s="4" t="s">
        <v>124</v>
      </c>
      <c r="BZ367" s="4" t="s">
        <v>124</v>
      </c>
      <c r="CA367" s="4" t="s">
        <v>124</v>
      </c>
      <c r="CB367" s="4" t="s">
        <v>124</v>
      </c>
      <c r="CC367" s="4" t="s">
        <v>124</v>
      </c>
      <c r="CD367" s="4" t="s">
        <v>124</v>
      </c>
      <c r="CE367" s="4" t="s">
        <v>124</v>
      </c>
      <c r="CF367" s="4" t="s">
        <v>124</v>
      </c>
      <c r="CG367" s="4" t="s">
        <v>124</v>
      </c>
      <c r="CH367" s="4" t="s">
        <v>124</v>
      </c>
      <c r="CI367" s="4" t="s">
        <v>124</v>
      </c>
      <c r="CJ367" s="4" t="s">
        <v>124</v>
      </c>
      <c r="CK367" s="4" t="s">
        <v>124</v>
      </c>
      <c r="CL367" s="4" t="s">
        <v>124</v>
      </c>
      <c r="CM367" s="4" t="s">
        <v>124</v>
      </c>
      <c r="CN367" s="4" t="s">
        <v>124</v>
      </c>
      <c r="CO367" s="4" t="s">
        <v>124</v>
      </c>
      <c r="CP367" s="4" t="s">
        <v>124</v>
      </c>
      <c r="CQ367" s="7">
        <v>0.43939400000000001</v>
      </c>
      <c r="CR367" s="7">
        <v>0.99248099999999995</v>
      </c>
      <c r="CS367" s="7">
        <v>29.292929000000001</v>
      </c>
      <c r="CT367" s="7">
        <v>50</v>
      </c>
      <c r="CU367" s="4" t="s">
        <v>124</v>
      </c>
      <c r="CV367" s="4" t="s">
        <v>124</v>
      </c>
      <c r="CW367" s="4" t="s">
        <v>124</v>
      </c>
      <c r="CX367" s="4" t="s">
        <v>124</v>
      </c>
      <c r="CY367" s="4" t="s">
        <v>124</v>
      </c>
      <c r="CZ367" s="4" t="s">
        <v>124</v>
      </c>
      <c r="DA367" s="7">
        <v>15.314097</v>
      </c>
      <c r="DB367" s="7">
        <v>17.400950000000002</v>
      </c>
      <c r="DC367" s="7">
        <v>16.332519999999999</v>
      </c>
      <c r="DD367" s="4" t="s">
        <v>124</v>
      </c>
      <c r="DE367" s="7">
        <v>0</v>
      </c>
      <c r="DF367" s="6"/>
      <c r="DG367" s="6"/>
      <c r="DH367" s="6"/>
      <c r="DI367" s="6"/>
      <c r="DJ367" s="7">
        <v>0</v>
      </c>
      <c r="DK367" s="7">
        <v>0</v>
      </c>
      <c r="DL367" s="7">
        <v>0</v>
      </c>
      <c r="DM367" s="7">
        <v>0</v>
      </c>
      <c r="DN367" s="7">
        <v>0</v>
      </c>
      <c r="DO367" s="7">
        <v>0</v>
      </c>
      <c r="DP367" s="6"/>
      <c r="DQ367" s="4" t="s">
        <v>125</v>
      </c>
    </row>
    <row r="368" spans="1:121" ht="20" customHeight="1" x14ac:dyDescent="0.15">
      <c r="A368" s="5">
        <v>2018</v>
      </c>
      <c r="B368" s="3" t="s">
        <v>161</v>
      </c>
      <c r="C368" s="4" t="str">
        <f t="shared" ref="C368:C370" si="195">"0420011"</f>
        <v>0420011</v>
      </c>
      <c r="D368" s="4" t="s">
        <v>516</v>
      </c>
      <c r="E368" s="4" t="str">
        <f>"0426111"</f>
        <v>0426111</v>
      </c>
      <c r="F368" s="4" t="s">
        <v>327</v>
      </c>
      <c r="G368" s="7">
        <v>9</v>
      </c>
      <c r="H368" s="7">
        <v>12</v>
      </c>
      <c r="I368" s="6"/>
      <c r="J368" s="4" t="s">
        <v>330</v>
      </c>
      <c r="K368" s="7">
        <v>1143.340361</v>
      </c>
      <c r="L368" s="7">
        <v>1450</v>
      </c>
      <c r="M368" s="7">
        <v>78.851059000000006</v>
      </c>
      <c r="N368" s="7">
        <v>3</v>
      </c>
      <c r="O368" s="7">
        <v>1</v>
      </c>
      <c r="P368" s="7">
        <v>62.576695999999998</v>
      </c>
      <c r="Q368" s="7">
        <v>125.153392</v>
      </c>
      <c r="R368" s="7">
        <v>150</v>
      </c>
      <c r="S368" s="7">
        <v>50.179012</v>
      </c>
      <c r="T368" s="7">
        <v>66.468992</v>
      </c>
      <c r="U368" s="7">
        <v>100.358025</v>
      </c>
      <c r="V368" s="7">
        <v>150</v>
      </c>
      <c r="W368" s="7">
        <v>55.421829000000002</v>
      </c>
      <c r="X368" s="7">
        <v>110.843658</v>
      </c>
      <c r="Y368" s="7">
        <v>150</v>
      </c>
      <c r="Z368" s="7">
        <v>57.600774999999999</v>
      </c>
      <c r="AA368" s="7">
        <v>48.481481000000002</v>
      </c>
      <c r="AB368" s="7">
        <v>96.962963000000002</v>
      </c>
      <c r="AC368" s="7">
        <v>150</v>
      </c>
      <c r="AD368" s="7">
        <v>54.071477000000002</v>
      </c>
      <c r="AE368" s="7">
        <v>72.095303000000001</v>
      </c>
      <c r="AF368" s="7">
        <v>100</v>
      </c>
      <c r="AG368" s="7">
        <v>47.008547</v>
      </c>
      <c r="AH368" s="7">
        <v>56.288908999999997</v>
      </c>
      <c r="AI368" s="7">
        <v>62.678063000000002</v>
      </c>
      <c r="AJ368" s="7">
        <v>100</v>
      </c>
      <c r="AK368" s="7">
        <v>16.28</v>
      </c>
      <c r="AL368" s="7">
        <v>9.11</v>
      </c>
      <c r="AM368" s="7">
        <v>9.2799999999999994</v>
      </c>
      <c r="AN368" s="4" t="s">
        <v>124</v>
      </c>
      <c r="AO368" s="4" t="s">
        <v>124</v>
      </c>
      <c r="AP368" s="4" t="s">
        <v>124</v>
      </c>
      <c r="AQ368" s="4" t="s">
        <v>124</v>
      </c>
      <c r="AR368" s="4" t="s">
        <v>124</v>
      </c>
      <c r="AS368" s="4" t="s">
        <v>124</v>
      </c>
      <c r="AT368" s="4" t="s">
        <v>124</v>
      </c>
      <c r="AU368" s="4" t="s">
        <v>124</v>
      </c>
      <c r="AV368" s="4" t="s">
        <v>124</v>
      </c>
      <c r="AW368" s="4" t="s">
        <v>124</v>
      </c>
      <c r="AX368" s="4" t="s">
        <v>124</v>
      </c>
      <c r="AY368" s="4" t="s">
        <v>124</v>
      </c>
      <c r="AZ368" s="4" t="s">
        <v>124</v>
      </c>
      <c r="BA368" s="4" t="s">
        <v>124</v>
      </c>
      <c r="BB368" s="4" t="s">
        <v>124</v>
      </c>
      <c r="BC368" s="4" t="s">
        <v>124</v>
      </c>
      <c r="BD368" s="4" t="s">
        <v>124</v>
      </c>
      <c r="BE368" s="4" t="s">
        <v>124</v>
      </c>
      <c r="BF368" s="4" t="s">
        <v>124</v>
      </c>
      <c r="BG368" s="4" t="s">
        <v>124</v>
      </c>
      <c r="BH368" s="7">
        <v>1</v>
      </c>
      <c r="BI368" s="7">
        <v>0.97435899999999998</v>
      </c>
      <c r="BJ368" s="7">
        <v>0.93103400000000003</v>
      </c>
      <c r="BK368" s="7">
        <v>0.98863599999999996</v>
      </c>
      <c r="BL368" s="7">
        <v>0.97435899999999998</v>
      </c>
      <c r="BM368" s="7">
        <v>0.93103400000000003</v>
      </c>
      <c r="BN368" s="7">
        <v>0.98863599999999996</v>
      </c>
      <c r="BO368" s="7">
        <v>0.974576</v>
      </c>
      <c r="BP368" s="7">
        <v>0.96551699999999996</v>
      </c>
      <c r="BQ368" s="7">
        <v>0.97752799999999995</v>
      </c>
      <c r="BR368" s="7">
        <v>9.4E-2</v>
      </c>
      <c r="BS368" s="7">
        <v>41.2</v>
      </c>
      <c r="BT368" s="7">
        <v>50</v>
      </c>
      <c r="BU368" s="7">
        <v>0.19819800000000001</v>
      </c>
      <c r="BV368" s="7">
        <v>20.36036</v>
      </c>
      <c r="BW368" s="7">
        <v>50</v>
      </c>
      <c r="BX368" s="7">
        <v>0.84210499999999999</v>
      </c>
      <c r="BY368" s="7">
        <v>50</v>
      </c>
      <c r="BZ368" s="7">
        <v>50</v>
      </c>
      <c r="CA368" s="7">
        <v>0.52226700000000004</v>
      </c>
      <c r="CB368" s="7">
        <v>34.817813999999998</v>
      </c>
      <c r="CC368" s="7">
        <v>50</v>
      </c>
      <c r="CD368" s="7">
        <v>0.98507500000000003</v>
      </c>
      <c r="CE368" s="7">
        <v>50</v>
      </c>
      <c r="CF368" s="7">
        <v>50</v>
      </c>
      <c r="CG368" s="7">
        <v>0.98130799999999996</v>
      </c>
      <c r="CH368" s="7">
        <v>100</v>
      </c>
      <c r="CI368" s="7">
        <v>100</v>
      </c>
      <c r="CJ368" s="7">
        <v>0</v>
      </c>
      <c r="CK368" s="7">
        <v>0.93103400000000003</v>
      </c>
      <c r="CL368" s="7">
        <v>99.046222</v>
      </c>
      <c r="CM368" s="7">
        <v>100</v>
      </c>
      <c r="CN368" s="7">
        <v>0.788462</v>
      </c>
      <c r="CO368" s="7">
        <v>100</v>
      </c>
      <c r="CP368" s="7">
        <v>100</v>
      </c>
      <c r="CQ368" s="7">
        <v>0.44736799999999999</v>
      </c>
      <c r="CR368" s="7">
        <v>0.94214900000000001</v>
      </c>
      <c r="CS368" s="7">
        <v>29.824560999999999</v>
      </c>
      <c r="CT368" s="7">
        <v>50</v>
      </c>
      <c r="CU368" s="7">
        <v>0.69399999999999995</v>
      </c>
      <c r="CV368" s="7">
        <v>50</v>
      </c>
      <c r="CW368" s="7">
        <v>50</v>
      </c>
      <c r="CX368" s="7">
        <v>0.93103400000000003</v>
      </c>
      <c r="CY368" s="7">
        <v>0.94</v>
      </c>
      <c r="CZ368" s="7">
        <v>8.966E-3</v>
      </c>
      <c r="DA368" s="7">
        <v>15.314097</v>
      </c>
      <c r="DB368" s="7">
        <v>17.400950000000002</v>
      </c>
      <c r="DC368" s="7">
        <v>16.332519999999999</v>
      </c>
      <c r="DD368" s="7">
        <v>7.9891730000000001</v>
      </c>
      <c r="DE368" s="7">
        <v>1</v>
      </c>
      <c r="DF368" s="6"/>
      <c r="DG368" s="6"/>
      <c r="DH368" s="6"/>
      <c r="DI368" s="6"/>
      <c r="DJ368" s="7">
        <v>0</v>
      </c>
      <c r="DK368" s="7">
        <v>0</v>
      </c>
      <c r="DL368" s="7">
        <v>0</v>
      </c>
      <c r="DM368" s="7">
        <v>0</v>
      </c>
      <c r="DN368" s="7">
        <v>0</v>
      </c>
      <c r="DO368" s="7">
        <v>0</v>
      </c>
      <c r="DP368" s="6"/>
      <c r="DQ368" s="4" t="s">
        <v>125</v>
      </c>
    </row>
    <row r="369" spans="1:121" ht="20" customHeight="1" x14ac:dyDescent="0.15">
      <c r="A369" s="5">
        <v>2018</v>
      </c>
      <c r="B369" s="3" t="s">
        <v>161</v>
      </c>
      <c r="C369" s="4" t="str">
        <f t="shared" si="195"/>
        <v>0420011</v>
      </c>
      <c r="D369" s="4" t="s">
        <v>517</v>
      </c>
      <c r="E369" s="4" t="str">
        <f>"0425111"</f>
        <v>0425111</v>
      </c>
      <c r="F369" s="4" t="s">
        <v>327</v>
      </c>
      <c r="G369" s="7">
        <v>6</v>
      </c>
      <c r="H369" s="7">
        <v>8</v>
      </c>
      <c r="I369" s="6"/>
      <c r="J369" s="4" t="s">
        <v>330</v>
      </c>
      <c r="K369" s="7">
        <v>629.05750699999999</v>
      </c>
      <c r="L369" s="7">
        <v>900</v>
      </c>
      <c r="M369" s="7">
        <v>69.895279000000002</v>
      </c>
      <c r="N369" s="7">
        <v>3</v>
      </c>
      <c r="O369" s="7">
        <v>1</v>
      </c>
      <c r="P369" s="7">
        <v>71.015489000000002</v>
      </c>
      <c r="Q369" s="7">
        <v>47.34366</v>
      </c>
      <c r="R369" s="7">
        <v>50</v>
      </c>
      <c r="S369" s="7">
        <v>59.654949000000002</v>
      </c>
      <c r="T369" s="7">
        <v>75</v>
      </c>
      <c r="U369" s="7">
        <v>39.769965999999997</v>
      </c>
      <c r="V369" s="7">
        <v>50</v>
      </c>
      <c r="W369" s="7">
        <v>65.874525000000006</v>
      </c>
      <c r="X369" s="7">
        <v>43.916350000000001</v>
      </c>
      <c r="Y369" s="7">
        <v>50</v>
      </c>
      <c r="Z369" s="7">
        <v>70.522341999999995</v>
      </c>
      <c r="AA369" s="7">
        <v>53.730227999999997</v>
      </c>
      <c r="AB369" s="7">
        <v>35.820152</v>
      </c>
      <c r="AC369" s="7">
        <v>50</v>
      </c>
      <c r="AD369" s="7">
        <v>71.123437999999993</v>
      </c>
      <c r="AE369" s="7">
        <v>47.415626000000003</v>
      </c>
      <c r="AF369" s="7">
        <v>50</v>
      </c>
      <c r="AG369" s="7">
        <v>62.539949999999997</v>
      </c>
      <c r="AH369" s="7">
        <v>74.751510999999994</v>
      </c>
      <c r="AI369" s="7">
        <v>41.693300000000001</v>
      </c>
      <c r="AJ369" s="7">
        <v>50</v>
      </c>
      <c r="AK369" s="7">
        <v>15.34</v>
      </c>
      <c r="AL369" s="7">
        <v>16.79</v>
      </c>
      <c r="AM369" s="7">
        <v>12.21</v>
      </c>
      <c r="AN369" s="7">
        <v>0.53565600000000002</v>
      </c>
      <c r="AO369" s="7">
        <v>53.565570999999998</v>
      </c>
      <c r="AP369" s="7">
        <v>100</v>
      </c>
      <c r="AQ369" s="7">
        <v>0.64138099999999998</v>
      </c>
      <c r="AR369" s="7">
        <v>64.138110999999995</v>
      </c>
      <c r="AS369" s="7">
        <v>100</v>
      </c>
      <c r="AT369" s="7">
        <v>0.46112999999999998</v>
      </c>
      <c r="AU369" s="7">
        <v>0.56235500000000005</v>
      </c>
      <c r="AV369" s="7">
        <v>46.112976000000003</v>
      </c>
      <c r="AW369" s="7">
        <v>100</v>
      </c>
      <c r="AX369" s="7">
        <v>0.56313000000000002</v>
      </c>
      <c r="AY369" s="7">
        <v>0.66941499999999998</v>
      </c>
      <c r="AZ369" s="7">
        <v>56.312973999999997</v>
      </c>
      <c r="BA369" s="7">
        <v>100</v>
      </c>
      <c r="BB369" s="4" t="s">
        <v>124</v>
      </c>
      <c r="BC369" s="4" t="s">
        <v>124</v>
      </c>
      <c r="BD369" s="4" t="s">
        <v>124</v>
      </c>
      <c r="BE369" s="4" t="s">
        <v>124</v>
      </c>
      <c r="BF369" s="4" t="s">
        <v>124</v>
      </c>
      <c r="BG369" s="4" t="s">
        <v>124</v>
      </c>
      <c r="BH369" s="7">
        <v>0</v>
      </c>
      <c r="BI369" s="7">
        <v>0.97629299999999997</v>
      </c>
      <c r="BJ369" s="7">
        <v>0.96946600000000005</v>
      </c>
      <c r="BK369" s="7">
        <v>0.97897900000000004</v>
      </c>
      <c r="BL369" s="7">
        <v>0.97624200000000005</v>
      </c>
      <c r="BM369" s="7">
        <v>0.96923099999999995</v>
      </c>
      <c r="BN369" s="7">
        <v>0.97897900000000004</v>
      </c>
      <c r="BO369" s="7">
        <v>0.98581600000000003</v>
      </c>
      <c r="BP369" s="7">
        <v>0.953488</v>
      </c>
      <c r="BQ369" s="7">
        <v>1</v>
      </c>
      <c r="BR369" s="7">
        <v>6.7244999999999999E-2</v>
      </c>
      <c r="BS369" s="7">
        <v>46.550975999999999</v>
      </c>
      <c r="BT369" s="7">
        <v>50</v>
      </c>
      <c r="BU369" s="7">
        <v>0.15079400000000001</v>
      </c>
      <c r="BV369" s="7">
        <v>29.841270000000002</v>
      </c>
      <c r="BW369" s="7">
        <v>50</v>
      </c>
      <c r="BX369" s="4" t="s">
        <v>124</v>
      </c>
      <c r="BY369" s="4" t="s">
        <v>124</v>
      </c>
      <c r="BZ369" s="4" t="s">
        <v>124</v>
      </c>
      <c r="CA369" s="4" t="s">
        <v>124</v>
      </c>
      <c r="CB369" s="4" t="s">
        <v>124</v>
      </c>
      <c r="CC369" s="4" t="s">
        <v>124</v>
      </c>
      <c r="CD369" s="7">
        <v>0.98540099999999997</v>
      </c>
      <c r="CE369" s="7">
        <v>50</v>
      </c>
      <c r="CF369" s="7">
        <v>50</v>
      </c>
      <c r="CG369" s="4" t="s">
        <v>124</v>
      </c>
      <c r="CH369" s="4" t="s">
        <v>124</v>
      </c>
      <c r="CI369" s="4" t="s">
        <v>124</v>
      </c>
      <c r="CJ369" s="4" t="s">
        <v>124</v>
      </c>
      <c r="CK369" s="4" t="s">
        <v>124</v>
      </c>
      <c r="CL369" s="4" t="s">
        <v>124</v>
      </c>
      <c r="CM369" s="4" t="s">
        <v>124</v>
      </c>
      <c r="CN369" s="4" t="s">
        <v>124</v>
      </c>
      <c r="CO369" s="4" t="s">
        <v>124</v>
      </c>
      <c r="CP369" s="4" t="s">
        <v>124</v>
      </c>
      <c r="CQ369" s="7">
        <v>0.39864899999999998</v>
      </c>
      <c r="CR369" s="7">
        <v>0.98996700000000004</v>
      </c>
      <c r="CS369" s="7">
        <v>26.576577</v>
      </c>
      <c r="CT369" s="7">
        <v>50</v>
      </c>
      <c r="CU369" s="4" t="s">
        <v>124</v>
      </c>
      <c r="CV369" s="4" t="s">
        <v>124</v>
      </c>
      <c r="CW369" s="4" t="s">
        <v>124</v>
      </c>
      <c r="CX369" s="4" t="s">
        <v>124</v>
      </c>
      <c r="CY369" s="4" t="s">
        <v>124</v>
      </c>
      <c r="CZ369" s="4" t="s">
        <v>124</v>
      </c>
      <c r="DA369" s="7">
        <v>15.314097</v>
      </c>
      <c r="DB369" s="7">
        <v>17.400950000000002</v>
      </c>
      <c r="DC369" s="7">
        <v>16.332519999999999</v>
      </c>
      <c r="DD369" s="4" t="s">
        <v>124</v>
      </c>
      <c r="DE369" s="7">
        <v>1</v>
      </c>
      <c r="DF369" s="6"/>
      <c r="DG369" s="6"/>
      <c r="DH369" s="6"/>
      <c r="DI369" s="6"/>
      <c r="DJ369" s="7">
        <v>0</v>
      </c>
      <c r="DK369" s="7">
        <v>0</v>
      </c>
      <c r="DL369" s="7">
        <v>0</v>
      </c>
      <c r="DM369" s="7">
        <v>0</v>
      </c>
      <c r="DN369" s="7">
        <v>0</v>
      </c>
      <c r="DO369" s="7">
        <v>0</v>
      </c>
      <c r="DP369" s="6"/>
      <c r="DQ369" s="4" t="s">
        <v>125</v>
      </c>
    </row>
    <row r="370" spans="1:121" ht="20" customHeight="1" x14ac:dyDescent="0.15">
      <c r="A370" s="5">
        <v>2018</v>
      </c>
      <c r="B370" s="3" t="s">
        <v>161</v>
      </c>
      <c r="C370" s="4" t="str">
        <f t="shared" si="195"/>
        <v>0420011</v>
      </c>
      <c r="D370" s="4" t="s">
        <v>518</v>
      </c>
      <c r="E370" s="4" t="str">
        <f>"0420111"</f>
        <v>0420111</v>
      </c>
      <c r="F370" s="4" t="s">
        <v>327</v>
      </c>
      <c r="G370" s="4" t="s">
        <v>328</v>
      </c>
      <c r="H370" s="7">
        <v>3</v>
      </c>
      <c r="I370" s="4" t="s">
        <v>329</v>
      </c>
      <c r="J370" s="4" t="s">
        <v>330</v>
      </c>
      <c r="K370" s="7">
        <v>443.059572</v>
      </c>
      <c r="L370" s="7">
        <v>500</v>
      </c>
      <c r="M370" s="7">
        <v>88.611913999999999</v>
      </c>
      <c r="N370" s="7">
        <v>2</v>
      </c>
      <c r="O370" s="7">
        <v>1</v>
      </c>
      <c r="P370" s="7">
        <v>75.506281999999999</v>
      </c>
      <c r="Q370" s="7">
        <v>100</v>
      </c>
      <c r="R370" s="7">
        <v>100</v>
      </c>
      <c r="S370" s="7">
        <v>65.586619999999996</v>
      </c>
      <c r="T370" s="7">
        <v>75</v>
      </c>
      <c r="U370" s="7">
        <v>87.448826999999994</v>
      </c>
      <c r="V370" s="7">
        <v>100</v>
      </c>
      <c r="W370" s="7">
        <v>68.790205</v>
      </c>
      <c r="X370" s="7">
        <v>91.720273000000006</v>
      </c>
      <c r="Y370" s="7">
        <v>100</v>
      </c>
      <c r="Z370" s="7">
        <v>73.405440999999996</v>
      </c>
      <c r="AA370" s="7">
        <v>55.417853999999998</v>
      </c>
      <c r="AB370" s="7">
        <v>73.890472000000003</v>
      </c>
      <c r="AC370" s="7">
        <v>100</v>
      </c>
      <c r="AD370" s="4" t="s">
        <v>124</v>
      </c>
      <c r="AE370" s="4" t="s">
        <v>124</v>
      </c>
      <c r="AF370" s="4" t="s">
        <v>124</v>
      </c>
      <c r="AG370" s="4" t="s">
        <v>124</v>
      </c>
      <c r="AH370" s="4" t="s">
        <v>124</v>
      </c>
      <c r="AI370" s="4" t="s">
        <v>124</v>
      </c>
      <c r="AJ370" s="4" t="s">
        <v>124</v>
      </c>
      <c r="AK370" s="7">
        <v>9.41</v>
      </c>
      <c r="AL370" s="7">
        <v>17.98</v>
      </c>
      <c r="AM370" s="4" t="s">
        <v>124</v>
      </c>
      <c r="AN370" s="4" t="s">
        <v>124</v>
      </c>
      <c r="AO370" s="4" t="s">
        <v>124</v>
      </c>
      <c r="AP370" s="4" t="s">
        <v>124</v>
      </c>
      <c r="AQ370" s="4" t="s">
        <v>124</v>
      </c>
      <c r="AR370" s="4" t="s">
        <v>124</v>
      </c>
      <c r="AS370" s="4" t="s">
        <v>124</v>
      </c>
      <c r="AT370" s="4" t="s">
        <v>124</v>
      </c>
      <c r="AU370" s="4" t="s">
        <v>124</v>
      </c>
      <c r="AV370" s="4" t="s">
        <v>124</v>
      </c>
      <c r="AW370" s="4" t="s">
        <v>124</v>
      </c>
      <c r="AX370" s="4" t="s">
        <v>124</v>
      </c>
      <c r="AY370" s="4" t="s">
        <v>124</v>
      </c>
      <c r="AZ370" s="4" t="s">
        <v>124</v>
      </c>
      <c r="BA370" s="4" t="s">
        <v>124</v>
      </c>
      <c r="BB370" s="4" t="s">
        <v>124</v>
      </c>
      <c r="BC370" s="4" t="s">
        <v>124</v>
      </c>
      <c r="BD370" s="4" t="s">
        <v>124</v>
      </c>
      <c r="BE370" s="4" t="s">
        <v>124</v>
      </c>
      <c r="BF370" s="4" t="s">
        <v>124</v>
      </c>
      <c r="BG370" s="4" t="s">
        <v>124</v>
      </c>
      <c r="BH370" s="7">
        <v>0</v>
      </c>
      <c r="BI370" s="7">
        <v>0.987097</v>
      </c>
      <c r="BJ370" s="7">
        <v>0.95121999999999995</v>
      </c>
      <c r="BK370" s="7">
        <v>1</v>
      </c>
      <c r="BL370" s="7">
        <v>0.987097</v>
      </c>
      <c r="BM370" s="7">
        <v>0.95121999999999995</v>
      </c>
      <c r="BN370" s="7">
        <v>1</v>
      </c>
      <c r="BO370" s="4" t="s">
        <v>124</v>
      </c>
      <c r="BP370" s="4" t="s">
        <v>124</v>
      </c>
      <c r="BQ370" s="4" t="s">
        <v>124</v>
      </c>
      <c r="BR370" s="7">
        <v>4.4643000000000002E-2</v>
      </c>
      <c r="BS370" s="7">
        <v>50</v>
      </c>
      <c r="BT370" s="7">
        <v>50</v>
      </c>
      <c r="BU370" s="7">
        <v>0.1</v>
      </c>
      <c r="BV370" s="7">
        <v>40</v>
      </c>
      <c r="BW370" s="7">
        <v>50</v>
      </c>
      <c r="BX370" s="4" t="s">
        <v>124</v>
      </c>
      <c r="BY370" s="4" t="s">
        <v>124</v>
      </c>
      <c r="BZ370" s="4" t="s">
        <v>124</v>
      </c>
      <c r="CA370" s="4" t="s">
        <v>124</v>
      </c>
      <c r="CB370" s="4" t="s">
        <v>124</v>
      </c>
      <c r="CC370" s="4" t="s">
        <v>124</v>
      </c>
      <c r="CD370" s="4" t="s">
        <v>124</v>
      </c>
      <c r="CE370" s="4" t="s">
        <v>124</v>
      </c>
      <c r="CF370" s="4" t="s">
        <v>124</v>
      </c>
      <c r="CG370" s="4" t="s">
        <v>124</v>
      </c>
      <c r="CH370" s="4" t="s">
        <v>124</v>
      </c>
      <c r="CI370" s="4" t="s">
        <v>124</v>
      </c>
      <c r="CJ370" s="4" t="s">
        <v>124</v>
      </c>
      <c r="CK370" s="4" t="s">
        <v>124</v>
      </c>
      <c r="CL370" s="4" t="s">
        <v>124</v>
      </c>
      <c r="CM370" s="4" t="s">
        <v>124</v>
      </c>
      <c r="CN370" s="4" t="s">
        <v>124</v>
      </c>
      <c r="CO370" s="4" t="s">
        <v>124</v>
      </c>
      <c r="CP370" s="4" t="s">
        <v>124</v>
      </c>
      <c r="CQ370" s="4" t="s">
        <v>124</v>
      </c>
      <c r="CR370" s="4" t="s">
        <v>124</v>
      </c>
      <c r="CS370" s="4" t="s">
        <v>124</v>
      </c>
      <c r="CT370" s="4" t="s">
        <v>124</v>
      </c>
      <c r="CU370" s="4" t="s">
        <v>124</v>
      </c>
      <c r="CV370" s="4" t="s">
        <v>124</v>
      </c>
      <c r="CW370" s="4" t="s">
        <v>124</v>
      </c>
      <c r="CX370" s="4" t="s">
        <v>124</v>
      </c>
      <c r="CY370" s="4" t="s">
        <v>124</v>
      </c>
      <c r="CZ370" s="4" t="s">
        <v>124</v>
      </c>
      <c r="DA370" s="7">
        <v>15.314097</v>
      </c>
      <c r="DB370" s="7">
        <v>17.400950000000002</v>
      </c>
      <c r="DC370" s="7">
        <v>16.332519999999999</v>
      </c>
      <c r="DD370" s="4" t="s">
        <v>124</v>
      </c>
      <c r="DE370" s="7">
        <v>1</v>
      </c>
      <c r="DF370" s="6"/>
      <c r="DG370" s="6"/>
      <c r="DH370" s="6"/>
      <c r="DI370" s="6"/>
      <c r="DJ370" s="7">
        <v>0</v>
      </c>
      <c r="DK370" s="7">
        <v>0</v>
      </c>
      <c r="DL370" s="7">
        <v>0</v>
      </c>
      <c r="DM370" s="7">
        <v>0</v>
      </c>
      <c r="DN370" s="7">
        <v>0</v>
      </c>
      <c r="DO370" s="7">
        <v>0</v>
      </c>
      <c r="DP370" s="6"/>
      <c r="DQ370" s="4" t="s">
        <v>125</v>
      </c>
    </row>
    <row r="371" spans="1:121" ht="20" customHeight="1" x14ac:dyDescent="0.15">
      <c r="A371" s="5">
        <v>2018</v>
      </c>
      <c r="B371" s="3" t="s">
        <v>235</v>
      </c>
      <c r="C371" s="4" t="str">
        <f t="shared" si="110"/>
        <v>0430011</v>
      </c>
      <c r="D371" s="4" t="s">
        <v>519</v>
      </c>
      <c r="E371" s="4" t="str">
        <f>"0430911"</f>
        <v>0430911</v>
      </c>
      <c r="F371" s="4" t="s">
        <v>327</v>
      </c>
      <c r="G371" s="4" t="s">
        <v>338</v>
      </c>
      <c r="H371" s="7">
        <v>5</v>
      </c>
      <c r="I371" s="4" t="s">
        <v>335</v>
      </c>
      <c r="J371" s="4" t="s">
        <v>330</v>
      </c>
      <c r="K371" s="7">
        <v>647.60121000000004</v>
      </c>
      <c r="L371" s="7">
        <v>950</v>
      </c>
      <c r="M371" s="7">
        <v>68.168548000000001</v>
      </c>
      <c r="N371" s="7">
        <v>3</v>
      </c>
      <c r="O371" s="7">
        <v>0</v>
      </c>
      <c r="P371" s="7">
        <v>59.928427999999997</v>
      </c>
      <c r="Q371" s="7">
        <v>39.952285000000003</v>
      </c>
      <c r="R371" s="7">
        <v>50</v>
      </c>
      <c r="S371" s="7">
        <v>57.686083000000004</v>
      </c>
      <c r="T371" s="7">
        <v>71.607308000000003</v>
      </c>
      <c r="U371" s="7">
        <v>38.457388000000002</v>
      </c>
      <c r="V371" s="7">
        <v>50</v>
      </c>
      <c r="W371" s="7">
        <v>51.657167000000001</v>
      </c>
      <c r="X371" s="7">
        <v>34.438110999999999</v>
      </c>
      <c r="Y371" s="7">
        <v>50</v>
      </c>
      <c r="Z371" s="7">
        <v>59.735677000000003</v>
      </c>
      <c r="AA371" s="7">
        <v>50.106093000000001</v>
      </c>
      <c r="AB371" s="7">
        <v>33.404062000000003</v>
      </c>
      <c r="AC371" s="7">
        <v>50</v>
      </c>
      <c r="AD371" s="7">
        <v>54.554839000000001</v>
      </c>
      <c r="AE371" s="7">
        <v>36.369892</v>
      </c>
      <c r="AF371" s="7">
        <v>50</v>
      </c>
      <c r="AG371" s="7">
        <v>52.106093000000001</v>
      </c>
      <c r="AH371" s="4" t="s">
        <v>124</v>
      </c>
      <c r="AI371" s="7">
        <v>34.737394999999999</v>
      </c>
      <c r="AJ371" s="7">
        <v>50</v>
      </c>
      <c r="AK371" s="7">
        <v>13.92</v>
      </c>
      <c r="AL371" s="7">
        <v>9.6199999999999992</v>
      </c>
      <c r="AM371" s="4" t="s">
        <v>124</v>
      </c>
      <c r="AN371" s="7">
        <v>0.65370700000000004</v>
      </c>
      <c r="AO371" s="7">
        <v>65.370749000000004</v>
      </c>
      <c r="AP371" s="7">
        <v>100</v>
      </c>
      <c r="AQ371" s="7">
        <v>0.62472000000000005</v>
      </c>
      <c r="AR371" s="7">
        <v>62.472028000000002</v>
      </c>
      <c r="AS371" s="7">
        <v>100</v>
      </c>
      <c r="AT371" s="7">
        <v>0.63281200000000004</v>
      </c>
      <c r="AU371" s="4" t="s">
        <v>124</v>
      </c>
      <c r="AV371" s="7">
        <v>63.281188</v>
      </c>
      <c r="AW371" s="7">
        <v>100</v>
      </c>
      <c r="AX371" s="7">
        <v>0.64162699999999995</v>
      </c>
      <c r="AY371" s="4" t="s">
        <v>124</v>
      </c>
      <c r="AZ371" s="7">
        <v>64.162705000000003</v>
      </c>
      <c r="BA371" s="7">
        <v>100</v>
      </c>
      <c r="BB371" s="7">
        <v>0.817361</v>
      </c>
      <c r="BC371" s="7">
        <v>40.868049999999997</v>
      </c>
      <c r="BD371" s="7">
        <v>50</v>
      </c>
      <c r="BE371" s="7">
        <v>0.48321199999999997</v>
      </c>
      <c r="BF371" s="7">
        <v>24.160616000000001</v>
      </c>
      <c r="BG371" s="7">
        <v>50</v>
      </c>
      <c r="BH371" s="7">
        <v>0</v>
      </c>
      <c r="BI371" s="7">
        <v>1</v>
      </c>
      <c r="BJ371" s="7">
        <v>1</v>
      </c>
      <c r="BK371" s="7">
        <v>1</v>
      </c>
      <c r="BL371" s="7">
        <v>1</v>
      </c>
      <c r="BM371" s="7">
        <v>1</v>
      </c>
      <c r="BN371" s="7">
        <v>1</v>
      </c>
      <c r="BO371" s="7">
        <v>1</v>
      </c>
      <c r="BP371" s="7">
        <v>1</v>
      </c>
      <c r="BQ371" s="4" t="s">
        <v>124</v>
      </c>
      <c r="BR371" s="7">
        <v>0.14285700000000001</v>
      </c>
      <c r="BS371" s="7">
        <v>31.428571000000002</v>
      </c>
      <c r="BT371" s="7">
        <v>50</v>
      </c>
      <c r="BU371" s="7">
        <v>0.15750900000000001</v>
      </c>
      <c r="BV371" s="7">
        <v>28.498168</v>
      </c>
      <c r="BW371" s="7">
        <v>50</v>
      </c>
      <c r="BX371" s="4" t="s">
        <v>124</v>
      </c>
      <c r="BY371" s="4" t="s">
        <v>124</v>
      </c>
      <c r="BZ371" s="4" t="s">
        <v>124</v>
      </c>
      <c r="CA371" s="4" t="s">
        <v>124</v>
      </c>
      <c r="CB371" s="4" t="s">
        <v>124</v>
      </c>
      <c r="CC371" s="4" t="s">
        <v>124</v>
      </c>
      <c r="CD371" s="4" t="s">
        <v>124</v>
      </c>
      <c r="CE371" s="4" t="s">
        <v>124</v>
      </c>
      <c r="CF371" s="4" t="s">
        <v>124</v>
      </c>
      <c r="CG371" s="4" t="s">
        <v>124</v>
      </c>
      <c r="CH371" s="4" t="s">
        <v>124</v>
      </c>
      <c r="CI371" s="4" t="s">
        <v>124</v>
      </c>
      <c r="CJ371" s="4" t="s">
        <v>124</v>
      </c>
      <c r="CK371" s="4" t="s">
        <v>124</v>
      </c>
      <c r="CL371" s="4" t="s">
        <v>124</v>
      </c>
      <c r="CM371" s="4" t="s">
        <v>124</v>
      </c>
      <c r="CN371" s="4" t="s">
        <v>124</v>
      </c>
      <c r="CO371" s="4" t="s">
        <v>124</v>
      </c>
      <c r="CP371" s="4" t="s">
        <v>124</v>
      </c>
      <c r="CQ371" s="7">
        <v>0.78723399999999999</v>
      </c>
      <c r="CR371" s="7">
        <v>1.021739</v>
      </c>
      <c r="CS371" s="7">
        <v>50</v>
      </c>
      <c r="CT371" s="7">
        <v>50</v>
      </c>
      <c r="CU371" s="4" t="s">
        <v>124</v>
      </c>
      <c r="CV371" s="4" t="s">
        <v>124</v>
      </c>
      <c r="CW371" s="4" t="s">
        <v>124</v>
      </c>
      <c r="CX371" s="4" t="s">
        <v>124</v>
      </c>
      <c r="CY371" s="4" t="s">
        <v>124</v>
      </c>
      <c r="CZ371" s="4" t="s">
        <v>124</v>
      </c>
      <c r="DA371" s="7">
        <v>15.314097</v>
      </c>
      <c r="DB371" s="7">
        <v>17.400950000000002</v>
      </c>
      <c r="DC371" s="7">
        <v>16.332519999999999</v>
      </c>
      <c r="DD371" s="4" t="s">
        <v>124</v>
      </c>
      <c r="DE371" s="7">
        <v>0</v>
      </c>
      <c r="DF371" s="6"/>
      <c r="DG371" s="6"/>
      <c r="DH371" s="6"/>
      <c r="DI371" s="6"/>
      <c r="DJ371" s="7">
        <v>0</v>
      </c>
      <c r="DK371" s="7">
        <v>0</v>
      </c>
      <c r="DL371" s="7">
        <v>0</v>
      </c>
      <c r="DM371" s="7">
        <v>0</v>
      </c>
      <c r="DN371" s="7">
        <v>0</v>
      </c>
      <c r="DO371" s="7">
        <v>0</v>
      </c>
      <c r="DP371" s="6"/>
      <c r="DQ371" s="4" t="s">
        <v>125</v>
      </c>
    </row>
    <row r="372" spans="1:121" ht="20" customHeight="1" x14ac:dyDescent="0.15">
      <c r="A372" s="5">
        <v>2018</v>
      </c>
      <c r="B372" s="3" t="s">
        <v>235</v>
      </c>
      <c r="C372" s="4" t="str">
        <f t="shared" ref="C372:C383" si="196">"0430011"</f>
        <v>0430011</v>
      </c>
      <c r="D372" s="4" t="s">
        <v>520</v>
      </c>
      <c r="E372" s="4" t="str">
        <f>"0436311"</f>
        <v>0436311</v>
      </c>
      <c r="F372" s="4" t="s">
        <v>327</v>
      </c>
      <c r="G372" s="7">
        <v>9</v>
      </c>
      <c r="H372" s="7">
        <v>12</v>
      </c>
      <c r="I372" s="6"/>
      <c r="J372" s="4" t="s">
        <v>330</v>
      </c>
      <c r="K372" s="7">
        <v>990.84696799999995</v>
      </c>
      <c r="L372" s="7">
        <v>1050</v>
      </c>
      <c r="M372" s="7">
        <v>94.366377999999997</v>
      </c>
      <c r="N372" s="7">
        <v>1</v>
      </c>
      <c r="O372" s="7">
        <v>0</v>
      </c>
      <c r="P372" s="7">
        <v>66.937037000000004</v>
      </c>
      <c r="Q372" s="7">
        <v>133.87407400000001</v>
      </c>
      <c r="R372" s="7">
        <v>150</v>
      </c>
      <c r="S372" s="4" t="s">
        <v>124</v>
      </c>
      <c r="T372" s="7">
        <v>70.139785000000003</v>
      </c>
      <c r="U372" s="4" t="s">
        <v>124</v>
      </c>
      <c r="V372" s="4" t="s">
        <v>124</v>
      </c>
      <c r="W372" s="7">
        <v>59.766666999999998</v>
      </c>
      <c r="X372" s="7">
        <v>119.533333</v>
      </c>
      <c r="Y372" s="7">
        <v>150</v>
      </c>
      <c r="Z372" s="7">
        <v>63.27957</v>
      </c>
      <c r="AA372" s="4" t="s">
        <v>124</v>
      </c>
      <c r="AB372" s="4" t="s">
        <v>124</v>
      </c>
      <c r="AC372" s="4" t="s">
        <v>124</v>
      </c>
      <c r="AD372" s="7">
        <v>73.615385000000003</v>
      </c>
      <c r="AE372" s="7">
        <v>98.153846000000001</v>
      </c>
      <c r="AF372" s="7">
        <v>100</v>
      </c>
      <c r="AG372" s="4" t="s">
        <v>124</v>
      </c>
      <c r="AH372" s="7">
        <v>75</v>
      </c>
      <c r="AI372" s="4" t="s">
        <v>124</v>
      </c>
      <c r="AJ372" s="4" t="s">
        <v>124</v>
      </c>
      <c r="AK372" s="4" t="s">
        <v>124</v>
      </c>
      <c r="AL372" s="4" t="s">
        <v>124</v>
      </c>
      <c r="AM372" s="4" t="s">
        <v>124</v>
      </c>
      <c r="AN372" s="4" t="s">
        <v>124</v>
      </c>
      <c r="AO372" s="4" t="s">
        <v>124</v>
      </c>
      <c r="AP372" s="4" t="s">
        <v>124</v>
      </c>
      <c r="AQ372" s="4" t="s">
        <v>124</v>
      </c>
      <c r="AR372" s="4" t="s">
        <v>124</v>
      </c>
      <c r="AS372" s="4" t="s">
        <v>124</v>
      </c>
      <c r="AT372" s="4" t="s">
        <v>124</v>
      </c>
      <c r="AU372" s="4" t="s">
        <v>124</v>
      </c>
      <c r="AV372" s="4" t="s">
        <v>124</v>
      </c>
      <c r="AW372" s="4" t="s">
        <v>124</v>
      </c>
      <c r="AX372" s="4" t="s">
        <v>124</v>
      </c>
      <c r="AY372" s="4" t="s">
        <v>124</v>
      </c>
      <c r="AZ372" s="4" t="s">
        <v>124</v>
      </c>
      <c r="BA372" s="4" t="s">
        <v>124</v>
      </c>
      <c r="BB372" s="4" t="s">
        <v>124</v>
      </c>
      <c r="BC372" s="4" t="s">
        <v>124</v>
      </c>
      <c r="BD372" s="4" t="s">
        <v>124</v>
      </c>
      <c r="BE372" s="4" t="s">
        <v>124</v>
      </c>
      <c r="BF372" s="4" t="s">
        <v>124</v>
      </c>
      <c r="BG372" s="4" t="s">
        <v>124</v>
      </c>
      <c r="BH372" s="7">
        <v>0</v>
      </c>
      <c r="BI372" s="7">
        <v>1</v>
      </c>
      <c r="BJ372" s="4" t="s">
        <v>124</v>
      </c>
      <c r="BK372" s="7">
        <v>1</v>
      </c>
      <c r="BL372" s="7">
        <v>1</v>
      </c>
      <c r="BM372" s="4" t="s">
        <v>124</v>
      </c>
      <c r="BN372" s="7">
        <v>1</v>
      </c>
      <c r="BO372" s="7">
        <v>1</v>
      </c>
      <c r="BP372" s="4" t="s">
        <v>124</v>
      </c>
      <c r="BQ372" s="7">
        <v>1</v>
      </c>
      <c r="BR372" s="7">
        <v>3.2608999999999999E-2</v>
      </c>
      <c r="BS372" s="7">
        <v>50</v>
      </c>
      <c r="BT372" s="7">
        <v>50</v>
      </c>
      <c r="BU372" s="7">
        <v>1.5625E-2</v>
      </c>
      <c r="BV372" s="7">
        <v>50</v>
      </c>
      <c r="BW372" s="7">
        <v>50</v>
      </c>
      <c r="BX372" s="7">
        <v>1</v>
      </c>
      <c r="BY372" s="7">
        <v>50</v>
      </c>
      <c r="BZ372" s="7">
        <v>50</v>
      </c>
      <c r="CA372" s="7">
        <v>0.625</v>
      </c>
      <c r="CB372" s="7">
        <v>41.666666999999997</v>
      </c>
      <c r="CC372" s="7">
        <v>50</v>
      </c>
      <c r="CD372" s="7">
        <v>1</v>
      </c>
      <c r="CE372" s="7">
        <v>50</v>
      </c>
      <c r="CF372" s="7">
        <v>50</v>
      </c>
      <c r="CG372" s="7">
        <v>1</v>
      </c>
      <c r="CH372" s="7">
        <v>100</v>
      </c>
      <c r="CI372" s="7">
        <v>100</v>
      </c>
      <c r="CJ372" s="7">
        <v>0</v>
      </c>
      <c r="CK372" s="7">
        <v>1</v>
      </c>
      <c r="CL372" s="7">
        <v>100</v>
      </c>
      <c r="CM372" s="7">
        <v>100</v>
      </c>
      <c r="CN372" s="7">
        <v>0.86666699999999997</v>
      </c>
      <c r="CO372" s="7">
        <v>100</v>
      </c>
      <c r="CP372" s="7">
        <v>100</v>
      </c>
      <c r="CQ372" s="7">
        <v>0.71428599999999998</v>
      </c>
      <c r="CR372" s="7">
        <v>1</v>
      </c>
      <c r="CS372" s="7">
        <v>47.619047999999999</v>
      </c>
      <c r="CT372" s="7">
        <v>50</v>
      </c>
      <c r="CU372" s="7">
        <v>0.73369600000000001</v>
      </c>
      <c r="CV372" s="7">
        <v>50</v>
      </c>
      <c r="CW372" s="7">
        <v>50</v>
      </c>
      <c r="CX372" s="7">
        <v>1</v>
      </c>
      <c r="CY372" s="7">
        <v>0.94</v>
      </c>
      <c r="CZ372" s="7">
        <v>-0.06</v>
      </c>
      <c r="DA372" s="7">
        <v>15.314097</v>
      </c>
      <c r="DB372" s="7">
        <v>17.400950000000002</v>
      </c>
      <c r="DC372" s="7">
        <v>16.332519999999999</v>
      </c>
      <c r="DD372" s="7">
        <v>7.9891730000000001</v>
      </c>
      <c r="DE372" s="7">
        <v>0</v>
      </c>
      <c r="DF372" s="6"/>
      <c r="DG372" s="6"/>
      <c r="DH372" s="4" t="s">
        <v>331</v>
      </c>
      <c r="DI372" s="4" t="s">
        <v>332</v>
      </c>
      <c r="DJ372" s="7">
        <v>1</v>
      </c>
      <c r="DK372" s="7">
        <v>0</v>
      </c>
      <c r="DL372" s="7">
        <v>0</v>
      </c>
      <c r="DM372" s="7">
        <v>0</v>
      </c>
      <c r="DN372" s="7">
        <v>0</v>
      </c>
      <c r="DO372" s="7">
        <v>0</v>
      </c>
      <c r="DP372" s="6"/>
      <c r="DQ372" s="4" t="s">
        <v>125</v>
      </c>
    </row>
    <row r="373" spans="1:121" ht="20" customHeight="1" x14ac:dyDescent="0.15">
      <c r="A373" s="5">
        <v>2018</v>
      </c>
      <c r="B373" s="3" t="s">
        <v>235</v>
      </c>
      <c r="C373" s="4" t="str">
        <f t="shared" si="196"/>
        <v>0430011</v>
      </c>
      <c r="D373" s="4" t="s">
        <v>521</v>
      </c>
      <c r="E373" s="4" t="str">
        <f>"0430611"</f>
        <v>0430611</v>
      </c>
      <c r="F373" s="4" t="s">
        <v>327</v>
      </c>
      <c r="G373" s="4" t="s">
        <v>338</v>
      </c>
      <c r="H373" s="7">
        <v>5</v>
      </c>
      <c r="I373" s="4" t="s">
        <v>335</v>
      </c>
      <c r="J373" s="4" t="s">
        <v>330</v>
      </c>
      <c r="K373" s="7">
        <v>575.31300499999998</v>
      </c>
      <c r="L373" s="7">
        <v>950</v>
      </c>
      <c r="M373" s="7">
        <v>60.559263999999999</v>
      </c>
      <c r="N373" s="7">
        <v>3</v>
      </c>
      <c r="O373" s="7">
        <v>0</v>
      </c>
      <c r="P373" s="7">
        <v>56.560769000000001</v>
      </c>
      <c r="Q373" s="7">
        <v>37.707178999999996</v>
      </c>
      <c r="R373" s="7">
        <v>50</v>
      </c>
      <c r="S373" s="7">
        <v>54.298546000000002</v>
      </c>
      <c r="T373" s="7">
        <v>66.659980000000004</v>
      </c>
      <c r="U373" s="7">
        <v>36.199030999999998</v>
      </c>
      <c r="V373" s="7">
        <v>50</v>
      </c>
      <c r="W373" s="7">
        <v>48.077032000000003</v>
      </c>
      <c r="X373" s="7">
        <v>32.051355000000001</v>
      </c>
      <c r="Y373" s="7">
        <v>50</v>
      </c>
      <c r="Z373" s="7">
        <v>56.066156999999997</v>
      </c>
      <c r="AA373" s="7">
        <v>46.273035999999998</v>
      </c>
      <c r="AB373" s="7">
        <v>30.848690999999999</v>
      </c>
      <c r="AC373" s="7">
        <v>50</v>
      </c>
      <c r="AD373" s="7">
        <v>53.485776999999999</v>
      </c>
      <c r="AE373" s="7">
        <v>35.657184999999998</v>
      </c>
      <c r="AF373" s="7">
        <v>50</v>
      </c>
      <c r="AG373" s="7">
        <v>51.693361000000003</v>
      </c>
      <c r="AH373" s="4" t="s">
        <v>124</v>
      </c>
      <c r="AI373" s="7">
        <v>34.462240999999999</v>
      </c>
      <c r="AJ373" s="7">
        <v>50</v>
      </c>
      <c r="AK373" s="7">
        <v>12.36</v>
      </c>
      <c r="AL373" s="7">
        <v>9.7899999999999991</v>
      </c>
      <c r="AM373" s="4" t="s">
        <v>124</v>
      </c>
      <c r="AN373" s="7">
        <v>0.608043</v>
      </c>
      <c r="AO373" s="7">
        <v>60.804287000000002</v>
      </c>
      <c r="AP373" s="7">
        <v>100</v>
      </c>
      <c r="AQ373" s="7">
        <v>0.48965399999999998</v>
      </c>
      <c r="AR373" s="7">
        <v>48.965404999999997</v>
      </c>
      <c r="AS373" s="7">
        <v>100</v>
      </c>
      <c r="AT373" s="7">
        <v>0.56328699999999998</v>
      </c>
      <c r="AU373" s="7">
        <v>0.78503199999999995</v>
      </c>
      <c r="AV373" s="7">
        <v>56.328699</v>
      </c>
      <c r="AW373" s="7">
        <v>100</v>
      </c>
      <c r="AX373" s="7">
        <v>0.46032600000000001</v>
      </c>
      <c r="AY373" s="7">
        <v>0.60696700000000003</v>
      </c>
      <c r="AZ373" s="7">
        <v>46.032592000000001</v>
      </c>
      <c r="BA373" s="7">
        <v>100</v>
      </c>
      <c r="BB373" s="7">
        <v>0.74463000000000001</v>
      </c>
      <c r="BC373" s="7">
        <v>37.231498000000002</v>
      </c>
      <c r="BD373" s="7">
        <v>50</v>
      </c>
      <c r="BE373" s="7">
        <v>0.55620999999999998</v>
      </c>
      <c r="BF373" s="7">
        <v>27.810517999999998</v>
      </c>
      <c r="BG373" s="7">
        <v>50</v>
      </c>
      <c r="BH373" s="7">
        <v>0</v>
      </c>
      <c r="BI373" s="7">
        <v>0.98901099999999997</v>
      </c>
      <c r="BJ373" s="7">
        <v>0.98666699999999996</v>
      </c>
      <c r="BK373" s="7">
        <v>1</v>
      </c>
      <c r="BL373" s="7">
        <v>0.98360700000000001</v>
      </c>
      <c r="BM373" s="7">
        <v>0.980132</v>
      </c>
      <c r="BN373" s="7">
        <v>1</v>
      </c>
      <c r="BO373" s="7">
        <v>1</v>
      </c>
      <c r="BP373" s="7">
        <v>1</v>
      </c>
      <c r="BQ373" s="4" t="s">
        <v>124</v>
      </c>
      <c r="BR373" s="7">
        <v>0.15426999999999999</v>
      </c>
      <c r="BS373" s="7">
        <v>29.146006</v>
      </c>
      <c r="BT373" s="7">
        <v>50</v>
      </c>
      <c r="BU373" s="7">
        <v>0.17940200000000001</v>
      </c>
      <c r="BV373" s="7">
        <v>24.119600999999999</v>
      </c>
      <c r="BW373" s="7">
        <v>50</v>
      </c>
      <c r="BX373" s="4" t="s">
        <v>124</v>
      </c>
      <c r="BY373" s="4" t="s">
        <v>124</v>
      </c>
      <c r="BZ373" s="4" t="s">
        <v>124</v>
      </c>
      <c r="CA373" s="4" t="s">
        <v>124</v>
      </c>
      <c r="CB373" s="4" t="s">
        <v>124</v>
      </c>
      <c r="CC373" s="4" t="s">
        <v>124</v>
      </c>
      <c r="CD373" s="4" t="s">
        <v>124</v>
      </c>
      <c r="CE373" s="4" t="s">
        <v>124</v>
      </c>
      <c r="CF373" s="4" t="s">
        <v>124</v>
      </c>
      <c r="CG373" s="4" t="s">
        <v>124</v>
      </c>
      <c r="CH373" s="4" t="s">
        <v>124</v>
      </c>
      <c r="CI373" s="4" t="s">
        <v>124</v>
      </c>
      <c r="CJ373" s="4" t="s">
        <v>124</v>
      </c>
      <c r="CK373" s="4" t="s">
        <v>124</v>
      </c>
      <c r="CL373" s="4" t="s">
        <v>124</v>
      </c>
      <c r="CM373" s="4" t="s">
        <v>124</v>
      </c>
      <c r="CN373" s="4" t="s">
        <v>124</v>
      </c>
      <c r="CO373" s="4" t="s">
        <v>124</v>
      </c>
      <c r="CP373" s="4" t="s">
        <v>124</v>
      </c>
      <c r="CQ373" s="7">
        <v>0.56923100000000004</v>
      </c>
      <c r="CR373" s="7">
        <v>1</v>
      </c>
      <c r="CS373" s="7">
        <v>37.948718</v>
      </c>
      <c r="CT373" s="7">
        <v>50</v>
      </c>
      <c r="CU373" s="4" t="s">
        <v>124</v>
      </c>
      <c r="CV373" s="4" t="s">
        <v>124</v>
      </c>
      <c r="CW373" s="4" t="s">
        <v>124</v>
      </c>
      <c r="CX373" s="4" t="s">
        <v>124</v>
      </c>
      <c r="CY373" s="4" t="s">
        <v>124</v>
      </c>
      <c r="CZ373" s="4" t="s">
        <v>124</v>
      </c>
      <c r="DA373" s="7">
        <v>15.314097</v>
      </c>
      <c r="DB373" s="7">
        <v>17.400950000000002</v>
      </c>
      <c r="DC373" s="7">
        <v>16.332519999999999</v>
      </c>
      <c r="DD373" s="4" t="s">
        <v>124</v>
      </c>
      <c r="DE373" s="7">
        <v>0</v>
      </c>
      <c r="DF373" s="6"/>
      <c r="DG373" s="6"/>
      <c r="DH373" s="6"/>
      <c r="DI373" s="6"/>
      <c r="DJ373" s="7">
        <v>0</v>
      </c>
      <c r="DK373" s="7">
        <v>0</v>
      </c>
      <c r="DL373" s="7">
        <v>0</v>
      </c>
      <c r="DM373" s="7">
        <v>0</v>
      </c>
      <c r="DN373" s="7">
        <v>0</v>
      </c>
      <c r="DO373" s="7">
        <v>0</v>
      </c>
      <c r="DP373" s="6"/>
      <c r="DQ373" s="4" t="s">
        <v>125</v>
      </c>
    </row>
    <row r="374" spans="1:121" ht="20" customHeight="1" x14ac:dyDescent="0.15">
      <c r="A374" s="5">
        <v>2018</v>
      </c>
      <c r="B374" s="3" t="s">
        <v>235</v>
      </c>
      <c r="C374" s="4" t="str">
        <f t="shared" si="196"/>
        <v>0430011</v>
      </c>
      <c r="D374" s="4" t="s">
        <v>522</v>
      </c>
      <c r="E374" s="4" t="str">
        <f>"0432211"</f>
        <v>0432211</v>
      </c>
      <c r="F374" s="4" t="s">
        <v>327</v>
      </c>
      <c r="G374" s="4" t="s">
        <v>338</v>
      </c>
      <c r="H374" s="7">
        <v>5</v>
      </c>
      <c r="I374" s="4" t="s">
        <v>335</v>
      </c>
      <c r="J374" s="4" t="s">
        <v>330</v>
      </c>
      <c r="K374" s="7">
        <v>690.750857</v>
      </c>
      <c r="L374" s="7">
        <v>950</v>
      </c>
      <c r="M374" s="7">
        <v>72.710616999999999</v>
      </c>
      <c r="N374" s="7">
        <v>2</v>
      </c>
      <c r="O374" s="7">
        <v>0</v>
      </c>
      <c r="P374" s="7">
        <v>65.242673999999994</v>
      </c>
      <c r="Q374" s="7">
        <v>43.495116000000003</v>
      </c>
      <c r="R374" s="7">
        <v>50</v>
      </c>
      <c r="S374" s="7">
        <v>63.324449999999999</v>
      </c>
      <c r="T374" s="7">
        <v>72.012878000000001</v>
      </c>
      <c r="U374" s="7">
        <v>42.216299999999997</v>
      </c>
      <c r="V374" s="7">
        <v>50</v>
      </c>
      <c r="W374" s="7">
        <v>61.073461000000002</v>
      </c>
      <c r="X374" s="7">
        <v>40.71564</v>
      </c>
      <c r="Y374" s="7">
        <v>50</v>
      </c>
      <c r="Z374" s="7">
        <v>66.711008000000007</v>
      </c>
      <c r="AA374" s="7">
        <v>59.462733</v>
      </c>
      <c r="AB374" s="7">
        <v>39.641821999999998</v>
      </c>
      <c r="AC374" s="7">
        <v>50</v>
      </c>
      <c r="AD374" s="7">
        <v>58.551560000000002</v>
      </c>
      <c r="AE374" s="7">
        <v>39.034373000000002</v>
      </c>
      <c r="AF374" s="7">
        <v>50</v>
      </c>
      <c r="AG374" s="7">
        <v>57.540837000000003</v>
      </c>
      <c r="AH374" s="4" t="s">
        <v>124</v>
      </c>
      <c r="AI374" s="7">
        <v>38.360557999999997</v>
      </c>
      <c r="AJ374" s="7">
        <v>50</v>
      </c>
      <c r="AK374" s="7">
        <v>8.68</v>
      </c>
      <c r="AL374" s="7">
        <v>7.24</v>
      </c>
      <c r="AM374" s="4" t="s">
        <v>124</v>
      </c>
      <c r="AN374" s="7">
        <v>0.72936000000000001</v>
      </c>
      <c r="AO374" s="7">
        <v>72.935969999999998</v>
      </c>
      <c r="AP374" s="7">
        <v>100</v>
      </c>
      <c r="AQ374" s="7">
        <v>0.78898100000000004</v>
      </c>
      <c r="AR374" s="7">
        <v>78.898105000000001</v>
      </c>
      <c r="AS374" s="7">
        <v>100</v>
      </c>
      <c r="AT374" s="7">
        <v>0.72197699999999998</v>
      </c>
      <c r="AU374" s="7">
        <v>0.74959500000000001</v>
      </c>
      <c r="AV374" s="7">
        <v>72.197654999999997</v>
      </c>
      <c r="AW374" s="7">
        <v>100</v>
      </c>
      <c r="AX374" s="7">
        <v>0.77050799999999997</v>
      </c>
      <c r="AY374" s="7">
        <v>0.84029600000000004</v>
      </c>
      <c r="AZ374" s="7">
        <v>77.05077</v>
      </c>
      <c r="BA374" s="7">
        <v>100</v>
      </c>
      <c r="BB374" s="7">
        <v>0.42831599999999997</v>
      </c>
      <c r="BC374" s="7">
        <v>21.415794000000002</v>
      </c>
      <c r="BD374" s="7">
        <v>50</v>
      </c>
      <c r="BE374" s="7">
        <v>0.43436900000000001</v>
      </c>
      <c r="BF374" s="7">
        <v>21.718439</v>
      </c>
      <c r="BG374" s="7">
        <v>50</v>
      </c>
      <c r="BH374" s="7">
        <v>0</v>
      </c>
      <c r="BI374" s="7">
        <v>0.99438199999999999</v>
      </c>
      <c r="BJ374" s="7">
        <v>0.99290800000000001</v>
      </c>
      <c r="BK374" s="7">
        <v>1</v>
      </c>
      <c r="BL374" s="7">
        <v>0.99441299999999999</v>
      </c>
      <c r="BM374" s="7">
        <v>0.99295800000000001</v>
      </c>
      <c r="BN374" s="7">
        <v>1</v>
      </c>
      <c r="BO374" s="7">
        <v>0.98591499999999999</v>
      </c>
      <c r="BP374" s="7">
        <v>0.98181799999999997</v>
      </c>
      <c r="BQ374" s="4" t="s">
        <v>124</v>
      </c>
      <c r="BR374" s="7">
        <v>0.13411100000000001</v>
      </c>
      <c r="BS374" s="7">
        <v>33.177843000000003</v>
      </c>
      <c r="BT374" s="7">
        <v>50</v>
      </c>
      <c r="BU374" s="7">
        <v>0.15053800000000001</v>
      </c>
      <c r="BV374" s="7">
        <v>29.892472999999999</v>
      </c>
      <c r="BW374" s="7">
        <v>50</v>
      </c>
      <c r="BX374" s="4" t="s">
        <v>124</v>
      </c>
      <c r="BY374" s="4" t="s">
        <v>124</v>
      </c>
      <c r="BZ374" s="4" t="s">
        <v>124</v>
      </c>
      <c r="CA374" s="4" t="s">
        <v>124</v>
      </c>
      <c r="CB374" s="4" t="s">
        <v>124</v>
      </c>
      <c r="CC374" s="4" t="s">
        <v>124</v>
      </c>
      <c r="CD374" s="4" t="s">
        <v>124</v>
      </c>
      <c r="CE374" s="4" t="s">
        <v>124</v>
      </c>
      <c r="CF374" s="4" t="s">
        <v>124</v>
      </c>
      <c r="CG374" s="4" t="s">
        <v>124</v>
      </c>
      <c r="CH374" s="4" t="s">
        <v>124</v>
      </c>
      <c r="CI374" s="4" t="s">
        <v>124</v>
      </c>
      <c r="CJ374" s="4" t="s">
        <v>124</v>
      </c>
      <c r="CK374" s="4" t="s">
        <v>124</v>
      </c>
      <c r="CL374" s="4" t="s">
        <v>124</v>
      </c>
      <c r="CM374" s="4" t="s">
        <v>124</v>
      </c>
      <c r="CN374" s="4" t="s">
        <v>124</v>
      </c>
      <c r="CO374" s="4" t="s">
        <v>124</v>
      </c>
      <c r="CP374" s="4" t="s">
        <v>124</v>
      </c>
      <c r="CQ374" s="7">
        <v>0.6</v>
      </c>
      <c r="CR374" s="7">
        <v>1</v>
      </c>
      <c r="CS374" s="7">
        <v>40</v>
      </c>
      <c r="CT374" s="7">
        <v>50</v>
      </c>
      <c r="CU374" s="4" t="s">
        <v>124</v>
      </c>
      <c r="CV374" s="4" t="s">
        <v>124</v>
      </c>
      <c r="CW374" s="4" t="s">
        <v>124</v>
      </c>
      <c r="CX374" s="4" t="s">
        <v>124</v>
      </c>
      <c r="CY374" s="4" t="s">
        <v>124</v>
      </c>
      <c r="CZ374" s="4" t="s">
        <v>124</v>
      </c>
      <c r="DA374" s="7">
        <v>15.314097</v>
      </c>
      <c r="DB374" s="7">
        <v>17.400950000000002</v>
      </c>
      <c r="DC374" s="7">
        <v>16.332519999999999</v>
      </c>
      <c r="DD374" s="4" t="s">
        <v>124</v>
      </c>
      <c r="DE374" s="7">
        <v>0</v>
      </c>
      <c r="DF374" s="6"/>
      <c r="DG374" s="6"/>
      <c r="DH374" s="4" t="s">
        <v>331</v>
      </c>
      <c r="DI374" s="4" t="s">
        <v>523</v>
      </c>
      <c r="DJ374" s="7">
        <v>0</v>
      </c>
      <c r="DK374" s="7">
        <v>0</v>
      </c>
      <c r="DL374" s="7">
        <v>0</v>
      </c>
      <c r="DM374" s="7">
        <v>1</v>
      </c>
      <c r="DN374" s="7">
        <v>0</v>
      </c>
      <c r="DO374" s="7">
        <v>0</v>
      </c>
      <c r="DP374" s="6"/>
      <c r="DQ374" s="4" t="s">
        <v>125</v>
      </c>
    </row>
    <row r="375" spans="1:121" ht="20" customHeight="1" x14ac:dyDescent="0.15">
      <c r="A375" s="5">
        <v>2018</v>
      </c>
      <c r="B375" s="3" t="s">
        <v>235</v>
      </c>
      <c r="C375" s="4" t="str">
        <f t="shared" si="196"/>
        <v>0430011</v>
      </c>
      <c r="D375" s="4" t="s">
        <v>524</v>
      </c>
      <c r="E375" s="4" t="str">
        <f>"0431011"</f>
        <v>0431011</v>
      </c>
      <c r="F375" s="4" t="s">
        <v>327</v>
      </c>
      <c r="G375" s="4" t="s">
        <v>338</v>
      </c>
      <c r="H375" s="7">
        <v>5</v>
      </c>
      <c r="I375" s="4" t="s">
        <v>335</v>
      </c>
      <c r="J375" s="4" t="s">
        <v>330</v>
      </c>
      <c r="K375" s="7">
        <v>727.01265100000001</v>
      </c>
      <c r="L375" s="7">
        <v>950</v>
      </c>
      <c r="M375" s="7">
        <v>76.527647999999999</v>
      </c>
      <c r="N375" s="7">
        <v>2</v>
      </c>
      <c r="O375" s="7">
        <v>0</v>
      </c>
      <c r="P375" s="7">
        <v>67.983979000000005</v>
      </c>
      <c r="Q375" s="7">
        <v>45.322653000000003</v>
      </c>
      <c r="R375" s="7">
        <v>50</v>
      </c>
      <c r="S375" s="7">
        <v>61.755076000000003</v>
      </c>
      <c r="T375" s="7">
        <v>75</v>
      </c>
      <c r="U375" s="7">
        <v>41.170051000000001</v>
      </c>
      <c r="V375" s="7">
        <v>50</v>
      </c>
      <c r="W375" s="7">
        <v>65.042983000000007</v>
      </c>
      <c r="X375" s="7">
        <v>43.361989000000001</v>
      </c>
      <c r="Y375" s="7">
        <v>50</v>
      </c>
      <c r="Z375" s="7">
        <v>71.944034000000002</v>
      </c>
      <c r="AA375" s="7">
        <v>59.184536999999999</v>
      </c>
      <c r="AB375" s="7">
        <v>39.456358000000002</v>
      </c>
      <c r="AC375" s="7">
        <v>50</v>
      </c>
      <c r="AD375" s="7">
        <v>64.432418999999996</v>
      </c>
      <c r="AE375" s="7">
        <v>42.954946</v>
      </c>
      <c r="AF375" s="7">
        <v>50</v>
      </c>
      <c r="AG375" s="7">
        <v>61.681097999999999</v>
      </c>
      <c r="AH375" s="7">
        <v>68.079520000000002</v>
      </c>
      <c r="AI375" s="7">
        <v>41.120731999999997</v>
      </c>
      <c r="AJ375" s="7">
        <v>50</v>
      </c>
      <c r="AK375" s="7">
        <v>13.24</v>
      </c>
      <c r="AL375" s="7">
        <v>12.75</v>
      </c>
      <c r="AM375" s="7">
        <v>6.39</v>
      </c>
      <c r="AN375" s="7">
        <v>0.72259600000000002</v>
      </c>
      <c r="AO375" s="7">
        <v>72.259619000000001</v>
      </c>
      <c r="AP375" s="7">
        <v>100</v>
      </c>
      <c r="AQ375" s="7">
        <v>0.76574500000000001</v>
      </c>
      <c r="AR375" s="7">
        <v>76.574451999999994</v>
      </c>
      <c r="AS375" s="7">
        <v>100</v>
      </c>
      <c r="AT375" s="7">
        <v>0.69803000000000004</v>
      </c>
      <c r="AU375" s="7">
        <v>0.75171200000000005</v>
      </c>
      <c r="AV375" s="7">
        <v>69.802987999999999</v>
      </c>
      <c r="AW375" s="7">
        <v>100</v>
      </c>
      <c r="AX375" s="7">
        <v>0.74222299999999997</v>
      </c>
      <c r="AY375" s="7">
        <v>0.79396999999999995</v>
      </c>
      <c r="AZ375" s="7">
        <v>74.222346000000002</v>
      </c>
      <c r="BA375" s="7">
        <v>100</v>
      </c>
      <c r="BB375" s="7">
        <v>0.78300599999999998</v>
      </c>
      <c r="BC375" s="7">
        <v>39.150314999999999</v>
      </c>
      <c r="BD375" s="7">
        <v>50</v>
      </c>
      <c r="BE375" s="7">
        <v>0.61739699999999997</v>
      </c>
      <c r="BF375" s="7">
        <v>30.869828999999999</v>
      </c>
      <c r="BG375" s="7">
        <v>50</v>
      </c>
      <c r="BH375" s="7">
        <v>0</v>
      </c>
      <c r="BI375" s="7">
        <v>0.99637699999999996</v>
      </c>
      <c r="BJ375" s="7">
        <v>0.99333300000000002</v>
      </c>
      <c r="BK375" s="7">
        <v>1</v>
      </c>
      <c r="BL375" s="7">
        <v>0.99278</v>
      </c>
      <c r="BM375" s="7">
        <v>0.99337699999999995</v>
      </c>
      <c r="BN375" s="7">
        <v>0.99206300000000003</v>
      </c>
      <c r="BO375" s="7">
        <v>1</v>
      </c>
      <c r="BP375" s="7">
        <v>1</v>
      </c>
      <c r="BQ375" s="7">
        <v>1</v>
      </c>
      <c r="BR375" s="7">
        <v>0.100559</v>
      </c>
      <c r="BS375" s="7">
        <v>39.888267999999997</v>
      </c>
      <c r="BT375" s="7">
        <v>50</v>
      </c>
      <c r="BU375" s="7">
        <v>0.15359500000000001</v>
      </c>
      <c r="BV375" s="7">
        <v>29.281046</v>
      </c>
      <c r="BW375" s="7">
        <v>50</v>
      </c>
      <c r="BX375" s="4" t="s">
        <v>124</v>
      </c>
      <c r="BY375" s="4" t="s">
        <v>124</v>
      </c>
      <c r="BZ375" s="4" t="s">
        <v>124</v>
      </c>
      <c r="CA375" s="4" t="s">
        <v>124</v>
      </c>
      <c r="CB375" s="4" t="s">
        <v>124</v>
      </c>
      <c r="CC375" s="4" t="s">
        <v>124</v>
      </c>
      <c r="CD375" s="4" t="s">
        <v>124</v>
      </c>
      <c r="CE375" s="4" t="s">
        <v>124</v>
      </c>
      <c r="CF375" s="4" t="s">
        <v>124</v>
      </c>
      <c r="CG375" s="4" t="s">
        <v>124</v>
      </c>
      <c r="CH375" s="4" t="s">
        <v>124</v>
      </c>
      <c r="CI375" s="4" t="s">
        <v>124</v>
      </c>
      <c r="CJ375" s="4" t="s">
        <v>124</v>
      </c>
      <c r="CK375" s="4" t="s">
        <v>124</v>
      </c>
      <c r="CL375" s="4" t="s">
        <v>124</v>
      </c>
      <c r="CM375" s="4" t="s">
        <v>124</v>
      </c>
      <c r="CN375" s="4" t="s">
        <v>124</v>
      </c>
      <c r="CO375" s="4" t="s">
        <v>124</v>
      </c>
      <c r="CP375" s="4" t="s">
        <v>124</v>
      </c>
      <c r="CQ375" s="7">
        <v>0.62365599999999999</v>
      </c>
      <c r="CR375" s="7">
        <v>1</v>
      </c>
      <c r="CS375" s="7">
        <v>41.577061</v>
      </c>
      <c r="CT375" s="7">
        <v>50</v>
      </c>
      <c r="CU375" s="4" t="s">
        <v>124</v>
      </c>
      <c r="CV375" s="4" t="s">
        <v>124</v>
      </c>
      <c r="CW375" s="4" t="s">
        <v>124</v>
      </c>
      <c r="CX375" s="4" t="s">
        <v>124</v>
      </c>
      <c r="CY375" s="4" t="s">
        <v>124</v>
      </c>
      <c r="CZ375" s="4" t="s">
        <v>124</v>
      </c>
      <c r="DA375" s="7">
        <v>15.314097</v>
      </c>
      <c r="DB375" s="7">
        <v>17.400950000000002</v>
      </c>
      <c r="DC375" s="7">
        <v>16.332519999999999</v>
      </c>
      <c r="DD375" s="4" t="s">
        <v>124</v>
      </c>
      <c r="DE375" s="7">
        <v>0</v>
      </c>
      <c r="DF375" s="6"/>
      <c r="DG375" s="6"/>
      <c r="DH375" s="6"/>
      <c r="DI375" s="6"/>
      <c r="DJ375" s="7">
        <v>0</v>
      </c>
      <c r="DK375" s="7">
        <v>0</v>
      </c>
      <c r="DL375" s="7">
        <v>0</v>
      </c>
      <c r="DM375" s="7">
        <v>0</v>
      </c>
      <c r="DN375" s="7">
        <v>0</v>
      </c>
      <c r="DO375" s="7">
        <v>0</v>
      </c>
      <c r="DP375" s="6"/>
      <c r="DQ375" s="4" t="s">
        <v>125</v>
      </c>
    </row>
    <row r="376" spans="1:121" ht="20" customHeight="1" x14ac:dyDescent="0.15">
      <c r="A376" s="5">
        <v>2018</v>
      </c>
      <c r="B376" s="3" t="s">
        <v>235</v>
      </c>
      <c r="C376" s="4" t="str">
        <f t="shared" si="196"/>
        <v>0430011</v>
      </c>
      <c r="D376" s="4" t="s">
        <v>525</v>
      </c>
      <c r="E376" s="4" t="str">
        <f>"0436211"</f>
        <v>0436211</v>
      </c>
      <c r="F376" s="4" t="s">
        <v>327</v>
      </c>
      <c r="G376" s="7">
        <v>9</v>
      </c>
      <c r="H376" s="7">
        <v>12</v>
      </c>
      <c r="I376" s="6"/>
      <c r="J376" s="4" t="s">
        <v>330</v>
      </c>
      <c r="K376" s="7">
        <v>1089.4808419999999</v>
      </c>
      <c r="L376" s="7">
        <v>1550</v>
      </c>
      <c r="M376" s="7">
        <v>70.289086999999995</v>
      </c>
      <c r="N376" s="7">
        <v>2</v>
      </c>
      <c r="O376" s="7">
        <v>0</v>
      </c>
      <c r="P376" s="7">
        <v>48.042484000000002</v>
      </c>
      <c r="Q376" s="7">
        <v>96.084967000000006</v>
      </c>
      <c r="R376" s="7">
        <v>150</v>
      </c>
      <c r="S376" s="7">
        <v>44.622222000000001</v>
      </c>
      <c r="T376" s="7">
        <v>52.928570999999998</v>
      </c>
      <c r="U376" s="7">
        <v>89.244444000000001</v>
      </c>
      <c r="V376" s="7">
        <v>150</v>
      </c>
      <c r="W376" s="7">
        <v>45.529412000000001</v>
      </c>
      <c r="X376" s="7">
        <v>91.058824000000001</v>
      </c>
      <c r="Y376" s="7">
        <v>150</v>
      </c>
      <c r="Z376" s="7">
        <v>49.607143000000001</v>
      </c>
      <c r="AA376" s="7">
        <v>42.674999999999997</v>
      </c>
      <c r="AB376" s="7">
        <v>85.35</v>
      </c>
      <c r="AC376" s="7">
        <v>150</v>
      </c>
      <c r="AD376" s="7">
        <v>50.530504999999998</v>
      </c>
      <c r="AE376" s="7">
        <v>67.374007000000006</v>
      </c>
      <c r="AF376" s="7">
        <v>100</v>
      </c>
      <c r="AG376" s="7">
        <v>46.596868000000001</v>
      </c>
      <c r="AH376" s="7">
        <v>56.098900999999998</v>
      </c>
      <c r="AI376" s="7">
        <v>62.129156999999999</v>
      </c>
      <c r="AJ376" s="7">
        <v>100</v>
      </c>
      <c r="AK376" s="7">
        <v>8.3000000000000007</v>
      </c>
      <c r="AL376" s="7">
        <v>6.93</v>
      </c>
      <c r="AM376" s="7">
        <v>9.5</v>
      </c>
      <c r="AN376" s="4" t="s">
        <v>124</v>
      </c>
      <c r="AO376" s="4" t="s">
        <v>124</v>
      </c>
      <c r="AP376" s="4" t="s">
        <v>124</v>
      </c>
      <c r="AQ376" s="4" t="s">
        <v>124</v>
      </c>
      <c r="AR376" s="4" t="s">
        <v>124</v>
      </c>
      <c r="AS376" s="4" t="s">
        <v>124</v>
      </c>
      <c r="AT376" s="4" t="s">
        <v>124</v>
      </c>
      <c r="AU376" s="4" t="s">
        <v>124</v>
      </c>
      <c r="AV376" s="4" t="s">
        <v>124</v>
      </c>
      <c r="AW376" s="4" t="s">
        <v>124</v>
      </c>
      <c r="AX376" s="4" t="s">
        <v>124</v>
      </c>
      <c r="AY376" s="4" t="s">
        <v>124</v>
      </c>
      <c r="AZ376" s="4" t="s">
        <v>124</v>
      </c>
      <c r="BA376" s="4" t="s">
        <v>124</v>
      </c>
      <c r="BB376" s="7">
        <v>0.46018300000000001</v>
      </c>
      <c r="BC376" s="7">
        <v>23.009139000000001</v>
      </c>
      <c r="BD376" s="7">
        <v>50</v>
      </c>
      <c r="BE376" s="7">
        <v>0.49631799999999998</v>
      </c>
      <c r="BF376" s="7">
        <v>24.815919999999998</v>
      </c>
      <c r="BG376" s="7">
        <v>50</v>
      </c>
      <c r="BH376" s="7">
        <v>0</v>
      </c>
      <c r="BI376" s="7">
        <v>0.99262899999999998</v>
      </c>
      <c r="BJ376" s="7">
        <v>0.99183699999999997</v>
      </c>
      <c r="BK376" s="7">
        <v>0.99382700000000002</v>
      </c>
      <c r="BL376" s="7">
        <v>0.99262899999999998</v>
      </c>
      <c r="BM376" s="7">
        <v>0.99183699999999997</v>
      </c>
      <c r="BN376" s="7">
        <v>0.99382700000000002</v>
      </c>
      <c r="BO376" s="7">
        <v>0.99259299999999995</v>
      </c>
      <c r="BP376" s="7">
        <v>0.98770500000000006</v>
      </c>
      <c r="BQ376" s="7">
        <v>1</v>
      </c>
      <c r="BR376" s="7">
        <v>8.0366999999999994E-2</v>
      </c>
      <c r="BS376" s="7">
        <v>43.926521000000001</v>
      </c>
      <c r="BT376" s="7">
        <v>50</v>
      </c>
      <c r="BU376" s="7">
        <v>0.111211</v>
      </c>
      <c r="BV376" s="7">
        <v>37.757848000000003</v>
      </c>
      <c r="BW376" s="7">
        <v>50</v>
      </c>
      <c r="BX376" s="7">
        <v>0.59761900000000001</v>
      </c>
      <c r="BY376" s="7">
        <v>39.841270000000002</v>
      </c>
      <c r="BZ376" s="7">
        <v>50</v>
      </c>
      <c r="CA376" s="7">
        <v>0.24166699999999999</v>
      </c>
      <c r="CB376" s="7">
        <v>16.111111000000001</v>
      </c>
      <c r="CC376" s="7">
        <v>50</v>
      </c>
      <c r="CD376" s="7">
        <v>0.83936699999999997</v>
      </c>
      <c r="CE376" s="7">
        <v>44.647154999999998</v>
      </c>
      <c r="CF376" s="7">
        <v>50</v>
      </c>
      <c r="CG376" s="7">
        <v>0.92682900000000001</v>
      </c>
      <c r="CH376" s="7">
        <v>98.598858000000007</v>
      </c>
      <c r="CI376" s="7">
        <v>100</v>
      </c>
      <c r="CJ376" s="7">
        <v>0</v>
      </c>
      <c r="CK376" s="7">
        <v>0.961538</v>
      </c>
      <c r="CL376" s="7">
        <v>100</v>
      </c>
      <c r="CM376" s="7">
        <v>100</v>
      </c>
      <c r="CN376" s="7">
        <v>0.64367799999999997</v>
      </c>
      <c r="CO376" s="7">
        <v>85.823755000000006</v>
      </c>
      <c r="CP376" s="7">
        <v>100</v>
      </c>
      <c r="CQ376" s="7">
        <v>0.50561800000000001</v>
      </c>
      <c r="CR376" s="7">
        <v>0.96112299999999995</v>
      </c>
      <c r="CS376" s="7">
        <v>33.707864999999998</v>
      </c>
      <c r="CT376" s="7">
        <v>50</v>
      </c>
      <c r="CU376" s="7">
        <v>0.63892099999999996</v>
      </c>
      <c r="CV376" s="7">
        <v>50</v>
      </c>
      <c r="CW376" s="7">
        <v>50</v>
      </c>
      <c r="CX376" s="7">
        <v>0.961538</v>
      </c>
      <c r="CY376" s="7">
        <v>0.94</v>
      </c>
      <c r="CZ376" s="7">
        <v>-2.1538000000000002E-2</v>
      </c>
      <c r="DA376" s="7">
        <v>15.314097</v>
      </c>
      <c r="DB376" s="7">
        <v>17.400950000000002</v>
      </c>
      <c r="DC376" s="7">
        <v>16.332519999999999</v>
      </c>
      <c r="DD376" s="7">
        <v>7.9891730000000001</v>
      </c>
      <c r="DE376" s="7">
        <v>0</v>
      </c>
      <c r="DF376" s="6"/>
      <c r="DG376" s="6"/>
      <c r="DH376" s="6"/>
      <c r="DI376" s="6"/>
      <c r="DJ376" s="7">
        <v>0</v>
      </c>
      <c r="DK376" s="7">
        <v>0</v>
      </c>
      <c r="DL376" s="7">
        <v>0</v>
      </c>
      <c r="DM376" s="7">
        <v>0</v>
      </c>
      <c r="DN376" s="7">
        <v>0</v>
      </c>
      <c r="DO376" s="7">
        <v>0</v>
      </c>
      <c r="DP376" s="6"/>
      <c r="DQ376" s="4" t="s">
        <v>125</v>
      </c>
    </row>
    <row r="377" spans="1:121" ht="20" customHeight="1" x14ac:dyDescent="0.15">
      <c r="A377" s="5">
        <v>2018</v>
      </c>
      <c r="B377" s="3" t="s">
        <v>235</v>
      </c>
      <c r="C377" s="4" t="str">
        <f t="shared" si="196"/>
        <v>0430011</v>
      </c>
      <c r="D377" s="4" t="s">
        <v>526</v>
      </c>
      <c r="E377" s="4" t="str">
        <f>"0435111"</f>
        <v>0435111</v>
      </c>
      <c r="F377" s="4" t="s">
        <v>327</v>
      </c>
      <c r="G377" s="7">
        <v>6</v>
      </c>
      <c r="H377" s="7">
        <v>8</v>
      </c>
      <c r="I377" s="4" t="s">
        <v>335</v>
      </c>
      <c r="J377" s="4" t="s">
        <v>330</v>
      </c>
      <c r="K377" s="7">
        <v>577.22425599999997</v>
      </c>
      <c r="L377" s="7">
        <v>1000</v>
      </c>
      <c r="M377" s="7">
        <v>57.722425999999999</v>
      </c>
      <c r="N377" s="7">
        <v>3</v>
      </c>
      <c r="O377" s="7">
        <v>1</v>
      </c>
      <c r="P377" s="7">
        <v>56.376837999999999</v>
      </c>
      <c r="Q377" s="7">
        <v>37.584558999999999</v>
      </c>
      <c r="R377" s="7">
        <v>50</v>
      </c>
      <c r="S377" s="7">
        <v>52.690486</v>
      </c>
      <c r="T377" s="7">
        <v>68.110418999999993</v>
      </c>
      <c r="U377" s="7">
        <v>35.126990999999997</v>
      </c>
      <c r="V377" s="7">
        <v>50</v>
      </c>
      <c r="W377" s="7">
        <v>45.195915999999997</v>
      </c>
      <c r="X377" s="7">
        <v>30.130610999999998</v>
      </c>
      <c r="Y377" s="7">
        <v>50</v>
      </c>
      <c r="Z377" s="7">
        <v>55.818828000000003</v>
      </c>
      <c r="AA377" s="7">
        <v>41.826976000000002</v>
      </c>
      <c r="AB377" s="7">
        <v>27.884651000000002</v>
      </c>
      <c r="AC377" s="7">
        <v>50</v>
      </c>
      <c r="AD377" s="7">
        <v>51.045571000000002</v>
      </c>
      <c r="AE377" s="7">
        <v>34.030380000000001</v>
      </c>
      <c r="AF377" s="7">
        <v>50</v>
      </c>
      <c r="AG377" s="7">
        <v>47.898817000000001</v>
      </c>
      <c r="AH377" s="7">
        <v>59.538013999999997</v>
      </c>
      <c r="AI377" s="7">
        <v>31.932545000000001</v>
      </c>
      <c r="AJ377" s="7">
        <v>50</v>
      </c>
      <c r="AK377" s="7">
        <v>15.41</v>
      </c>
      <c r="AL377" s="7">
        <v>13.99</v>
      </c>
      <c r="AM377" s="7">
        <v>11.63</v>
      </c>
      <c r="AN377" s="7">
        <v>0.51470700000000003</v>
      </c>
      <c r="AO377" s="7">
        <v>51.470669999999998</v>
      </c>
      <c r="AP377" s="7">
        <v>100</v>
      </c>
      <c r="AQ377" s="7">
        <v>0.43217</v>
      </c>
      <c r="AR377" s="7">
        <v>43.216983999999997</v>
      </c>
      <c r="AS377" s="7">
        <v>100</v>
      </c>
      <c r="AT377" s="7">
        <v>0.51030200000000003</v>
      </c>
      <c r="AU377" s="7">
        <v>0.52748200000000001</v>
      </c>
      <c r="AV377" s="7">
        <v>51.030199000000003</v>
      </c>
      <c r="AW377" s="7">
        <v>100</v>
      </c>
      <c r="AX377" s="7">
        <v>0.42728500000000003</v>
      </c>
      <c r="AY377" s="7">
        <v>0.446075</v>
      </c>
      <c r="AZ377" s="7">
        <v>42.728465999999997</v>
      </c>
      <c r="BA377" s="7">
        <v>100</v>
      </c>
      <c r="BB377" s="7">
        <v>0.55133299999999996</v>
      </c>
      <c r="BC377" s="7">
        <v>27.566669999999998</v>
      </c>
      <c r="BD377" s="7">
        <v>50</v>
      </c>
      <c r="BE377" s="7">
        <v>0.50139800000000001</v>
      </c>
      <c r="BF377" s="7">
        <v>25.06992</v>
      </c>
      <c r="BG377" s="7">
        <v>50</v>
      </c>
      <c r="BH377" s="7">
        <v>0</v>
      </c>
      <c r="BI377" s="7">
        <v>0.99725299999999995</v>
      </c>
      <c r="BJ377" s="7">
        <v>0.99644100000000002</v>
      </c>
      <c r="BK377" s="7">
        <v>1</v>
      </c>
      <c r="BL377" s="7">
        <v>0.98901099999999997</v>
      </c>
      <c r="BM377" s="7">
        <v>0.98810900000000002</v>
      </c>
      <c r="BN377" s="7">
        <v>0.99203200000000002</v>
      </c>
      <c r="BO377" s="7">
        <v>0.98559099999999999</v>
      </c>
      <c r="BP377" s="7">
        <v>0.980545</v>
      </c>
      <c r="BQ377" s="7">
        <v>1</v>
      </c>
      <c r="BR377" s="7">
        <v>0.10835599999999999</v>
      </c>
      <c r="BS377" s="7">
        <v>38.328741999999998</v>
      </c>
      <c r="BT377" s="7">
        <v>50</v>
      </c>
      <c r="BU377" s="7">
        <v>0.12801899999999999</v>
      </c>
      <c r="BV377" s="7">
        <v>34.396135000000001</v>
      </c>
      <c r="BW377" s="7">
        <v>50</v>
      </c>
      <c r="BX377" s="4" t="s">
        <v>124</v>
      </c>
      <c r="BY377" s="4" t="s">
        <v>124</v>
      </c>
      <c r="BZ377" s="4" t="s">
        <v>124</v>
      </c>
      <c r="CA377" s="4" t="s">
        <v>124</v>
      </c>
      <c r="CB377" s="4" t="s">
        <v>124</v>
      </c>
      <c r="CC377" s="4" t="s">
        <v>124</v>
      </c>
      <c r="CD377" s="7">
        <v>0.86549699999999996</v>
      </c>
      <c r="CE377" s="7">
        <v>46.037078999999999</v>
      </c>
      <c r="CF377" s="7">
        <v>50</v>
      </c>
      <c r="CG377" s="4" t="s">
        <v>124</v>
      </c>
      <c r="CH377" s="4" t="s">
        <v>124</v>
      </c>
      <c r="CI377" s="4" t="s">
        <v>124</v>
      </c>
      <c r="CJ377" s="4" t="s">
        <v>124</v>
      </c>
      <c r="CK377" s="4" t="s">
        <v>124</v>
      </c>
      <c r="CL377" s="4" t="s">
        <v>124</v>
      </c>
      <c r="CM377" s="4" t="s">
        <v>124</v>
      </c>
      <c r="CN377" s="4" t="s">
        <v>124</v>
      </c>
      <c r="CO377" s="4" t="s">
        <v>124</v>
      </c>
      <c r="CP377" s="4" t="s">
        <v>124</v>
      </c>
      <c r="CQ377" s="7">
        <v>0.31034499999999998</v>
      </c>
      <c r="CR377" s="7">
        <v>1.0041549999999999</v>
      </c>
      <c r="CS377" s="7">
        <v>20.689654999999998</v>
      </c>
      <c r="CT377" s="7">
        <v>50</v>
      </c>
      <c r="CU377" s="4" t="s">
        <v>124</v>
      </c>
      <c r="CV377" s="4" t="s">
        <v>124</v>
      </c>
      <c r="CW377" s="4" t="s">
        <v>124</v>
      </c>
      <c r="CX377" s="4" t="s">
        <v>124</v>
      </c>
      <c r="CY377" s="4" t="s">
        <v>124</v>
      </c>
      <c r="CZ377" s="4" t="s">
        <v>124</v>
      </c>
      <c r="DA377" s="7">
        <v>15.314097</v>
      </c>
      <c r="DB377" s="7">
        <v>17.400950000000002</v>
      </c>
      <c r="DC377" s="7">
        <v>16.332519999999999</v>
      </c>
      <c r="DD377" s="4" t="s">
        <v>124</v>
      </c>
      <c r="DE377" s="7">
        <v>1</v>
      </c>
      <c r="DF377" s="6"/>
      <c r="DG377" s="6"/>
      <c r="DH377" s="6"/>
      <c r="DI377" s="6"/>
      <c r="DJ377" s="7">
        <v>0</v>
      </c>
      <c r="DK377" s="7">
        <v>0</v>
      </c>
      <c r="DL377" s="7">
        <v>0</v>
      </c>
      <c r="DM377" s="7">
        <v>0</v>
      </c>
      <c r="DN377" s="7">
        <v>0</v>
      </c>
      <c r="DO377" s="7">
        <v>0</v>
      </c>
      <c r="DP377" s="6"/>
      <c r="DQ377" s="4" t="s">
        <v>125</v>
      </c>
    </row>
    <row r="378" spans="1:121" ht="20" customHeight="1" x14ac:dyDescent="0.15">
      <c r="A378" s="5">
        <v>2018</v>
      </c>
      <c r="B378" s="3" t="s">
        <v>235</v>
      </c>
      <c r="C378" s="4" t="str">
        <f t="shared" si="196"/>
        <v>0430011</v>
      </c>
      <c r="D378" s="4" t="s">
        <v>527</v>
      </c>
      <c r="E378" s="4" t="str">
        <f>"0432011"</f>
        <v>0432011</v>
      </c>
      <c r="F378" s="4" t="s">
        <v>327</v>
      </c>
      <c r="G378" s="4" t="s">
        <v>338</v>
      </c>
      <c r="H378" s="7">
        <v>5</v>
      </c>
      <c r="I378" s="4" t="s">
        <v>335</v>
      </c>
      <c r="J378" s="4" t="s">
        <v>330</v>
      </c>
      <c r="K378" s="7">
        <v>736.10019899999998</v>
      </c>
      <c r="L378" s="7">
        <v>950</v>
      </c>
      <c r="M378" s="7">
        <v>77.484230999999994</v>
      </c>
      <c r="N378" s="7">
        <v>2</v>
      </c>
      <c r="O378" s="7">
        <v>0</v>
      </c>
      <c r="P378" s="7">
        <v>71.007716000000002</v>
      </c>
      <c r="Q378" s="7">
        <v>47.338476999999997</v>
      </c>
      <c r="R378" s="7">
        <v>50</v>
      </c>
      <c r="S378" s="7">
        <v>67.256894000000003</v>
      </c>
      <c r="T378" s="7">
        <v>75</v>
      </c>
      <c r="U378" s="7">
        <v>44.83793</v>
      </c>
      <c r="V378" s="7">
        <v>50</v>
      </c>
      <c r="W378" s="7">
        <v>61.849159</v>
      </c>
      <c r="X378" s="7">
        <v>41.232773000000002</v>
      </c>
      <c r="Y378" s="7">
        <v>50</v>
      </c>
      <c r="Z378" s="7">
        <v>67.144532999999996</v>
      </c>
      <c r="AA378" s="7">
        <v>58.901220000000002</v>
      </c>
      <c r="AB378" s="7">
        <v>39.267479999999999</v>
      </c>
      <c r="AC378" s="7">
        <v>50</v>
      </c>
      <c r="AD378" s="7">
        <v>60.353316999999997</v>
      </c>
      <c r="AE378" s="7">
        <v>40.235545000000002</v>
      </c>
      <c r="AF378" s="7">
        <v>50</v>
      </c>
      <c r="AG378" s="7">
        <v>54.770429999999998</v>
      </c>
      <c r="AH378" s="7">
        <v>67.635344000000003</v>
      </c>
      <c r="AI378" s="7">
        <v>36.513620000000003</v>
      </c>
      <c r="AJ378" s="7">
        <v>50</v>
      </c>
      <c r="AK378" s="7">
        <v>7.74</v>
      </c>
      <c r="AL378" s="7">
        <v>8.24</v>
      </c>
      <c r="AM378" s="7">
        <v>12.86</v>
      </c>
      <c r="AN378" s="7">
        <v>0.79719499999999999</v>
      </c>
      <c r="AO378" s="7">
        <v>79.719538</v>
      </c>
      <c r="AP378" s="7">
        <v>100</v>
      </c>
      <c r="AQ378" s="7">
        <v>0.59343999999999997</v>
      </c>
      <c r="AR378" s="7">
        <v>59.343964</v>
      </c>
      <c r="AS378" s="7">
        <v>100</v>
      </c>
      <c r="AT378" s="7">
        <v>0.83401899999999995</v>
      </c>
      <c r="AU378" s="7">
        <v>0.74564200000000003</v>
      </c>
      <c r="AV378" s="7">
        <v>83.401926000000003</v>
      </c>
      <c r="AW378" s="7">
        <v>100</v>
      </c>
      <c r="AX378" s="7">
        <v>0.60035899999999998</v>
      </c>
      <c r="AY378" s="7">
        <v>0.58375200000000005</v>
      </c>
      <c r="AZ378" s="7">
        <v>60.035916999999998</v>
      </c>
      <c r="BA378" s="7">
        <v>100</v>
      </c>
      <c r="BB378" s="7">
        <v>0.75724000000000002</v>
      </c>
      <c r="BC378" s="7">
        <v>37.861994000000003</v>
      </c>
      <c r="BD378" s="7">
        <v>50</v>
      </c>
      <c r="BE378" s="7">
        <v>0.54580200000000001</v>
      </c>
      <c r="BF378" s="7">
        <v>27.290123999999999</v>
      </c>
      <c r="BG378" s="7">
        <v>50</v>
      </c>
      <c r="BH378" s="7">
        <v>0</v>
      </c>
      <c r="BI378" s="7">
        <v>1</v>
      </c>
      <c r="BJ378" s="7">
        <v>1</v>
      </c>
      <c r="BK378" s="7">
        <v>1</v>
      </c>
      <c r="BL378" s="7">
        <v>1</v>
      </c>
      <c r="BM378" s="7">
        <v>1</v>
      </c>
      <c r="BN378" s="7">
        <v>1</v>
      </c>
      <c r="BO378" s="7">
        <v>1</v>
      </c>
      <c r="BP378" s="7">
        <v>1</v>
      </c>
      <c r="BQ378" s="7">
        <v>1</v>
      </c>
      <c r="BR378" s="7">
        <v>5.7402000000000002E-2</v>
      </c>
      <c r="BS378" s="7">
        <v>48.519637000000003</v>
      </c>
      <c r="BT378" s="7">
        <v>50</v>
      </c>
      <c r="BU378" s="7">
        <v>7.4765999999999999E-2</v>
      </c>
      <c r="BV378" s="7">
        <v>45.046728999999999</v>
      </c>
      <c r="BW378" s="7">
        <v>50</v>
      </c>
      <c r="BX378" s="4" t="s">
        <v>124</v>
      </c>
      <c r="BY378" s="4" t="s">
        <v>124</v>
      </c>
      <c r="BZ378" s="4" t="s">
        <v>124</v>
      </c>
      <c r="CA378" s="4" t="s">
        <v>124</v>
      </c>
      <c r="CB378" s="4" t="s">
        <v>124</v>
      </c>
      <c r="CC378" s="4" t="s">
        <v>124</v>
      </c>
      <c r="CD378" s="4" t="s">
        <v>124</v>
      </c>
      <c r="CE378" s="4" t="s">
        <v>124</v>
      </c>
      <c r="CF378" s="4" t="s">
        <v>124</v>
      </c>
      <c r="CG378" s="4" t="s">
        <v>124</v>
      </c>
      <c r="CH378" s="4" t="s">
        <v>124</v>
      </c>
      <c r="CI378" s="4" t="s">
        <v>124</v>
      </c>
      <c r="CJ378" s="4" t="s">
        <v>124</v>
      </c>
      <c r="CK378" s="4" t="s">
        <v>124</v>
      </c>
      <c r="CL378" s="4" t="s">
        <v>124</v>
      </c>
      <c r="CM378" s="4" t="s">
        <v>124</v>
      </c>
      <c r="CN378" s="4" t="s">
        <v>124</v>
      </c>
      <c r="CO378" s="4" t="s">
        <v>124</v>
      </c>
      <c r="CP378" s="4" t="s">
        <v>124</v>
      </c>
      <c r="CQ378" s="7">
        <v>0.68181800000000004</v>
      </c>
      <c r="CR378" s="7">
        <v>1</v>
      </c>
      <c r="CS378" s="7">
        <v>45.454545000000003</v>
      </c>
      <c r="CT378" s="7">
        <v>50</v>
      </c>
      <c r="CU378" s="4" t="s">
        <v>124</v>
      </c>
      <c r="CV378" s="4" t="s">
        <v>124</v>
      </c>
      <c r="CW378" s="4" t="s">
        <v>124</v>
      </c>
      <c r="CX378" s="4" t="s">
        <v>124</v>
      </c>
      <c r="CY378" s="4" t="s">
        <v>124</v>
      </c>
      <c r="CZ378" s="4" t="s">
        <v>124</v>
      </c>
      <c r="DA378" s="7">
        <v>15.314097</v>
      </c>
      <c r="DB378" s="7">
        <v>17.400950000000002</v>
      </c>
      <c r="DC378" s="7">
        <v>16.332519999999999</v>
      </c>
      <c r="DD378" s="4" t="s">
        <v>124</v>
      </c>
      <c r="DE378" s="7">
        <v>0</v>
      </c>
      <c r="DF378" s="6"/>
      <c r="DG378" s="6"/>
      <c r="DH378" s="4" t="s">
        <v>331</v>
      </c>
      <c r="DI378" s="4" t="s">
        <v>528</v>
      </c>
      <c r="DJ378" s="7">
        <v>0</v>
      </c>
      <c r="DK378" s="7">
        <v>1</v>
      </c>
      <c r="DL378" s="7">
        <v>0</v>
      </c>
      <c r="DM378" s="7">
        <v>1</v>
      </c>
      <c r="DN378" s="7">
        <v>0</v>
      </c>
      <c r="DO378" s="7">
        <v>0</v>
      </c>
      <c r="DP378" s="6"/>
      <c r="DQ378" s="4" t="s">
        <v>125</v>
      </c>
    </row>
    <row r="379" spans="1:121" ht="20" customHeight="1" x14ac:dyDescent="0.15">
      <c r="A379" s="5">
        <v>2018</v>
      </c>
      <c r="B379" s="3" t="s">
        <v>235</v>
      </c>
      <c r="C379" s="4" t="str">
        <f t="shared" si="196"/>
        <v>0430011</v>
      </c>
      <c r="D379" s="4" t="s">
        <v>529</v>
      </c>
      <c r="E379" s="4" t="str">
        <f>"0430411"</f>
        <v>0430411</v>
      </c>
      <c r="F379" s="4" t="s">
        <v>327</v>
      </c>
      <c r="G379" s="4" t="s">
        <v>338</v>
      </c>
      <c r="H379" s="7">
        <v>5</v>
      </c>
      <c r="I379" s="4" t="s">
        <v>335</v>
      </c>
      <c r="J379" s="4" t="s">
        <v>330</v>
      </c>
      <c r="K379" s="7">
        <v>629.23961999999995</v>
      </c>
      <c r="L379" s="7">
        <v>950</v>
      </c>
      <c r="M379" s="7">
        <v>66.235748999999998</v>
      </c>
      <c r="N379" s="7">
        <v>3</v>
      </c>
      <c r="O379" s="7">
        <v>0</v>
      </c>
      <c r="P379" s="7">
        <v>67.333207999999999</v>
      </c>
      <c r="Q379" s="7">
        <v>44.888804999999998</v>
      </c>
      <c r="R379" s="7">
        <v>50</v>
      </c>
      <c r="S379" s="7">
        <v>62.998263000000001</v>
      </c>
      <c r="T379" s="7">
        <v>75</v>
      </c>
      <c r="U379" s="7">
        <v>41.998842000000003</v>
      </c>
      <c r="V379" s="7">
        <v>50</v>
      </c>
      <c r="W379" s="7">
        <v>56.502464000000003</v>
      </c>
      <c r="X379" s="7">
        <v>37.668309000000001</v>
      </c>
      <c r="Y379" s="7">
        <v>50</v>
      </c>
      <c r="Z379" s="7">
        <v>64.383179999999996</v>
      </c>
      <c r="AA379" s="7">
        <v>53.257463000000001</v>
      </c>
      <c r="AB379" s="7">
        <v>35.504975000000002</v>
      </c>
      <c r="AC379" s="7">
        <v>50</v>
      </c>
      <c r="AD379" s="7">
        <v>60.908154000000003</v>
      </c>
      <c r="AE379" s="7">
        <v>40.605435999999997</v>
      </c>
      <c r="AF379" s="7">
        <v>50</v>
      </c>
      <c r="AG379" s="7">
        <v>55.255789999999998</v>
      </c>
      <c r="AH379" s="4" t="s">
        <v>124</v>
      </c>
      <c r="AI379" s="7">
        <v>36.837192999999999</v>
      </c>
      <c r="AJ379" s="7">
        <v>50</v>
      </c>
      <c r="AK379" s="7">
        <v>12</v>
      </c>
      <c r="AL379" s="7">
        <v>11.12</v>
      </c>
      <c r="AM379" s="4" t="s">
        <v>124</v>
      </c>
      <c r="AN379" s="7">
        <v>0.72260400000000002</v>
      </c>
      <c r="AO379" s="7">
        <v>72.260352999999995</v>
      </c>
      <c r="AP379" s="7">
        <v>100</v>
      </c>
      <c r="AQ379" s="7">
        <v>0.60231299999999999</v>
      </c>
      <c r="AR379" s="7">
        <v>60.231321999999999</v>
      </c>
      <c r="AS379" s="7">
        <v>100</v>
      </c>
      <c r="AT379" s="7">
        <v>0.68056799999999995</v>
      </c>
      <c r="AU379" s="7">
        <v>0.806674</v>
      </c>
      <c r="AV379" s="7">
        <v>68.056820999999999</v>
      </c>
      <c r="AW379" s="7">
        <v>100</v>
      </c>
      <c r="AX379" s="7">
        <v>0.60201899999999997</v>
      </c>
      <c r="AY379" s="7">
        <v>0.60289300000000001</v>
      </c>
      <c r="AZ379" s="7">
        <v>60.201937999999998</v>
      </c>
      <c r="BA379" s="7">
        <v>100</v>
      </c>
      <c r="BB379" s="7">
        <v>0.78693100000000005</v>
      </c>
      <c r="BC379" s="7">
        <v>39.346569000000002</v>
      </c>
      <c r="BD379" s="7">
        <v>50</v>
      </c>
      <c r="BE379" s="7">
        <v>0.38197599999999998</v>
      </c>
      <c r="BF379" s="7">
        <v>19.098801000000002</v>
      </c>
      <c r="BG379" s="7">
        <v>50</v>
      </c>
      <c r="BH379" s="7">
        <v>0</v>
      </c>
      <c r="BI379" s="7">
        <v>1</v>
      </c>
      <c r="BJ379" s="7">
        <v>1</v>
      </c>
      <c r="BK379" s="7">
        <v>1</v>
      </c>
      <c r="BL379" s="7">
        <v>1</v>
      </c>
      <c r="BM379" s="7">
        <v>1</v>
      </c>
      <c r="BN379" s="7">
        <v>1</v>
      </c>
      <c r="BO379" s="7">
        <v>1</v>
      </c>
      <c r="BP379" s="7">
        <v>1</v>
      </c>
      <c r="BQ379" s="4" t="s">
        <v>124</v>
      </c>
      <c r="BR379" s="7">
        <v>0.20472399999999999</v>
      </c>
      <c r="BS379" s="7">
        <v>19.055118</v>
      </c>
      <c r="BT379" s="7">
        <v>50</v>
      </c>
      <c r="BU379" s="7">
        <v>0.25806499999999999</v>
      </c>
      <c r="BV379" s="7">
        <v>8.3870970000000007</v>
      </c>
      <c r="BW379" s="7">
        <v>50</v>
      </c>
      <c r="BX379" s="4" t="s">
        <v>124</v>
      </c>
      <c r="BY379" s="4" t="s">
        <v>124</v>
      </c>
      <c r="BZ379" s="4" t="s">
        <v>124</v>
      </c>
      <c r="CA379" s="4" t="s">
        <v>124</v>
      </c>
      <c r="CB379" s="4" t="s">
        <v>124</v>
      </c>
      <c r="CC379" s="4" t="s">
        <v>124</v>
      </c>
      <c r="CD379" s="4" t="s">
        <v>124</v>
      </c>
      <c r="CE379" s="4" t="s">
        <v>124</v>
      </c>
      <c r="CF379" s="4" t="s">
        <v>124</v>
      </c>
      <c r="CG379" s="4" t="s">
        <v>124</v>
      </c>
      <c r="CH379" s="4" t="s">
        <v>124</v>
      </c>
      <c r="CI379" s="4" t="s">
        <v>124</v>
      </c>
      <c r="CJ379" s="4" t="s">
        <v>124</v>
      </c>
      <c r="CK379" s="4" t="s">
        <v>124</v>
      </c>
      <c r="CL379" s="4" t="s">
        <v>124</v>
      </c>
      <c r="CM379" s="4" t="s">
        <v>124</v>
      </c>
      <c r="CN379" s="4" t="s">
        <v>124</v>
      </c>
      <c r="CO379" s="4" t="s">
        <v>124</v>
      </c>
      <c r="CP379" s="4" t="s">
        <v>124</v>
      </c>
      <c r="CQ379" s="7">
        <v>0.67647100000000004</v>
      </c>
      <c r="CR379" s="7">
        <v>0.95774599999999999</v>
      </c>
      <c r="CS379" s="7">
        <v>45.098039</v>
      </c>
      <c r="CT379" s="7">
        <v>50</v>
      </c>
      <c r="CU379" s="4" t="s">
        <v>124</v>
      </c>
      <c r="CV379" s="4" t="s">
        <v>124</v>
      </c>
      <c r="CW379" s="4" t="s">
        <v>124</v>
      </c>
      <c r="CX379" s="4" t="s">
        <v>124</v>
      </c>
      <c r="CY379" s="4" t="s">
        <v>124</v>
      </c>
      <c r="CZ379" s="4" t="s">
        <v>124</v>
      </c>
      <c r="DA379" s="7">
        <v>15.314097</v>
      </c>
      <c r="DB379" s="7">
        <v>17.400950000000002</v>
      </c>
      <c r="DC379" s="7">
        <v>16.332519999999999</v>
      </c>
      <c r="DD379" s="4" t="s">
        <v>124</v>
      </c>
      <c r="DE379" s="7">
        <v>0</v>
      </c>
      <c r="DF379" s="6"/>
      <c r="DG379" s="6"/>
      <c r="DH379" s="6"/>
      <c r="DI379" s="6"/>
      <c r="DJ379" s="7">
        <v>0</v>
      </c>
      <c r="DK379" s="7">
        <v>0</v>
      </c>
      <c r="DL379" s="7">
        <v>0</v>
      </c>
      <c r="DM379" s="7">
        <v>0</v>
      </c>
      <c r="DN379" s="7">
        <v>0</v>
      </c>
      <c r="DO379" s="7">
        <v>0</v>
      </c>
      <c r="DP379" s="6"/>
      <c r="DQ379" s="4" t="s">
        <v>125</v>
      </c>
    </row>
    <row r="380" spans="1:121" ht="20" customHeight="1" x14ac:dyDescent="0.15">
      <c r="A380" s="5">
        <v>2018</v>
      </c>
      <c r="B380" s="3" t="s">
        <v>235</v>
      </c>
      <c r="C380" s="4" t="str">
        <f t="shared" si="196"/>
        <v>0430011</v>
      </c>
      <c r="D380" s="4" t="s">
        <v>530</v>
      </c>
      <c r="E380" s="4" t="str">
        <f>"0431811"</f>
        <v>0431811</v>
      </c>
      <c r="F380" s="4" t="s">
        <v>327</v>
      </c>
      <c r="G380" s="4" t="s">
        <v>338</v>
      </c>
      <c r="H380" s="7">
        <v>5</v>
      </c>
      <c r="I380" s="4" t="s">
        <v>335</v>
      </c>
      <c r="J380" s="4" t="s">
        <v>330</v>
      </c>
      <c r="K380" s="7">
        <v>601.04472699999997</v>
      </c>
      <c r="L380" s="7">
        <v>950</v>
      </c>
      <c r="M380" s="7">
        <v>63.267865999999998</v>
      </c>
      <c r="N380" s="7">
        <v>3</v>
      </c>
      <c r="O380" s="7">
        <v>0</v>
      </c>
      <c r="P380" s="7">
        <v>55.825719999999997</v>
      </c>
      <c r="Q380" s="7">
        <v>37.217146999999997</v>
      </c>
      <c r="R380" s="7">
        <v>50</v>
      </c>
      <c r="S380" s="7">
        <v>53.717112</v>
      </c>
      <c r="T380" s="7">
        <v>68.552678</v>
      </c>
      <c r="U380" s="7">
        <v>35.811408</v>
      </c>
      <c r="V380" s="7">
        <v>50</v>
      </c>
      <c r="W380" s="7">
        <v>46.895107000000003</v>
      </c>
      <c r="X380" s="7">
        <v>31.263404999999999</v>
      </c>
      <c r="Y380" s="7">
        <v>50</v>
      </c>
      <c r="Z380" s="7">
        <v>56.527757999999999</v>
      </c>
      <c r="AA380" s="7">
        <v>45.289664999999999</v>
      </c>
      <c r="AB380" s="7">
        <v>30.193110000000001</v>
      </c>
      <c r="AC380" s="7">
        <v>50</v>
      </c>
      <c r="AD380" s="7">
        <v>53.998367000000002</v>
      </c>
      <c r="AE380" s="7">
        <v>35.998911</v>
      </c>
      <c r="AF380" s="7">
        <v>50</v>
      </c>
      <c r="AG380" s="7">
        <v>51.711122000000003</v>
      </c>
      <c r="AH380" s="4" t="s">
        <v>124</v>
      </c>
      <c r="AI380" s="7">
        <v>34.474080999999998</v>
      </c>
      <c r="AJ380" s="7">
        <v>50</v>
      </c>
      <c r="AK380" s="7">
        <v>14.83</v>
      </c>
      <c r="AL380" s="7">
        <v>11.23</v>
      </c>
      <c r="AM380" s="4" t="s">
        <v>124</v>
      </c>
      <c r="AN380" s="7">
        <v>0.60628499999999996</v>
      </c>
      <c r="AO380" s="7">
        <v>60.628535999999997</v>
      </c>
      <c r="AP380" s="7">
        <v>100</v>
      </c>
      <c r="AQ380" s="7">
        <v>0.54816500000000001</v>
      </c>
      <c r="AR380" s="7">
        <v>54.816454999999998</v>
      </c>
      <c r="AS380" s="7">
        <v>100</v>
      </c>
      <c r="AT380" s="7">
        <v>0.57193099999999997</v>
      </c>
      <c r="AU380" s="7">
        <v>0.78898800000000002</v>
      </c>
      <c r="AV380" s="7">
        <v>57.193109999999997</v>
      </c>
      <c r="AW380" s="7">
        <v>100</v>
      </c>
      <c r="AX380" s="7">
        <v>0.54135800000000001</v>
      </c>
      <c r="AY380" s="7">
        <v>0.58405399999999996</v>
      </c>
      <c r="AZ380" s="7">
        <v>54.135787999999998</v>
      </c>
      <c r="BA380" s="7">
        <v>100</v>
      </c>
      <c r="BB380" s="7">
        <v>0.55996800000000002</v>
      </c>
      <c r="BC380" s="7">
        <v>27.998394000000001</v>
      </c>
      <c r="BD380" s="7">
        <v>50</v>
      </c>
      <c r="BE380" s="7">
        <v>0.556643</v>
      </c>
      <c r="BF380" s="7">
        <v>27.832160999999999</v>
      </c>
      <c r="BG380" s="7">
        <v>50</v>
      </c>
      <c r="BH380" s="7">
        <v>0</v>
      </c>
      <c r="BI380" s="7">
        <v>0.99543400000000004</v>
      </c>
      <c r="BJ380" s="7">
        <v>0.99465199999999998</v>
      </c>
      <c r="BK380" s="7">
        <v>1</v>
      </c>
      <c r="BL380" s="7">
        <v>0.99541299999999999</v>
      </c>
      <c r="BM380" s="7">
        <v>0.99462399999999995</v>
      </c>
      <c r="BN380" s="7">
        <v>1</v>
      </c>
      <c r="BO380" s="7">
        <v>1</v>
      </c>
      <c r="BP380" s="7">
        <v>1</v>
      </c>
      <c r="BQ380" s="4" t="s">
        <v>124</v>
      </c>
      <c r="BR380" s="7">
        <v>0.110276</v>
      </c>
      <c r="BS380" s="7">
        <v>37.944862000000001</v>
      </c>
      <c r="BT380" s="7">
        <v>50</v>
      </c>
      <c r="BU380" s="7">
        <v>0.12138699999999999</v>
      </c>
      <c r="BV380" s="7">
        <v>35.722543000000002</v>
      </c>
      <c r="BW380" s="7">
        <v>50</v>
      </c>
      <c r="BX380" s="4" t="s">
        <v>124</v>
      </c>
      <c r="BY380" s="4" t="s">
        <v>124</v>
      </c>
      <c r="BZ380" s="4" t="s">
        <v>124</v>
      </c>
      <c r="CA380" s="4" t="s">
        <v>124</v>
      </c>
      <c r="CB380" s="4" t="s">
        <v>124</v>
      </c>
      <c r="CC380" s="4" t="s">
        <v>124</v>
      </c>
      <c r="CD380" s="4" t="s">
        <v>124</v>
      </c>
      <c r="CE380" s="4" t="s">
        <v>124</v>
      </c>
      <c r="CF380" s="4" t="s">
        <v>124</v>
      </c>
      <c r="CG380" s="4" t="s">
        <v>124</v>
      </c>
      <c r="CH380" s="4" t="s">
        <v>124</v>
      </c>
      <c r="CI380" s="4" t="s">
        <v>124</v>
      </c>
      <c r="CJ380" s="4" t="s">
        <v>124</v>
      </c>
      <c r="CK380" s="4" t="s">
        <v>124</v>
      </c>
      <c r="CL380" s="4" t="s">
        <v>124</v>
      </c>
      <c r="CM380" s="4" t="s">
        <v>124</v>
      </c>
      <c r="CN380" s="4" t="s">
        <v>124</v>
      </c>
      <c r="CO380" s="4" t="s">
        <v>124</v>
      </c>
      <c r="CP380" s="4" t="s">
        <v>124</v>
      </c>
      <c r="CQ380" s="7">
        <v>0.59722200000000003</v>
      </c>
      <c r="CR380" s="7">
        <v>1.0140849999999999</v>
      </c>
      <c r="CS380" s="7">
        <v>39.814815000000003</v>
      </c>
      <c r="CT380" s="7">
        <v>50</v>
      </c>
      <c r="CU380" s="4" t="s">
        <v>124</v>
      </c>
      <c r="CV380" s="4" t="s">
        <v>124</v>
      </c>
      <c r="CW380" s="4" t="s">
        <v>124</v>
      </c>
      <c r="CX380" s="4" t="s">
        <v>124</v>
      </c>
      <c r="CY380" s="4" t="s">
        <v>124</v>
      </c>
      <c r="CZ380" s="4" t="s">
        <v>124</v>
      </c>
      <c r="DA380" s="7">
        <v>15.314097</v>
      </c>
      <c r="DB380" s="7">
        <v>17.400950000000002</v>
      </c>
      <c r="DC380" s="7">
        <v>16.332519999999999</v>
      </c>
      <c r="DD380" s="4" t="s">
        <v>124</v>
      </c>
      <c r="DE380" s="7">
        <v>0</v>
      </c>
      <c r="DF380" s="6"/>
      <c r="DG380" s="6"/>
      <c r="DH380" s="6"/>
      <c r="DI380" s="6"/>
      <c r="DJ380" s="7">
        <v>0</v>
      </c>
      <c r="DK380" s="7">
        <v>0</v>
      </c>
      <c r="DL380" s="7">
        <v>0</v>
      </c>
      <c r="DM380" s="7">
        <v>0</v>
      </c>
      <c r="DN380" s="7">
        <v>0</v>
      </c>
      <c r="DO380" s="7">
        <v>0</v>
      </c>
      <c r="DP380" s="6"/>
      <c r="DQ380" s="4" t="s">
        <v>125</v>
      </c>
    </row>
    <row r="381" spans="1:121" ht="20" customHeight="1" x14ac:dyDescent="0.15">
      <c r="A381" s="5">
        <v>2018</v>
      </c>
      <c r="B381" s="3" t="s">
        <v>235</v>
      </c>
      <c r="C381" s="4" t="str">
        <f t="shared" si="196"/>
        <v>0430011</v>
      </c>
      <c r="D381" s="4" t="s">
        <v>531</v>
      </c>
      <c r="E381" s="4" t="str">
        <f>"0431211"</f>
        <v>0431211</v>
      </c>
      <c r="F381" s="4" t="s">
        <v>327</v>
      </c>
      <c r="G381" s="4" t="s">
        <v>328</v>
      </c>
      <c r="H381" s="7">
        <v>5</v>
      </c>
      <c r="I381" s="4" t="s">
        <v>335</v>
      </c>
      <c r="J381" s="4" t="s">
        <v>330</v>
      </c>
      <c r="K381" s="7">
        <v>618.57257400000003</v>
      </c>
      <c r="L381" s="7">
        <v>950</v>
      </c>
      <c r="M381" s="7">
        <v>65.112902000000005</v>
      </c>
      <c r="N381" s="7">
        <v>3</v>
      </c>
      <c r="O381" s="7">
        <v>0</v>
      </c>
      <c r="P381" s="7">
        <v>58.697513999999998</v>
      </c>
      <c r="Q381" s="7">
        <v>39.131675999999999</v>
      </c>
      <c r="R381" s="7">
        <v>50</v>
      </c>
      <c r="S381" s="7">
        <v>57.349893999999999</v>
      </c>
      <c r="T381" s="4" t="s">
        <v>124</v>
      </c>
      <c r="U381" s="7">
        <v>38.233263000000001</v>
      </c>
      <c r="V381" s="7">
        <v>50</v>
      </c>
      <c r="W381" s="7">
        <v>49.135486</v>
      </c>
      <c r="X381" s="7">
        <v>32.756990000000002</v>
      </c>
      <c r="Y381" s="7">
        <v>50</v>
      </c>
      <c r="Z381" s="4" t="s">
        <v>124</v>
      </c>
      <c r="AA381" s="7">
        <v>47.433534000000002</v>
      </c>
      <c r="AB381" s="7">
        <v>31.622356</v>
      </c>
      <c r="AC381" s="7">
        <v>50</v>
      </c>
      <c r="AD381" s="7">
        <v>54.344574999999999</v>
      </c>
      <c r="AE381" s="7">
        <v>36.229717000000001</v>
      </c>
      <c r="AF381" s="7">
        <v>50</v>
      </c>
      <c r="AG381" s="7">
        <v>53.086849000000001</v>
      </c>
      <c r="AH381" s="4" t="s">
        <v>124</v>
      </c>
      <c r="AI381" s="7">
        <v>35.391232000000002</v>
      </c>
      <c r="AJ381" s="7">
        <v>50</v>
      </c>
      <c r="AK381" s="4" t="s">
        <v>124</v>
      </c>
      <c r="AL381" s="4" t="s">
        <v>124</v>
      </c>
      <c r="AM381" s="4" t="s">
        <v>124</v>
      </c>
      <c r="AN381" s="7">
        <v>0.606931</v>
      </c>
      <c r="AO381" s="7">
        <v>60.693100000000001</v>
      </c>
      <c r="AP381" s="7">
        <v>100</v>
      </c>
      <c r="AQ381" s="7">
        <v>0.65545699999999996</v>
      </c>
      <c r="AR381" s="7">
        <v>65.545651000000007</v>
      </c>
      <c r="AS381" s="7">
        <v>100</v>
      </c>
      <c r="AT381" s="7">
        <v>0.60582499999999995</v>
      </c>
      <c r="AU381" s="4" t="s">
        <v>124</v>
      </c>
      <c r="AV381" s="7">
        <v>60.582456999999998</v>
      </c>
      <c r="AW381" s="7">
        <v>100</v>
      </c>
      <c r="AX381" s="7">
        <v>0.61777800000000005</v>
      </c>
      <c r="AY381" s="4" t="s">
        <v>124</v>
      </c>
      <c r="AZ381" s="7">
        <v>61.777773000000003</v>
      </c>
      <c r="BA381" s="7">
        <v>100</v>
      </c>
      <c r="BB381" s="7">
        <v>0.68450500000000003</v>
      </c>
      <c r="BC381" s="7">
        <v>34.225262000000001</v>
      </c>
      <c r="BD381" s="7">
        <v>50</v>
      </c>
      <c r="BE381" s="7">
        <v>0.55899900000000002</v>
      </c>
      <c r="BF381" s="7">
        <v>27.949954999999999</v>
      </c>
      <c r="BG381" s="7">
        <v>50</v>
      </c>
      <c r="BH381" s="7">
        <v>0</v>
      </c>
      <c r="BI381" s="7">
        <v>0.99275400000000003</v>
      </c>
      <c r="BJ381" s="7">
        <v>0.99187000000000003</v>
      </c>
      <c r="BK381" s="4" t="s">
        <v>124</v>
      </c>
      <c r="BL381" s="7">
        <v>0.99270099999999994</v>
      </c>
      <c r="BM381" s="7">
        <v>0.99180299999999999</v>
      </c>
      <c r="BN381" s="4" t="s">
        <v>124</v>
      </c>
      <c r="BO381" s="7">
        <v>0.97916700000000001</v>
      </c>
      <c r="BP381" s="7">
        <v>0.97674399999999995</v>
      </c>
      <c r="BQ381" s="4" t="s">
        <v>124</v>
      </c>
      <c r="BR381" s="7">
        <v>0.17948700000000001</v>
      </c>
      <c r="BS381" s="7">
        <v>24.102564000000001</v>
      </c>
      <c r="BT381" s="7">
        <v>50</v>
      </c>
      <c r="BU381" s="7">
        <v>0.198347</v>
      </c>
      <c r="BV381" s="7">
        <v>20.330579</v>
      </c>
      <c r="BW381" s="7">
        <v>50</v>
      </c>
      <c r="BX381" s="4" t="s">
        <v>124</v>
      </c>
      <c r="BY381" s="4" t="s">
        <v>124</v>
      </c>
      <c r="BZ381" s="4" t="s">
        <v>124</v>
      </c>
      <c r="CA381" s="4" t="s">
        <v>124</v>
      </c>
      <c r="CB381" s="4" t="s">
        <v>124</v>
      </c>
      <c r="CC381" s="4" t="s">
        <v>124</v>
      </c>
      <c r="CD381" s="4" t="s">
        <v>124</v>
      </c>
      <c r="CE381" s="4" t="s">
        <v>124</v>
      </c>
      <c r="CF381" s="4" t="s">
        <v>124</v>
      </c>
      <c r="CG381" s="4" t="s">
        <v>124</v>
      </c>
      <c r="CH381" s="4" t="s">
        <v>124</v>
      </c>
      <c r="CI381" s="4" t="s">
        <v>124</v>
      </c>
      <c r="CJ381" s="4" t="s">
        <v>124</v>
      </c>
      <c r="CK381" s="4" t="s">
        <v>124</v>
      </c>
      <c r="CL381" s="4" t="s">
        <v>124</v>
      </c>
      <c r="CM381" s="4" t="s">
        <v>124</v>
      </c>
      <c r="CN381" s="4" t="s">
        <v>124</v>
      </c>
      <c r="CO381" s="4" t="s">
        <v>124</v>
      </c>
      <c r="CP381" s="4" t="s">
        <v>124</v>
      </c>
      <c r="CQ381" s="7">
        <v>0.764706</v>
      </c>
      <c r="CR381" s="7">
        <v>1.030303</v>
      </c>
      <c r="CS381" s="7">
        <v>50</v>
      </c>
      <c r="CT381" s="7">
        <v>50</v>
      </c>
      <c r="CU381" s="4" t="s">
        <v>124</v>
      </c>
      <c r="CV381" s="4" t="s">
        <v>124</v>
      </c>
      <c r="CW381" s="4" t="s">
        <v>124</v>
      </c>
      <c r="CX381" s="4" t="s">
        <v>124</v>
      </c>
      <c r="CY381" s="4" t="s">
        <v>124</v>
      </c>
      <c r="CZ381" s="4" t="s">
        <v>124</v>
      </c>
      <c r="DA381" s="7">
        <v>15.314097</v>
      </c>
      <c r="DB381" s="7">
        <v>17.400950000000002</v>
      </c>
      <c r="DC381" s="7">
        <v>16.332519999999999</v>
      </c>
      <c r="DD381" s="4" t="s">
        <v>124</v>
      </c>
      <c r="DE381" s="7">
        <v>0</v>
      </c>
      <c r="DF381" s="6"/>
      <c r="DG381" s="6"/>
      <c r="DH381" s="6"/>
      <c r="DI381" s="6"/>
      <c r="DJ381" s="7">
        <v>0</v>
      </c>
      <c r="DK381" s="7">
        <v>0</v>
      </c>
      <c r="DL381" s="7">
        <v>0</v>
      </c>
      <c r="DM381" s="7">
        <v>0</v>
      </c>
      <c r="DN381" s="7">
        <v>0</v>
      </c>
      <c r="DO381" s="7">
        <v>0</v>
      </c>
      <c r="DP381" s="6"/>
      <c r="DQ381" s="4" t="s">
        <v>125</v>
      </c>
    </row>
    <row r="382" spans="1:121" ht="20" customHeight="1" x14ac:dyDescent="0.15">
      <c r="A382" s="5">
        <v>2018</v>
      </c>
      <c r="B382" s="3" t="s">
        <v>235</v>
      </c>
      <c r="C382" s="4" t="str">
        <f t="shared" si="196"/>
        <v>0430011</v>
      </c>
      <c r="D382" s="4" t="s">
        <v>532</v>
      </c>
      <c r="E382" s="4" t="str">
        <f>"0432411"</f>
        <v>0432411</v>
      </c>
      <c r="F382" s="4" t="s">
        <v>327</v>
      </c>
      <c r="G382" s="7">
        <v>6</v>
      </c>
      <c r="H382" s="7">
        <v>8</v>
      </c>
      <c r="I382" s="4" t="s">
        <v>335</v>
      </c>
      <c r="J382" s="4" t="s">
        <v>330</v>
      </c>
      <c r="K382" s="7">
        <v>630.48247600000002</v>
      </c>
      <c r="L382" s="7">
        <v>900</v>
      </c>
      <c r="M382" s="7">
        <v>70.053607999999997</v>
      </c>
      <c r="N382" s="7">
        <v>3</v>
      </c>
      <c r="O382" s="7">
        <v>1</v>
      </c>
      <c r="P382" s="7">
        <v>63.071179000000001</v>
      </c>
      <c r="Q382" s="7">
        <v>42.047452999999997</v>
      </c>
      <c r="R382" s="7">
        <v>50</v>
      </c>
      <c r="S382" s="7">
        <v>56.228560000000002</v>
      </c>
      <c r="T382" s="7">
        <v>72.960902000000004</v>
      </c>
      <c r="U382" s="7">
        <v>37.485706999999998</v>
      </c>
      <c r="V382" s="7">
        <v>50</v>
      </c>
      <c r="W382" s="7">
        <v>55.349110000000003</v>
      </c>
      <c r="X382" s="7">
        <v>36.899406999999997</v>
      </c>
      <c r="Y382" s="7">
        <v>50</v>
      </c>
      <c r="Z382" s="7">
        <v>65.27852</v>
      </c>
      <c r="AA382" s="7">
        <v>48.403948999999997</v>
      </c>
      <c r="AB382" s="7">
        <v>32.269298999999997</v>
      </c>
      <c r="AC382" s="7">
        <v>50</v>
      </c>
      <c r="AD382" s="7">
        <v>63.066150999999998</v>
      </c>
      <c r="AE382" s="7">
        <v>42.0441</v>
      </c>
      <c r="AF382" s="7">
        <v>50</v>
      </c>
      <c r="AG382" s="7">
        <v>54.377930999999997</v>
      </c>
      <c r="AH382" s="7">
        <v>72.116378999999995</v>
      </c>
      <c r="AI382" s="7">
        <v>36.251953999999998</v>
      </c>
      <c r="AJ382" s="7">
        <v>50</v>
      </c>
      <c r="AK382" s="7">
        <v>16.73</v>
      </c>
      <c r="AL382" s="7">
        <v>16.87</v>
      </c>
      <c r="AM382" s="7">
        <v>17.73</v>
      </c>
      <c r="AN382" s="7">
        <v>0.53687499999999999</v>
      </c>
      <c r="AO382" s="7">
        <v>53.687457999999999</v>
      </c>
      <c r="AP382" s="7">
        <v>100</v>
      </c>
      <c r="AQ382" s="7">
        <v>0.64487000000000005</v>
      </c>
      <c r="AR382" s="7">
        <v>64.487016999999994</v>
      </c>
      <c r="AS382" s="7">
        <v>100</v>
      </c>
      <c r="AT382" s="7">
        <v>0.48432599999999998</v>
      </c>
      <c r="AU382" s="7">
        <v>0.60275100000000004</v>
      </c>
      <c r="AV382" s="7">
        <v>48.432611999999999</v>
      </c>
      <c r="AW382" s="7">
        <v>100</v>
      </c>
      <c r="AX382" s="7">
        <v>0.60946999999999996</v>
      </c>
      <c r="AY382" s="7">
        <v>0.68873600000000001</v>
      </c>
      <c r="AZ382" s="7">
        <v>60.946950000000001</v>
      </c>
      <c r="BA382" s="7">
        <v>100</v>
      </c>
      <c r="BB382" s="4" t="s">
        <v>124</v>
      </c>
      <c r="BC382" s="4" t="s">
        <v>124</v>
      </c>
      <c r="BD382" s="4" t="s">
        <v>124</v>
      </c>
      <c r="BE382" s="4" t="s">
        <v>124</v>
      </c>
      <c r="BF382" s="4" t="s">
        <v>124</v>
      </c>
      <c r="BG382" s="4" t="s">
        <v>124</v>
      </c>
      <c r="BH382" s="7">
        <v>0</v>
      </c>
      <c r="BI382" s="7">
        <v>0.99685500000000005</v>
      </c>
      <c r="BJ382" s="7">
        <v>0.99468100000000004</v>
      </c>
      <c r="BK382" s="7">
        <v>1</v>
      </c>
      <c r="BL382" s="7">
        <v>0.99369099999999999</v>
      </c>
      <c r="BM382" s="7">
        <v>0.98930499999999999</v>
      </c>
      <c r="BN382" s="7">
        <v>1</v>
      </c>
      <c r="BO382" s="7">
        <v>0.98989899999999997</v>
      </c>
      <c r="BP382" s="7">
        <v>0.98039200000000004</v>
      </c>
      <c r="BQ382" s="7">
        <v>1</v>
      </c>
      <c r="BR382" s="7">
        <v>6.0510000000000001E-2</v>
      </c>
      <c r="BS382" s="7">
        <v>47.898088999999999</v>
      </c>
      <c r="BT382" s="7">
        <v>50</v>
      </c>
      <c r="BU382" s="7">
        <v>7.9545000000000005E-2</v>
      </c>
      <c r="BV382" s="7">
        <v>44.090909000000003</v>
      </c>
      <c r="BW382" s="7">
        <v>50</v>
      </c>
      <c r="BX382" s="4" t="s">
        <v>124</v>
      </c>
      <c r="BY382" s="4" t="s">
        <v>124</v>
      </c>
      <c r="BZ382" s="4" t="s">
        <v>124</v>
      </c>
      <c r="CA382" s="4" t="s">
        <v>124</v>
      </c>
      <c r="CB382" s="4" t="s">
        <v>124</v>
      </c>
      <c r="CC382" s="4" t="s">
        <v>124</v>
      </c>
      <c r="CD382" s="7">
        <v>0.86597900000000005</v>
      </c>
      <c r="CE382" s="7">
        <v>46.062733000000001</v>
      </c>
      <c r="CF382" s="7">
        <v>50</v>
      </c>
      <c r="CG382" s="4" t="s">
        <v>124</v>
      </c>
      <c r="CH382" s="4" t="s">
        <v>124</v>
      </c>
      <c r="CI382" s="4" t="s">
        <v>124</v>
      </c>
      <c r="CJ382" s="4" t="s">
        <v>124</v>
      </c>
      <c r="CK382" s="4" t="s">
        <v>124</v>
      </c>
      <c r="CL382" s="4" t="s">
        <v>124</v>
      </c>
      <c r="CM382" s="4" t="s">
        <v>124</v>
      </c>
      <c r="CN382" s="4" t="s">
        <v>124</v>
      </c>
      <c r="CO382" s="4" t="s">
        <v>124</v>
      </c>
      <c r="CP382" s="4" t="s">
        <v>124</v>
      </c>
      <c r="CQ382" s="7">
        <v>0.56818199999999996</v>
      </c>
      <c r="CR382" s="7">
        <v>1.0232559999999999</v>
      </c>
      <c r="CS382" s="7">
        <v>37.878788</v>
      </c>
      <c r="CT382" s="7">
        <v>50</v>
      </c>
      <c r="CU382" s="4" t="s">
        <v>124</v>
      </c>
      <c r="CV382" s="4" t="s">
        <v>124</v>
      </c>
      <c r="CW382" s="4" t="s">
        <v>124</v>
      </c>
      <c r="CX382" s="4" t="s">
        <v>124</v>
      </c>
      <c r="CY382" s="4" t="s">
        <v>124</v>
      </c>
      <c r="CZ382" s="4" t="s">
        <v>124</v>
      </c>
      <c r="DA382" s="7">
        <v>15.314097</v>
      </c>
      <c r="DB382" s="7">
        <v>17.400950000000002</v>
      </c>
      <c r="DC382" s="7">
        <v>16.332519999999999</v>
      </c>
      <c r="DD382" s="4" t="s">
        <v>124</v>
      </c>
      <c r="DE382" s="7">
        <v>1</v>
      </c>
      <c r="DF382" s="6"/>
      <c r="DG382" s="6"/>
      <c r="DH382" s="6"/>
      <c r="DI382" s="6"/>
      <c r="DJ382" s="7">
        <v>0</v>
      </c>
      <c r="DK382" s="7">
        <v>0</v>
      </c>
      <c r="DL382" s="7">
        <v>0</v>
      </c>
      <c r="DM382" s="7">
        <v>0</v>
      </c>
      <c r="DN382" s="7">
        <v>0</v>
      </c>
      <c r="DO382" s="7">
        <v>0</v>
      </c>
      <c r="DP382" s="6"/>
      <c r="DQ382" s="4" t="s">
        <v>125</v>
      </c>
    </row>
    <row r="383" spans="1:121" ht="20" customHeight="1" x14ac:dyDescent="0.15">
      <c r="A383" s="5">
        <v>2018</v>
      </c>
      <c r="B383" s="3" t="s">
        <v>235</v>
      </c>
      <c r="C383" s="4" t="str">
        <f t="shared" si="196"/>
        <v>0430011</v>
      </c>
      <c r="D383" s="4" t="s">
        <v>533</v>
      </c>
      <c r="E383" s="4" t="str">
        <f>"0436411"</f>
        <v>0436411</v>
      </c>
      <c r="F383" s="4" t="s">
        <v>327</v>
      </c>
      <c r="G383" s="7">
        <v>9</v>
      </c>
      <c r="H383" s="7">
        <v>12</v>
      </c>
      <c r="I383" s="6"/>
      <c r="J383" s="4" t="s">
        <v>330</v>
      </c>
      <c r="K383" s="7">
        <v>433.58034500000002</v>
      </c>
      <c r="L383" s="7">
        <v>1000</v>
      </c>
      <c r="M383" s="7">
        <v>43.358035000000001</v>
      </c>
      <c r="N383" s="7">
        <v>3</v>
      </c>
      <c r="O383" s="7">
        <v>0</v>
      </c>
      <c r="P383" s="7">
        <v>30.468254000000002</v>
      </c>
      <c r="Q383" s="7">
        <v>60.936508000000003</v>
      </c>
      <c r="R383" s="7">
        <v>150</v>
      </c>
      <c r="S383" s="4" t="s">
        <v>124</v>
      </c>
      <c r="T383" s="4" t="s">
        <v>124</v>
      </c>
      <c r="U383" s="4" t="s">
        <v>124</v>
      </c>
      <c r="V383" s="4" t="s">
        <v>124</v>
      </c>
      <c r="W383" s="7">
        <v>28.285713999999999</v>
      </c>
      <c r="X383" s="7">
        <v>56.571429000000002</v>
      </c>
      <c r="Y383" s="7">
        <v>150</v>
      </c>
      <c r="Z383" s="4" t="s">
        <v>124</v>
      </c>
      <c r="AA383" s="4" t="s">
        <v>124</v>
      </c>
      <c r="AB383" s="4" t="s">
        <v>124</v>
      </c>
      <c r="AC383" s="4" t="s">
        <v>124</v>
      </c>
      <c r="AD383" s="7">
        <v>24.860806</v>
      </c>
      <c r="AE383" s="7">
        <v>33.147741000000003</v>
      </c>
      <c r="AF383" s="7">
        <v>100</v>
      </c>
      <c r="AG383" s="4" t="s">
        <v>124</v>
      </c>
      <c r="AH383" s="4" t="s">
        <v>124</v>
      </c>
      <c r="AI383" s="4" t="s">
        <v>124</v>
      </c>
      <c r="AJ383" s="4" t="s">
        <v>124</v>
      </c>
      <c r="AK383" s="4" t="s">
        <v>124</v>
      </c>
      <c r="AL383" s="4" t="s">
        <v>124</v>
      </c>
      <c r="AM383" s="4" t="s">
        <v>124</v>
      </c>
      <c r="AN383" s="4" t="s">
        <v>124</v>
      </c>
      <c r="AO383" s="4" t="s">
        <v>124</v>
      </c>
      <c r="AP383" s="4" t="s">
        <v>124</v>
      </c>
      <c r="AQ383" s="4" t="s">
        <v>124</v>
      </c>
      <c r="AR383" s="4" t="s">
        <v>124</v>
      </c>
      <c r="AS383" s="4" t="s">
        <v>124</v>
      </c>
      <c r="AT383" s="4" t="s">
        <v>124</v>
      </c>
      <c r="AU383" s="4" t="s">
        <v>124</v>
      </c>
      <c r="AV383" s="4" t="s">
        <v>124</v>
      </c>
      <c r="AW383" s="4" t="s">
        <v>124</v>
      </c>
      <c r="AX383" s="4" t="s">
        <v>124</v>
      </c>
      <c r="AY383" s="4" t="s">
        <v>124</v>
      </c>
      <c r="AZ383" s="4" t="s">
        <v>124</v>
      </c>
      <c r="BA383" s="4" t="s">
        <v>124</v>
      </c>
      <c r="BB383" s="4" t="s">
        <v>124</v>
      </c>
      <c r="BC383" s="4" t="s">
        <v>124</v>
      </c>
      <c r="BD383" s="4" t="s">
        <v>124</v>
      </c>
      <c r="BE383" s="4" t="s">
        <v>124</v>
      </c>
      <c r="BF383" s="4" t="s">
        <v>124</v>
      </c>
      <c r="BG383" s="4" t="s">
        <v>124</v>
      </c>
      <c r="BH383" s="7">
        <v>1</v>
      </c>
      <c r="BI383" s="7">
        <v>0.894737</v>
      </c>
      <c r="BJ383" s="7">
        <v>0.87096799999999996</v>
      </c>
      <c r="BK383" s="4" t="s">
        <v>124</v>
      </c>
      <c r="BL383" s="7">
        <v>0.894737</v>
      </c>
      <c r="BM383" s="7">
        <v>0.87096799999999996</v>
      </c>
      <c r="BN383" s="4" t="s">
        <v>124</v>
      </c>
      <c r="BO383" s="7">
        <v>0.9</v>
      </c>
      <c r="BP383" s="7">
        <v>0.87878800000000001</v>
      </c>
      <c r="BQ383" s="4" t="s">
        <v>124</v>
      </c>
      <c r="BR383" s="7">
        <v>0.72357700000000003</v>
      </c>
      <c r="BS383" s="7">
        <v>0</v>
      </c>
      <c r="BT383" s="7">
        <v>50</v>
      </c>
      <c r="BU383" s="7">
        <v>0.752475</v>
      </c>
      <c r="BV383" s="7">
        <v>0</v>
      </c>
      <c r="BW383" s="7">
        <v>50</v>
      </c>
      <c r="BX383" s="7">
        <v>0.31068000000000001</v>
      </c>
      <c r="BY383" s="7">
        <v>20.711974000000001</v>
      </c>
      <c r="BZ383" s="7">
        <v>50</v>
      </c>
      <c r="CA383" s="7">
        <v>9.7090000000000006E-3</v>
      </c>
      <c r="CB383" s="7">
        <v>0.64724899999999996</v>
      </c>
      <c r="CC383" s="7">
        <v>50</v>
      </c>
      <c r="CD383" s="4" t="s">
        <v>124</v>
      </c>
      <c r="CE383" s="4" t="s">
        <v>124</v>
      </c>
      <c r="CF383" s="4" t="s">
        <v>124</v>
      </c>
      <c r="CG383" s="7">
        <v>0.68</v>
      </c>
      <c r="CH383" s="7">
        <v>72.340425999999994</v>
      </c>
      <c r="CI383" s="7">
        <v>100</v>
      </c>
      <c r="CJ383" s="7">
        <v>0</v>
      </c>
      <c r="CK383" s="7">
        <v>0.73912999999999995</v>
      </c>
      <c r="CL383" s="7">
        <v>78.630897000000004</v>
      </c>
      <c r="CM383" s="7">
        <v>100</v>
      </c>
      <c r="CN383" s="7">
        <v>0.15384600000000001</v>
      </c>
      <c r="CO383" s="7">
        <v>20.512820999999999</v>
      </c>
      <c r="CP383" s="7">
        <v>100</v>
      </c>
      <c r="CQ383" s="7">
        <v>0.65</v>
      </c>
      <c r="CR383" s="7">
        <v>1</v>
      </c>
      <c r="CS383" s="7">
        <v>43.333333000000003</v>
      </c>
      <c r="CT383" s="7">
        <v>50</v>
      </c>
      <c r="CU383" s="7">
        <v>0.56097600000000003</v>
      </c>
      <c r="CV383" s="7">
        <v>46.747967000000003</v>
      </c>
      <c r="CW383" s="7">
        <v>50</v>
      </c>
      <c r="CX383" s="7">
        <v>0.73912999999999995</v>
      </c>
      <c r="CY383" s="4" t="s">
        <v>124</v>
      </c>
      <c r="CZ383" s="4" t="s">
        <v>124</v>
      </c>
      <c r="DA383" s="7">
        <v>15.314097</v>
      </c>
      <c r="DB383" s="7">
        <v>17.400950000000002</v>
      </c>
      <c r="DC383" s="7">
        <v>16.332519999999999</v>
      </c>
      <c r="DD383" s="7">
        <v>7.9891730000000001</v>
      </c>
      <c r="DE383" s="7">
        <v>1</v>
      </c>
      <c r="DF383" s="6"/>
      <c r="DG383" s="6"/>
      <c r="DH383" s="6"/>
      <c r="DI383" s="6"/>
      <c r="DJ383" s="7">
        <v>0</v>
      </c>
      <c r="DK383" s="7">
        <v>0</v>
      </c>
      <c r="DL383" s="7">
        <v>0</v>
      </c>
      <c r="DM383" s="7">
        <v>0</v>
      </c>
      <c r="DN383" s="7">
        <v>0</v>
      </c>
      <c r="DO383" s="7">
        <v>0</v>
      </c>
      <c r="DP383" s="6"/>
      <c r="DQ383" s="4" t="s">
        <v>125</v>
      </c>
    </row>
    <row r="384" spans="1:121" ht="20" customHeight="1" x14ac:dyDescent="0.15">
      <c r="A384" s="5">
        <v>2018</v>
      </c>
      <c r="B384" s="3" t="s">
        <v>217</v>
      </c>
      <c r="C384" s="4" t="str">
        <f t="shared" si="92"/>
        <v>0440011</v>
      </c>
      <c r="D384" s="4" t="s">
        <v>534</v>
      </c>
      <c r="E384" s="4" t="str">
        <f>"0441711"</f>
        <v>0441711</v>
      </c>
      <c r="F384" s="4" t="s">
        <v>327</v>
      </c>
      <c r="G384" s="7">
        <v>1</v>
      </c>
      <c r="H384" s="7">
        <v>8</v>
      </c>
      <c r="I384" s="6"/>
      <c r="J384" s="4" t="s">
        <v>330</v>
      </c>
      <c r="K384" s="7">
        <v>688.39340700000002</v>
      </c>
      <c r="L384" s="7">
        <v>900</v>
      </c>
      <c r="M384" s="7">
        <v>76.488156000000004</v>
      </c>
      <c r="N384" s="7">
        <v>2</v>
      </c>
      <c r="O384" s="7">
        <v>0</v>
      </c>
      <c r="P384" s="7">
        <v>69.805631000000005</v>
      </c>
      <c r="Q384" s="7">
        <v>46.537087999999997</v>
      </c>
      <c r="R384" s="7">
        <v>50</v>
      </c>
      <c r="S384" s="7">
        <v>66.815906999999996</v>
      </c>
      <c r="T384" s="7">
        <v>72.404392000000001</v>
      </c>
      <c r="U384" s="7">
        <v>44.543937999999997</v>
      </c>
      <c r="V384" s="7">
        <v>50</v>
      </c>
      <c r="W384" s="7">
        <v>63.204140000000002</v>
      </c>
      <c r="X384" s="7">
        <v>42.136093000000002</v>
      </c>
      <c r="Y384" s="7">
        <v>50</v>
      </c>
      <c r="Z384" s="7">
        <v>67.592292999999998</v>
      </c>
      <c r="AA384" s="7">
        <v>58.155822999999998</v>
      </c>
      <c r="AB384" s="7">
        <v>38.770547999999998</v>
      </c>
      <c r="AC384" s="7">
        <v>50</v>
      </c>
      <c r="AD384" s="7">
        <v>66.904522999999998</v>
      </c>
      <c r="AE384" s="7">
        <v>44.603014999999999</v>
      </c>
      <c r="AF384" s="7">
        <v>50</v>
      </c>
      <c r="AG384" s="7">
        <v>61.192771</v>
      </c>
      <c r="AH384" s="7">
        <v>70.560044000000005</v>
      </c>
      <c r="AI384" s="7">
        <v>40.795180999999999</v>
      </c>
      <c r="AJ384" s="7">
        <v>50</v>
      </c>
      <c r="AK384" s="7">
        <v>5.58</v>
      </c>
      <c r="AL384" s="7">
        <v>9.43</v>
      </c>
      <c r="AM384" s="7">
        <v>9.36</v>
      </c>
      <c r="AN384" s="7">
        <v>0.58704599999999996</v>
      </c>
      <c r="AO384" s="7">
        <v>58.704599000000002</v>
      </c>
      <c r="AP384" s="7">
        <v>100</v>
      </c>
      <c r="AQ384" s="7">
        <v>0.60491499999999998</v>
      </c>
      <c r="AR384" s="7">
        <v>60.491531999999999</v>
      </c>
      <c r="AS384" s="7">
        <v>100</v>
      </c>
      <c r="AT384" s="7">
        <v>0.61469799999999997</v>
      </c>
      <c r="AU384" s="7">
        <v>0.56537199999999999</v>
      </c>
      <c r="AV384" s="7">
        <v>61.469844999999999</v>
      </c>
      <c r="AW384" s="7">
        <v>100</v>
      </c>
      <c r="AX384" s="7">
        <v>0.59833199999999997</v>
      </c>
      <c r="AY384" s="7">
        <v>0.61007500000000003</v>
      </c>
      <c r="AZ384" s="7">
        <v>59.833190000000002</v>
      </c>
      <c r="BA384" s="7">
        <v>100</v>
      </c>
      <c r="BB384" s="4" t="s">
        <v>124</v>
      </c>
      <c r="BC384" s="4" t="s">
        <v>124</v>
      </c>
      <c r="BD384" s="4" t="s">
        <v>124</v>
      </c>
      <c r="BE384" s="4" t="s">
        <v>124</v>
      </c>
      <c r="BF384" s="4" t="s">
        <v>124</v>
      </c>
      <c r="BG384" s="4" t="s">
        <v>124</v>
      </c>
      <c r="BH384" s="7">
        <v>0</v>
      </c>
      <c r="BI384" s="7">
        <v>1</v>
      </c>
      <c r="BJ384" s="7">
        <v>1</v>
      </c>
      <c r="BK384" s="7">
        <v>1</v>
      </c>
      <c r="BL384" s="7">
        <v>1</v>
      </c>
      <c r="BM384" s="7">
        <v>1</v>
      </c>
      <c r="BN384" s="7">
        <v>1</v>
      </c>
      <c r="BO384" s="7">
        <v>1</v>
      </c>
      <c r="BP384" s="7">
        <v>1</v>
      </c>
      <c r="BQ384" s="7">
        <v>1</v>
      </c>
      <c r="BR384" s="7">
        <v>5.0632999999999997E-2</v>
      </c>
      <c r="BS384" s="7">
        <v>49.873418000000001</v>
      </c>
      <c r="BT384" s="7">
        <v>50</v>
      </c>
      <c r="BU384" s="7">
        <v>6.7164000000000001E-2</v>
      </c>
      <c r="BV384" s="7">
        <v>46.567163999999998</v>
      </c>
      <c r="BW384" s="7">
        <v>50</v>
      </c>
      <c r="BX384" s="4" t="s">
        <v>124</v>
      </c>
      <c r="BY384" s="4" t="s">
        <v>124</v>
      </c>
      <c r="BZ384" s="4" t="s">
        <v>124</v>
      </c>
      <c r="CA384" s="4" t="s">
        <v>124</v>
      </c>
      <c r="CB384" s="4" t="s">
        <v>124</v>
      </c>
      <c r="CC384" s="4" t="s">
        <v>124</v>
      </c>
      <c r="CD384" s="7">
        <v>0.95238100000000003</v>
      </c>
      <c r="CE384" s="7">
        <v>50</v>
      </c>
      <c r="CF384" s="7">
        <v>50</v>
      </c>
      <c r="CG384" s="4" t="s">
        <v>124</v>
      </c>
      <c r="CH384" s="4" t="s">
        <v>124</v>
      </c>
      <c r="CI384" s="4" t="s">
        <v>124</v>
      </c>
      <c r="CJ384" s="4" t="s">
        <v>124</v>
      </c>
      <c r="CK384" s="4" t="s">
        <v>124</v>
      </c>
      <c r="CL384" s="4" t="s">
        <v>124</v>
      </c>
      <c r="CM384" s="4" t="s">
        <v>124</v>
      </c>
      <c r="CN384" s="4" t="s">
        <v>124</v>
      </c>
      <c r="CO384" s="4" t="s">
        <v>124</v>
      </c>
      <c r="CP384" s="4" t="s">
        <v>124</v>
      </c>
      <c r="CQ384" s="7">
        <v>0.66101699999999997</v>
      </c>
      <c r="CR384" s="7">
        <v>0.95935000000000004</v>
      </c>
      <c r="CS384" s="7">
        <v>44.067796999999999</v>
      </c>
      <c r="CT384" s="7">
        <v>50</v>
      </c>
      <c r="CU384" s="4" t="s">
        <v>124</v>
      </c>
      <c r="CV384" s="4" t="s">
        <v>124</v>
      </c>
      <c r="CW384" s="4" t="s">
        <v>124</v>
      </c>
      <c r="CX384" s="4" t="s">
        <v>124</v>
      </c>
      <c r="CY384" s="4" t="s">
        <v>124</v>
      </c>
      <c r="CZ384" s="4" t="s">
        <v>124</v>
      </c>
      <c r="DA384" s="7">
        <v>15.314097</v>
      </c>
      <c r="DB384" s="7">
        <v>17.400950000000002</v>
      </c>
      <c r="DC384" s="7">
        <v>16.332519999999999</v>
      </c>
      <c r="DD384" s="4" t="s">
        <v>124</v>
      </c>
      <c r="DE384" s="7">
        <v>0</v>
      </c>
      <c r="DF384" s="6"/>
      <c r="DG384" s="6"/>
      <c r="DH384" s="6"/>
      <c r="DI384" s="6"/>
      <c r="DJ384" s="7">
        <v>0</v>
      </c>
      <c r="DK384" s="7">
        <v>0</v>
      </c>
      <c r="DL384" s="7">
        <v>0</v>
      </c>
      <c r="DM384" s="7">
        <v>0</v>
      </c>
      <c r="DN384" s="7">
        <v>0</v>
      </c>
      <c r="DO384" s="7">
        <v>0</v>
      </c>
      <c r="DP384" s="6"/>
      <c r="DQ384" s="4" t="s">
        <v>125</v>
      </c>
    </row>
    <row r="385" spans="1:121" ht="20" customHeight="1" x14ac:dyDescent="0.15">
      <c r="A385" s="5">
        <v>2018</v>
      </c>
      <c r="B385" s="3" t="s">
        <v>217</v>
      </c>
      <c r="C385" s="4" t="str">
        <f t="shared" ref="C385:C390" si="197">"0440011"</f>
        <v>0440011</v>
      </c>
      <c r="D385" s="4" t="s">
        <v>535</v>
      </c>
      <c r="E385" s="4" t="str">
        <f>"0440111"</f>
        <v>0440111</v>
      </c>
      <c r="F385" s="4" t="s">
        <v>327</v>
      </c>
      <c r="G385" s="4" t="s">
        <v>328</v>
      </c>
      <c r="H385" s="7">
        <v>2</v>
      </c>
      <c r="I385" s="4" t="s">
        <v>335</v>
      </c>
      <c r="J385" s="4" t="s">
        <v>330</v>
      </c>
      <c r="K385" s="7">
        <v>70.909091000000004</v>
      </c>
      <c r="L385" s="7">
        <v>100</v>
      </c>
      <c r="M385" s="7">
        <v>70.909091000000004</v>
      </c>
      <c r="N385" s="4" t="s">
        <v>124</v>
      </c>
      <c r="O385" s="4" t="s">
        <v>124</v>
      </c>
      <c r="P385" s="4" t="s">
        <v>124</v>
      </c>
      <c r="Q385" s="4" t="s">
        <v>124</v>
      </c>
      <c r="R385" s="4" t="s">
        <v>124</v>
      </c>
      <c r="S385" s="4" t="s">
        <v>124</v>
      </c>
      <c r="T385" s="4" t="s">
        <v>124</v>
      </c>
      <c r="U385" s="4" t="s">
        <v>124</v>
      </c>
      <c r="V385" s="4" t="s">
        <v>124</v>
      </c>
      <c r="W385" s="4" t="s">
        <v>124</v>
      </c>
      <c r="X385" s="4" t="s">
        <v>124</v>
      </c>
      <c r="Y385" s="4" t="s">
        <v>124</v>
      </c>
      <c r="Z385" s="4" t="s">
        <v>124</v>
      </c>
      <c r="AA385" s="4" t="s">
        <v>124</v>
      </c>
      <c r="AB385" s="4" t="s">
        <v>124</v>
      </c>
      <c r="AC385" s="4" t="s">
        <v>124</v>
      </c>
      <c r="AD385" s="4" t="s">
        <v>124</v>
      </c>
      <c r="AE385" s="4" t="s">
        <v>124</v>
      </c>
      <c r="AF385" s="4" t="s">
        <v>124</v>
      </c>
      <c r="AG385" s="4" t="s">
        <v>124</v>
      </c>
      <c r="AH385" s="4" t="s">
        <v>124</v>
      </c>
      <c r="AI385" s="4" t="s">
        <v>124</v>
      </c>
      <c r="AJ385" s="4" t="s">
        <v>124</v>
      </c>
      <c r="AK385" s="4" t="s">
        <v>124</v>
      </c>
      <c r="AL385" s="4" t="s">
        <v>124</v>
      </c>
      <c r="AM385" s="4" t="s">
        <v>124</v>
      </c>
      <c r="AN385" s="4" t="s">
        <v>124</v>
      </c>
      <c r="AO385" s="4" t="s">
        <v>124</v>
      </c>
      <c r="AP385" s="4" t="s">
        <v>124</v>
      </c>
      <c r="AQ385" s="4" t="s">
        <v>124</v>
      </c>
      <c r="AR385" s="4" t="s">
        <v>124</v>
      </c>
      <c r="AS385" s="4" t="s">
        <v>124</v>
      </c>
      <c r="AT385" s="4" t="s">
        <v>124</v>
      </c>
      <c r="AU385" s="4" t="s">
        <v>124</v>
      </c>
      <c r="AV385" s="4" t="s">
        <v>124</v>
      </c>
      <c r="AW385" s="4" t="s">
        <v>124</v>
      </c>
      <c r="AX385" s="4" t="s">
        <v>124</v>
      </c>
      <c r="AY385" s="4" t="s">
        <v>124</v>
      </c>
      <c r="AZ385" s="4" t="s">
        <v>124</v>
      </c>
      <c r="BA385" s="4" t="s">
        <v>124</v>
      </c>
      <c r="BB385" s="4" t="s">
        <v>124</v>
      </c>
      <c r="BC385" s="4" t="s">
        <v>124</v>
      </c>
      <c r="BD385" s="4" t="s">
        <v>124</v>
      </c>
      <c r="BE385" s="4" t="s">
        <v>124</v>
      </c>
      <c r="BF385" s="4" t="s">
        <v>124</v>
      </c>
      <c r="BG385" s="4" t="s">
        <v>124</v>
      </c>
      <c r="BH385" s="4" t="s">
        <v>124</v>
      </c>
      <c r="BI385" s="4" t="s">
        <v>124</v>
      </c>
      <c r="BJ385" s="4" t="s">
        <v>124</v>
      </c>
      <c r="BK385" s="4" t="s">
        <v>124</v>
      </c>
      <c r="BL385" s="4" t="s">
        <v>124</v>
      </c>
      <c r="BM385" s="4" t="s">
        <v>124</v>
      </c>
      <c r="BN385" s="4" t="s">
        <v>124</v>
      </c>
      <c r="BO385" s="4" t="s">
        <v>124</v>
      </c>
      <c r="BP385" s="4" t="s">
        <v>124</v>
      </c>
      <c r="BQ385" s="4" t="s">
        <v>124</v>
      </c>
      <c r="BR385" s="7">
        <v>0.1</v>
      </c>
      <c r="BS385" s="7">
        <v>40</v>
      </c>
      <c r="BT385" s="7">
        <v>50</v>
      </c>
      <c r="BU385" s="7">
        <v>0.145455</v>
      </c>
      <c r="BV385" s="7">
        <v>30.909091</v>
      </c>
      <c r="BW385" s="7">
        <v>50</v>
      </c>
      <c r="BX385" s="4" t="s">
        <v>124</v>
      </c>
      <c r="BY385" s="4" t="s">
        <v>124</v>
      </c>
      <c r="BZ385" s="4" t="s">
        <v>124</v>
      </c>
      <c r="CA385" s="4" t="s">
        <v>124</v>
      </c>
      <c r="CB385" s="4" t="s">
        <v>124</v>
      </c>
      <c r="CC385" s="4" t="s">
        <v>124</v>
      </c>
      <c r="CD385" s="4" t="s">
        <v>124</v>
      </c>
      <c r="CE385" s="4" t="s">
        <v>124</v>
      </c>
      <c r="CF385" s="4" t="s">
        <v>124</v>
      </c>
      <c r="CG385" s="4" t="s">
        <v>124</v>
      </c>
      <c r="CH385" s="4" t="s">
        <v>124</v>
      </c>
      <c r="CI385" s="4" t="s">
        <v>124</v>
      </c>
      <c r="CJ385" s="4" t="s">
        <v>124</v>
      </c>
      <c r="CK385" s="4" t="s">
        <v>124</v>
      </c>
      <c r="CL385" s="4" t="s">
        <v>124</v>
      </c>
      <c r="CM385" s="4" t="s">
        <v>124</v>
      </c>
      <c r="CN385" s="4" t="s">
        <v>124</v>
      </c>
      <c r="CO385" s="4" t="s">
        <v>124</v>
      </c>
      <c r="CP385" s="4" t="s">
        <v>124</v>
      </c>
      <c r="CQ385" s="4" t="s">
        <v>124</v>
      </c>
      <c r="CR385" s="4" t="s">
        <v>124</v>
      </c>
      <c r="CS385" s="4" t="s">
        <v>124</v>
      </c>
      <c r="CT385" s="4" t="s">
        <v>124</v>
      </c>
      <c r="CU385" s="4" t="s">
        <v>124</v>
      </c>
      <c r="CV385" s="4" t="s">
        <v>124</v>
      </c>
      <c r="CW385" s="4" t="s">
        <v>124</v>
      </c>
      <c r="CX385" s="4" t="s">
        <v>124</v>
      </c>
      <c r="CY385" s="4" t="s">
        <v>124</v>
      </c>
      <c r="CZ385" s="4" t="s">
        <v>124</v>
      </c>
      <c r="DA385" s="4" t="s">
        <v>124</v>
      </c>
      <c r="DB385" s="4" t="s">
        <v>124</v>
      </c>
      <c r="DC385" s="4" t="s">
        <v>124</v>
      </c>
      <c r="DD385" s="4" t="s">
        <v>124</v>
      </c>
      <c r="DE385" s="4" t="s">
        <v>124</v>
      </c>
      <c r="DF385" s="6"/>
      <c r="DG385" s="6"/>
      <c r="DH385" s="6"/>
      <c r="DI385" s="6"/>
      <c r="DJ385" s="4" t="s">
        <v>124</v>
      </c>
      <c r="DK385" s="4" t="s">
        <v>124</v>
      </c>
      <c r="DL385" s="4" t="s">
        <v>124</v>
      </c>
      <c r="DM385" s="4" t="s">
        <v>124</v>
      </c>
      <c r="DN385" s="4" t="s">
        <v>124</v>
      </c>
      <c r="DO385" s="4" t="s">
        <v>124</v>
      </c>
      <c r="DP385" s="6"/>
      <c r="DQ385" s="4" t="s">
        <v>125</v>
      </c>
    </row>
    <row r="386" spans="1:121" ht="20" customHeight="1" x14ac:dyDescent="0.15">
      <c r="A386" s="5">
        <v>2018</v>
      </c>
      <c r="B386" s="3" t="s">
        <v>217</v>
      </c>
      <c r="C386" s="4" t="str">
        <f t="shared" si="197"/>
        <v>0440011</v>
      </c>
      <c r="D386" s="4" t="s">
        <v>536</v>
      </c>
      <c r="E386" s="4" t="str">
        <f>"0441311"</f>
        <v>0441311</v>
      </c>
      <c r="F386" s="4" t="s">
        <v>327</v>
      </c>
      <c r="G386" s="7">
        <v>3</v>
      </c>
      <c r="H386" s="7">
        <v>5</v>
      </c>
      <c r="I386" s="4" t="s">
        <v>335</v>
      </c>
      <c r="J386" s="4" t="s">
        <v>330</v>
      </c>
      <c r="K386" s="7">
        <v>616.55712900000003</v>
      </c>
      <c r="L386" s="7">
        <v>850</v>
      </c>
      <c r="M386" s="7">
        <v>72.536133000000007</v>
      </c>
      <c r="N386" s="7">
        <v>3</v>
      </c>
      <c r="O386" s="7">
        <v>1</v>
      </c>
      <c r="P386" s="7">
        <v>63.667735</v>
      </c>
      <c r="Q386" s="7">
        <v>42.445157000000002</v>
      </c>
      <c r="R386" s="7">
        <v>50</v>
      </c>
      <c r="S386" s="7">
        <v>58.789195999999997</v>
      </c>
      <c r="T386" s="7">
        <v>74.328245999999993</v>
      </c>
      <c r="U386" s="7">
        <v>39.192798000000003</v>
      </c>
      <c r="V386" s="7">
        <v>50</v>
      </c>
      <c r="W386" s="7">
        <v>66.894779999999997</v>
      </c>
      <c r="X386" s="7">
        <v>44.596519999999998</v>
      </c>
      <c r="Y386" s="7">
        <v>50</v>
      </c>
      <c r="Z386" s="7">
        <v>75</v>
      </c>
      <c r="AA386" s="7">
        <v>62.403598000000002</v>
      </c>
      <c r="AB386" s="7">
        <v>41.602398999999998</v>
      </c>
      <c r="AC386" s="7">
        <v>50</v>
      </c>
      <c r="AD386" s="7">
        <v>66.465361999999999</v>
      </c>
      <c r="AE386" s="7">
        <v>44.310240999999998</v>
      </c>
      <c r="AF386" s="7">
        <v>50</v>
      </c>
      <c r="AG386" s="7">
        <v>59.737096999999999</v>
      </c>
      <c r="AH386" s="7">
        <v>75</v>
      </c>
      <c r="AI386" s="7">
        <v>39.824731</v>
      </c>
      <c r="AJ386" s="7">
        <v>50</v>
      </c>
      <c r="AK386" s="7">
        <v>15.53</v>
      </c>
      <c r="AL386" s="7">
        <v>12.59</v>
      </c>
      <c r="AM386" s="7">
        <v>15.26</v>
      </c>
      <c r="AN386" s="7">
        <v>0.54131700000000005</v>
      </c>
      <c r="AO386" s="7">
        <v>54.131739000000003</v>
      </c>
      <c r="AP386" s="7">
        <v>100</v>
      </c>
      <c r="AQ386" s="7">
        <v>0.70206800000000003</v>
      </c>
      <c r="AR386" s="7">
        <v>70.206819999999993</v>
      </c>
      <c r="AS386" s="7">
        <v>100</v>
      </c>
      <c r="AT386" s="7">
        <v>0.50673100000000004</v>
      </c>
      <c r="AU386" s="7">
        <v>0.59649099999999999</v>
      </c>
      <c r="AV386" s="7">
        <v>50.673116</v>
      </c>
      <c r="AW386" s="7">
        <v>100</v>
      </c>
      <c r="AX386" s="7">
        <v>0.67404299999999995</v>
      </c>
      <c r="AY386" s="7">
        <v>0.74677499999999997</v>
      </c>
      <c r="AZ386" s="7">
        <v>67.404296000000002</v>
      </c>
      <c r="BA386" s="7">
        <v>100</v>
      </c>
      <c r="BB386" s="4" t="s">
        <v>124</v>
      </c>
      <c r="BC386" s="4" t="s">
        <v>124</v>
      </c>
      <c r="BD386" s="4" t="s">
        <v>124</v>
      </c>
      <c r="BE386" s="4" t="s">
        <v>124</v>
      </c>
      <c r="BF386" s="4" t="s">
        <v>124</v>
      </c>
      <c r="BG386" s="4" t="s">
        <v>124</v>
      </c>
      <c r="BH386" s="7">
        <v>0</v>
      </c>
      <c r="BI386" s="7">
        <v>0.98936199999999996</v>
      </c>
      <c r="BJ386" s="7">
        <v>0.99236599999999997</v>
      </c>
      <c r="BK386" s="7">
        <v>0.982456</v>
      </c>
      <c r="BL386" s="7">
        <v>0.99468100000000004</v>
      </c>
      <c r="BM386" s="7">
        <v>0.99236599999999997</v>
      </c>
      <c r="BN386" s="7">
        <v>1</v>
      </c>
      <c r="BO386" s="7">
        <v>1</v>
      </c>
      <c r="BP386" s="7">
        <v>1</v>
      </c>
      <c r="BQ386" s="7">
        <v>1</v>
      </c>
      <c r="BR386" s="7">
        <v>0.10582</v>
      </c>
      <c r="BS386" s="7">
        <v>38.835979000000002</v>
      </c>
      <c r="BT386" s="7">
        <v>50</v>
      </c>
      <c r="BU386" s="7">
        <v>0.13333300000000001</v>
      </c>
      <c r="BV386" s="7">
        <v>33.333333000000003</v>
      </c>
      <c r="BW386" s="7">
        <v>50</v>
      </c>
      <c r="BX386" s="4" t="s">
        <v>124</v>
      </c>
      <c r="BY386" s="4" t="s">
        <v>124</v>
      </c>
      <c r="BZ386" s="4" t="s">
        <v>124</v>
      </c>
      <c r="CA386" s="4" t="s">
        <v>124</v>
      </c>
      <c r="CB386" s="4" t="s">
        <v>124</v>
      </c>
      <c r="CC386" s="4" t="s">
        <v>124</v>
      </c>
      <c r="CD386" s="4" t="s">
        <v>124</v>
      </c>
      <c r="CE386" s="4" t="s">
        <v>124</v>
      </c>
      <c r="CF386" s="4" t="s">
        <v>124</v>
      </c>
      <c r="CG386" s="4" t="s">
        <v>124</v>
      </c>
      <c r="CH386" s="4" t="s">
        <v>124</v>
      </c>
      <c r="CI386" s="4" t="s">
        <v>124</v>
      </c>
      <c r="CJ386" s="4" t="s">
        <v>124</v>
      </c>
      <c r="CK386" s="4" t="s">
        <v>124</v>
      </c>
      <c r="CL386" s="4" t="s">
        <v>124</v>
      </c>
      <c r="CM386" s="4" t="s">
        <v>124</v>
      </c>
      <c r="CN386" s="4" t="s">
        <v>124</v>
      </c>
      <c r="CO386" s="4" t="s">
        <v>124</v>
      </c>
      <c r="CP386" s="4" t="s">
        <v>124</v>
      </c>
      <c r="CQ386" s="7">
        <v>0.83928599999999998</v>
      </c>
      <c r="CR386" s="7">
        <v>0.96551699999999996</v>
      </c>
      <c r="CS386" s="7">
        <v>50</v>
      </c>
      <c r="CT386" s="7">
        <v>50</v>
      </c>
      <c r="CU386" s="4" t="s">
        <v>124</v>
      </c>
      <c r="CV386" s="4" t="s">
        <v>124</v>
      </c>
      <c r="CW386" s="4" t="s">
        <v>124</v>
      </c>
      <c r="CX386" s="4" t="s">
        <v>124</v>
      </c>
      <c r="CY386" s="4" t="s">
        <v>124</v>
      </c>
      <c r="CZ386" s="4" t="s">
        <v>124</v>
      </c>
      <c r="DA386" s="7">
        <v>15.314097</v>
      </c>
      <c r="DB386" s="7">
        <v>17.400950000000002</v>
      </c>
      <c r="DC386" s="7">
        <v>16.332519999999999</v>
      </c>
      <c r="DD386" s="4" t="s">
        <v>124</v>
      </c>
      <c r="DE386" s="7">
        <v>1</v>
      </c>
      <c r="DF386" s="6"/>
      <c r="DG386" s="6"/>
      <c r="DH386" s="6"/>
      <c r="DI386" s="6"/>
      <c r="DJ386" s="7">
        <v>0</v>
      </c>
      <c r="DK386" s="7">
        <v>0</v>
      </c>
      <c r="DL386" s="7">
        <v>0</v>
      </c>
      <c r="DM386" s="7">
        <v>0</v>
      </c>
      <c r="DN386" s="7">
        <v>0</v>
      </c>
      <c r="DO386" s="7">
        <v>0</v>
      </c>
      <c r="DP386" s="6"/>
      <c r="DQ386" s="4" t="s">
        <v>125</v>
      </c>
    </row>
    <row r="387" spans="1:121" ht="20" customHeight="1" x14ac:dyDescent="0.15">
      <c r="A387" s="5">
        <v>2018</v>
      </c>
      <c r="B387" s="3" t="s">
        <v>217</v>
      </c>
      <c r="C387" s="4" t="str">
        <f t="shared" si="197"/>
        <v>0440011</v>
      </c>
      <c r="D387" s="4" t="s">
        <v>537</v>
      </c>
      <c r="E387" s="4" t="str">
        <f>"0446111"</f>
        <v>0446111</v>
      </c>
      <c r="F387" s="4" t="s">
        <v>327</v>
      </c>
      <c r="G387" s="7">
        <v>9</v>
      </c>
      <c r="H387" s="7">
        <v>12</v>
      </c>
      <c r="I387" s="4" t="s">
        <v>335</v>
      </c>
      <c r="J387" s="4" t="s">
        <v>330</v>
      </c>
      <c r="K387" s="7">
        <v>1021.978008</v>
      </c>
      <c r="L387" s="7">
        <v>1550</v>
      </c>
      <c r="M387" s="7">
        <v>65.934065000000004</v>
      </c>
      <c r="N387" s="7">
        <v>3</v>
      </c>
      <c r="O387" s="7">
        <v>0</v>
      </c>
      <c r="P387" s="7">
        <v>49.23301</v>
      </c>
      <c r="Q387" s="7">
        <v>98.466019000000003</v>
      </c>
      <c r="R387" s="7">
        <v>150</v>
      </c>
      <c r="S387" s="7">
        <v>46.542579000000003</v>
      </c>
      <c r="T387" s="7">
        <v>54.574879000000003</v>
      </c>
      <c r="U387" s="7">
        <v>93.085158000000007</v>
      </c>
      <c r="V387" s="7">
        <v>150</v>
      </c>
      <c r="W387" s="7">
        <v>43.638080000000002</v>
      </c>
      <c r="X387" s="7">
        <v>87.276160000000004</v>
      </c>
      <c r="Y387" s="7">
        <v>150</v>
      </c>
      <c r="Z387" s="7">
        <v>50.270530999999998</v>
      </c>
      <c r="AA387" s="7">
        <v>40.297648000000002</v>
      </c>
      <c r="AB387" s="7">
        <v>80.595296000000005</v>
      </c>
      <c r="AC387" s="7">
        <v>150</v>
      </c>
      <c r="AD387" s="7">
        <v>50.229939000000002</v>
      </c>
      <c r="AE387" s="7">
        <v>66.973252000000002</v>
      </c>
      <c r="AF387" s="7">
        <v>100</v>
      </c>
      <c r="AG387" s="7">
        <v>47.439041000000003</v>
      </c>
      <c r="AH387" s="7">
        <v>55.649943999999998</v>
      </c>
      <c r="AI387" s="7">
        <v>63.252054999999999</v>
      </c>
      <c r="AJ387" s="7">
        <v>100</v>
      </c>
      <c r="AK387" s="7">
        <v>8.0299999999999994</v>
      </c>
      <c r="AL387" s="7">
        <v>9.9700000000000006</v>
      </c>
      <c r="AM387" s="7">
        <v>8.2100000000000009</v>
      </c>
      <c r="AN387" s="4" t="s">
        <v>124</v>
      </c>
      <c r="AO387" s="4" t="s">
        <v>124</v>
      </c>
      <c r="AP387" s="4" t="s">
        <v>124</v>
      </c>
      <c r="AQ387" s="4" t="s">
        <v>124</v>
      </c>
      <c r="AR387" s="4" t="s">
        <v>124</v>
      </c>
      <c r="AS387" s="4" t="s">
        <v>124</v>
      </c>
      <c r="AT387" s="4" t="s">
        <v>124</v>
      </c>
      <c r="AU387" s="4" t="s">
        <v>124</v>
      </c>
      <c r="AV387" s="4" t="s">
        <v>124</v>
      </c>
      <c r="AW387" s="4" t="s">
        <v>124</v>
      </c>
      <c r="AX387" s="4" t="s">
        <v>124</v>
      </c>
      <c r="AY387" s="4" t="s">
        <v>124</v>
      </c>
      <c r="AZ387" s="4" t="s">
        <v>124</v>
      </c>
      <c r="BA387" s="4" t="s">
        <v>124</v>
      </c>
      <c r="BB387" s="7">
        <v>0.45641900000000002</v>
      </c>
      <c r="BC387" s="7">
        <v>22.820961</v>
      </c>
      <c r="BD387" s="7">
        <v>50</v>
      </c>
      <c r="BE387" s="7">
        <v>0.52250600000000003</v>
      </c>
      <c r="BF387" s="7">
        <v>26.125298999999998</v>
      </c>
      <c r="BG387" s="7">
        <v>50</v>
      </c>
      <c r="BH387" s="7">
        <v>1</v>
      </c>
      <c r="BI387" s="7">
        <v>0.96929799999999999</v>
      </c>
      <c r="BJ387" s="7">
        <v>0.96731999999999996</v>
      </c>
      <c r="BK387" s="7">
        <v>0.973333</v>
      </c>
      <c r="BL387" s="7">
        <v>0.96929799999999999</v>
      </c>
      <c r="BM387" s="7">
        <v>0.96731999999999996</v>
      </c>
      <c r="BN387" s="7">
        <v>0.973333</v>
      </c>
      <c r="BO387" s="7">
        <v>0.94759800000000005</v>
      </c>
      <c r="BP387" s="7">
        <v>0.947712</v>
      </c>
      <c r="BQ387" s="7">
        <v>0.94736799999999999</v>
      </c>
      <c r="BR387" s="7">
        <v>0.213723</v>
      </c>
      <c r="BS387" s="7">
        <v>17.255343</v>
      </c>
      <c r="BT387" s="7">
        <v>50</v>
      </c>
      <c r="BU387" s="7">
        <v>0.27450999999999998</v>
      </c>
      <c r="BV387" s="7">
        <v>5.098039</v>
      </c>
      <c r="BW387" s="7">
        <v>50</v>
      </c>
      <c r="BX387" s="7">
        <v>0.799539</v>
      </c>
      <c r="BY387" s="7">
        <v>50</v>
      </c>
      <c r="BZ387" s="7">
        <v>50</v>
      </c>
      <c r="CA387" s="7">
        <v>0.202765</v>
      </c>
      <c r="CB387" s="7">
        <v>13.517664999999999</v>
      </c>
      <c r="CC387" s="7">
        <v>50</v>
      </c>
      <c r="CD387" s="7">
        <v>0.82222200000000001</v>
      </c>
      <c r="CE387" s="7">
        <v>43.735225</v>
      </c>
      <c r="CF387" s="7">
        <v>50</v>
      </c>
      <c r="CG387" s="7">
        <v>0.86363599999999996</v>
      </c>
      <c r="CH387" s="7">
        <v>91.876209000000003</v>
      </c>
      <c r="CI387" s="7">
        <v>100</v>
      </c>
      <c r="CJ387" s="7">
        <v>1</v>
      </c>
      <c r="CK387" s="7">
        <v>0.75714300000000001</v>
      </c>
      <c r="CL387" s="7">
        <v>80.547111999999998</v>
      </c>
      <c r="CM387" s="7">
        <v>100</v>
      </c>
      <c r="CN387" s="7">
        <v>0.64840200000000003</v>
      </c>
      <c r="CO387" s="7">
        <v>86.453576999999996</v>
      </c>
      <c r="CP387" s="7">
        <v>100</v>
      </c>
      <c r="CQ387" s="7">
        <v>0.87548599999999999</v>
      </c>
      <c r="CR387" s="7">
        <v>1.112554</v>
      </c>
      <c r="CS387" s="7">
        <v>50</v>
      </c>
      <c r="CT387" s="7">
        <v>50</v>
      </c>
      <c r="CU387" s="7">
        <v>0.53880799999999995</v>
      </c>
      <c r="CV387" s="7">
        <v>44.900637000000003</v>
      </c>
      <c r="CW387" s="7">
        <v>50</v>
      </c>
      <c r="CX387" s="7">
        <v>0.75714300000000001</v>
      </c>
      <c r="CY387" s="7">
        <v>0.9</v>
      </c>
      <c r="CZ387" s="7">
        <v>0.14285700000000001</v>
      </c>
      <c r="DA387" s="7">
        <v>15.314097</v>
      </c>
      <c r="DB387" s="7">
        <v>17.400950000000002</v>
      </c>
      <c r="DC387" s="7">
        <v>16.332519999999999</v>
      </c>
      <c r="DD387" s="7">
        <v>7.9891730000000001</v>
      </c>
      <c r="DE387" s="7">
        <v>1</v>
      </c>
      <c r="DF387" s="6"/>
      <c r="DG387" s="6"/>
      <c r="DH387" s="6"/>
      <c r="DI387" s="6"/>
      <c r="DJ387" s="7">
        <v>0</v>
      </c>
      <c r="DK387" s="7">
        <v>0</v>
      </c>
      <c r="DL387" s="7">
        <v>0</v>
      </c>
      <c r="DM387" s="7">
        <v>0</v>
      </c>
      <c r="DN387" s="7">
        <v>0</v>
      </c>
      <c r="DO387" s="7">
        <v>0</v>
      </c>
      <c r="DP387" s="6"/>
      <c r="DQ387" s="4" t="s">
        <v>125</v>
      </c>
    </row>
    <row r="388" spans="1:121" ht="20" customHeight="1" x14ac:dyDescent="0.15">
      <c r="A388" s="5">
        <v>2018</v>
      </c>
      <c r="B388" s="3" t="s">
        <v>217</v>
      </c>
      <c r="C388" s="4" t="str">
        <f t="shared" si="197"/>
        <v>0440011</v>
      </c>
      <c r="D388" s="4" t="s">
        <v>538</v>
      </c>
      <c r="E388" s="4" t="str">
        <f>"0441011"</f>
        <v>0441011</v>
      </c>
      <c r="F388" s="4" t="s">
        <v>327</v>
      </c>
      <c r="G388" s="4" t="s">
        <v>338</v>
      </c>
      <c r="H388" s="7">
        <v>5</v>
      </c>
      <c r="I388" s="4" t="s">
        <v>335</v>
      </c>
      <c r="J388" s="4" t="s">
        <v>330</v>
      </c>
      <c r="K388" s="7">
        <v>569.35349099999996</v>
      </c>
      <c r="L388" s="7">
        <v>950</v>
      </c>
      <c r="M388" s="7">
        <v>59.931946000000003</v>
      </c>
      <c r="N388" s="7">
        <v>3</v>
      </c>
      <c r="O388" s="7">
        <v>0</v>
      </c>
      <c r="P388" s="7">
        <v>63.162016999999999</v>
      </c>
      <c r="Q388" s="7">
        <v>42.108010999999998</v>
      </c>
      <c r="R388" s="7">
        <v>50</v>
      </c>
      <c r="S388" s="7">
        <v>61.740834999999997</v>
      </c>
      <c r="T388" s="7">
        <v>70.386359999999996</v>
      </c>
      <c r="U388" s="7">
        <v>41.160556</v>
      </c>
      <c r="V388" s="7">
        <v>50</v>
      </c>
      <c r="W388" s="7">
        <v>52.218477999999998</v>
      </c>
      <c r="X388" s="7">
        <v>34.812319000000002</v>
      </c>
      <c r="Y388" s="7">
        <v>50</v>
      </c>
      <c r="Z388" s="7">
        <v>60.621552999999999</v>
      </c>
      <c r="AA388" s="7">
        <v>50.565413999999997</v>
      </c>
      <c r="AB388" s="7">
        <v>33.710276</v>
      </c>
      <c r="AC388" s="7">
        <v>50</v>
      </c>
      <c r="AD388" s="7">
        <v>61.228552000000001</v>
      </c>
      <c r="AE388" s="7">
        <v>40.819035</v>
      </c>
      <c r="AF388" s="7">
        <v>50</v>
      </c>
      <c r="AG388" s="7">
        <v>57.651952000000001</v>
      </c>
      <c r="AH388" s="4" t="s">
        <v>124</v>
      </c>
      <c r="AI388" s="7">
        <v>38.434635</v>
      </c>
      <c r="AJ388" s="7">
        <v>50</v>
      </c>
      <c r="AK388" s="7">
        <v>8.64</v>
      </c>
      <c r="AL388" s="7">
        <v>10.050000000000001</v>
      </c>
      <c r="AM388" s="4" t="s">
        <v>124</v>
      </c>
      <c r="AN388" s="7">
        <v>0.48657299999999998</v>
      </c>
      <c r="AO388" s="7">
        <v>48.657299000000002</v>
      </c>
      <c r="AP388" s="7">
        <v>100</v>
      </c>
      <c r="AQ388" s="7">
        <v>0.437776</v>
      </c>
      <c r="AR388" s="7">
        <v>43.777624000000003</v>
      </c>
      <c r="AS388" s="7">
        <v>100</v>
      </c>
      <c r="AT388" s="7">
        <v>0.48974099999999998</v>
      </c>
      <c r="AU388" s="4" t="s">
        <v>124</v>
      </c>
      <c r="AV388" s="7">
        <v>48.974138000000004</v>
      </c>
      <c r="AW388" s="7">
        <v>100</v>
      </c>
      <c r="AX388" s="7">
        <v>0.44958300000000001</v>
      </c>
      <c r="AY388" s="4" t="s">
        <v>124</v>
      </c>
      <c r="AZ388" s="7">
        <v>44.958297000000002</v>
      </c>
      <c r="BA388" s="7">
        <v>100</v>
      </c>
      <c r="BB388" s="7">
        <v>0.55873499999999998</v>
      </c>
      <c r="BC388" s="7">
        <v>27.936741000000001</v>
      </c>
      <c r="BD388" s="7">
        <v>50</v>
      </c>
      <c r="BE388" s="7">
        <v>0.31223400000000001</v>
      </c>
      <c r="BF388" s="7">
        <v>15.611704</v>
      </c>
      <c r="BG388" s="7">
        <v>50</v>
      </c>
      <c r="BH388" s="7">
        <v>0</v>
      </c>
      <c r="BI388" s="7">
        <v>1</v>
      </c>
      <c r="BJ388" s="7">
        <v>1</v>
      </c>
      <c r="BK388" s="7">
        <v>1</v>
      </c>
      <c r="BL388" s="7">
        <v>1</v>
      </c>
      <c r="BM388" s="7">
        <v>1</v>
      </c>
      <c r="BN388" s="7">
        <v>1</v>
      </c>
      <c r="BO388" s="7">
        <v>1</v>
      </c>
      <c r="BP388" s="7">
        <v>1</v>
      </c>
      <c r="BQ388" s="4" t="s">
        <v>124</v>
      </c>
      <c r="BR388" s="7">
        <v>0.14285700000000001</v>
      </c>
      <c r="BS388" s="7">
        <v>31.428571000000002</v>
      </c>
      <c r="BT388" s="7">
        <v>50</v>
      </c>
      <c r="BU388" s="7">
        <v>0.16517899999999999</v>
      </c>
      <c r="BV388" s="7">
        <v>26.964286000000001</v>
      </c>
      <c r="BW388" s="7">
        <v>50</v>
      </c>
      <c r="BX388" s="4" t="s">
        <v>124</v>
      </c>
      <c r="BY388" s="4" t="s">
        <v>124</v>
      </c>
      <c r="BZ388" s="4" t="s">
        <v>124</v>
      </c>
      <c r="CA388" s="4" t="s">
        <v>124</v>
      </c>
      <c r="CB388" s="4" t="s">
        <v>124</v>
      </c>
      <c r="CC388" s="4" t="s">
        <v>124</v>
      </c>
      <c r="CD388" s="4" t="s">
        <v>124</v>
      </c>
      <c r="CE388" s="4" t="s">
        <v>124</v>
      </c>
      <c r="CF388" s="4" t="s">
        <v>124</v>
      </c>
      <c r="CG388" s="4" t="s">
        <v>124</v>
      </c>
      <c r="CH388" s="4" t="s">
        <v>124</v>
      </c>
      <c r="CI388" s="4" t="s">
        <v>124</v>
      </c>
      <c r="CJ388" s="4" t="s">
        <v>124</v>
      </c>
      <c r="CK388" s="4" t="s">
        <v>124</v>
      </c>
      <c r="CL388" s="4" t="s">
        <v>124</v>
      </c>
      <c r="CM388" s="4" t="s">
        <v>124</v>
      </c>
      <c r="CN388" s="4" t="s">
        <v>124</v>
      </c>
      <c r="CO388" s="4" t="s">
        <v>124</v>
      </c>
      <c r="CP388" s="4" t="s">
        <v>124</v>
      </c>
      <c r="CQ388" s="7">
        <v>0.83673500000000001</v>
      </c>
      <c r="CR388" s="7">
        <v>0.90740699999999996</v>
      </c>
      <c r="CS388" s="7">
        <v>50</v>
      </c>
      <c r="CT388" s="7">
        <v>50</v>
      </c>
      <c r="CU388" s="4" t="s">
        <v>124</v>
      </c>
      <c r="CV388" s="4" t="s">
        <v>124</v>
      </c>
      <c r="CW388" s="4" t="s">
        <v>124</v>
      </c>
      <c r="CX388" s="4" t="s">
        <v>124</v>
      </c>
      <c r="CY388" s="4" t="s">
        <v>124</v>
      </c>
      <c r="CZ388" s="4" t="s">
        <v>124</v>
      </c>
      <c r="DA388" s="7">
        <v>15.314097</v>
      </c>
      <c r="DB388" s="7">
        <v>17.400950000000002</v>
      </c>
      <c r="DC388" s="7">
        <v>16.332519999999999</v>
      </c>
      <c r="DD388" s="4" t="s">
        <v>124</v>
      </c>
      <c r="DE388" s="7">
        <v>0</v>
      </c>
      <c r="DF388" s="6"/>
      <c r="DG388" s="6"/>
      <c r="DH388" s="6"/>
      <c r="DI388" s="6"/>
      <c r="DJ388" s="7">
        <v>0</v>
      </c>
      <c r="DK388" s="7">
        <v>0</v>
      </c>
      <c r="DL388" s="7">
        <v>0</v>
      </c>
      <c r="DM388" s="7">
        <v>0</v>
      </c>
      <c r="DN388" s="7">
        <v>0</v>
      </c>
      <c r="DO388" s="7">
        <v>0</v>
      </c>
      <c r="DP388" s="6"/>
      <c r="DQ388" s="4" t="s">
        <v>125</v>
      </c>
    </row>
    <row r="389" spans="1:121" ht="20" customHeight="1" x14ac:dyDescent="0.15">
      <c r="A389" s="5">
        <v>2018</v>
      </c>
      <c r="B389" s="3" t="s">
        <v>217</v>
      </c>
      <c r="C389" s="4" t="str">
        <f t="shared" si="197"/>
        <v>0440011</v>
      </c>
      <c r="D389" s="4" t="s">
        <v>539</v>
      </c>
      <c r="E389" s="4" t="str">
        <f>"0445111"</f>
        <v>0445111</v>
      </c>
      <c r="F389" s="4" t="s">
        <v>327</v>
      </c>
      <c r="G389" s="7">
        <v>6</v>
      </c>
      <c r="H389" s="7">
        <v>8</v>
      </c>
      <c r="I389" s="4" t="s">
        <v>335</v>
      </c>
      <c r="J389" s="4" t="s">
        <v>330</v>
      </c>
      <c r="K389" s="7">
        <v>638.92700400000001</v>
      </c>
      <c r="L389" s="7">
        <v>1000</v>
      </c>
      <c r="M389" s="7">
        <v>63.892699999999998</v>
      </c>
      <c r="N389" s="7">
        <v>3</v>
      </c>
      <c r="O389" s="7">
        <v>0</v>
      </c>
      <c r="P389" s="7">
        <v>61.614404</v>
      </c>
      <c r="Q389" s="7">
        <v>41.076270000000001</v>
      </c>
      <c r="R389" s="7">
        <v>50</v>
      </c>
      <c r="S389" s="7">
        <v>57.739674999999998</v>
      </c>
      <c r="T389" s="7">
        <v>70.087146000000004</v>
      </c>
      <c r="U389" s="7">
        <v>38.493116999999998</v>
      </c>
      <c r="V389" s="7">
        <v>50</v>
      </c>
      <c r="W389" s="7">
        <v>52.869565999999999</v>
      </c>
      <c r="X389" s="7">
        <v>35.246378</v>
      </c>
      <c r="Y389" s="7">
        <v>50</v>
      </c>
      <c r="Z389" s="7">
        <v>61.076307</v>
      </c>
      <c r="AA389" s="7">
        <v>49.08184</v>
      </c>
      <c r="AB389" s="7">
        <v>32.721226999999999</v>
      </c>
      <c r="AC389" s="7">
        <v>50</v>
      </c>
      <c r="AD389" s="7">
        <v>51.935737000000003</v>
      </c>
      <c r="AE389" s="7">
        <v>34.623824999999997</v>
      </c>
      <c r="AF389" s="7">
        <v>50</v>
      </c>
      <c r="AG389" s="7">
        <v>49.602842000000003</v>
      </c>
      <c r="AH389" s="7">
        <v>57.445340999999999</v>
      </c>
      <c r="AI389" s="7">
        <v>33.068561000000003</v>
      </c>
      <c r="AJ389" s="7">
        <v>50</v>
      </c>
      <c r="AK389" s="7">
        <v>12.34</v>
      </c>
      <c r="AL389" s="7">
        <v>11.99</v>
      </c>
      <c r="AM389" s="7">
        <v>7.84</v>
      </c>
      <c r="AN389" s="7">
        <v>0.566083</v>
      </c>
      <c r="AO389" s="7">
        <v>56.608311</v>
      </c>
      <c r="AP389" s="7">
        <v>100</v>
      </c>
      <c r="AQ389" s="7">
        <v>0.51255099999999998</v>
      </c>
      <c r="AR389" s="7">
        <v>51.255099000000001</v>
      </c>
      <c r="AS389" s="7">
        <v>100</v>
      </c>
      <c r="AT389" s="7">
        <v>0.53416600000000003</v>
      </c>
      <c r="AU389" s="7">
        <v>0.63382700000000003</v>
      </c>
      <c r="AV389" s="7">
        <v>53.416552000000003</v>
      </c>
      <c r="AW389" s="7">
        <v>100</v>
      </c>
      <c r="AX389" s="7">
        <v>0.46880899999999998</v>
      </c>
      <c r="AY389" s="7">
        <v>0.604796</v>
      </c>
      <c r="AZ389" s="7">
        <v>46.88091</v>
      </c>
      <c r="BA389" s="7">
        <v>100</v>
      </c>
      <c r="BB389" s="7">
        <v>0.51042900000000002</v>
      </c>
      <c r="BC389" s="7">
        <v>25.521426000000002</v>
      </c>
      <c r="BD389" s="7">
        <v>50</v>
      </c>
      <c r="BE389" s="7">
        <v>0.51430500000000001</v>
      </c>
      <c r="BF389" s="7">
        <v>25.715250000000001</v>
      </c>
      <c r="BG389" s="7">
        <v>50</v>
      </c>
      <c r="BH389" s="7">
        <v>1</v>
      </c>
      <c r="BI389" s="7">
        <v>0.984344</v>
      </c>
      <c r="BJ389" s="7">
        <v>0.98039200000000004</v>
      </c>
      <c r="BK389" s="7">
        <v>0.993506</v>
      </c>
      <c r="BL389" s="7">
        <v>0.97847399999999995</v>
      </c>
      <c r="BM389" s="7">
        <v>0.97198899999999999</v>
      </c>
      <c r="BN389" s="7">
        <v>0.993506</v>
      </c>
      <c r="BO389" s="7">
        <v>0.95294100000000004</v>
      </c>
      <c r="BP389" s="7">
        <v>0.94262299999999999</v>
      </c>
      <c r="BQ389" s="7">
        <v>0.97916700000000001</v>
      </c>
      <c r="BR389" s="7">
        <v>0.115686</v>
      </c>
      <c r="BS389" s="7">
        <v>36.862744999999997</v>
      </c>
      <c r="BT389" s="7">
        <v>50</v>
      </c>
      <c r="BU389" s="7">
        <v>0.15109900000000001</v>
      </c>
      <c r="BV389" s="7">
        <v>29.78022</v>
      </c>
      <c r="BW389" s="7">
        <v>50</v>
      </c>
      <c r="BX389" s="4" t="s">
        <v>124</v>
      </c>
      <c r="BY389" s="4" t="s">
        <v>124</v>
      </c>
      <c r="BZ389" s="4" t="s">
        <v>124</v>
      </c>
      <c r="CA389" s="4" t="s">
        <v>124</v>
      </c>
      <c r="CB389" s="4" t="s">
        <v>124</v>
      </c>
      <c r="CC389" s="4" t="s">
        <v>124</v>
      </c>
      <c r="CD389" s="7">
        <v>0.89595400000000003</v>
      </c>
      <c r="CE389" s="7">
        <v>47.657114999999997</v>
      </c>
      <c r="CF389" s="7">
        <v>50</v>
      </c>
      <c r="CG389" s="4" t="s">
        <v>124</v>
      </c>
      <c r="CH389" s="4" t="s">
        <v>124</v>
      </c>
      <c r="CI389" s="4" t="s">
        <v>124</v>
      </c>
      <c r="CJ389" s="4" t="s">
        <v>124</v>
      </c>
      <c r="CK389" s="4" t="s">
        <v>124</v>
      </c>
      <c r="CL389" s="4" t="s">
        <v>124</v>
      </c>
      <c r="CM389" s="4" t="s">
        <v>124</v>
      </c>
      <c r="CN389" s="4" t="s">
        <v>124</v>
      </c>
      <c r="CO389" s="4" t="s">
        <v>124</v>
      </c>
      <c r="CP389" s="4" t="s">
        <v>124</v>
      </c>
      <c r="CQ389" s="7">
        <v>0.83006500000000005</v>
      </c>
      <c r="CR389" s="7">
        <v>0.930091</v>
      </c>
      <c r="CS389" s="7">
        <v>50</v>
      </c>
      <c r="CT389" s="7">
        <v>50</v>
      </c>
      <c r="CU389" s="4" t="s">
        <v>124</v>
      </c>
      <c r="CV389" s="4" t="s">
        <v>124</v>
      </c>
      <c r="CW389" s="4" t="s">
        <v>124</v>
      </c>
      <c r="CX389" s="4" t="s">
        <v>124</v>
      </c>
      <c r="CY389" s="4" t="s">
        <v>124</v>
      </c>
      <c r="CZ389" s="4" t="s">
        <v>124</v>
      </c>
      <c r="DA389" s="7">
        <v>15.314097</v>
      </c>
      <c r="DB389" s="7">
        <v>17.400950000000002</v>
      </c>
      <c r="DC389" s="7">
        <v>16.332519999999999</v>
      </c>
      <c r="DD389" s="4" t="s">
        <v>124</v>
      </c>
      <c r="DE389" s="7">
        <v>1</v>
      </c>
      <c r="DF389" s="6"/>
      <c r="DG389" s="6"/>
      <c r="DH389" s="6"/>
      <c r="DI389" s="6"/>
      <c r="DJ389" s="7">
        <v>0</v>
      </c>
      <c r="DK389" s="7">
        <v>0</v>
      </c>
      <c r="DL389" s="7">
        <v>0</v>
      </c>
      <c r="DM389" s="7">
        <v>0</v>
      </c>
      <c r="DN389" s="7">
        <v>0</v>
      </c>
      <c r="DO389" s="7">
        <v>0</v>
      </c>
      <c r="DP389" s="6"/>
      <c r="DQ389" s="4" t="s">
        <v>125</v>
      </c>
    </row>
    <row r="390" spans="1:121" ht="20" customHeight="1" x14ac:dyDescent="0.15">
      <c r="A390" s="5">
        <v>2018</v>
      </c>
      <c r="B390" s="3" t="s">
        <v>217</v>
      </c>
      <c r="C390" s="4" t="str">
        <f t="shared" si="197"/>
        <v>0440011</v>
      </c>
      <c r="D390" s="4" t="s">
        <v>540</v>
      </c>
      <c r="E390" s="4" t="str">
        <f>"0440711"</f>
        <v>0440711</v>
      </c>
      <c r="F390" s="4" t="s">
        <v>327</v>
      </c>
      <c r="G390" s="4" t="s">
        <v>338</v>
      </c>
      <c r="H390" s="7">
        <v>5</v>
      </c>
      <c r="I390" s="4" t="s">
        <v>335</v>
      </c>
      <c r="J390" s="4" t="s">
        <v>330</v>
      </c>
      <c r="K390" s="7">
        <v>712.30702199999996</v>
      </c>
      <c r="L390" s="7">
        <v>950</v>
      </c>
      <c r="M390" s="7">
        <v>74.979686000000001</v>
      </c>
      <c r="N390" s="7">
        <v>2</v>
      </c>
      <c r="O390" s="7">
        <v>0</v>
      </c>
      <c r="P390" s="7">
        <v>70.990843999999996</v>
      </c>
      <c r="Q390" s="7">
        <v>47.327229000000003</v>
      </c>
      <c r="R390" s="7">
        <v>50</v>
      </c>
      <c r="S390" s="7">
        <v>68.622202999999999</v>
      </c>
      <c r="T390" s="7">
        <v>75</v>
      </c>
      <c r="U390" s="7">
        <v>45.748136000000002</v>
      </c>
      <c r="V390" s="7">
        <v>50</v>
      </c>
      <c r="W390" s="7">
        <v>64.075142</v>
      </c>
      <c r="X390" s="7">
        <v>42.716760999999998</v>
      </c>
      <c r="Y390" s="7">
        <v>50</v>
      </c>
      <c r="Z390" s="7">
        <v>69.823598000000004</v>
      </c>
      <c r="AA390" s="7">
        <v>62.039230000000003</v>
      </c>
      <c r="AB390" s="7">
        <v>41.359487000000001</v>
      </c>
      <c r="AC390" s="7">
        <v>50</v>
      </c>
      <c r="AD390" s="7">
        <v>65.775160999999997</v>
      </c>
      <c r="AE390" s="7">
        <v>43.850107999999999</v>
      </c>
      <c r="AF390" s="7">
        <v>50</v>
      </c>
      <c r="AG390" s="7">
        <v>65.825716999999997</v>
      </c>
      <c r="AH390" s="4" t="s">
        <v>124</v>
      </c>
      <c r="AI390" s="7">
        <v>43.883811000000001</v>
      </c>
      <c r="AJ390" s="7">
        <v>50</v>
      </c>
      <c r="AK390" s="7">
        <v>6.37</v>
      </c>
      <c r="AL390" s="7">
        <v>7.78</v>
      </c>
      <c r="AM390" s="4" t="s">
        <v>124</v>
      </c>
      <c r="AN390" s="7">
        <v>0.81591400000000003</v>
      </c>
      <c r="AO390" s="7">
        <v>81.591419000000002</v>
      </c>
      <c r="AP390" s="7">
        <v>100</v>
      </c>
      <c r="AQ390" s="7">
        <v>0.50928200000000001</v>
      </c>
      <c r="AR390" s="7">
        <v>50.928220000000003</v>
      </c>
      <c r="AS390" s="7">
        <v>100</v>
      </c>
      <c r="AT390" s="7">
        <v>0.81241099999999999</v>
      </c>
      <c r="AU390" s="7">
        <v>0.82627099999999998</v>
      </c>
      <c r="AV390" s="7">
        <v>81.241107999999997</v>
      </c>
      <c r="AW390" s="7">
        <v>100</v>
      </c>
      <c r="AX390" s="7">
        <v>0.49923400000000001</v>
      </c>
      <c r="AY390" s="7">
        <v>0.53898999999999997</v>
      </c>
      <c r="AZ390" s="7">
        <v>49.923389</v>
      </c>
      <c r="BA390" s="7">
        <v>100</v>
      </c>
      <c r="BB390" s="7">
        <v>0.65286900000000003</v>
      </c>
      <c r="BC390" s="7">
        <v>32.643450000000001</v>
      </c>
      <c r="BD390" s="7">
        <v>50</v>
      </c>
      <c r="BE390" s="7">
        <v>0.358651</v>
      </c>
      <c r="BF390" s="7">
        <v>17.932538000000001</v>
      </c>
      <c r="BG390" s="7">
        <v>50</v>
      </c>
      <c r="BH390" s="7">
        <v>0</v>
      </c>
      <c r="BI390" s="7">
        <v>1</v>
      </c>
      <c r="BJ390" s="7">
        <v>1</v>
      </c>
      <c r="BK390" s="7">
        <v>1</v>
      </c>
      <c r="BL390" s="7">
        <v>1</v>
      </c>
      <c r="BM390" s="7">
        <v>1</v>
      </c>
      <c r="BN390" s="7">
        <v>1</v>
      </c>
      <c r="BO390" s="7">
        <v>1</v>
      </c>
      <c r="BP390" s="7">
        <v>1</v>
      </c>
      <c r="BQ390" s="4" t="s">
        <v>124</v>
      </c>
      <c r="BR390" s="7">
        <v>8.0420000000000005E-2</v>
      </c>
      <c r="BS390" s="7">
        <v>43.916083999999998</v>
      </c>
      <c r="BT390" s="7">
        <v>50</v>
      </c>
      <c r="BU390" s="7">
        <v>0.10377400000000001</v>
      </c>
      <c r="BV390" s="7">
        <v>39.245283000000001</v>
      </c>
      <c r="BW390" s="7">
        <v>50</v>
      </c>
      <c r="BX390" s="4" t="s">
        <v>124</v>
      </c>
      <c r="BY390" s="4" t="s">
        <v>124</v>
      </c>
      <c r="BZ390" s="4" t="s">
        <v>124</v>
      </c>
      <c r="CA390" s="4" t="s">
        <v>124</v>
      </c>
      <c r="CB390" s="4" t="s">
        <v>124</v>
      </c>
      <c r="CC390" s="4" t="s">
        <v>124</v>
      </c>
      <c r="CD390" s="4" t="s">
        <v>124</v>
      </c>
      <c r="CE390" s="4" t="s">
        <v>124</v>
      </c>
      <c r="CF390" s="4" t="s">
        <v>124</v>
      </c>
      <c r="CG390" s="4" t="s">
        <v>124</v>
      </c>
      <c r="CH390" s="4" t="s">
        <v>124</v>
      </c>
      <c r="CI390" s="4" t="s">
        <v>124</v>
      </c>
      <c r="CJ390" s="4" t="s">
        <v>124</v>
      </c>
      <c r="CK390" s="4" t="s">
        <v>124</v>
      </c>
      <c r="CL390" s="4" t="s">
        <v>124</v>
      </c>
      <c r="CM390" s="4" t="s">
        <v>124</v>
      </c>
      <c r="CN390" s="4" t="s">
        <v>124</v>
      </c>
      <c r="CO390" s="4" t="s">
        <v>124</v>
      </c>
      <c r="CP390" s="4" t="s">
        <v>124</v>
      </c>
      <c r="CQ390" s="7">
        <v>0.76363599999999998</v>
      </c>
      <c r="CR390" s="7">
        <v>1</v>
      </c>
      <c r="CS390" s="7">
        <v>50</v>
      </c>
      <c r="CT390" s="7">
        <v>50</v>
      </c>
      <c r="CU390" s="4" t="s">
        <v>124</v>
      </c>
      <c r="CV390" s="4" t="s">
        <v>124</v>
      </c>
      <c r="CW390" s="4" t="s">
        <v>124</v>
      </c>
      <c r="CX390" s="4" t="s">
        <v>124</v>
      </c>
      <c r="CY390" s="4" t="s">
        <v>124</v>
      </c>
      <c r="CZ390" s="4" t="s">
        <v>124</v>
      </c>
      <c r="DA390" s="7">
        <v>15.314097</v>
      </c>
      <c r="DB390" s="7">
        <v>17.400950000000002</v>
      </c>
      <c r="DC390" s="7">
        <v>16.332519999999999</v>
      </c>
      <c r="DD390" s="4" t="s">
        <v>124</v>
      </c>
      <c r="DE390" s="7">
        <v>0</v>
      </c>
      <c r="DF390" s="6"/>
      <c r="DG390" s="6"/>
      <c r="DH390" s="4" t="s">
        <v>331</v>
      </c>
      <c r="DI390" s="4" t="s">
        <v>528</v>
      </c>
      <c r="DJ390" s="7">
        <v>0</v>
      </c>
      <c r="DK390" s="7">
        <v>1</v>
      </c>
      <c r="DL390" s="7">
        <v>0</v>
      </c>
      <c r="DM390" s="7">
        <v>1</v>
      </c>
      <c r="DN390" s="7">
        <v>0</v>
      </c>
      <c r="DO390" s="7">
        <v>0</v>
      </c>
      <c r="DP390" s="6"/>
      <c r="DQ390" s="4" t="s">
        <v>125</v>
      </c>
    </row>
    <row r="391" spans="1:121" ht="20" customHeight="1" x14ac:dyDescent="0.15">
      <c r="A391" s="5">
        <v>2018</v>
      </c>
      <c r="B391" s="3" t="s">
        <v>171</v>
      </c>
      <c r="C391" s="4" t="str">
        <f t="shared" si="46"/>
        <v>0450011</v>
      </c>
      <c r="D391" s="4" t="s">
        <v>541</v>
      </c>
      <c r="E391" s="4" t="str">
        <f>"0456111"</f>
        <v>0456111</v>
      </c>
      <c r="F391" s="4" t="s">
        <v>327</v>
      </c>
      <c r="G391" s="7">
        <v>9</v>
      </c>
      <c r="H391" s="7">
        <v>12</v>
      </c>
      <c r="I391" s="4" t="s">
        <v>329</v>
      </c>
      <c r="J391" s="4" t="s">
        <v>330</v>
      </c>
      <c r="K391" s="7">
        <v>1225.0350719999999</v>
      </c>
      <c r="L391" s="7">
        <v>1450</v>
      </c>
      <c r="M391" s="7">
        <v>84.485176999999993</v>
      </c>
      <c r="N391" s="7">
        <v>3</v>
      </c>
      <c r="O391" s="7">
        <v>1</v>
      </c>
      <c r="P391" s="7">
        <v>65.272988999999995</v>
      </c>
      <c r="Q391" s="7">
        <v>130.54597699999999</v>
      </c>
      <c r="R391" s="7">
        <v>150</v>
      </c>
      <c r="S391" s="7">
        <v>55.338462</v>
      </c>
      <c r="T391" s="7">
        <v>69.139720999999994</v>
      </c>
      <c r="U391" s="7">
        <v>110.676923</v>
      </c>
      <c r="V391" s="7">
        <v>150</v>
      </c>
      <c r="W391" s="7">
        <v>61.569443999999997</v>
      </c>
      <c r="X391" s="7">
        <v>123.13888900000001</v>
      </c>
      <c r="Y391" s="7">
        <v>150</v>
      </c>
      <c r="Z391" s="7">
        <v>65.407185999999996</v>
      </c>
      <c r="AA391" s="7">
        <v>51.709401999999997</v>
      </c>
      <c r="AB391" s="7">
        <v>103.418803</v>
      </c>
      <c r="AC391" s="7">
        <v>150</v>
      </c>
      <c r="AD391" s="7">
        <v>67.437935999999993</v>
      </c>
      <c r="AE391" s="7">
        <v>89.917248000000001</v>
      </c>
      <c r="AF391" s="7">
        <v>100</v>
      </c>
      <c r="AG391" s="7">
        <v>54.635444</v>
      </c>
      <c r="AH391" s="7">
        <v>72.267618999999996</v>
      </c>
      <c r="AI391" s="7">
        <v>72.847258999999994</v>
      </c>
      <c r="AJ391" s="7">
        <v>100</v>
      </c>
      <c r="AK391" s="7">
        <v>13.8</v>
      </c>
      <c r="AL391" s="7">
        <v>13.69</v>
      </c>
      <c r="AM391" s="7">
        <v>17.63</v>
      </c>
      <c r="AN391" s="4" t="s">
        <v>124</v>
      </c>
      <c r="AO391" s="4" t="s">
        <v>124</v>
      </c>
      <c r="AP391" s="4" t="s">
        <v>124</v>
      </c>
      <c r="AQ391" s="4" t="s">
        <v>124</v>
      </c>
      <c r="AR391" s="4" t="s">
        <v>124</v>
      </c>
      <c r="AS391" s="4" t="s">
        <v>124</v>
      </c>
      <c r="AT391" s="4" t="s">
        <v>124</v>
      </c>
      <c r="AU391" s="4" t="s">
        <v>124</v>
      </c>
      <c r="AV391" s="4" t="s">
        <v>124</v>
      </c>
      <c r="AW391" s="4" t="s">
        <v>124</v>
      </c>
      <c r="AX391" s="4" t="s">
        <v>124</v>
      </c>
      <c r="AY391" s="4" t="s">
        <v>124</v>
      </c>
      <c r="AZ391" s="4" t="s">
        <v>124</v>
      </c>
      <c r="BA391" s="4" t="s">
        <v>124</v>
      </c>
      <c r="BB391" s="4" t="s">
        <v>124</v>
      </c>
      <c r="BC391" s="4" t="s">
        <v>124</v>
      </c>
      <c r="BD391" s="4" t="s">
        <v>124</v>
      </c>
      <c r="BE391" s="4" t="s">
        <v>124</v>
      </c>
      <c r="BF391" s="4" t="s">
        <v>124</v>
      </c>
      <c r="BG391" s="4" t="s">
        <v>124</v>
      </c>
      <c r="BH391" s="7">
        <v>0</v>
      </c>
      <c r="BI391" s="7">
        <v>0.97510399999999997</v>
      </c>
      <c r="BJ391" s="7">
        <v>0.97058800000000001</v>
      </c>
      <c r="BK391" s="7">
        <v>0.97687900000000005</v>
      </c>
      <c r="BL391" s="7">
        <v>0.97510399999999997</v>
      </c>
      <c r="BM391" s="7">
        <v>0.97058800000000001</v>
      </c>
      <c r="BN391" s="7">
        <v>0.97687900000000005</v>
      </c>
      <c r="BO391" s="7">
        <v>0.97083299999999995</v>
      </c>
      <c r="BP391" s="7">
        <v>0.95588200000000001</v>
      </c>
      <c r="BQ391" s="7">
        <v>0.97674399999999995</v>
      </c>
      <c r="BR391" s="7">
        <v>6.0302000000000001E-2</v>
      </c>
      <c r="BS391" s="7">
        <v>47.939698</v>
      </c>
      <c r="BT391" s="7">
        <v>50</v>
      </c>
      <c r="BU391" s="7">
        <v>0.109155</v>
      </c>
      <c r="BV391" s="7">
        <v>38.169013999999997</v>
      </c>
      <c r="BW391" s="7">
        <v>50</v>
      </c>
      <c r="BX391" s="7">
        <v>0.96273299999999995</v>
      </c>
      <c r="BY391" s="7">
        <v>50</v>
      </c>
      <c r="BZ391" s="7">
        <v>50</v>
      </c>
      <c r="CA391" s="7">
        <v>0.60455499999999995</v>
      </c>
      <c r="CB391" s="7">
        <v>40.303657999999999</v>
      </c>
      <c r="CC391" s="7">
        <v>50</v>
      </c>
      <c r="CD391" s="7">
        <v>0.98795200000000005</v>
      </c>
      <c r="CE391" s="7">
        <v>50</v>
      </c>
      <c r="CF391" s="7">
        <v>50</v>
      </c>
      <c r="CG391" s="7">
        <v>0.96666700000000005</v>
      </c>
      <c r="CH391" s="7">
        <v>100</v>
      </c>
      <c r="CI391" s="7">
        <v>100</v>
      </c>
      <c r="CJ391" s="7">
        <v>0</v>
      </c>
      <c r="CK391" s="7">
        <v>0.91071400000000002</v>
      </c>
      <c r="CL391" s="7">
        <v>96.884497999999994</v>
      </c>
      <c r="CM391" s="7">
        <v>100</v>
      </c>
      <c r="CN391" s="7">
        <v>0.82375500000000001</v>
      </c>
      <c r="CO391" s="7">
        <v>100</v>
      </c>
      <c r="CP391" s="7">
        <v>100</v>
      </c>
      <c r="CQ391" s="7">
        <v>0.74885800000000002</v>
      </c>
      <c r="CR391" s="7">
        <v>0.8327</v>
      </c>
      <c r="CS391" s="7">
        <v>24.961948</v>
      </c>
      <c r="CT391" s="7">
        <v>50</v>
      </c>
      <c r="CU391" s="7">
        <v>0.55477399999999999</v>
      </c>
      <c r="CV391" s="7">
        <v>46.231155999999999</v>
      </c>
      <c r="CW391" s="7">
        <v>50</v>
      </c>
      <c r="CX391" s="7">
        <v>0.91071400000000002</v>
      </c>
      <c r="CY391" s="7">
        <v>0.94</v>
      </c>
      <c r="CZ391" s="7">
        <v>2.9286E-2</v>
      </c>
      <c r="DA391" s="7">
        <v>15.314097</v>
      </c>
      <c r="DB391" s="7">
        <v>17.400950000000002</v>
      </c>
      <c r="DC391" s="7">
        <v>16.332519999999999</v>
      </c>
      <c r="DD391" s="7">
        <v>7.9891730000000001</v>
      </c>
      <c r="DE391" s="7">
        <v>1</v>
      </c>
      <c r="DF391" s="6"/>
      <c r="DG391" s="6"/>
      <c r="DH391" s="6"/>
      <c r="DI391" s="6"/>
      <c r="DJ391" s="7">
        <v>0</v>
      </c>
      <c r="DK391" s="7">
        <v>0</v>
      </c>
      <c r="DL391" s="7">
        <v>0</v>
      </c>
      <c r="DM391" s="7">
        <v>0</v>
      </c>
      <c r="DN391" s="7">
        <v>0</v>
      </c>
      <c r="DO391" s="7">
        <v>0</v>
      </c>
      <c r="DP391" s="6"/>
      <c r="DQ391" s="4" t="s">
        <v>125</v>
      </c>
    </row>
    <row r="392" spans="1:121" ht="20" customHeight="1" x14ac:dyDescent="0.15">
      <c r="A392" s="5">
        <v>2018</v>
      </c>
      <c r="B392" s="3" t="s">
        <v>171</v>
      </c>
      <c r="C392" s="4" t="str">
        <f t="shared" ref="C392:C395" si="198">"0450011"</f>
        <v>0450011</v>
      </c>
      <c r="D392" s="4" t="s">
        <v>542</v>
      </c>
      <c r="E392" s="4" t="str">
        <f>"0455111"</f>
        <v>0455111</v>
      </c>
      <c r="F392" s="4" t="s">
        <v>327</v>
      </c>
      <c r="G392" s="7">
        <v>5</v>
      </c>
      <c r="H392" s="7">
        <v>8</v>
      </c>
      <c r="I392" s="4" t="s">
        <v>329</v>
      </c>
      <c r="J392" s="4" t="s">
        <v>330</v>
      </c>
      <c r="K392" s="7">
        <v>685.71954600000004</v>
      </c>
      <c r="L392" s="7">
        <v>900</v>
      </c>
      <c r="M392" s="7">
        <v>76.191061000000005</v>
      </c>
      <c r="N392" s="7">
        <v>2</v>
      </c>
      <c r="O392" s="7">
        <v>0</v>
      </c>
      <c r="P392" s="7">
        <v>78.181197999999995</v>
      </c>
      <c r="Q392" s="7">
        <v>50</v>
      </c>
      <c r="R392" s="7">
        <v>50</v>
      </c>
      <c r="S392" s="7">
        <v>68.242115999999996</v>
      </c>
      <c r="T392" s="7">
        <v>75</v>
      </c>
      <c r="U392" s="7">
        <v>45.494743999999997</v>
      </c>
      <c r="V392" s="7">
        <v>50</v>
      </c>
      <c r="W392" s="7">
        <v>72.279112999999995</v>
      </c>
      <c r="X392" s="7">
        <v>48.186076</v>
      </c>
      <c r="Y392" s="7">
        <v>50</v>
      </c>
      <c r="Z392" s="7">
        <v>75</v>
      </c>
      <c r="AA392" s="7">
        <v>61.573791999999997</v>
      </c>
      <c r="AB392" s="7">
        <v>41.049194999999997</v>
      </c>
      <c r="AC392" s="7">
        <v>50</v>
      </c>
      <c r="AD392" s="7">
        <v>78.142221000000006</v>
      </c>
      <c r="AE392" s="7">
        <v>50</v>
      </c>
      <c r="AF392" s="7">
        <v>50</v>
      </c>
      <c r="AG392" s="7">
        <v>68.603526000000002</v>
      </c>
      <c r="AH392" s="7">
        <v>75</v>
      </c>
      <c r="AI392" s="7">
        <v>45.735683999999999</v>
      </c>
      <c r="AJ392" s="7">
        <v>50</v>
      </c>
      <c r="AK392" s="7">
        <v>6.75</v>
      </c>
      <c r="AL392" s="7">
        <v>13.42</v>
      </c>
      <c r="AM392" s="7">
        <v>6.39</v>
      </c>
      <c r="AN392" s="7">
        <v>0.60587000000000002</v>
      </c>
      <c r="AO392" s="7">
        <v>60.586976</v>
      </c>
      <c r="AP392" s="7">
        <v>100</v>
      </c>
      <c r="AQ392" s="7">
        <v>0.58669400000000005</v>
      </c>
      <c r="AR392" s="7">
        <v>58.669362999999997</v>
      </c>
      <c r="AS392" s="7">
        <v>100</v>
      </c>
      <c r="AT392" s="7">
        <v>0.56272599999999995</v>
      </c>
      <c r="AU392" s="7">
        <v>0.62606700000000004</v>
      </c>
      <c r="AV392" s="7">
        <v>56.272585999999997</v>
      </c>
      <c r="AW392" s="7">
        <v>100</v>
      </c>
      <c r="AX392" s="7">
        <v>0.48613800000000001</v>
      </c>
      <c r="AY392" s="7">
        <v>0.63376600000000005</v>
      </c>
      <c r="AZ392" s="7">
        <v>48.613812000000003</v>
      </c>
      <c r="BA392" s="7">
        <v>100</v>
      </c>
      <c r="BB392" s="4" t="s">
        <v>124</v>
      </c>
      <c r="BC392" s="4" t="s">
        <v>124</v>
      </c>
      <c r="BD392" s="4" t="s">
        <v>124</v>
      </c>
      <c r="BE392" s="4" t="s">
        <v>124</v>
      </c>
      <c r="BF392" s="4" t="s">
        <v>124</v>
      </c>
      <c r="BG392" s="4" t="s">
        <v>124</v>
      </c>
      <c r="BH392" s="7">
        <v>0</v>
      </c>
      <c r="BI392" s="7">
        <v>0.97413799999999995</v>
      </c>
      <c r="BJ392" s="7">
        <v>0.95340499999999995</v>
      </c>
      <c r="BK392" s="7">
        <v>0.98499099999999995</v>
      </c>
      <c r="BL392" s="7">
        <v>0.97413799999999995</v>
      </c>
      <c r="BM392" s="7">
        <v>0.95340499999999995</v>
      </c>
      <c r="BN392" s="7">
        <v>0.98499099999999995</v>
      </c>
      <c r="BO392" s="7">
        <v>0.97590399999999999</v>
      </c>
      <c r="BP392" s="7">
        <v>0.96453900000000004</v>
      </c>
      <c r="BQ392" s="7">
        <v>0.98175199999999996</v>
      </c>
      <c r="BR392" s="7">
        <v>4.3263000000000003E-2</v>
      </c>
      <c r="BS392" s="7">
        <v>50</v>
      </c>
      <c r="BT392" s="7">
        <v>50</v>
      </c>
      <c r="BU392" s="7">
        <v>8.1480999999999998E-2</v>
      </c>
      <c r="BV392" s="7">
        <v>43.703704000000002</v>
      </c>
      <c r="BW392" s="7">
        <v>50</v>
      </c>
      <c r="BX392" s="4" t="s">
        <v>124</v>
      </c>
      <c r="BY392" s="4" t="s">
        <v>124</v>
      </c>
      <c r="BZ392" s="4" t="s">
        <v>124</v>
      </c>
      <c r="CA392" s="4" t="s">
        <v>124</v>
      </c>
      <c r="CB392" s="4" t="s">
        <v>124</v>
      </c>
      <c r="CC392" s="4" t="s">
        <v>124</v>
      </c>
      <c r="CD392" s="7">
        <v>0.97619</v>
      </c>
      <c r="CE392" s="7">
        <v>50</v>
      </c>
      <c r="CF392" s="7">
        <v>50</v>
      </c>
      <c r="CG392" s="4" t="s">
        <v>124</v>
      </c>
      <c r="CH392" s="4" t="s">
        <v>124</v>
      </c>
      <c r="CI392" s="4" t="s">
        <v>124</v>
      </c>
      <c r="CJ392" s="4" t="s">
        <v>124</v>
      </c>
      <c r="CK392" s="4" t="s">
        <v>124</v>
      </c>
      <c r="CL392" s="4" t="s">
        <v>124</v>
      </c>
      <c r="CM392" s="4" t="s">
        <v>124</v>
      </c>
      <c r="CN392" s="4" t="s">
        <v>124</v>
      </c>
      <c r="CO392" s="4" t="s">
        <v>124</v>
      </c>
      <c r="CP392" s="4" t="s">
        <v>124</v>
      </c>
      <c r="CQ392" s="7">
        <v>0.56111100000000003</v>
      </c>
      <c r="CR392" s="7">
        <v>0.92071599999999998</v>
      </c>
      <c r="CS392" s="7">
        <v>37.407406999999999</v>
      </c>
      <c r="CT392" s="7">
        <v>50</v>
      </c>
      <c r="CU392" s="4" t="s">
        <v>124</v>
      </c>
      <c r="CV392" s="4" t="s">
        <v>124</v>
      </c>
      <c r="CW392" s="4" t="s">
        <v>124</v>
      </c>
      <c r="CX392" s="4" t="s">
        <v>124</v>
      </c>
      <c r="CY392" s="4" t="s">
        <v>124</v>
      </c>
      <c r="CZ392" s="4" t="s">
        <v>124</v>
      </c>
      <c r="DA392" s="7">
        <v>15.314097</v>
      </c>
      <c r="DB392" s="7">
        <v>17.400950000000002</v>
      </c>
      <c r="DC392" s="7">
        <v>16.332519999999999</v>
      </c>
      <c r="DD392" s="4" t="s">
        <v>124</v>
      </c>
      <c r="DE392" s="7">
        <v>0</v>
      </c>
      <c r="DF392" s="6"/>
      <c r="DG392" s="6"/>
      <c r="DH392" s="6"/>
      <c r="DI392" s="6"/>
      <c r="DJ392" s="7">
        <v>0</v>
      </c>
      <c r="DK392" s="7">
        <v>0</v>
      </c>
      <c r="DL392" s="7">
        <v>0</v>
      </c>
      <c r="DM392" s="7">
        <v>0</v>
      </c>
      <c r="DN392" s="7">
        <v>0</v>
      </c>
      <c r="DO392" s="7">
        <v>0</v>
      </c>
      <c r="DP392" s="6"/>
      <c r="DQ392" s="4" t="s">
        <v>125</v>
      </c>
    </row>
    <row r="393" spans="1:121" ht="20" customHeight="1" x14ac:dyDescent="0.15">
      <c r="A393" s="5">
        <v>2018</v>
      </c>
      <c r="B393" s="3" t="s">
        <v>171</v>
      </c>
      <c r="C393" s="4" t="str">
        <f t="shared" si="198"/>
        <v>0450011</v>
      </c>
      <c r="D393" s="4" t="s">
        <v>543</v>
      </c>
      <c r="E393" s="4" t="str">
        <f>"0450111"</f>
        <v>0450111</v>
      </c>
      <c r="F393" s="4" t="s">
        <v>327</v>
      </c>
      <c r="G393" s="4" t="s">
        <v>338</v>
      </c>
      <c r="H393" s="7">
        <v>4</v>
      </c>
      <c r="I393" s="4" t="s">
        <v>329</v>
      </c>
      <c r="J393" s="4" t="s">
        <v>330</v>
      </c>
      <c r="K393" s="7">
        <v>491.53045700000001</v>
      </c>
      <c r="L393" s="7">
        <v>550</v>
      </c>
      <c r="M393" s="7">
        <v>89.369174000000001</v>
      </c>
      <c r="N393" s="7">
        <v>1</v>
      </c>
      <c r="O393" s="7">
        <v>0</v>
      </c>
      <c r="P393" s="7">
        <v>81.202011999999996</v>
      </c>
      <c r="Q393" s="7">
        <v>50</v>
      </c>
      <c r="R393" s="7">
        <v>50</v>
      </c>
      <c r="S393" s="7">
        <v>68.205472</v>
      </c>
      <c r="T393" s="7">
        <v>75</v>
      </c>
      <c r="U393" s="7">
        <v>45.470314999999999</v>
      </c>
      <c r="V393" s="7">
        <v>50</v>
      </c>
      <c r="W393" s="7">
        <v>81.671306999999999</v>
      </c>
      <c r="X393" s="7">
        <v>50</v>
      </c>
      <c r="Y393" s="7">
        <v>50</v>
      </c>
      <c r="Z393" s="7">
        <v>75</v>
      </c>
      <c r="AA393" s="7">
        <v>69.597611999999998</v>
      </c>
      <c r="AB393" s="7">
        <v>46.398408000000003</v>
      </c>
      <c r="AC393" s="7">
        <v>50</v>
      </c>
      <c r="AD393" s="4" t="s">
        <v>124</v>
      </c>
      <c r="AE393" s="4" t="s">
        <v>124</v>
      </c>
      <c r="AF393" s="4" t="s">
        <v>124</v>
      </c>
      <c r="AG393" s="4" t="s">
        <v>124</v>
      </c>
      <c r="AH393" s="4" t="s">
        <v>124</v>
      </c>
      <c r="AI393" s="4" t="s">
        <v>124</v>
      </c>
      <c r="AJ393" s="4" t="s">
        <v>124</v>
      </c>
      <c r="AK393" s="7">
        <v>6.79</v>
      </c>
      <c r="AL393" s="7">
        <v>5.4</v>
      </c>
      <c r="AM393" s="4" t="s">
        <v>124</v>
      </c>
      <c r="AN393" s="7">
        <v>0.77116899999999999</v>
      </c>
      <c r="AO393" s="7">
        <v>77.116926000000007</v>
      </c>
      <c r="AP393" s="7">
        <v>100</v>
      </c>
      <c r="AQ393" s="7">
        <v>0.76466400000000001</v>
      </c>
      <c r="AR393" s="7">
        <v>76.466376999999994</v>
      </c>
      <c r="AS393" s="7">
        <v>100</v>
      </c>
      <c r="AT393" s="4" t="s">
        <v>124</v>
      </c>
      <c r="AU393" s="7">
        <v>0.86785199999999996</v>
      </c>
      <c r="AV393" s="4" t="s">
        <v>124</v>
      </c>
      <c r="AW393" s="4" t="s">
        <v>124</v>
      </c>
      <c r="AX393" s="4" t="s">
        <v>124</v>
      </c>
      <c r="AY393" s="7">
        <v>0.82675900000000002</v>
      </c>
      <c r="AZ393" s="4" t="s">
        <v>124</v>
      </c>
      <c r="BA393" s="4" t="s">
        <v>124</v>
      </c>
      <c r="BB393" s="4" t="s">
        <v>124</v>
      </c>
      <c r="BC393" s="4" t="s">
        <v>124</v>
      </c>
      <c r="BD393" s="4" t="s">
        <v>124</v>
      </c>
      <c r="BE393" s="4" t="s">
        <v>124</v>
      </c>
      <c r="BF393" s="4" t="s">
        <v>124</v>
      </c>
      <c r="BG393" s="4" t="s">
        <v>124</v>
      </c>
      <c r="BH393" s="7">
        <v>0</v>
      </c>
      <c r="BI393" s="7">
        <v>1</v>
      </c>
      <c r="BJ393" s="7">
        <v>1</v>
      </c>
      <c r="BK393" s="7">
        <v>1</v>
      </c>
      <c r="BL393" s="7">
        <v>1</v>
      </c>
      <c r="BM393" s="7">
        <v>1</v>
      </c>
      <c r="BN393" s="7">
        <v>1</v>
      </c>
      <c r="BO393" s="4" t="s">
        <v>124</v>
      </c>
      <c r="BP393" s="4" t="s">
        <v>124</v>
      </c>
      <c r="BQ393" s="4" t="s">
        <v>124</v>
      </c>
      <c r="BR393" s="7">
        <v>2.9155E-2</v>
      </c>
      <c r="BS393" s="7">
        <v>50</v>
      </c>
      <c r="BT393" s="7">
        <v>50</v>
      </c>
      <c r="BU393" s="7">
        <v>3.8835000000000001E-2</v>
      </c>
      <c r="BV393" s="7">
        <v>50</v>
      </c>
      <c r="BW393" s="7">
        <v>50</v>
      </c>
      <c r="BX393" s="4" t="s">
        <v>124</v>
      </c>
      <c r="BY393" s="4" t="s">
        <v>124</v>
      </c>
      <c r="BZ393" s="4" t="s">
        <v>124</v>
      </c>
      <c r="CA393" s="4" t="s">
        <v>124</v>
      </c>
      <c r="CB393" s="4" t="s">
        <v>124</v>
      </c>
      <c r="CC393" s="4" t="s">
        <v>124</v>
      </c>
      <c r="CD393" s="4" t="s">
        <v>124</v>
      </c>
      <c r="CE393" s="4" t="s">
        <v>124</v>
      </c>
      <c r="CF393" s="4" t="s">
        <v>124</v>
      </c>
      <c r="CG393" s="4" t="s">
        <v>124</v>
      </c>
      <c r="CH393" s="4" t="s">
        <v>124</v>
      </c>
      <c r="CI393" s="4" t="s">
        <v>124</v>
      </c>
      <c r="CJ393" s="4" t="s">
        <v>124</v>
      </c>
      <c r="CK393" s="4" t="s">
        <v>124</v>
      </c>
      <c r="CL393" s="4" t="s">
        <v>124</v>
      </c>
      <c r="CM393" s="4" t="s">
        <v>124</v>
      </c>
      <c r="CN393" s="4" t="s">
        <v>124</v>
      </c>
      <c r="CO393" s="4" t="s">
        <v>124</v>
      </c>
      <c r="CP393" s="4" t="s">
        <v>124</v>
      </c>
      <c r="CQ393" s="7">
        <v>0.69117600000000001</v>
      </c>
      <c r="CR393" s="7">
        <v>1</v>
      </c>
      <c r="CS393" s="7">
        <v>46.078431000000002</v>
      </c>
      <c r="CT393" s="7">
        <v>50</v>
      </c>
      <c r="CU393" s="4" t="s">
        <v>124</v>
      </c>
      <c r="CV393" s="4" t="s">
        <v>124</v>
      </c>
      <c r="CW393" s="4" t="s">
        <v>124</v>
      </c>
      <c r="CX393" s="4" t="s">
        <v>124</v>
      </c>
      <c r="CY393" s="4" t="s">
        <v>124</v>
      </c>
      <c r="CZ393" s="4" t="s">
        <v>124</v>
      </c>
      <c r="DA393" s="7">
        <v>15.314097</v>
      </c>
      <c r="DB393" s="7">
        <v>17.400950000000002</v>
      </c>
      <c r="DC393" s="7">
        <v>16.332519999999999</v>
      </c>
      <c r="DD393" s="4" t="s">
        <v>124</v>
      </c>
      <c r="DE393" s="7">
        <v>0</v>
      </c>
      <c r="DF393" s="6"/>
      <c r="DG393" s="6"/>
      <c r="DH393" s="4" t="s">
        <v>331</v>
      </c>
      <c r="DI393" s="4" t="s">
        <v>332</v>
      </c>
      <c r="DJ393" s="7">
        <v>1</v>
      </c>
      <c r="DK393" s="7">
        <v>0</v>
      </c>
      <c r="DL393" s="7">
        <v>0</v>
      </c>
      <c r="DM393" s="7">
        <v>0</v>
      </c>
      <c r="DN393" s="7">
        <v>0</v>
      </c>
      <c r="DO393" s="7">
        <v>0</v>
      </c>
      <c r="DP393" s="6"/>
      <c r="DQ393" s="4" t="s">
        <v>125</v>
      </c>
    </row>
    <row r="394" spans="1:121" ht="20" customHeight="1" x14ac:dyDescent="0.15">
      <c r="A394" s="5">
        <v>2018</v>
      </c>
      <c r="B394" s="3" t="s">
        <v>171</v>
      </c>
      <c r="C394" s="4" t="str">
        <f t="shared" si="198"/>
        <v>0450011</v>
      </c>
      <c r="D394" s="4" t="s">
        <v>544</v>
      </c>
      <c r="E394" s="4" t="str">
        <f>"0450411"</f>
        <v>0450411</v>
      </c>
      <c r="F394" s="4" t="s">
        <v>327</v>
      </c>
      <c r="G394" s="4" t="s">
        <v>328</v>
      </c>
      <c r="H394" s="7">
        <v>4</v>
      </c>
      <c r="I394" s="4" t="s">
        <v>329</v>
      </c>
      <c r="J394" s="4" t="s">
        <v>330</v>
      </c>
      <c r="K394" s="7">
        <v>476.87580300000002</v>
      </c>
      <c r="L394" s="7">
        <v>550</v>
      </c>
      <c r="M394" s="7">
        <v>86.704690999999997</v>
      </c>
      <c r="N394" s="7">
        <v>1</v>
      </c>
      <c r="O394" s="7">
        <v>0</v>
      </c>
      <c r="P394" s="7">
        <v>81.015501999999998</v>
      </c>
      <c r="Q394" s="7">
        <v>50</v>
      </c>
      <c r="R394" s="7">
        <v>50</v>
      </c>
      <c r="S394" s="7">
        <v>70.301807999999994</v>
      </c>
      <c r="T394" s="7">
        <v>75</v>
      </c>
      <c r="U394" s="7">
        <v>46.867871999999998</v>
      </c>
      <c r="V394" s="7">
        <v>50</v>
      </c>
      <c r="W394" s="7">
        <v>82.650632999999999</v>
      </c>
      <c r="X394" s="7">
        <v>50</v>
      </c>
      <c r="Y394" s="7">
        <v>50</v>
      </c>
      <c r="Z394" s="7">
        <v>75</v>
      </c>
      <c r="AA394" s="7">
        <v>69.284471999999994</v>
      </c>
      <c r="AB394" s="7">
        <v>46.189647999999998</v>
      </c>
      <c r="AC394" s="7">
        <v>50</v>
      </c>
      <c r="AD394" s="4" t="s">
        <v>124</v>
      </c>
      <c r="AE394" s="4" t="s">
        <v>124</v>
      </c>
      <c r="AF394" s="4" t="s">
        <v>124</v>
      </c>
      <c r="AG394" s="4" t="s">
        <v>124</v>
      </c>
      <c r="AH394" s="4" t="s">
        <v>124</v>
      </c>
      <c r="AI394" s="4" t="s">
        <v>124</v>
      </c>
      <c r="AJ394" s="4" t="s">
        <v>124</v>
      </c>
      <c r="AK394" s="7">
        <v>4.6900000000000004</v>
      </c>
      <c r="AL394" s="7">
        <v>5.71</v>
      </c>
      <c r="AM394" s="4" t="s">
        <v>124</v>
      </c>
      <c r="AN394" s="7">
        <v>0.675682</v>
      </c>
      <c r="AO394" s="7">
        <v>67.568230999999997</v>
      </c>
      <c r="AP394" s="7">
        <v>100</v>
      </c>
      <c r="AQ394" s="7">
        <v>0.87967200000000001</v>
      </c>
      <c r="AR394" s="7">
        <v>87.967224000000002</v>
      </c>
      <c r="AS394" s="7">
        <v>100</v>
      </c>
      <c r="AT394" s="4" t="s">
        <v>124</v>
      </c>
      <c r="AU394" s="7">
        <v>0.71453500000000003</v>
      </c>
      <c r="AV394" s="4" t="s">
        <v>124</v>
      </c>
      <c r="AW394" s="4" t="s">
        <v>124</v>
      </c>
      <c r="AX394" s="4" t="s">
        <v>124</v>
      </c>
      <c r="AY394" s="7">
        <v>0.89326700000000003</v>
      </c>
      <c r="AZ394" s="4" t="s">
        <v>124</v>
      </c>
      <c r="BA394" s="4" t="s">
        <v>124</v>
      </c>
      <c r="BB394" s="4" t="s">
        <v>124</v>
      </c>
      <c r="BC394" s="4" t="s">
        <v>124</v>
      </c>
      <c r="BD394" s="4" t="s">
        <v>124</v>
      </c>
      <c r="BE394" s="4" t="s">
        <v>124</v>
      </c>
      <c r="BF394" s="4" t="s">
        <v>124</v>
      </c>
      <c r="BG394" s="4" t="s">
        <v>124</v>
      </c>
      <c r="BH394" s="7">
        <v>0</v>
      </c>
      <c r="BI394" s="7">
        <v>0.99193500000000001</v>
      </c>
      <c r="BJ394" s="7">
        <v>0.97560999999999998</v>
      </c>
      <c r="BK394" s="7">
        <v>1</v>
      </c>
      <c r="BL394" s="7">
        <v>0.99193500000000001</v>
      </c>
      <c r="BM394" s="7">
        <v>0.97560999999999998</v>
      </c>
      <c r="BN394" s="7">
        <v>1</v>
      </c>
      <c r="BO394" s="4" t="s">
        <v>124</v>
      </c>
      <c r="BP394" s="4" t="s">
        <v>124</v>
      </c>
      <c r="BQ394" s="4" t="s">
        <v>124</v>
      </c>
      <c r="BR394" s="7">
        <v>2.6936000000000002E-2</v>
      </c>
      <c r="BS394" s="7">
        <v>50</v>
      </c>
      <c r="BT394" s="7">
        <v>50</v>
      </c>
      <c r="BU394" s="7">
        <v>4.4248000000000003E-2</v>
      </c>
      <c r="BV394" s="7">
        <v>50</v>
      </c>
      <c r="BW394" s="7">
        <v>50</v>
      </c>
      <c r="BX394" s="4" t="s">
        <v>124</v>
      </c>
      <c r="BY394" s="4" t="s">
        <v>124</v>
      </c>
      <c r="BZ394" s="4" t="s">
        <v>124</v>
      </c>
      <c r="CA394" s="4" t="s">
        <v>124</v>
      </c>
      <c r="CB394" s="4" t="s">
        <v>124</v>
      </c>
      <c r="CC394" s="4" t="s">
        <v>124</v>
      </c>
      <c r="CD394" s="4" t="s">
        <v>124</v>
      </c>
      <c r="CE394" s="4" t="s">
        <v>124</v>
      </c>
      <c r="CF394" s="4" t="s">
        <v>124</v>
      </c>
      <c r="CG394" s="4" t="s">
        <v>124</v>
      </c>
      <c r="CH394" s="4" t="s">
        <v>124</v>
      </c>
      <c r="CI394" s="4" t="s">
        <v>124</v>
      </c>
      <c r="CJ394" s="4" t="s">
        <v>124</v>
      </c>
      <c r="CK394" s="4" t="s">
        <v>124</v>
      </c>
      <c r="CL394" s="4" t="s">
        <v>124</v>
      </c>
      <c r="CM394" s="4" t="s">
        <v>124</v>
      </c>
      <c r="CN394" s="4" t="s">
        <v>124</v>
      </c>
      <c r="CO394" s="4" t="s">
        <v>124</v>
      </c>
      <c r="CP394" s="4" t="s">
        <v>124</v>
      </c>
      <c r="CQ394" s="7">
        <v>0.42424200000000001</v>
      </c>
      <c r="CR394" s="7">
        <v>0.95652199999999998</v>
      </c>
      <c r="CS394" s="7">
        <v>28.282827999999999</v>
      </c>
      <c r="CT394" s="7">
        <v>50</v>
      </c>
      <c r="CU394" s="4" t="s">
        <v>124</v>
      </c>
      <c r="CV394" s="4" t="s">
        <v>124</v>
      </c>
      <c r="CW394" s="4" t="s">
        <v>124</v>
      </c>
      <c r="CX394" s="4" t="s">
        <v>124</v>
      </c>
      <c r="CY394" s="4" t="s">
        <v>124</v>
      </c>
      <c r="CZ394" s="4" t="s">
        <v>124</v>
      </c>
      <c r="DA394" s="7">
        <v>15.314097</v>
      </c>
      <c r="DB394" s="7">
        <v>17.400950000000002</v>
      </c>
      <c r="DC394" s="7">
        <v>16.332519999999999</v>
      </c>
      <c r="DD394" s="4" t="s">
        <v>124</v>
      </c>
      <c r="DE394" s="7">
        <v>0</v>
      </c>
      <c r="DF394" s="6"/>
      <c r="DG394" s="6"/>
      <c r="DH394" s="4" t="s">
        <v>331</v>
      </c>
      <c r="DI394" s="4" t="s">
        <v>545</v>
      </c>
      <c r="DJ394" s="7">
        <v>1</v>
      </c>
      <c r="DK394" s="7">
        <v>0</v>
      </c>
      <c r="DL394" s="7">
        <v>1</v>
      </c>
      <c r="DM394" s="7">
        <v>0</v>
      </c>
      <c r="DN394" s="7">
        <v>0</v>
      </c>
      <c r="DO394" s="7">
        <v>0</v>
      </c>
      <c r="DP394" s="6"/>
      <c r="DQ394" s="4" t="s">
        <v>125</v>
      </c>
    </row>
    <row r="395" spans="1:121" ht="20" customHeight="1" x14ac:dyDescent="0.15">
      <c r="A395" s="5">
        <v>2018</v>
      </c>
      <c r="B395" s="3" t="s">
        <v>171</v>
      </c>
      <c r="C395" s="4" t="str">
        <f t="shared" si="198"/>
        <v>0450011</v>
      </c>
      <c r="D395" s="4" t="s">
        <v>546</v>
      </c>
      <c r="E395" s="4" t="str">
        <f>"0450211"</f>
        <v>0450211</v>
      </c>
      <c r="F395" s="4" t="s">
        <v>327</v>
      </c>
      <c r="G395" s="4" t="s">
        <v>338</v>
      </c>
      <c r="H395" s="7">
        <v>4</v>
      </c>
      <c r="I395" s="4" t="s">
        <v>329</v>
      </c>
      <c r="J395" s="4" t="s">
        <v>330</v>
      </c>
      <c r="K395" s="7">
        <v>523.08658600000001</v>
      </c>
      <c r="L395" s="7">
        <v>550</v>
      </c>
      <c r="M395" s="7">
        <v>95.106651999999997</v>
      </c>
      <c r="N395" s="7">
        <v>2</v>
      </c>
      <c r="O395" s="7">
        <v>0</v>
      </c>
      <c r="P395" s="7">
        <v>84.200078000000005</v>
      </c>
      <c r="Q395" s="7">
        <v>50</v>
      </c>
      <c r="R395" s="7">
        <v>50</v>
      </c>
      <c r="S395" s="7">
        <v>75.011348999999996</v>
      </c>
      <c r="T395" s="7">
        <v>75</v>
      </c>
      <c r="U395" s="7">
        <v>50</v>
      </c>
      <c r="V395" s="7">
        <v>50</v>
      </c>
      <c r="W395" s="7">
        <v>81.373925</v>
      </c>
      <c r="X395" s="7">
        <v>50</v>
      </c>
      <c r="Y395" s="7">
        <v>50</v>
      </c>
      <c r="Z395" s="7">
        <v>75</v>
      </c>
      <c r="AA395" s="7">
        <v>72.099492999999995</v>
      </c>
      <c r="AB395" s="7">
        <v>48.066329000000003</v>
      </c>
      <c r="AC395" s="7">
        <v>50</v>
      </c>
      <c r="AD395" s="4" t="s">
        <v>124</v>
      </c>
      <c r="AE395" s="4" t="s">
        <v>124</v>
      </c>
      <c r="AF395" s="4" t="s">
        <v>124</v>
      </c>
      <c r="AG395" s="4" t="s">
        <v>124</v>
      </c>
      <c r="AH395" s="4" t="s">
        <v>124</v>
      </c>
      <c r="AI395" s="4" t="s">
        <v>124</v>
      </c>
      <c r="AJ395" s="4" t="s">
        <v>124</v>
      </c>
      <c r="AK395" s="7">
        <v>-0.01</v>
      </c>
      <c r="AL395" s="7">
        <v>2.9</v>
      </c>
      <c r="AM395" s="4" t="s">
        <v>124</v>
      </c>
      <c r="AN395" s="7">
        <v>0.91287200000000002</v>
      </c>
      <c r="AO395" s="7">
        <v>91.287201999999994</v>
      </c>
      <c r="AP395" s="7">
        <v>100</v>
      </c>
      <c r="AQ395" s="7">
        <v>0.91140500000000002</v>
      </c>
      <c r="AR395" s="7">
        <v>91.140461999999999</v>
      </c>
      <c r="AS395" s="7">
        <v>100</v>
      </c>
      <c r="AT395" s="4" t="s">
        <v>124</v>
      </c>
      <c r="AU395" s="7">
        <v>0.91269800000000001</v>
      </c>
      <c r="AV395" s="4" t="s">
        <v>124</v>
      </c>
      <c r="AW395" s="4" t="s">
        <v>124</v>
      </c>
      <c r="AX395" s="4" t="s">
        <v>124</v>
      </c>
      <c r="AY395" s="7">
        <v>0.99287700000000001</v>
      </c>
      <c r="AZ395" s="4" t="s">
        <v>124</v>
      </c>
      <c r="BA395" s="4" t="s">
        <v>124</v>
      </c>
      <c r="BB395" s="4" t="s">
        <v>124</v>
      </c>
      <c r="BC395" s="4" t="s">
        <v>124</v>
      </c>
      <c r="BD395" s="4" t="s">
        <v>124</v>
      </c>
      <c r="BE395" s="4" t="s">
        <v>124</v>
      </c>
      <c r="BF395" s="4" t="s">
        <v>124</v>
      </c>
      <c r="BG395" s="4" t="s">
        <v>124</v>
      </c>
      <c r="BH395" s="7">
        <v>1</v>
      </c>
      <c r="BI395" s="7">
        <v>0.95454499999999998</v>
      </c>
      <c r="BJ395" s="7">
        <v>0.92592600000000003</v>
      </c>
      <c r="BK395" s="7">
        <v>0.97435899999999998</v>
      </c>
      <c r="BL395" s="7">
        <v>0.95454499999999998</v>
      </c>
      <c r="BM395" s="7">
        <v>0.92592600000000003</v>
      </c>
      <c r="BN395" s="7">
        <v>0.97435899999999998</v>
      </c>
      <c r="BO395" s="4" t="s">
        <v>124</v>
      </c>
      <c r="BP395" s="4" t="s">
        <v>124</v>
      </c>
      <c r="BQ395" s="4" t="s">
        <v>124</v>
      </c>
      <c r="BR395" s="7">
        <v>1.7045000000000001E-2</v>
      </c>
      <c r="BS395" s="7">
        <v>50</v>
      </c>
      <c r="BT395" s="7">
        <v>50</v>
      </c>
      <c r="BU395" s="7">
        <v>1.6129000000000001E-2</v>
      </c>
      <c r="BV395" s="7">
        <v>50</v>
      </c>
      <c r="BW395" s="7">
        <v>50</v>
      </c>
      <c r="BX395" s="4" t="s">
        <v>124</v>
      </c>
      <c r="BY395" s="4" t="s">
        <v>124</v>
      </c>
      <c r="BZ395" s="4" t="s">
        <v>124</v>
      </c>
      <c r="CA395" s="4" t="s">
        <v>124</v>
      </c>
      <c r="CB395" s="4" t="s">
        <v>124</v>
      </c>
      <c r="CC395" s="4" t="s">
        <v>124</v>
      </c>
      <c r="CD395" s="4" t="s">
        <v>124</v>
      </c>
      <c r="CE395" s="4" t="s">
        <v>124</v>
      </c>
      <c r="CF395" s="4" t="s">
        <v>124</v>
      </c>
      <c r="CG395" s="4" t="s">
        <v>124</v>
      </c>
      <c r="CH395" s="4" t="s">
        <v>124</v>
      </c>
      <c r="CI395" s="4" t="s">
        <v>124</v>
      </c>
      <c r="CJ395" s="4" t="s">
        <v>124</v>
      </c>
      <c r="CK395" s="4" t="s">
        <v>124</v>
      </c>
      <c r="CL395" s="4" t="s">
        <v>124</v>
      </c>
      <c r="CM395" s="4" t="s">
        <v>124</v>
      </c>
      <c r="CN395" s="4" t="s">
        <v>124</v>
      </c>
      <c r="CO395" s="4" t="s">
        <v>124</v>
      </c>
      <c r="CP395" s="4" t="s">
        <v>124</v>
      </c>
      <c r="CQ395" s="7">
        <v>0.63888900000000004</v>
      </c>
      <c r="CR395" s="7">
        <v>1.0285709999999999</v>
      </c>
      <c r="CS395" s="7">
        <v>42.592593000000001</v>
      </c>
      <c r="CT395" s="7">
        <v>50</v>
      </c>
      <c r="CU395" s="4" t="s">
        <v>124</v>
      </c>
      <c r="CV395" s="4" t="s">
        <v>124</v>
      </c>
      <c r="CW395" s="4" t="s">
        <v>124</v>
      </c>
      <c r="CX395" s="4" t="s">
        <v>124</v>
      </c>
      <c r="CY395" s="4" t="s">
        <v>124</v>
      </c>
      <c r="CZ395" s="4" t="s">
        <v>124</v>
      </c>
      <c r="DA395" s="7">
        <v>15.314097</v>
      </c>
      <c r="DB395" s="7">
        <v>17.400950000000002</v>
      </c>
      <c r="DC395" s="7">
        <v>16.332519999999999</v>
      </c>
      <c r="DD395" s="4" t="s">
        <v>124</v>
      </c>
      <c r="DE395" s="7">
        <v>1</v>
      </c>
      <c r="DF395" s="6"/>
      <c r="DG395" s="6"/>
      <c r="DH395" s="6"/>
      <c r="DI395" s="6"/>
      <c r="DJ395" s="7">
        <v>0</v>
      </c>
      <c r="DK395" s="7">
        <v>0</v>
      </c>
      <c r="DL395" s="7">
        <v>0</v>
      </c>
      <c r="DM395" s="7">
        <v>0</v>
      </c>
      <c r="DN395" s="7">
        <v>0</v>
      </c>
      <c r="DO395" s="7">
        <v>0</v>
      </c>
      <c r="DP395" s="6"/>
      <c r="DQ395" s="4" t="s">
        <v>125</v>
      </c>
    </row>
    <row r="396" spans="1:121" ht="20" customHeight="1" x14ac:dyDescent="0.15">
      <c r="A396" s="5">
        <v>2018</v>
      </c>
      <c r="B396" s="3" t="s">
        <v>146</v>
      </c>
      <c r="C396" s="4" t="str">
        <f t="shared" si="21"/>
        <v>0460011</v>
      </c>
      <c r="D396" s="4" t="s">
        <v>547</v>
      </c>
      <c r="E396" s="4" t="str">
        <f>"0465111"</f>
        <v>0465111</v>
      </c>
      <c r="F396" s="4" t="s">
        <v>327</v>
      </c>
      <c r="G396" s="7">
        <v>6</v>
      </c>
      <c r="H396" s="7">
        <v>8</v>
      </c>
      <c r="I396" s="4" t="s">
        <v>329</v>
      </c>
      <c r="J396" s="4" t="s">
        <v>330</v>
      </c>
      <c r="K396" s="7">
        <v>739.60075700000004</v>
      </c>
      <c r="L396" s="7">
        <v>900</v>
      </c>
      <c r="M396" s="7">
        <v>82.177862000000005</v>
      </c>
      <c r="N396" s="7">
        <v>3</v>
      </c>
      <c r="O396" s="7">
        <v>0</v>
      </c>
      <c r="P396" s="7">
        <v>84.801873999999998</v>
      </c>
      <c r="Q396" s="7">
        <v>50</v>
      </c>
      <c r="R396" s="7">
        <v>50</v>
      </c>
      <c r="S396" s="7">
        <v>75.126945000000006</v>
      </c>
      <c r="T396" s="7">
        <v>75</v>
      </c>
      <c r="U396" s="7">
        <v>50</v>
      </c>
      <c r="V396" s="7">
        <v>50</v>
      </c>
      <c r="W396" s="7">
        <v>77.526660000000007</v>
      </c>
      <c r="X396" s="7">
        <v>50</v>
      </c>
      <c r="Y396" s="7">
        <v>50</v>
      </c>
      <c r="Z396" s="7">
        <v>75</v>
      </c>
      <c r="AA396" s="7">
        <v>67.047216000000006</v>
      </c>
      <c r="AB396" s="7">
        <v>44.698143999999999</v>
      </c>
      <c r="AC396" s="7">
        <v>50</v>
      </c>
      <c r="AD396" s="7">
        <v>74.882936999999998</v>
      </c>
      <c r="AE396" s="7">
        <v>49.921957999999997</v>
      </c>
      <c r="AF396" s="7">
        <v>50</v>
      </c>
      <c r="AG396" s="7">
        <v>68.048903999999993</v>
      </c>
      <c r="AH396" s="7">
        <v>75</v>
      </c>
      <c r="AI396" s="7">
        <v>45.365935999999998</v>
      </c>
      <c r="AJ396" s="7">
        <v>50</v>
      </c>
      <c r="AK396" s="7">
        <v>-0.12</v>
      </c>
      <c r="AL396" s="7">
        <v>7.95</v>
      </c>
      <c r="AM396" s="7">
        <v>6.95</v>
      </c>
      <c r="AN396" s="7">
        <v>0.67343600000000003</v>
      </c>
      <c r="AO396" s="7">
        <v>67.343603000000002</v>
      </c>
      <c r="AP396" s="7">
        <v>100</v>
      </c>
      <c r="AQ396" s="7">
        <v>0.69203700000000001</v>
      </c>
      <c r="AR396" s="7">
        <v>69.203706999999994</v>
      </c>
      <c r="AS396" s="7">
        <v>100</v>
      </c>
      <c r="AT396" s="7">
        <v>0.55508900000000005</v>
      </c>
      <c r="AU396" s="7">
        <v>0.70174599999999998</v>
      </c>
      <c r="AV396" s="7">
        <v>55.508910999999998</v>
      </c>
      <c r="AW396" s="7">
        <v>100</v>
      </c>
      <c r="AX396" s="7">
        <v>0.66043300000000005</v>
      </c>
      <c r="AY396" s="7">
        <v>0.69944399999999995</v>
      </c>
      <c r="AZ396" s="7">
        <v>66.043346999999997</v>
      </c>
      <c r="BA396" s="7">
        <v>100</v>
      </c>
      <c r="BB396" s="4" t="s">
        <v>124</v>
      </c>
      <c r="BC396" s="4" t="s">
        <v>124</v>
      </c>
      <c r="BD396" s="4" t="s">
        <v>124</v>
      </c>
      <c r="BE396" s="4" t="s">
        <v>124</v>
      </c>
      <c r="BF396" s="4" t="s">
        <v>124</v>
      </c>
      <c r="BG396" s="4" t="s">
        <v>124</v>
      </c>
      <c r="BH396" s="7">
        <v>1</v>
      </c>
      <c r="BI396" s="7">
        <v>0.97916700000000001</v>
      </c>
      <c r="BJ396" s="7">
        <v>0.94666700000000004</v>
      </c>
      <c r="BK396" s="7">
        <v>0.988506</v>
      </c>
      <c r="BL396" s="7">
        <v>0.97619</v>
      </c>
      <c r="BM396" s="7">
        <v>0.93333299999999997</v>
      </c>
      <c r="BN396" s="7">
        <v>0.988506</v>
      </c>
      <c r="BO396" s="7">
        <v>0.98373999999999995</v>
      </c>
      <c r="BP396" s="7">
        <v>0.96</v>
      </c>
      <c r="BQ396" s="7">
        <v>0.98979600000000001</v>
      </c>
      <c r="BR396" s="7">
        <v>4.1667000000000003E-2</v>
      </c>
      <c r="BS396" s="7">
        <v>50</v>
      </c>
      <c r="BT396" s="7">
        <v>50</v>
      </c>
      <c r="BU396" s="7">
        <v>4.3478000000000003E-2</v>
      </c>
      <c r="BV396" s="7">
        <v>50</v>
      </c>
      <c r="BW396" s="7">
        <v>50</v>
      </c>
      <c r="BX396" s="4" t="s">
        <v>124</v>
      </c>
      <c r="BY396" s="4" t="s">
        <v>124</v>
      </c>
      <c r="BZ396" s="4" t="s">
        <v>124</v>
      </c>
      <c r="CA396" s="4" t="s">
        <v>124</v>
      </c>
      <c r="CB396" s="4" t="s">
        <v>124</v>
      </c>
      <c r="CC396" s="4" t="s">
        <v>124</v>
      </c>
      <c r="CD396" s="7">
        <v>0.98876399999999998</v>
      </c>
      <c r="CE396" s="7">
        <v>50</v>
      </c>
      <c r="CF396" s="7">
        <v>50</v>
      </c>
      <c r="CG396" s="4" t="s">
        <v>124</v>
      </c>
      <c r="CH396" s="4" t="s">
        <v>124</v>
      </c>
      <c r="CI396" s="4" t="s">
        <v>124</v>
      </c>
      <c r="CJ396" s="4" t="s">
        <v>124</v>
      </c>
      <c r="CK396" s="4" t="s">
        <v>124</v>
      </c>
      <c r="CL396" s="4" t="s">
        <v>124</v>
      </c>
      <c r="CM396" s="4" t="s">
        <v>124</v>
      </c>
      <c r="CN396" s="4" t="s">
        <v>124</v>
      </c>
      <c r="CO396" s="4" t="s">
        <v>124</v>
      </c>
      <c r="CP396" s="4" t="s">
        <v>124</v>
      </c>
      <c r="CQ396" s="7">
        <v>0.62272700000000003</v>
      </c>
      <c r="CR396" s="7">
        <v>0.95238100000000003</v>
      </c>
      <c r="CS396" s="7">
        <v>41.515152</v>
      </c>
      <c r="CT396" s="7">
        <v>50</v>
      </c>
      <c r="CU396" s="4" t="s">
        <v>124</v>
      </c>
      <c r="CV396" s="4" t="s">
        <v>124</v>
      </c>
      <c r="CW396" s="4" t="s">
        <v>124</v>
      </c>
      <c r="CX396" s="4" t="s">
        <v>124</v>
      </c>
      <c r="CY396" s="4" t="s">
        <v>124</v>
      </c>
      <c r="CZ396" s="4" t="s">
        <v>124</v>
      </c>
      <c r="DA396" s="7">
        <v>15.314097</v>
      </c>
      <c r="DB396" s="7">
        <v>17.400950000000002</v>
      </c>
      <c r="DC396" s="7">
        <v>16.332519999999999</v>
      </c>
      <c r="DD396" s="4" t="s">
        <v>124</v>
      </c>
      <c r="DE396" s="7">
        <v>1</v>
      </c>
      <c r="DF396" s="6"/>
      <c r="DG396" s="6"/>
      <c r="DH396" s="6"/>
      <c r="DI396" s="6"/>
      <c r="DJ396" s="7">
        <v>0</v>
      </c>
      <c r="DK396" s="7">
        <v>0</v>
      </c>
      <c r="DL396" s="7">
        <v>0</v>
      </c>
      <c r="DM396" s="7">
        <v>0</v>
      </c>
      <c r="DN396" s="7">
        <v>0</v>
      </c>
      <c r="DO396" s="7">
        <v>0</v>
      </c>
      <c r="DP396" s="6"/>
      <c r="DQ396" s="4" t="s">
        <v>125</v>
      </c>
    </row>
    <row r="397" spans="1:121" ht="20" customHeight="1" x14ac:dyDescent="0.15">
      <c r="A397" s="5">
        <v>2018</v>
      </c>
      <c r="B397" s="3" t="s">
        <v>146</v>
      </c>
      <c r="C397" s="4" t="str">
        <f>"0460011"</f>
        <v>0460011</v>
      </c>
      <c r="D397" s="4" t="s">
        <v>548</v>
      </c>
      <c r="E397" s="4" t="str">
        <f>"0460111"</f>
        <v>0460111</v>
      </c>
      <c r="F397" s="4" t="s">
        <v>327</v>
      </c>
      <c r="G397" s="4" t="s">
        <v>328</v>
      </c>
      <c r="H397" s="7">
        <v>5</v>
      </c>
      <c r="I397" s="4" t="s">
        <v>329</v>
      </c>
      <c r="J397" s="4" t="s">
        <v>330</v>
      </c>
      <c r="K397" s="7">
        <v>684.15209700000003</v>
      </c>
      <c r="L397" s="7">
        <v>850</v>
      </c>
      <c r="M397" s="7">
        <v>80.488482000000005</v>
      </c>
      <c r="N397" s="7">
        <v>3</v>
      </c>
      <c r="O397" s="7">
        <v>0</v>
      </c>
      <c r="P397" s="7">
        <v>80.059488000000002</v>
      </c>
      <c r="Q397" s="7">
        <v>50</v>
      </c>
      <c r="R397" s="7">
        <v>50</v>
      </c>
      <c r="S397" s="7">
        <v>67.519082999999995</v>
      </c>
      <c r="T397" s="7">
        <v>75</v>
      </c>
      <c r="U397" s="7">
        <v>45.012721999999997</v>
      </c>
      <c r="V397" s="7">
        <v>50</v>
      </c>
      <c r="W397" s="7">
        <v>78.874795000000006</v>
      </c>
      <c r="X397" s="7">
        <v>50</v>
      </c>
      <c r="Y397" s="7">
        <v>50</v>
      </c>
      <c r="Z397" s="7">
        <v>75</v>
      </c>
      <c r="AA397" s="7">
        <v>65.377564000000007</v>
      </c>
      <c r="AB397" s="7">
        <v>43.585042999999999</v>
      </c>
      <c r="AC397" s="7">
        <v>50</v>
      </c>
      <c r="AD397" s="7">
        <v>75.396242000000001</v>
      </c>
      <c r="AE397" s="7">
        <v>50</v>
      </c>
      <c r="AF397" s="7">
        <v>50</v>
      </c>
      <c r="AG397" s="7">
        <v>64.005184</v>
      </c>
      <c r="AH397" s="7">
        <v>75</v>
      </c>
      <c r="AI397" s="7">
        <v>42.670122999999997</v>
      </c>
      <c r="AJ397" s="7">
        <v>50</v>
      </c>
      <c r="AK397" s="7">
        <v>7.48</v>
      </c>
      <c r="AL397" s="7">
        <v>9.6199999999999992</v>
      </c>
      <c r="AM397" s="7">
        <v>10.99</v>
      </c>
      <c r="AN397" s="7">
        <v>0.70541699999999996</v>
      </c>
      <c r="AO397" s="7">
        <v>70.541702999999998</v>
      </c>
      <c r="AP397" s="7">
        <v>100</v>
      </c>
      <c r="AQ397" s="7">
        <v>0.70713300000000001</v>
      </c>
      <c r="AR397" s="7">
        <v>70.713266000000004</v>
      </c>
      <c r="AS397" s="7">
        <v>100</v>
      </c>
      <c r="AT397" s="7">
        <v>0.58201199999999997</v>
      </c>
      <c r="AU397" s="7">
        <v>0.75667799999999996</v>
      </c>
      <c r="AV397" s="7">
        <v>58.201166999999998</v>
      </c>
      <c r="AW397" s="7">
        <v>100</v>
      </c>
      <c r="AX397" s="7">
        <v>0.58242899999999997</v>
      </c>
      <c r="AY397" s="7">
        <v>0.75893299999999997</v>
      </c>
      <c r="AZ397" s="7">
        <v>58.242888000000001</v>
      </c>
      <c r="BA397" s="7">
        <v>100</v>
      </c>
      <c r="BB397" s="4" t="s">
        <v>124</v>
      </c>
      <c r="BC397" s="4" t="s">
        <v>124</v>
      </c>
      <c r="BD397" s="4" t="s">
        <v>124</v>
      </c>
      <c r="BE397" s="4" t="s">
        <v>124</v>
      </c>
      <c r="BF397" s="4" t="s">
        <v>124</v>
      </c>
      <c r="BG397" s="4" t="s">
        <v>124</v>
      </c>
      <c r="BH397" s="7">
        <v>1</v>
      </c>
      <c r="BI397" s="7">
        <v>0.98943700000000001</v>
      </c>
      <c r="BJ397" s="7">
        <v>0.98823499999999997</v>
      </c>
      <c r="BK397" s="7">
        <v>0.98995</v>
      </c>
      <c r="BL397" s="7">
        <v>0.98591499999999999</v>
      </c>
      <c r="BM397" s="7">
        <v>0.97647099999999998</v>
      </c>
      <c r="BN397" s="7">
        <v>0.98995</v>
      </c>
      <c r="BO397" s="7">
        <v>0.98019800000000001</v>
      </c>
      <c r="BP397" s="7">
        <v>0.9375</v>
      </c>
      <c r="BQ397" s="7">
        <v>1</v>
      </c>
      <c r="BR397" s="7">
        <v>4.0665E-2</v>
      </c>
      <c r="BS397" s="7">
        <v>50</v>
      </c>
      <c r="BT397" s="7">
        <v>50</v>
      </c>
      <c r="BU397" s="7">
        <v>7.4074000000000001E-2</v>
      </c>
      <c r="BV397" s="7">
        <v>45.185184999999997</v>
      </c>
      <c r="BW397" s="7">
        <v>50</v>
      </c>
      <c r="BX397" s="4" t="s">
        <v>124</v>
      </c>
      <c r="BY397" s="4" t="s">
        <v>124</v>
      </c>
      <c r="BZ397" s="4" t="s">
        <v>124</v>
      </c>
      <c r="CA397" s="4" t="s">
        <v>124</v>
      </c>
      <c r="CB397" s="4" t="s">
        <v>124</v>
      </c>
      <c r="CC397" s="4" t="s">
        <v>124</v>
      </c>
      <c r="CD397" s="4" t="s">
        <v>124</v>
      </c>
      <c r="CE397" s="4" t="s">
        <v>124</v>
      </c>
      <c r="CF397" s="4" t="s">
        <v>124</v>
      </c>
      <c r="CG397" s="4" t="s">
        <v>124</v>
      </c>
      <c r="CH397" s="4" t="s">
        <v>124</v>
      </c>
      <c r="CI397" s="4" t="s">
        <v>124</v>
      </c>
      <c r="CJ397" s="4" t="s">
        <v>124</v>
      </c>
      <c r="CK397" s="4" t="s">
        <v>124</v>
      </c>
      <c r="CL397" s="4" t="s">
        <v>124</v>
      </c>
      <c r="CM397" s="4" t="s">
        <v>124</v>
      </c>
      <c r="CN397" s="4" t="s">
        <v>124</v>
      </c>
      <c r="CO397" s="4" t="s">
        <v>124</v>
      </c>
      <c r="CP397" s="4" t="s">
        <v>124</v>
      </c>
      <c r="CQ397" s="7">
        <v>0.75531899999999996</v>
      </c>
      <c r="CR397" s="7">
        <v>1</v>
      </c>
      <c r="CS397" s="7">
        <v>50</v>
      </c>
      <c r="CT397" s="7">
        <v>50</v>
      </c>
      <c r="CU397" s="4" t="s">
        <v>124</v>
      </c>
      <c r="CV397" s="4" t="s">
        <v>124</v>
      </c>
      <c r="CW397" s="4" t="s">
        <v>124</v>
      </c>
      <c r="CX397" s="4" t="s">
        <v>124</v>
      </c>
      <c r="CY397" s="4" t="s">
        <v>124</v>
      </c>
      <c r="CZ397" s="4" t="s">
        <v>124</v>
      </c>
      <c r="DA397" s="7">
        <v>15.314097</v>
      </c>
      <c r="DB397" s="7">
        <v>17.400950000000002</v>
      </c>
      <c r="DC397" s="7">
        <v>16.332519999999999</v>
      </c>
      <c r="DD397" s="4" t="s">
        <v>124</v>
      </c>
      <c r="DE397" s="7">
        <v>1</v>
      </c>
      <c r="DF397" s="6"/>
      <c r="DG397" s="6"/>
      <c r="DH397" s="6"/>
      <c r="DI397" s="6"/>
      <c r="DJ397" s="7">
        <v>0</v>
      </c>
      <c r="DK397" s="7">
        <v>0</v>
      </c>
      <c r="DL397" s="7">
        <v>0</v>
      </c>
      <c r="DM397" s="7">
        <v>0</v>
      </c>
      <c r="DN397" s="7">
        <v>0</v>
      </c>
      <c r="DO397" s="7">
        <v>0</v>
      </c>
      <c r="DP397" s="6"/>
      <c r="DQ397" s="4" t="s">
        <v>125</v>
      </c>
    </row>
    <row r="398" spans="1:121" ht="20" customHeight="1" x14ac:dyDescent="0.15">
      <c r="A398" s="5">
        <v>2018</v>
      </c>
      <c r="B398" s="3" t="s">
        <v>147</v>
      </c>
      <c r="C398" s="4" t="str">
        <f t="shared" si="22"/>
        <v>0470011</v>
      </c>
      <c r="D398" s="4" t="s">
        <v>549</v>
      </c>
      <c r="E398" s="4" t="str">
        <f>"0470111"</f>
        <v>0470111</v>
      </c>
      <c r="F398" s="4" t="s">
        <v>327</v>
      </c>
      <c r="G398" s="4" t="s">
        <v>328</v>
      </c>
      <c r="H398" s="7">
        <v>4</v>
      </c>
      <c r="I398" s="4" t="s">
        <v>335</v>
      </c>
      <c r="J398" s="4" t="s">
        <v>330</v>
      </c>
      <c r="K398" s="7">
        <v>520.30582500000003</v>
      </c>
      <c r="L398" s="7">
        <v>750</v>
      </c>
      <c r="M398" s="7">
        <v>69.374110000000002</v>
      </c>
      <c r="N398" s="7">
        <v>3</v>
      </c>
      <c r="O398" s="7">
        <v>1</v>
      </c>
      <c r="P398" s="7">
        <v>62.269069000000002</v>
      </c>
      <c r="Q398" s="7">
        <v>41.512712999999998</v>
      </c>
      <c r="R398" s="7">
        <v>50</v>
      </c>
      <c r="S398" s="7">
        <v>57.062341000000004</v>
      </c>
      <c r="T398" s="7">
        <v>73.629204000000001</v>
      </c>
      <c r="U398" s="7">
        <v>38.041559999999997</v>
      </c>
      <c r="V398" s="7">
        <v>50</v>
      </c>
      <c r="W398" s="7">
        <v>58.115031999999999</v>
      </c>
      <c r="X398" s="7">
        <v>38.743355000000001</v>
      </c>
      <c r="Y398" s="7">
        <v>50</v>
      </c>
      <c r="Z398" s="7">
        <v>68.193731999999997</v>
      </c>
      <c r="AA398" s="7">
        <v>53.495626999999999</v>
      </c>
      <c r="AB398" s="7">
        <v>35.663752000000002</v>
      </c>
      <c r="AC398" s="7">
        <v>50</v>
      </c>
      <c r="AD398" s="4" t="s">
        <v>124</v>
      </c>
      <c r="AE398" s="4" t="s">
        <v>124</v>
      </c>
      <c r="AF398" s="4" t="s">
        <v>124</v>
      </c>
      <c r="AG398" s="4" t="s">
        <v>124</v>
      </c>
      <c r="AH398" s="4" t="s">
        <v>124</v>
      </c>
      <c r="AI398" s="4" t="s">
        <v>124</v>
      </c>
      <c r="AJ398" s="4" t="s">
        <v>124</v>
      </c>
      <c r="AK398" s="7">
        <v>16.559999999999999</v>
      </c>
      <c r="AL398" s="7">
        <v>14.69</v>
      </c>
      <c r="AM398" s="4" t="s">
        <v>124</v>
      </c>
      <c r="AN398" s="7">
        <v>0.61072499999999996</v>
      </c>
      <c r="AO398" s="7">
        <v>61.072476000000002</v>
      </c>
      <c r="AP398" s="7">
        <v>100</v>
      </c>
      <c r="AQ398" s="7">
        <v>0.71773299999999995</v>
      </c>
      <c r="AR398" s="7">
        <v>71.773291</v>
      </c>
      <c r="AS398" s="7">
        <v>100</v>
      </c>
      <c r="AT398" s="7">
        <v>0.61478600000000005</v>
      </c>
      <c r="AU398" s="7">
        <v>0.60313099999999997</v>
      </c>
      <c r="AV398" s="7">
        <v>61.478628</v>
      </c>
      <c r="AW398" s="7">
        <v>100</v>
      </c>
      <c r="AX398" s="7">
        <v>0.65888999999999998</v>
      </c>
      <c r="AY398" s="7">
        <v>0.82774300000000001</v>
      </c>
      <c r="AZ398" s="7">
        <v>65.889005999999995</v>
      </c>
      <c r="BA398" s="7">
        <v>100</v>
      </c>
      <c r="BB398" s="4" t="s">
        <v>124</v>
      </c>
      <c r="BC398" s="4" t="s">
        <v>124</v>
      </c>
      <c r="BD398" s="4" t="s">
        <v>124</v>
      </c>
      <c r="BE398" s="4" t="s">
        <v>124</v>
      </c>
      <c r="BF398" s="4" t="s">
        <v>124</v>
      </c>
      <c r="BG398" s="4" t="s">
        <v>124</v>
      </c>
      <c r="BH398" s="7">
        <v>0</v>
      </c>
      <c r="BI398" s="7">
        <v>1</v>
      </c>
      <c r="BJ398" s="7">
        <v>1</v>
      </c>
      <c r="BK398" s="7">
        <v>1</v>
      </c>
      <c r="BL398" s="7">
        <v>1</v>
      </c>
      <c r="BM398" s="7">
        <v>1</v>
      </c>
      <c r="BN398" s="7">
        <v>1</v>
      </c>
      <c r="BO398" s="4" t="s">
        <v>124</v>
      </c>
      <c r="BP398" s="4" t="s">
        <v>124</v>
      </c>
      <c r="BQ398" s="4" t="s">
        <v>124</v>
      </c>
      <c r="BR398" s="7">
        <v>9.3136999999999998E-2</v>
      </c>
      <c r="BS398" s="7">
        <v>41.372548999999999</v>
      </c>
      <c r="BT398" s="7">
        <v>50</v>
      </c>
      <c r="BU398" s="7">
        <v>0.12546099999999999</v>
      </c>
      <c r="BV398" s="7">
        <v>34.907749000000003</v>
      </c>
      <c r="BW398" s="7">
        <v>50</v>
      </c>
      <c r="BX398" s="4" t="s">
        <v>124</v>
      </c>
      <c r="BY398" s="4" t="s">
        <v>124</v>
      </c>
      <c r="BZ398" s="4" t="s">
        <v>124</v>
      </c>
      <c r="CA398" s="4" t="s">
        <v>124</v>
      </c>
      <c r="CB398" s="4" t="s">
        <v>124</v>
      </c>
      <c r="CC398" s="4" t="s">
        <v>124</v>
      </c>
      <c r="CD398" s="4" t="s">
        <v>124</v>
      </c>
      <c r="CE398" s="4" t="s">
        <v>124</v>
      </c>
      <c r="CF398" s="4" t="s">
        <v>124</v>
      </c>
      <c r="CG398" s="4" t="s">
        <v>124</v>
      </c>
      <c r="CH398" s="4" t="s">
        <v>124</v>
      </c>
      <c r="CI398" s="4" t="s">
        <v>124</v>
      </c>
      <c r="CJ398" s="4" t="s">
        <v>124</v>
      </c>
      <c r="CK398" s="4" t="s">
        <v>124</v>
      </c>
      <c r="CL398" s="4" t="s">
        <v>124</v>
      </c>
      <c r="CM398" s="4" t="s">
        <v>124</v>
      </c>
      <c r="CN398" s="4" t="s">
        <v>124</v>
      </c>
      <c r="CO398" s="4" t="s">
        <v>124</v>
      </c>
      <c r="CP398" s="4" t="s">
        <v>124</v>
      </c>
      <c r="CQ398" s="7">
        <v>0.44776100000000002</v>
      </c>
      <c r="CR398" s="7">
        <v>0.97101400000000004</v>
      </c>
      <c r="CS398" s="7">
        <v>29.850746000000001</v>
      </c>
      <c r="CT398" s="7">
        <v>50</v>
      </c>
      <c r="CU398" s="4" t="s">
        <v>124</v>
      </c>
      <c r="CV398" s="4" t="s">
        <v>124</v>
      </c>
      <c r="CW398" s="4" t="s">
        <v>124</v>
      </c>
      <c r="CX398" s="4" t="s">
        <v>124</v>
      </c>
      <c r="CY398" s="4" t="s">
        <v>124</v>
      </c>
      <c r="CZ398" s="4" t="s">
        <v>124</v>
      </c>
      <c r="DA398" s="7">
        <v>15.314097</v>
      </c>
      <c r="DB398" s="7">
        <v>17.400950000000002</v>
      </c>
      <c r="DC398" s="7">
        <v>16.332519999999999</v>
      </c>
      <c r="DD398" s="4" t="s">
        <v>124</v>
      </c>
      <c r="DE398" s="7">
        <v>1</v>
      </c>
      <c r="DF398" s="6"/>
      <c r="DG398" s="6"/>
      <c r="DH398" s="6"/>
      <c r="DI398" s="6"/>
      <c r="DJ398" s="7">
        <v>0</v>
      </c>
      <c r="DK398" s="7">
        <v>0</v>
      </c>
      <c r="DL398" s="7">
        <v>0</v>
      </c>
      <c r="DM398" s="7">
        <v>0</v>
      </c>
      <c r="DN398" s="7">
        <v>0</v>
      </c>
      <c r="DO398" s="7">
        <v>0</v>
      </c>
      <c r="DP398" s="6"/>
      <c r="DQ398" s="4" t="s">
        <v>125</v>
      </c>
    </row>
    <row r="399" spans="1:121" ht="20" customHeight="1" x14ac:dyDescent="0.15">
      <c r="A399" s="5">
        <v>2018</v>
      </c>
      <c r="B399" s="3" t="s">
        <v>147</v>
      </c>
      <c r="C399" s="4" t="str">
        <f t="shared" ref="C399:C400" si="199">"0470011"</f>
        <v>0470011</v>
      </c>
      <c r="D399" s="4" t="s">
        <v>550</v>
      </c>
      <c r="E399" s="4" t="str">
        <f>"0476111"</f>
        <v>0476111</v>
      </c>
      <c r="F399" s="4" t="s">
        <v>327</v>
      </c>
      <c r="G399" s="7">
        <v>9</v>
      </c>
      <c r="H399" s="7">
        <v>12</v>
      </c>
      <c r="I399" s="4" t="s">
        <v>329</v>
      </c>
      <c r="J399" s="4" t="s">
        <v>330</v>
      </c>
      <c r="K399" s="7">
        <v>996.11570500000005</v>
      </c>
      <c r="L399" s="7">
        <v>1450</v>
      </c>
      <c r="M399" s="7">
        <v>68.697635000000005</v>
      </c>
      <c r="N399" s="7">
        <v>3</v>
      </c>
      <c r="O399" s="7">
        <v>0</v>
      </c>
      <c r="P399" s="7">
        <v>53.268518999999998</v>
      </c>
      <c r="Q399" s="7">
        <v>106.537037</v>
      </c>
      <c r="R399" s="7">
        <v>150</v>
      </c>
      <c r="S399" s="7">
        <v>47.995725999999998</v>
      </c>
      <c r="T399" s="7">
        <v>56.695833</v>
      </c>
      <c r="U399" s="7">
        <v>95.991453000000007</v>
      </c>
      <c r="V399" s="7">
        <v>150</v>
      </c>
      <c r="W399" s="7">
        <v>50.675925999999997</v>
      </c>
      <c r="X399" s="7">
        <v>101.35185199999999</v>
      </c>
      <c r="Y399" s="7">
        <v>150</v>
      </c>
      <c r="Z399" s="7">
        <v>55.183332999999998</v>
      </c>
      <c r="AA399" s="7">
        <v>43.741453</v>
      </c>
      <c r="AB399" s="7">
        <v>87.482906</v>
      </c>
      <c r="AC399" s="7">
        <v>150</v>
      </c>
      <c r="AD399" s="7">
        <v>55.337842000000002</v>
      </c>
      <c r="AE399" s="7">
        <v>73.783788999999999</v>
      </c>
      <c r="AF399" s="7">
        <v>100</v>
      </c>
      <c r="AG399" s="7">
        <v>49.465905999999997</v>
      </c>
      <c r="AH399" s="7">
        <v>59.252465000000001</v>
      </c>
      <c r="AI399" s="7">
        <v>65.954541000000006</v>
      </c>
      <c r="AJ399" s="7">
        <v>100</v>
      </c>
      <c r="AK399" s="7">
        <v>8.6999999999999993</v>
      </c>
      <c r="AL399" s="7">
        <v>11.44</v>
      </c>
      <c r="AM399" s="7">
        <v>9.7799999999999994</v>
      </c>
      <c r="AN399" s="4" t="s">
        <v>124</v>
      </c>
      <c r="AO399" s="4" t="s">
        <v>124</v>
      </c>
      <c r="AP399" s="4" t="s">
        <v>124</v>
      </c>
      <c r="AQ399" s="4" t="s">
        <v>124</v>
      </c>
      <c r="AR399" s="4" t="s">
        <v>124</v>
      </c>
      <c r="AS399" s="4" t="s">
        <v>124</v>
      </c>
      <c r="AT399" s="4" t="s">
        <v>124</v>
      </c>
      <c r="AU399" s="4" t="s">
        <v>124</v>
      </c>
      <c r="AV399" s="4" t="s">
        <v>124</v>
      </c>
      <c r="AW399" s="4" t="s">
        <v>124</v>
      </c>
      <c r="AX399" s="4" t="s">
        <v>124</v>
      </c>
      <c r="AY399" s="4" t="s">
        <v>124</v>
      </c>
      <c r="AZ399" s="4" t="s">
        <v>124</v>
      </c>
      <c r="BA399" s="4" t="s">
        <v>124</v>
      </c>
      <c r="BB399" s="4" t="s">
        <v>124</v>
      </c>
      <c r="BC399" s="4" t="s">
        <v>124</v>
      </c>
      <c r="BD399" s="4" t="s">
        <v>124</v>
      </c>
      <c r="BE399" s="4" t="s">
        <v>124</v>
      </c>
      <c r="BF399" s="4" t="s">
        <v>124</v>
      </c>
      <c r="BG399" s="4" t="s">
        <v>124</v>
      </c>
      <c r="BH399" s="7">
        <v>1</v>
      </c>
      <c r="BI399" s="7">
        <v>0.95714299999999997</v>
      </c>
      <c r="BJ399" s="7">
        <v>0.93103400000000003</v>
      </c>
      <c r="BK399" s="7">
        <v>0.97560999999999998</v>
      </c>
      <c r="BL399" s="7">
        <v>0.95714299999999997</v>
      </c>
      <c r="BM399" s="7">
        <v>0.93103400000000003</v>
      </c>
      <c r="BN399" s="7">
        <v>0.97560999999999998</v>
      </c>
      <c r="BO399" s="7">
        <v>0.94285699999999995</v>
      </c>
      <c r="BP399" s="7">
        <v>0.93103400000000003</v>
      </c>
      <c r="BQ399" s="7">
        <v>0.95121999999999995</v>
      </c>
      <c r="BR399" s="7">
        <v>0.206897</v>
      </c>
      <c r="BS399" s="7">
        <v>18.62069</v>
      </c>
      <c r="BT399" s="7">
        <v>50</v>
      </c>
      <c r="BU399" s="7">
        <v>0.27631600000000001</v>
      </c>
      <c r="BV399" s="7">
        <v>4.7368420000000002</v>
      </c>
      <c r="BW399" s="7">
        <v>50</v>
      </c>
      <c r="BX399" s="7">
        <v>0.84397200000000006</v>
      </c>
      <c r="BY399" s="7">
        <v>50</v>
      </c>
      <c r="BZ399" s="7">
        <v>50</v>
      </c>
      <c r="CA399" s="7">
        <v>0.326241</v>
      </c>
      <c r="CB399" s="7">
        <v>21.749409</v>
      </c>
      <c r="CC399" s="7">
        <v>50</v>
      </c>
      <c r="CD399" s="7">
        <v>0.86956500000000003</v>
      </c>
      <c r="CE399" s="7">
        <v>46.253469000000003</v>
      </c>
      <c r="CF399" s="7">
        <v>50</v>
      </c>
      <c r="CG399" s="7">
        <v>0.95505600000000002</v>
      </c>
      <c r="CH399" s="7">
        <v>100</v>
      </c>
      <c r="CI399" s="7">
        <v>100</v>
      </c>
      <c r="CJ399" s="7">
        <v>0</v>
      </c>
      <c r="CK399" s="7">
        <v>0.885714</v>
      </c>
      <c r="CL399" s="7">
        <v>94.224924000000001</v>
      </c>
      <c r="CM399" s="7">
        <v>100</v>
      </c>
      <c r="CN399" s="7">
        <v>0.67058799999999996</v>
      </c>
      <c r="CO399" s="7">
        <v>89.411765000000003</v>
      </c>
      <c r="CP399" s="7">
        <v>100</v>
      </c>
      <c r="CQ399" s="7">
        <v>0.40740700000000002</v>
      </c>
      <c r="CR399" s="7">
        <v>0.85714299999999999</v>
      </c>
      <c r="CS399" s="7">
        <v>13.580247</v>
      </c>
      <c r="CT399" s="7">
        <v>50</v>
      </c>
      <c r="CU399" s="7">
        <v>0.317241</v>
      </c>
      <c r="CV399" s="7">
        <v>26.436782000000001</v>
      </c>
      <c r="CW399" s="7">
        <v>50</v>
      </c>
      <c r="CX399" s="7">
        <v>0.885714</v>
      </c>
      <c r="CY399" s="7">
        <v>0.90243899999999999</v>
      </c>
      <c r="CZ399" s="7">
        <v>1.6725E-2</v>
      </c>
      <c r="DA399" s="7">
        <v>15.314097</v>
      </c>
      <c r="DB399" s="7">
        <v>17.400950000000002</v>
      </c>
      <c r="DC399" s="7">
        <v>16.332519999999999</v>
      </c>
      <c r="DD399" s="7">
        <v>7.9891730000000001</v>
      </c>
      <c r="DE399" s="7">
        <v>1</v>
      </c>
      <c r="DF399" s="6"/>
      <c r="DG399" s="6"/>
      <c r="DH399" s="6"/>
      <c r="DI399" s="6"/>
      <c r="DJ399" s="7">
        <v>0</v>
      </c>
      <c r="DK399" s="7">
        <v>0</v>
      </c>
      <c r="DL399" s="7">
        <v>0</v>
      </c>
      <c r="DM399" s="7">
        <v>0</v>
      </c>
      <c r="DN399" s="7">
        <v>0</v>
      </c>
      <c r="DO399" s="7">
        <v>0</v>
      </c>
      <c r="DP399" s="6"/>
      <c r="DQ399" s="4" t="s">
        <v>125</v>
      </c>
    </row>
    <row r="400" spans="1:121" ht="20" customHeight="1" x14ac:dyDescent="0.15">
      <c r="A400" s="5">
        <v>2018</v>
      </c>
      <c r="B400" s="3" t="s">
        <v>147</v>
      </c>
      <c r="C400" s="4" t="str">
        <f t="shared" si="199"/>
        <v>0470011</v>
      </c>
      <c r="D400" s="4" t="s">
        <v>551</v>
      </c>
      <c r="E400" s="4" t="str">
        <f>"0475411"</f>
        <v>0475411</v>
      </c>
      <c r="F400" s="4" t="s">
        <v>327</v>
      </c>
      <c r="G400" s="7">
        <v>5</v>
      </c>
      <c r="H400" s="7">
        <v>8</v>
      </c>
      <c r="I400" s="4" t="s">
        <v>329</v>
      </c>
      <c r="J400" s="4" t="s">
        <v>330</v>
      </c>
      <c r="K400" s="7">
        <v>532.48367199999996</v>
      </c>
      <c r="L400" s="7">
        <v>900</v>
      </c>
      <c r="M400" s="7">
        <v>59.164852000000003</v>
      </c>
      <c r="N400" s="7">
        <v>3</v>
      </c>
      <c r="O400" s="7">
        <v>0</v>
      </c>
      <c r="P400" s="7">
        <v>61.927968999999997</v>
      </c>
      <c r="Q400" s="7">
        <v>41.285313000000002</v>
      </c>
      <c r="R400" s="7">
        <v>50</v>
      </c>
      <c r="S400" s="7">
        <v>56.565736999999999</v>
      </c>
      <c r="T400" s="7">
        <v>70.896658000000002</v>
      </c>
      <c r="U400" s="7">
        <v>37.710492000000002</v>
      </c>
      <c r="V400" s="7">
        <v>50</v>
      </c>
      <c r="W400" s="7">
        <v>51.408445</v>
      </c>
      <c r="X400" s="7">
        <v>34.272297000000002</v>
      </c>
      <c r="Y400" s="7">
        <v>50</v>
      </c>
      <c r="Z400" s="7">
        <v>59.442301</v>
      </c>
      <c r="AA400" s="7">
        <v>46.510800000000003</v>
      </c>
      <c r="AB400" s="7">
        <v>31.007200000000001</v>
      </c>
      <c r="AC400" s="7">
        <v>50</v>
      </c>
      <c r="AD400" s="7">
        <v>59.297001999999999</v>
      </c>
      <c r="AE400" s="7">
        <v>39.531334999999999</v>
      </c>
      <c r="AF400" s="7">
        <v>50</v>
      </c>
      <c r="AG400" s="7">
        <v>53.677883000000001</v>
      </c>
      <c r="AH400" s="7">
        <v>67.863855999999998</v>
      </c>
      <c r="AI400" s="7">
        <v>35.785255999999997</v>
      </c>
      <c r="AJ400" s="7">
        <v>50</v>
      </c>
      <c r="AK400" s="7">
        <v>14.33</v>
      </c>
      <c r="AL400" s="7">
        <v>12.93</v>
      </c>
      <c r="AM400" s="7">
        <v>14.18</v>
      </c>
      <c r="AN400" s="7">
        <v>0.52885199999999999</v>
      </c>
      <c r="AO400" s="7">
        <v>52.885221000000001</v>
      </c>
      <c r="AP400" s="7">
        <v>100</v>
      </c>
      <c r="AQ400" s="7">
        <v>0.402804</v>
      </c>
      <c r="AR400" s="7">
        <v>40.280423999999996</v>
      </c>
      <c r="AS400" s="7">
        <v>100</v>
      </c>
      <c r="AT400" s="7">
        <v>0.50569200000000003</v>
      </c>
      <c r="AU400" s="7">
        <v>0.56481199999999998</v>
      </c>
      <c r="AV400" s="7">
        <v>50.569183000000002</v>
      </c>
      <c r="AW400" s="7">
        <v>100</v>
      </c>
      <c r="AX400" s="7">
        <v>0.37761</v>
      </c>
      <c r="AY400" s="7">
        <v>0.44136199999999998</v>
      </c>
      <c r="AZ400" s="7">
        <v>37.761043999999998</v>
      </c>
      <c r="BA400" s="7">
        <v>100</v>
      </c>
      <c r="BB400" s="4" t="s">
        <v>124</v>
      </c>
      <c r="BC400" s="4" t="s">
        <v>124</v>
      </c>
      <c r="BD400" s="4" t="s">
        <v>124</v>
      </c>
      <c r="BE400" s="4" t="s">
        <v>124</v>
      </c>
      <c r="BF400" s="4" t="s">
        <v>124</v>
      </c>
      <c r="BG400" s="4" t="s">
        <v>124</v>
      </c>
      <c r="BH400" s="7">
        <v>0</v>
      </c>
      <c r="BI400" s="7">
        <v>0.98750000000000004</v>
      </c>
      <c r="BJ400" s="7">
        <v>0.99014800000000003</v>
      </c>
      <c r="BK400" s="7">
        <v>0.98290599999999995</v>
      </c>
      <c r="BL400" s="7">
        <v>0.984375</v>
      </c>
      <c r="BM400" s="7">
        <v>0.98029599999999995</v>
      </c>
      <c r="BN400" s="7">
        <v>0.99145300000000003</v>
      </c>
      <c r="BO400" s="7">
        <v>0.96951200000000004</v>
      </c>
      <c r="BP400" s="7">
        <v>0.96039600000000003</v>
      </c>
      <c r="BQ400" s="7">
        <v>0.98412699999999997</v>
      </c>
      <c r="BR400" s="7">
        <v>0.139241</v>
      </c>
      <c r="BS400" s="7">
        <v>32.151899</v>
      </c>
      <c r="BT400" s="7">
        <v>50</v>
      </c>
      <c r="BU400" s="7">
        <v>0.19</v>
      </c>
      <c r="BV400" s="7">
        <v>22</v>
      </c>
      <c r="BW400" s="7">
        <v>50</v>
      </c>
      <c r="BX400" s="4" t="s">
        <v>124</v>
      </c>
      <c r="BY400" s="4" t="s">
        <v>124</v>
      </c>
      <c r="BZ400" s="4" t="s">
        <v>124</v>
      </c>
      <c r="CA400" s="4" t="s">
        <v>124</v>
      </c>
      <c r="CB400" s="4" t="s">
        <v>124</v>
      </c>
      <c r="CC400" s="4" t="s">
        <v>124</v>
      </c>
      <c r="CD400" s="7">
        <v>0.92753600000000003</v>
      </c>
      <c r="CE400" s="7">
        <v>49.337034000000003</v>
      </c>
      <c r="CF400" s="7">
        <v>50</v>
      </c>
      <c r="CG400" s="4" t="s">
        <v>124</v>
      </c>
      <c r="CH400" s="4" t="s">
        <v>124</v>
      </c>
      <c r="CI400" s="4" t="s">
        <v>124</v>
      </c>
      <c r="CJ400" s="4" t="s">
        <v>124</v>
      </c>
      <c r="CK400" s="4" t="s">
        <v>124</v>
      </c>
      <c r="CL400" s="4" t="s">
        <v>124</v>
      </c>
      <c r="CM400" s="4" t="s">
        <v>124</v>
      </c>
      <c r="CN400" s="4" t="s">
        <v>124</v>
      </c>
      <c r="CO400" s="4" t="s">
        <v>124</v>
      </c>
      <c r="CP400" s="4" t="s">
        <v>124</v>
      </c>
      <c r="CQ400" s="7">
        <v>0.418605</v>
      </c>
      <c r="CR400" s="7">
        <v>0.988506</v>
      </c>
      <c r="CS400" s="7">
        <v>27.906977000000001</v>
      </c>
      <c r="CT400" s="7">
        <v>50</v>
      </c>
      <c r="CU400" s="4" t="s">
        <v>124</v>
      </c>
      <c r="CV400" s="4" t="s">
        <v>124</v>
      </c>
      <c r="CW400" s="4" t="s">
        <v>124</v>
      </c>
      <c r="CX400" s="4" t="s">
        <v>124</v>
      </c>
      <c r="CY400" s="4" t="s">
        <v>124</v>
      </c>
      <c r="CZ400" s="4" t="s">
        <v>124</v>
      </c>
      <c r="DA400" s="7">
        <v>15.314097</v>
      </c>
      <c r="DB400" s="7">
        <v>17.400950000000002</v>
      </c>
      <c r="DC400" s="7">
        <v>16.332519999999999</v>
      </c>
      <c r="DD400" s="4" t="s">
        <v>124</v>
      </c>
      <c r="DE400" s="7">
        <v>0</v>
      </c>
      <c r="DF400" s="6"/>
      <c r="DG400" s="6"/>
      <c r="DH400" s="6"/>
      <c r="DI400" s="6"/>
      <c r="DJ400" s="7">
        <v>0</v>
      </c>
      <c r="DK400" s="7">
        <v>0</v>
      </c>
      <c r="DL400" s="7">
        <v>0</v>
      </c>
      <c r="DM400" s="7">
        <v>0</v>
      </c>
      <c r="DN400" s="7">
        <v>0</v>
      </c>
      <c r="DO400" s="7">
        <v>0</v>
      </c>
      <c r="DP400" s="6"/>
      <c r="DQ400" s="4" t="s">
        <v>125</v>
      </c>
    </row>
    <row r="401" spans="1:121" ht="20" customHeight="1" x14ac:dyDescent="0.15">
      <c r="A401" s="5">
        <v>2018</v>
      </c>
      <c r="B401" s="3" t="s">
        <v>129</v>
      </c>
      <c r="C401" s="4" t="str">
        <f t="shared" si="5"/>
        <v>0480011</v>
      </c>
      <c r="D401" s="4" t="s">
        <v>515</v>
      </c>
      <c r="E401" s="4" t="str">
        <f>"0480111"</f>
        <v>0480111</v>
      </c>
      <c r="F401" s="4" t="s">
        <v>327</v>
      </c>
      <c r="G401" s="4" t="s">
        <v>338</v>
      </c>
      <c r="H401" s="7">
        <v>6</v>
      </c>
      <c r="I401" s="4" t="s">
        <v>329</v>
      </c>
      <c r="J401" s="4" t="s">
        <v>330</v>
      </c>
      <c r="K401" s="7">
        <v>619.34075299999995</v>
      </c>
      <c r="L401" s="7">
        <v>800</v>
      </c>
      <c r="M401" s="7">
        <v>77.417593999999994</v>
      </c>
      <c r="N401" s="7">
        <v>2</v>
      </c>
      <c r="O401" s="7">
        <v>0</v>
      </c>
      <c r="P401" s="7">
        <v>76.494844999999998</v>
      </c>
      <c r="Q401" s="7">
        <v>50</v>
      </c>
      <c r="R401" s="7">
        <v>50</v>
      </c>
      <c r="S401" s="7">
        <v>63.437401999999999</v>
      </c>
      <c r="T401" s="7">
        <v>75</v>
      </c>
      <c r="U401" s="7">
        <v>42.291601999999997</v>
      </c>
      <c r="V401" s="7">
        <v>50</v>
      </c>
      <c r="W401" s="7">
        <v>73.392179999999996</v>
      </c>
      <c r="X401" s="7">
        <v>48.92812</v>
      </c>
      <c r="Y401" s="7">
        <v>50</v>
      </c>
      <c r="Z401" s="7">
        <v>75</v>
      </c>
      <c r="AA401" s="7">
        <v>60.867762999999997</v>
      </c>
      <c r="AB401" s="7">
        <v>40.578508999999997</v>
      </c>
      <c r="AC401" s="7">
        <v>50</v>
      </c>
      <c r="AD401" s="7">
        <v>72.746544</v>
      </c>
      <c r="AE401" s="7">
        <v>48.497695999999998</v>
      </c>
      <c r="AF401" s="7">
        <v>50</v>
      </c>
      <c r="AG401" s="4" t="s">
        <v>124</v>
      </c>
      <c r="AH401" s="7">
        <v>74.756504000000007</v>
      </c>
      <c r="AI401" s="4" t="s">
        <v>124</v>
      </c>
      <c r="AJ401" s="4" t="s">
        <v>124</v>
      </c>
      <c r="AK401" s="7">
        <v>11.56</v>
      </c>
      <c r="AL401" s="7">
        <v>14.13</v>
      </c>
      <c r="AM401" s="4" t="s">
        <v>124</v>
      </c>
      <c r="AN401" s="7">
        <v>0.68524300000000005</v>
      </c>
      <c r="AO401" s="7">
        <v>68.524319000000006</v>
      </c>
      <c r="AP401" s="7">
        <v>100</v>
      </c>
      <c r="AQ401" s="7">
        <v>0.76564100000000002</v>
      </c>
      <c r="AR401" s="7">
        <v>76.564119000000005</v>
      </c>
      <c r="AS401" s="7">
        <v>100</v>
      </c>
      <c r="AT401" s="7">
        <v>0.52566299999999999</v>
      </c>
      <c r="AU401" s="7">
        <v>0.74109599999999998</v>
      </c>
      <c r="AV401" s="7">
        <v>52.566270000000003</v>
      </c>
      <c r="AW401" s="7">
        <v>100</v>
      </c>
      <c r="AX401" s="7">
        <v>0.73836100000000005</v>
      </c>
      <c r="AY401" s="7">
        <v>0.77501900000000001</v>
      </c>
      <c r="AZ401" s="7">
        <v>73.836087000000006</v>
      </c>
      <c r="BA401" s="7">
        <v>100</v>
      </c>
      <c r="BB401" s="4" t="s">
        <v>124</v>
      </c>
      <c r="BC401" s="4" t="s">
        <v>124</v>
      </c>
      <c r="BD401" s="4" t="s">
        <v>124</v>
      </c>
      <c r="BE401" s="4" t="s">
        <v>124</v>
      </c>
      <c r="BF401" s="4" t="s">
        <v>124</v>
      </c>
      <c r="BG401" s="4" t="s">
        <v>124</v>
      </c>
      <c r="BH401" s="7">
        <v>0</v>
      </c>
      <c r="BI401" s="7">
        <v>0.99264699999999995</v>
      </c>
      <c r="BJ401" s="7">
        <v>0.98734200000000005</v>
      </c>
      <c r="BK401" s="7">
        <v>0.99481900000000001</v>
      </c>
      <c r="BL401" s="7">
        <v>0.99264699999999995</v>
      </c>
      <c r="BM401" s="7">
        <v>0.98734200000000005</v>
      </c>
      <c r="BN401" s="7">
        <v>0.99481900000000001</v>
      </c>
      <c r="BO401" s="7">
        <v>0.98734200000000005</v>
      </c>
      <c r="BP401" s="4" t="s">
        <v>124</v>
      </c>
      <c r="BQ401" s="7">
        <v>1</v>
      </c>
      <c r="BR401" s="7">
        <v>5.4737000000000001E-2</v>
      </c>
      <c r="BS401" s="7">
        <v>49.052632000000003</v>
      </c>
      <c r="BT401" s="7">
        <v>50</v>
      </c>
      <c r="BU401" s="7">
        <v>9.5588000000000006E-2</v>
      </c>
      <c r="BV401" s="7">
        <v>40.882353000000002</v>
      </c>
      <c r="BW401" s="7">
        <v>50</v>
      </c>
      <c r="BX401" s="4" t="s">
        <v>124</v>
      </c>
      <c r="BY401" s="4" t="s">
        <v>124</v>
      </c>
      <c r="BZ401" s="4" t="s">
        <v>124</v>
      </c>
      <c r="CA401" s="4" t="s">
        <v>124</v>
      </c>
      <c r="CB401" s="4" t="s">
        <v>124</v>
      </c>
      <c r="CC401" s="4" t="s">
        <v>124</v>
      </c>
      <c r="CD401" s="4" t="s">
        <v>124</v>
      </c>
      <c r="CE401" s="4" t="s">
        <v>124</v>
      </c>
      <c r="CF401" s="4" t="s">
        <v>124</v>
      </c>
      <c r="CG401" s="4" t="s">
        <v>124</v>
      </c>
      <c r="CH401" s="4" t="s">
        <v>124</v>
      </c>
      <c r="CI401" s="4" t="s">
        <v>124</v>
      </c>
      <c r="CJ401" s="4" t="s">
        <v>124</v>
      </c>
      <c r="CK401" s="4" t="s">
        <v>124</v>
      </c>
      <c r="CL401" s="4" t="s">
        <v>124</v>
      </c>
      <c r="CM401" s="4" t="s">
        <v>124</v>
      </c>
      <c r="CN401" s="4" t="s">
        <v>124</v>
      </c>
      <c r="CO401" s="4" t="s">
        <v>124</v>
      </c>
      <c r="CP401" s="4" t="s">
        <v>124</v>
      </c>
      <c r="CQ401" s="7">
        <v>0.41428599999999999</v>
      </c>
      <c r="CR401" s="7">
        <v>0.98591499999999999</v>
      </c>
      <c r="CS401" s="7">
        <v>27.619047999999999</v>
      </c>
      <c r="CT401" s="7">
        <v>50</v>
      </c>
      <c r="CU401" s="4" t="s">
        <v>124</v>
      </c>
      <c r="CV401" s="4" t="s">
        <v>124</v>
      </c>
      <c r="CW401" s="4" t="s">
        <v>124</v>
      </c>
      <c r="CX401" s="4" t="s">
        <v>124</v>
      </c>
      <c r="CY401" s="4" t="s">
        <v>124</v>
      </c>
      <c r="CZ401" s="4" t="s">
        <v>124</v>
      </c>
      <c r="DA401" s="7">
        <v>15.314097</v>
      </c>
      <c r="DB401" s="7">
        <v>17.400950000000002</v>
      </c>
      <c r="DC401" s="7">
        <v>16.332519999999999</v>
      </c>
      <c r="DD401" s="4" t="s">
        <v>124</v>
      </c>
      <c r="DE401" s="7">
        <v>0</v>
      </c>
      <c r="DF401" s="6"/>
      <c r="DG401" s="6"/>
      <c r="DH401" s="6"/>
      <c r="DI401" s="6"/>
      <c r="DJ401" s="7">
        <v>0</v>
      </c>
      <c r="DK401" s="7">
        <v>0</v>
      </c>
      <c r="DL401" s="7">
        <v>0</v>
      </c>
      <c r="DM401" s="7">
        <v>0</v>
      </c>
      <c r="DN401" s="7">
        <v>0</v>
      </c>
      <c r="DO401" s="7">
        <v>0</v>
      </c>
      <c r="DP401" s="6"/>
      <c r="DQ401" s="4" t="s">
        <v>125</v>
      </c>
    </row>
    <row r="402" spans="1:121" ht="20" customHeight="1" x14ac:dyDescent="0.15">
      <c r="A402" s="5">
        <v>2018</v>
      </c>
      <c r="B402" s="3" t="s">
        <v>129</v>
      </c>
      <c r="C402" s="4" t="str">
        <f t="shared" ref="C402:C405" si="200">"0480011"</f>
        <v>0480011</v>
      </c>
      <c r="D402" s="4" t="s">
        <v>552</v>
      </c>
      <c r="E402" s="4" t="str">
        <f>"0480211"</f>
        <v>0480211</v>
      </c>
      <c r="F402" s="4" t="s">
        <v>327</v>
      </c>
      <c r="G402" s="4" t="s">
        <v>328</v>
      </c>
      <c r="H402" s="7">
        <v>6</v>
      </c>
      <c r="I402" s="6"/>
      <c r="J402" s="4" t="s">
        <v>330</v>
      </c>
      <c r="K402" s="7">
        <v>588.95639000000006</v>
      </c>
      <c r="L402" s="7">
        <v>800</v>
      </c>
      <c r="M402" s="7">
        <v>73.619549000000006</v>
      </c>
      <c r="N402" s="7">
        <v>3</v>
      </c>
      <c r="O402" s="7">
        <v>1</v>
      </c>
      <c r="P402" s="7">
        <v>73.588286999999994</v>
      </c>
      <c r="Q402" s="7">
        <v>49.058858000000001</v>
      </c>
      <c r="R402" s="7">
        <v>50</v>
      </c>
      <c r="S402" s="7">
        <v>62.001106</v>
      </c>
      <c r="T402" s="7">
        <v>75</v>
      </c>
      <c r="U402" s="7">
        <v>41.334071000000002</v>
      </c>
      <c r="V402" s="7">
        <v>50</v>
      </c>
      <c r="W402" s="7">
        <v>70.627880000000005</v>
      </c>
      <c r="X402" s="7">
        <v>47.085253999999999</v>
      </c>
      <c r="Y402" s="7">
        <v>50</v>
      </c>
      <c r="Z402" s="7">
        <v>75</v>
      </c>
      <c r="AA402" s="7">
        <v>57.062939</v>
      </c>
      <c r="AB402" s="7">
        <v>38.041958999999999</v>
      </c>
      <c r="AC402" s="7">
        <v>50</v>
      </c>
      <c r="AD402" s="7">
        <v>76.034839000000005</v>
      </c>
      <c r="AE402" s="7">
        <v>50</v>
      </c>
      <c r="AF402" s="7">
        <v>50</v>
      </c>
      <c r="AG402" s="4" t="s">
        <v>124</v>
      </c>
      <c r="AH402" s="7">
        <v>75</v>
      </c>
      <c r="AI402" s="4" t="s">
        <v>124</v>
      </c>
      <c r="AJ402" s="4" t="s">
        <v>124</v>
      </c>
      <c r="AK402" s="7">
        <v>12.99</v>
      </c>
      <c r="AL402" s="7">
        <v>17.93</v>
      </c>
      <c r="AM402" s="4" t="s">
        <v>124</v>
      </c>
      <c r="AN402" s="7">
        <v>0.69987299999999997</v>
      </c>
      <c r="AO402" s="7">
        <v>69.987309999999994</v>
      </c>
      <c r="AP402" s="7">
        <v>100</v>
      </c>
      <c r="AQ402" s="7">
        <v>0.69877900000000004</v>
      </c>
      <c r="AR402" s="7">
        <v>69.877894999999995</v>
      </c>
      <c r="AS402" s="7">
        <v>100</v>
      </c>
      <c r="AT402" s="7">
        <v>0.57706400000000002</v>
      </c>
      <c r="AU402" s="7">
        <v>0.75092899999999996</v>
      </c>
      <c r="AV402" s="7">
        <v>57.706400000000002</v>
      </c>
      <c r="AW402" s="7">
        <v>100</v>
      </c>
      <c r="AX402" s="7">
        <v>0.61869099999999999</v>
      </c>
      <c r="AY402" s="7">
        <v>0.73099800000000004</v>
      </c>
      <c r="AZ402" s="7">
        <v>61.869117000000003</v>
      </c>
      <c r="BA402" s="7">
        <v>100</v>
      </c>
      <c r="BB402" s="4" t="s">
        <v>124</v>
      </c>
      <c r="BC402" s="4" t="s">
        <v>124</v>
      </c>
      <c r="BD402" s="4" t="s">
        <v>124</v>
      </c>
      <c r="BE402" s="4" t="s">
        <v>124</v>
      </c>
      <c r="BF402" s="4" t="s">
        <v>124</v>
      </c>
      <c r="BG402" s="4" t="s">
        <v>124</v>
      </c>
      <c r="BH402" s="7">
        <v>0</v>
      </c>
      <c r="BI402" s="7">
        <v>1</v>
      </c>
      <c r="BJ402" s="7">
        <v>1</v>
      </c>
      <c r="BK402" s="7">
        <v>1</v>
      </c>
      <c r="BL402" s="7">
        <v>1</v>
      </c>
      <c r="BM402" s="7">
        <v>1</v>
      </c>
      <c r="BN402" s="7">
        <v>1</v>
      </c>
      <c r="BO402" s="7">
        <v>1</v>
      </c>
      <c r="BP402" s="4" t="s">
        <v>124</v>
      </c>
      <c r="BQ402" s="7">
        <v>1</v>
      </c>
      <c r="BR402" s="7">
        <v>6.8851999999999997E-2</v>
      </c>
      <c r="BS402" s="7">
        <v>46.229508000000003</v>
      </c>
      <c r="BT402" s="7">
        <v>50</v>
      </c>
      <c r="BU402" s="7">
        <v>0.14285700000000001</v>
      </c>
      <c r="BV402" s="7">
        <v>31.428571000000002</v>
      </c>
      <c r="BW402" s="7">
        <v>50</v>
      </c>
      <c r="BX402" s="4" t="s">
        <v>124</v>
      </c>
      <c r="BY402" s="4" t="s">
        <v>124</v>
      </c>
      <c r="BZ402" s="4" t="s">
        <v>124</v>
      </c>
      <c r="CA402" s="4" t="s">
        <v>124</v>
      </c>
      <c r="CB402" s="4" t="s">
        <v>124</v>
      </c>
      <c r="CC402" s="4" t="s">
        <v>124</v>
      </c>
      <c r="CD402" s="4" t="s">
        <v>124</v>
      </c>
      <c r="CE402" s="4" t="s">
        <v>124</v>
      </c>
      <c r="CF402" s="4" t="s">
        <v>124</v>
      </c>
      <c r="CG402" s="4" t="s">
        <v>124</v>
      </c>
      <c r="CH402" s="4" t="s">
        <v>124</v>
      </c>
      <c r="CI402" s="4" t="s">
        <v>124</v>
      </c>
      <c r="CJ402" s="4" t="s">
        <v>124</v>
      </c>
      <c r="CK402" s="4" t="s">
        <v>124</v>
      </c>
      <c r="CL402" s="4" t="s">
        <v>124</v>
      </c>
      <c r="CM402" s="4" t="s">
        <v>124</v>
      </c>
      <c r="CN402" s="4" t="s">
        <v>124</v>
      </c>
      <c r="CO402" s="4" t="s">
        <v>124</v>
      </c>
      <c r="CP402" s="4" t="s">
        <v>124</v>
      </c>
      <c r="CQ402" s="7">
        <v>0.39506200000000002</v>
      </c>
      <c r="CR402" s="7">
        <v>0.97590399999999999</v>
      </c>
      <c r="CS402" s="7">
        <v>26.337448999999999</v>
      </c>
      <c r="CT402" s="7">
        <v>50</v>
      </c>
      <c r="CU402" s="4" t="s">
        <v>124</v>
      </c>
      <c r="CV402" s="4" t="s">
        <v>124</v>
      </c>
      <c r="CW402" s="4" t="s">
        <v>124</v>
      </c>
      <c r="CX402" s="4" t="s">
        <v>124</v>
      </c>
      <c r="CY402" s="4" t="s">
        <v>124</v>
      </c>
      <c r="CZ402" s="4" t="s">
        <v>124</v>
      </c>
      <c r="DA402" s="7">
        <v>15.314097</v>
      </c>
      <c r="DB402" s="7">
        <v>17.400950000000002</v>
      </c>
      <c r="DC402" s="7">
        <v>16.332519999999999</v>
      </c>
      <c r="DD402" s="4" t="s">
        <v>124</v>
      </c>
      <c r="DE402" s="7">
        <v>1</v>
      </c>
      <c r="DF402" s="6"/>
      <c r="DG402" s="6"/>
      <c r="DH402" s="6"/>
      <c r="DI402" s="6"/>
      <c r="DJ402" s="7">
        <v>0</v>
      </c>
      <c r="DK402" s="7">
        <v>0</v>
      </c>
      <c r="DL402" s="7">
        <v>0</v>
      </c>
      <c r="DM402" s="7">
        <v>0</v>
      </c>
      <c r="DN402" s="7">
        <v>0</v>
      </c>
      <c r="DO402" s="7">
        <v>0</v>
      </c>
      <c r="DP402" s="6"/>
      <c r="DQ402" s="4" t="s">
        <v>125</v>
      </c>
    </row>
    <row r="403" spans="1:121" ht="20" customHeight="1" x14ac:dyDescent="0.15">
      <c r="A403" s="5">
        <v>2018</v>
      </c>
      <c r="B403" s="3" t="s">
        <v>129</v>
      </c>
      <c r="C403" s="4" t="str">
        <f t="shared" si="200"/>
        <v>0480011</v>
      </c>
      <c r="D403" s="4" t="s">
        <v>553</v>
      </c>
      <c r="E403" s="4" t="str">
        <f>"0486111"</f>
        <v>0486111</v>
      </c>
      <c r="F403" s="4" t="s">
        <v>327</v>
      </c>
      <c r="G403" s="7">
        <v>9</v>
      </c>
      <c r="H403" s="7">
        <v>12</v>
      </c>
      <c r="I403" s="6"/>
      <c r="J403" s="4" t="s">
        <v>330</v>
      </c>
      <c r="K403" s="7">
        <v>1191.649422</v>
      </c>
      <c r="L403" s="7">
        <v>1450</v>
      </c>
      <c r="M403" s="7">
        <v>82.182719000000006</v>
      </c>
      <c r="N403" s="7">
        <v>3</v>
      </c>
      <c r="O403" s="7">
        <v>1</v>
      </c>
      <c r="P403" s="7">
        <v>61.154761999999998</v>
      </c>
      <c r="Q403" s="7">
        <v>122.309524</v>
      </c>
      <c r="R403" s="7">
        <v>150</v>
      </c>
      <c r="S403" s="7">
        <v>49.296295999999998</v>
      </c>
      <c r="T403" s="7">
        <v>65.049878000000007</v>
      </c>
      <c r="U403" s="7">
        <v>98.592592999999994</v>
      </c>
      <c r="V403" s="7">
        <v>150</v>
      </c>
      <c r="W403" s="7">
        <v>58.391331000000001</v>
      </c>
      <c r="X403" s="7">
        <v>116.782662</v>
      </c>
      <c r="Y403" s="7">
        <v>150</v>
      </c>
      <c r="Z403" s="7">
        <v>62.172749000000003</v>
      </c>
      <c r="AA403" s="7">
        <v>46.879012000000003</v>
      </c>
      <c r="AB403" s="7">
        <v>93.758025000000004</v>
      </c>
      <c r="AC403" s="7">
        <v>150</v>
      </c>
      <c r="AD403" s="7">
        <v>68.468058999999997</v>
      </c>
      <c r="AE403" s="7">
        <v>91.290745999999999</v>
      </c>
      <c r="AF403" s="7">
        <v>100</v>
      </c>
      <c r="AG403" s="7">
        <v>59.154563000000003</v>
      </c>
      <c r="AH403" s="7">
        <v>71.618212999999997</v>
      </c>
      <c r="AI403" s="7">
        <v>78.872749999999996</v>
      </c>
      <c r="AJ403" s="7">
        <v>100</v>
      </c>
      <c r="AK403" s="7">
        <v>15.75</v>
      </c>
      <c r="AL403" s="7">
        <v>15.29</v>
      </c>
      <c r="AM403" s="7">
        <v>12.46</v>
      </c>
      <c r="AN403" s="4" t="s">
        <v>124</v>
      </c>
      <c r="AO403" s="4" t="s">
        <v>124</v>
      </c>
      <c r="AP403" s="4" t="s">
        <v>124</v>
      </c>
      <c r="AQ403" s="4" t="s">
        <v>124</v>
      </c>
      <c r="AR403" s="4" t="s">
        <v>124</v>
      </c>
      <c r="AS403" s="4" t="s">
        <v>124</v>
      </c>
      <c r="AT403" s="4" t="s">
        <v>124</v>
      </c>
      <c r="AU403" s="4" t="s">
        <v>124</v>
      </c>
      <c r="AV403" s="4" t="s">
        <v>124</v>
      </c>
      <c r="AW403" s="4" t="s">
        <v>124</v>
      </c>
      <c r="AX403" s="4" t="s">
        <v>124</v>
      </c>
      <c r="AY403" s="4" t="s">
        <v>124</v>
      </c>
      <c r="AZ403" s="4" t="s">
        <v>124</v>
      </c>
      <c r="BA403" s="4" t="s">
        <v>124</v>
      </c>
      <c r="BB403" s="4" t="s">
        <v>124</v>
      </c>
      <c r="BC403" s="4" t="s">
        <v>124</v>
      </c>
      <c r="BD403" s="4" t="s">
        <v>124</v>
      </c>
      <c r="BE403" s="4" t="s">
        <v>124</v>
      </c>
      <c r="BF403" s="4" t="s">
        <v>124</v>
      </c>
      <c r="BG403" s="4" t="s">
        <v>124</v>
      </c>
      <c r="BH403" s="7">
        <v>1</v>
      </c>
      <c r="BI403" s="7">
        <v>0.97340400000000005</v>
      </c>
      <c r="BJ403" s="7">
        <v>0.92</v>
      </c>
      <c r="BK403" s="7">
        <v>0.99275400000000003</v>
      </c>
      <c r="BL403" s="7">
        <v>0.97340400000000005</v>
      </c>
      <c r="BM403" s="7">
        <v>0.92</v>
      </c>
      <c r="BN403" s="7">
        <v>0.99275400000000003</v>
      </c>
      <c r="BO403" s="7">
        <v>0.97340400000000005</v>
      </c>
      <c r="BP403" s="7">
        <v>0.94</v>
      </c>
      <c r="BQ403" s="7">
        <v>0.98550700000000002</v>
      </c>
      <c r="BR403" s="7">
        <v>7.6628000000000002E-2</v>
      </c>
      <c r="BS403" s="7">
        <v>44.674329999999998</v>
      </c>
      <c r="BT403" s="7">
        <v>50</v>
      </c>
      <c r="BU403" s="7">
        <v>0.16842099999999999</v>
      </c>
      <c r="BV403" s="7">
        <v>26.315788999999999</v>
      </c>
      <c r="BW403" s="7">
        <v>50</v>
      </c>
      <c r="BX403" s="7">
        <v>0.94723000000000002</v>
      </c>
      <c r="BY403" s="7">
        <v>50</v>
      </c>
      <c r="BZ403" s="7">
        <v>50</v>
      </c>
      <c r="CA403" s="7">
        <v>0.54089699999999996</v>
      </c>
      <c r="CB403" s="7">
        <v>36.059806999999999</v>
      </c>
      <c r="CC403" s="7">
        <v>50</v>
      </c>
      <c r="CD403" s="7">
        <v>0.95714299999999997</v>
      </c>
      <c r="CE403" s="7">
        <v>50</v>
      </c>
      <c r="CF403" s="7">
        <v>50</v>
      </c>
      <c r="CG403" s="7">
        <v>0.96648000000000001</v>
      </c>
      <c r="CH403" s="7">
        <v>100</v>
      </c>
      <c r="CI403" s="7">
        <v>100</v>
      </c>
      <c r="CJ403" s="7">
        <v>0</v>
      </c>
      <c r="CK403" s="7">
        <v>1</v>
      </c>
      <c r="CL403" s="7">
        <v>100</v>
      </c>
      <c r="CM403" s="7">
        <v>100</v>
      </c>
      <c r="CN403" s="7">
        <v>0.76023399999999997</v>
      </c>
      <c r="CO403" s="7">
        <v>100</v>
      </c>
      <c r="CP403" s="7">
        <v>100</v>
      </c>
      <c r="CQ403" s="7">
        <v>0.494898</v>
      </c>
      <c r="CR403" s="7">
        <v>1.0103089999999999</v>
      </c>
      <c r="CS403" s="7">
        <v>32.993197000000002</v>
      </c>
      <c r="CT403" s="7">
        <v>50</v>
      </c>
      <c r="CU403" s="7">
        <v>0.60791799999999996</v>
      </c>
      <c r="CV403" s="7">
        <v>50</v>
      </c>
      <c r="CW403" s="7">
        <v>50</v>
      </c>
      <c r="CX403" s="7">
        <v>1</v>
      </c>
      <c r="CY403" s="7">
        <v>0.94</v>
      </c>
      <c r="CZ403" s="7">
        <v>-0.06</v>
      </c>
      <c r="DA403" s="7">
        <v>15.314097</v>
      </c>
      <c r="DB403" s="7">
        <v>17.400950000000002</v>
      </c>
      <c r="DC403" s="7">
        <v>16.332519999999999</v>
      </c>
      <c r="DD403" s="7">
        <v>7.9891730000000001</v>
      </c>
      <c r="DE403" s="7">
        <v>1</v>
      </c>
      <c r="DF403" s="6"/>
      <c r="DG403" s="6"/>
      <c r="DH403" s="6"/>
      <c r="DI403" s="6"/>
      <c r="DJ403" s="7">
        <v>0</v>
      </c>
      <c r="DK403" s="7">
        <v>0</v>
      </c>
      <c r="DL403" s="7">
        <v>0</v>
      </c>
      <c r="DM403" s="7">
        <v>0</v>
      </c>
      <c r="DN403" s="7">
        <v>0</v>
      </c>
      <c r="DO403" s="7">
        <v>0</v>
      </c>
      <c r="DP403" s="6"/>
      <c r="DQ403" s="4" t="s">
        <v>125</v>
      </c>
    </row>
    <row r="404" spans="1:121" ht="20" customHeight="1" x14ac:dyDescent="0.15">
      <c r="A404" s="5">
        <v>2018</v>
      </c>
      <c r="B404" s="3" t="s">
        <v>129</v>
      </c>
      <c r="C404" s="4" t="str">
        <f t="shared" si="200"/>
        <v>0480011</v>
      </c>
      <c r="D404" s="4" t="s">
        <v>554</v>
      </c>
      <c r="E404" s="4" t="str">
        <f>"0485111"</f>
        <v>0485111</v>
      </c>
      <c r="F404" s="4" t="s">
        <v>327</v>
      </c>
      <c r="G404" s="7">
        <v>7</v>
      </c>
      <c r="H404" s="7">
        <v>8</v>
      </c>
      <c r="I404" s="6"/>
      <c r="J404" s="4" t="s">
        <v>330</v>
      </c>
      <c r="K404" s="7">
        <v>602.26410999999996</v>
      </c>
      <c r="L404" s="7">
        <v>900</v>
      </c>
      <c r="M404" s="7">
        <v>66.918233999999998</v>
      </c>
      <c r="N404" s="7">
        <v>3</v>
      </c>
      <c r="O404" s="7">
        <v>1</v>
      </c>
      <c r="P404" s="7">
        <v>71.251766000000003</v>
      </c>
      <c r="Q404" s="7">
        <v>47.501178000000003</v>
      </c>
      <c r="R404" s="7">
        <v>50</v>
      </c>
      <c r="S404" s="7">
        <v>53.290700999999999</v>
      </c>
      <c r="T404" s="7">
        <v>75</v>
      </c>
      <c r="U404" s="7">
        <v>35.527133999999997</v>
      </c>
      <c r="V404" s="7">
        <v>50</v>
      </c>
      <c r="W404" s="7">
        <v>69.845067</v>
      </c>
      <c r="X404" s="7">
        <v>46.563378</v>
      </c>
      <c r="Y404" s="7">
        <v>50</v>
      </c>
      <c r="Z404" s="7">
        <v>75</v>
      </c>
      <c r="AA404" s="7">
        <v>52.433985</v>
      </c>
      <c r="AB404" s="7">
        <v>34.95599</v>
      </c>
      <c r="AC404" s="7">
        <v>50</v>
      </c>
      <c r="AD404" s="7">
        <v>74.773516999999998</v>
      </c>
      <c r="AE404" s="7">
        <v>49.849010999999997</v>
      </c>
      <c r="AF404" s="7">
        <v>50</v>
      </c>
      <c r="AG404" s="7">
        <v>62.021672000000002</v>
      </c>
      <c r="AH404" s="7">
        <v>75</v>
      </c>
      <c r="AI404" s="7">
        <v>41.347780999999998</v>
      </c>
      <c r="AJ404" s="7">
        <v>50</v>
      </c>
      <c r="AK404" s="7">
        <v>21.7</v>
      </c>
      <c r="AL404" s="7">
        <v>22.56</v>
      </c>
      <c r="AM404" s="7">
        <v>12.97</v>
      </c>
      <c r="AN404" s="7">
        <v>0.45067499999999999</v>
      </c>
      <c r="AO404" s="7">
        <v>45.067450999999998</v>
      </c>
      <c r="AP404" s="7">
        <v>100</v>
      </c>
      <c r="AQ404" s="7">
        <v>0.56433900000000004</v>
      </c>
      <c r="AR404" s="7">
        <v>56.433858000000001</v>
      </c>
      <c r="AS404" s="7">
        <v>100</v>
      </c>
      <c r="AT404" s="7">
        <v>0.439411</v>
      </c>
      <c r="AU404" s="7">
        <v>0.45402199999999998</v>
      </c>
      <c r="AV404" s="7">
        <v>43.941087000000003</v>
      </c>
      <c r="AW404" s="7">
        <v>100</v>
      </c>
      <c r="AX404" s="7">
        <v>0.49757400000000002</v>
      </c>
      <c r="AY404" s="7">
        <v>0.58397500000000002</v>
      </c>
      <c r="AZ404" s="7">
        <v>49.757398999999999</v>
      </c>
      <c r="BA404" s="7">
        <v>100</v>
      </c>
      <c r="BB404" s="4" t="s">
        <v>124</v>
      </c>
      <c r="BC404" s="4" t="s">
        <v>124</v>
      </c>
      <c r="BD404" s="4" t="s">
        <v>124</v>
      </c>
      <c r="BE404" s="4" t="s">
        <v>124</v>
      </c>
      <c r="BF404" s="4" t="s">
        <v>124</v>
      </c>
      <c r="BG404" s="4" t="s">
        <v>124</v>
      </c>
      <c r="BH404" s="7">
        <v>0</v>
      </c>
      <c r="BI404" s="7">
        <v>0.99313499999999999</v>
      </c>
      <c r="BJ404" s="7">
        <v>0.99065400000000003</v>
      </c>
      <c r="BK404" s="7">
        <v>0.99393900000000002</v>
      </c>
      <c r="BL404" s="7">
        <v>0.99313499999999999</v>
      </c>
      <c r="BM404" s="7">
        <v>0.99065400000000003</v>
      </c>
      <c r="BN404" s="7">
        <v>0.99393900000000002</v>
      </c>
      <c r="BO404" s="7">
        <v>0.99543400000000004</v>
      </c>
      <c r="BP404" s="7">
        <v>0.98181799999999997</v>
      </c>
      <c r="BQ404" s="7">
        <v>1</v>
      </c>
      <c r="BR404" s="7">
        <v>8.9245000000000005E-2</v>
      </c>
      <c r="BS404" s="7">
        <v>42.151029999999999</v>
      </c>
      <c r="BT404" s="7">
        <v>50</v>
      </c>
      <c r="BU404" s="7">
        <v>0.20192299999999999</v>
      </c>
      <c r="BV404" s="7">
        <v>19.615385</v>
      </c>
      <c r="BW404" s="7">
        <v>50</v>
      </c>
      <c r="BX404" s="4" t="s">
        <v>124</v>
      </c>
      <c r="BY404" s="4" t="s">
        <v>124</v>
      </c>
      <c r="BZ404" s="4" t="s">
        <v>124</v>
      </c>
      <c r="CA404" s="4" t="s">
        <v>124</v>
      </c>
      <c r="CB404" s="4" t="s">
        <v>124</v>
      </c>
      <c r="CC404" s="4" t="s">
        <v>124</v>
      </c>
      <c r="CD404" s="7">
        <v>0.96634600000000004</v>
      </c>
      <c r="CE404" s="7">
        <v>50</v>
      </c>
      <c r="CF404" s="7">
        <v>50</v>
      </c>
      <c r="CG404" s="4" t="s">
        <v>124</v>
      </c>
      <c r="CH404" s="4" t="s">
        <v>124</v>
      </c>
      <c r="CI404" s="4" t="s">
        <v>124</v>
      </c>
      <c r="CJ404" s="4" t="s">
        <v>124</v>
      </c>
      <c r="CK404" s="4" t="s">
        <v>124</v>
      </c>
      <c r="CL404" s="4" t="s">
        <v>124</v>
      </c>
      <c r="CM404" s="4" t="s">
        <v>124</v>
      </c>
      <c r="CN404" s="4" t="s">
        <v>124</v>
      </c>
      <c r="CO404" s="4" t="s">
        <v>124</v>
      </c>
      <c r="CP404" s="4" t="s">
        <v>124</v>
      </c>
      <c r="CQ404" s="7">
        <v>0.59330099999999997</v>
      </c>
      <c r="CR404" s="7">
        <v>0.95433800000000002</v>
      </c>
      <c r="CS404" s="7">
        <v>39.553429000000001</v>
      </c>
      <c r="CT404" s="7">
        <v>50</v>
      </c>
      <c r="CU404" s="4" t="s">
        <v>124</v>
      </c>
      <c r="CV404" s="4" t="s">
        <v>124</v>
      </c>
      <c r="CW404" s="4" t="s">
        <v>124</v>
      </c>
      <c r="CX404" s="4" t="s">
        <v>124</v>
      </c>
      <c r="CY404" s="4" t="s">
        <v>124</v>
      </c>
      <c r="CZ404" s="4" t="s">
        <v>124</v>
      </c>
      <c r="DA404" s="7">
        <v>15.314097</v>
      </c>
      <c r="DB404" s="7">
        <v>17.400950000000002</v>
      </c>
      <c r="DC404" s="7">
        <v>16.332519999999999</v>
      </c>
      <c r="DD404" s="4" t="s">
        <v>124</v>
      </c>
      <c r="DE404" s="7">
        <v>1</v>
      </c>
      <c r="DF404" s="6"/>
      <c r="DG404" s="6"/>
      <c r="DH404" s="6"/>
      <c r="DI404" s="6"/>
      <c r="DJ404" s="7">
        <v>0</v>
      </c>
      <c r="DK404" s="7">
        <v>0</v>
      </c>
      <c r="DL404" s="7">
        <v>0</v>
      </c>
      <c r="DM404" s="7">
        <v>0</v>
      </c>
      <c r="DN404" s="7">
        <v>0</v>
      </c>
      <c r="DO404" s="7">
        <v>0</v>
      </c>
      <c r="DP404" s="6"/>
      <c r="DQ404" s="4" t="s">
        <v>125</v>
      </c>
    </row>
    <row r="405" spans="1:121" ht="20" customHeight="1" x14ac:dyDescent="0.15">
      <c r="A405" s="5">
        <v>2018</v>
      </c>
      <c r="B405" s="3" t="s">
        <v>129</v>
      </c>
      <c r="C405" s="4" t="str">
        <f t="shared" si="200"/>
        <v>0480011</v>
      </c>
      <c r="D405" s="4" t="s">
        <v>555</v>
      </c>
      <c r="E405" s="4" t="str">
        <f>"0480611"</f>
        <v>0480611</v>
      </c>
      <c r="F405" s="4" t="s">
        <v>327</v>
      </c>
      <c r="G405" s="4" t="s">
        <v>338</v>
      </c>
      <c r="H405" s="7">
        <v>6</v>
      </c>
      <c r="I405" s="6"/>
      <c r="J405" s="4" t="s">
        <v>330</v>
      </c>
      <c r="K405" s="7">
        <v>763.91802299999995</v>
      </c>
      <c r="L405" s="7">
        <v>950</v>
      </c>
      <c r="M405" s="7">
        <v>80.412423000000004</v>
      </c>
      <c r="N405" s="7">
        <v>2</v>
      </c>
      <c r="O405" s="7">
        <v>0</v>
      </c>
      <c r="P405" s="7">
        <v>79.311812000000003</v>
      </c>
      <c r="Q405" s="7">
        <v>50</v>
      </c>
      <c r="R405" s="7">
        <v>50</v>
      </c>
      <c r="S405" s="7">
        <v>67.344367000000005</v>
      </c>
      <c r="T405" s="7">
        <v>75</v>
      </c>
      <c r="U405" s="7">
        <v>44.896245</v>
      </c>
      <c r="V405" s="7">
        <v>50</v>
      </c>
      <c r="W405" s="7">
        <v>75.493971999999999</v>
      </c>
      <c r="X405" s="7">
        <v>50</v>
      </c>
      <c r="Y405" s="7">
        <v>50</v>
      </c>
      <c r="Z405" s="7">
        <v>75</v>
      </c>
      <c r="AA405" s="7">
        <v>60.854277000000003</v>
      </c>
      <c r="AB405" s="7">
        <v>40.569518000000002</v>
      </c>
      <c r="AC405" s="7">
        <v>50</v>
      </c>
      <c r="AD405" s="7">
        <v>71.544945999999996</v>
      </c>
      <c r="AE405" s="7">
        <v>47.696630999999996</v>
      </c>
      <c r="AF405" s="7">
        <v>50</v>
      </c>
      <c r="AG405" s="7">
        <v>60.969639000000001</v>
      </c>
      <c r="AH405" s="7">
        <v>75</v>
      </c>
      <c r="AI405" s="7">
        <v>40.646425999999998</v>
      </c>
      <c r="AJ405" s="7">
        <v>50</v>
      </c>
      <c r="AK405" s="7">
        <v>7.65</v>
      </c>
      <c r="AL405" s="7">
        <v>14.14</v>
      </c>
      <c r="AM405" s="7">
        <v>14.03</v>
      </c>
      <c r="AN405" s="7">
        <v>0.70977400000000002</v>
      </c>
      <c r="AO405" s="7">
        <v>70.977429999999998</v>
      </c>
      <c r="AP405" s="7">
        <v>100</v>
      </c>
      <c r="AQ405" s="7">
        <v>0.80044000000000004</v>
      </c>
      <c r="AR405" s="7">
        <v>80.043953000000002</v>
      </c>
      <c r="AS405" s="7">
        <v>100</v>
      </c>
      <c r="AT405" s="7">
        <v>0.72877700000000001</v>
      </c>
      <c r="AU405" s="7">
        <v>0.70073600000000003</v>
      </c>
      <c r="AV405" s="7">
        <v>72.877709999999993</v>
      </c>
      <c r="AW405" s="7">
        <v>100</v>
      </c>
      <c r="AX405" s="7">
        <v>0.71052300000000002</v>
      </c>
      <c r="AY405" s="7">
        <v>0.84320499999999998</v>
      </c>
      <c r="AZ405" s="7">
        <v>71.052325999999994</v>
      </c>
      <c r="BA405" s="7">
        <v>100</v>
      </c>
      <c r="BB405" s="7">
        <v>0.76790199999999997</v>
      </c>
      <c r="BC405" s="7">
        <v>38.395088000000001</v>
      </c>
      <c r="BD405" s="7">
        <v>50</v>
      </c>
      <c r="BE405" s="7">
        <v>0.669848</v>
      </c>
      <c r="BF405" s="7">
        <v>33.492404000000001</v>
      </c>
      <c r="BG405" s="7">
        <v>50</v>
      </c>
      <c r="BH405" s="7">
        <v>0</v>
      </c>
      <c r="BI405" s="7">
        <v>0.99416899999999997</v>
      </c>
      <c r="BJ405" s="7">
        <v>0.99187000000000003</v>
      </c>
      <c r="BK405" s="7">
        <v>0.99545499999999998</v>
      </c>
      <c r="BL405" s="7">
        <v>0.99416899999999997</v>
      </c>
      <c r="BM405" s="7">
        <v>0.99187000000000003</v>
      </c>
      <c r="BN405" s="7">
        <v>0.99545499999999998</v>
      </c>
      <c r="BO405" s="7">
        <v>1</v>
      </c>
      <c r="BP405" s="7">
        <v>1</v>
      </c>
      <c r="BQ405" s="7">
        <v>1</v>
      </c>
      <c r="BR405" s="7">
        <v>7.4074000000000001E-2</v>
      </c>
      <c r="BS405" s="7">
        <v>45.185184999999997</v>
      </c>
      <c r="BT405" s="7">
        <v>50</v>
      </c>
      <c r="BU405" s="7">
        <v>0.15957399999999999</v>
      </c>
      <c r="BV405" s="7">
        <v>28.085106</v>
      </c>
      <c r="BW405" s="7">
        <v>50</v>
      </c>
      <c r="BX405" s="4" t="s">
        <v>124</v>
      </c>
      <c r="BY405" s="4" t="s">
        <v>124</v>
      </c>
      <c r="BZ405" s="4" t="s">
        <v>124</v>
      </c>
      <c r="CA405" s="4" t="s">
        <v>124</v>
      </c>
      <c r="CB405" s="4" t="s">
        <v>124</v>
      </c>
      <c r="CC405" s="4" t="s">
        <v>124</v>
      </c>
      <c r="CD405" s="4" t="s">
        <v>124</v>
      </c>
      <c r="CE405" s="4" t="s">
        <v>124</v>
      </c>
      <c r="CF405" s="4" t="s">
        <v>124</v>
      </c>
      <c r="CG405" s="4" t="s">
        <v>124</v>
      </c>
      <c r="CH405" s="4" t="s">
        <v>124</v>
      </c>
      <c r="CI405" s="4" t="s">
        <v>124</v>
      </c>
      <c r="CJ405" s="4" t="s">
        <v>124</v>
      </c>
      <c r="CK405" s="4" t="s">
        <v>124</v>
      </c>
      <c r="CL405" s="4" t="s">
        <v>124</v>
      </c>
      <c r="CM405" s="4" t="s">
        <v>124</v>
      </c>
      <c r="CN405" s="4" t="s">
        <v>124</v>
      </c>
      <c r="CO405" s="4" t="s">
        <v>124</v>
      </c>
      <c r="CP405" s="4" t="s">
        <v>124</v>
      </c>
      <c r="CQ405" s="7">
        <v>0.75141199999999997</v>
      </c>
      <c r="CR405" s="7">
        <v>0.99438199999999999</v>
      </c>
      <c r="CS405" s="7">
        <v>50</v>
      </c>
      <c r="CT405" s="7">
        <v>50</v>
      </c>
      <c r="CU405" s="4" t="s">
        <v>124</v>
      </c>
      <c r="CV405" s="4" t="s">
        <v>124</v>
      </c>
      <c r="CW405" s="4" t="s">
        <v>124</v>
      </c>
      <c r="CX405" s="4" t="s">
        <v>124</v>
      </c>
      <c r="CY405" s="4" t="s">
        <v>124</v>
      </c>
      <c r="CZ405" s="4" t="s">
        <v>124</v>
      </c>
      <c r="DA405" s="7">
        <v>15.314097</v>
      </c>
      <c r="DB405" s="7">
        <v>17.400950000000002</v>
      </c>
      <c r="DC405" s="7">
        <v>16.332519999999999</v>
      </c>
      <c r="DD405" s="4" t="s">
        <v>124</v>
      </c>
      <c r="DE405" s="7">
        <v>0</v>
      </c>
      <c r="DF405" s="6"/>
      <c r="DG405" s="6"/>
      <c r="DH405" s="4" t="s">
        <v>331</v>
      </c>
      <c r="DI405" s="4" t="s">
        <v>523</v>
      </c>
      <c r="DJ405" s="7">
        <v>0</v>
      </c>
      <c r="DK405" s="7">
        <v>0</v>
      </c>
      <c r="DL405" s="7">
        <v>0</v>
      </c>
      <c r="DM405" s="7">
        <v>1</v>
      </c>
      <c r="DN405" s="7">
        <v>0</v>
      </c>
      <c r="DO405" s="7">
        <v>0</v>
      </c>
      <c r="DP405" s="6"/>
      <c r="DQ405" s="4" t="s">
        <v>125</v>
      </c>
    </row>
    <row r="406" spans="1:121" ht="20" customHeight="1" x14ac:dyDescent="0.15">
      <c r="A406" s="5">
        <v>2018</v>
      </c>
      <c r="B406" s="3" t="s">
        <v>150</v>
      </c>
      <c r="C406" s="4" t="str">
        <f t="shared" si="25"/>
        <v>0490011</v>
      </c>
      <c r="D406" s="4" t="s">
        <v>556</v>
      </c>
      <c r="E406" s="4" t="str">
        <f>"0491311"</f>
        <v>0491311</v>
      </c>
      <c r="F406" s="4" t="s">
        <v>327</v>
      </c>
      <c r="G406" s="7">
        <v>3</v>
      </c>
      <c r="H406" s="7">
        <v>5</v>
      </c>
      <c r="I406" s="6"/>
      <c r="J406" s="4" t="s">
        <v>330</v>
      </c>
      <c r="K406" s="7">
        <v>681.06741199999999</v>
      </c>
      <c r="L406" s="7">
        <v>850</v>
      </c>
      <c r="M406" s="7">
        <v>80.125578000000004</v>
      </c>
      <c r="N406" s="7">
        <v>2</v>
      </c>
      <c r="O406" s="7">
        <v>0</v>
      </c>
      <c r="P406" s="7">
        <v>71.590723999999994</v>
      </c>
      <c r="Q406" s="7">
        <v>47.727148999999997</v>
      </c>
      <c r="R406" s="7">
        <v>50</v>
      </c>
      <c r="S406" s="7">
        <v>64.838254000000006</v>
      </c>
      <c r="T406" s="7">
        <v>75</v>
      </c>
      <c r="U406" s="7">
        <v>43.225501999999999</v>
      </c>
      <c r="V406" s="7">
        <v>50</v>
      </c>
      <c r="W406" s="7">
        <v>68.419140999999996</v>
      </c>
      <c r="X406" s="7">
        <v>45.612760999999999</v>
      </c>
      <c r="Y406" s="7">
        <v>50</v>
      </c>
      <c r="Z406" s="7">
        <v>75</v>
      </c>
      <c r="AA406" s="7">
        <v>61.003557999999998</v>
      </c>
      <c r="AB406" s="7">
        <v>40.669038999999998</v>
      </c>
      <c r="AC406" s="7">
        <v>50</v>
      </c>
      <c r="AD406" s="7">
        <v>65.398606999999998</v>
      </c>
      <c r="AE406" s="7">
        <v>43.599071000000002</v>
      </c>
      <c r="AF406" s="7">
        <v>50</v>
      </c>
      <c r="AG406" s="7">
        <v>58.821941000000002</v>
      </c>
      <c r="AH406" s="7">
        <v>74.214139000000003</v>
      </c>
      <c r="AI406" s="7">
        <v>39.214627</v>
      </c>
      <c r="AJ406" s="7">
        <v>50</v>
      </c>
      <c r="AK406" s="7">
        <v>10.16</v>
      </c>
      <c r="AL406" s="7">
        <v>13.99</v>
      </c>
      <c r="AM406" s="7">
        <v>15.39</v>
      </c>
      <c r="AN406" s="7">
        <v>0.62400500000000003</v>
      </c>
      <c r="AO406" s="7">
        <v>62.400463000000002</v>
      </c>
      <c r="AP406" s="7">
        <v>100</v>
      </c>
      <c r="AQ406" s="7">
        <v>0.81951099999999999</v>
      </c>
      <c r="AR406" s="7">
        <v>81.951125000000005</v>
      </c>
      <c r="AS406" s="7">
        <v>100</v>
      </c>
      <c r="AT406" s="7">
        <v>0.58414500000000003</v>
      </c>
      <c r="AU406" s="7">
        <v>0.66386500000000004</v>
      </c>
      <c r="AV406" s="7">
        <v>58.414476000000001</v>
      </c>
      <c r="AW406" s="7">
        <v>100</v>
      </c>
      <c r="AX406" s="7">
        <v>0.73953999999999998</v>
      </c>
      <c r="AY406" s="7">
        <v>0.89804200000000001</v>
      </c>
      <c r="AZ406" s="7">
        <v>73.953997000000001</v>
      </c>
      <c r="BA406" s="7">
        <v>100</v>
      </c>
      <c r="BB406" s="4" t="s">
        <v>124</v>
      </c>
      <c r="BC406" s="4" t="s">
        <v>124</v>
      </c>
      <c r="BD406" s="4" t="s">
        <v>124</v>
      </c>
      <c r="BE406" s="4" t="s">
        <v>124</v>
      </c>
      <c r="BF406" s="4" t="s">
        <v>124</v>
      </c>
      <c r="BG406" s="4" t="s">
        <v>124</v>
      </c>
      <c r="BH406" s="7">
        <v>0</v>
      </c>
      <c r="BI406" s="7">
        <v>0.99701499999999998</v>
      </c>
      <c r="BJ406" s="7">
        <v>0.99465199999999998</v>
      </c>
      <c r="BK406" s="7">
        <v>1</v>
      </c>
      <c r="BL406" s="7">
        <v>1</v>
      </c>
      <c r="BM406" s="7">
        <v>1</v>
      </c>
      <c r="BN406" s="7">
        <v>1</v>
      </c>
      <c r="BO406" s="7">
        <v>1</v>
      </c>
      <c r="BP406" s="7">
        <v>1</v>
      </c>
      <c r="BQ406" s="7">
        <v>1</v>
      </c>
      <c r="BR406" s="7">
        <v>5.1360000000000003E-2</v>
      </c>
      <c r="BS406" s="7">
        <v>49.728096999999998</v>
      </c>
      <c r="BT406" s="7">
        <v>50</v>
      </c>
      <c r="BU406" s="7">
        <v>7.3863999999999999E-2</v>
      </c>
      <c r="BV406" s="7">
        <v>45.227272999999997</v>
      </c>
      <c r="BW406" s="7">
        <v>50</v>
      </c>
      <c r="BX406" s="4" t="s">
        <v>124</v>
      </c>
      <c r="BY406" s="4" t="s">
        <v>124</v>
      </c>
      <c r="BZ406" s="4" t="s">
        <v>124</v>
      </c>
      <c r="CA406" s="4" t="s">
        <v>124</v>
      </c>
      <c r="CB406" s="4" t="s">
        <v>124</v>
      </c>
      <c r="CC406" s="4" t="s">
        <v>124</v>
      </c>
      <c r="CD406" s="4" t="s">
        <v>124</v>
      </c>
      <c r="CE406" s="4" t="s">
        <v>124</v>
      </c>
      <c r="CF406" s="4" t="s">
        <v>124</v>
      </c>
      <c r="CG406" s="4" t="s">
        <v>124</v>
      </c>
      <c r="CH406" s="4" t="s">
        <v>124</v>
      </c>
      <c r="CI406" s="4" t="s">
        <v>124</v>
      </c>
      <c r="CJ406" s="4" t="s">
        <v>124</v>
      </c>
      <c r="CK406" s="4" t="s">
        <v>124</v>
      </c>
      <c r="CL406" s="4" t="s">
        <v>124</v>
      </c>
      <c r="CM406" s="4" t="s">
        <v>124</v>
      </c>
      <c r="CN406" s="4" t="s">
        <v>124</v>
      </c>
      <c r="CO406" s="4" t="s">
        <v>124</v>
      </c>
      <c r="CP406" s="4" t="s">
        <v>124</v>
      </c>
      <c r="CQ406" s="7">
        <v>0.74015699999999995</v>
      </c>
      <c r="CR406" s="7">
        <v>1.0325200000000001</v>
      </c>
      <c r="CS406" s="7">
        <v>49.343831999999999</v>
      </c>
      <c r="CT406" s="7">
        <v>50</v>
      </c>
      <c r="CU406" s="4" t="s">
        <v>124</v>
      </c>
      <c r="CV406" s="4" t="s">
        <v>124</v>
      </c>
      <c r="CW406" s="4" t="s">
        <v>124</v>
      </c>
      <c r="CX406" s="4" t="s">
        <v>124</v>
      </c>
      <c r="CY406" s="4" t="s">
        <v>124</v>
      </c>
      <c r="CZ406" s="4" t="s">
        <v>124</v>
      </c>
      <c r="DA406" s="7">
        <v>15.314097</v>
      </c>
      <c r="DB406" s="7">
        <v>17.400950000000002</v>
      </c>
      <c r="DC406" s="7">
        <v>16.332519999999999</v>
      </c>
      <c r="DD406" s="4" t="s">
        <v>124</v>
      </c>
      <c r="DE406" s="7">
        <v>0</v>
      </c>
      <c r="DF406" s="6"/>
      <c r="DG406" s="6"/>
      <c r="DH406" s="6"/>
      <c r="DI406" s="6"/>
      <c r="DJ406" s="7">
        <v>0</v>
      </c>
      <c r="DK406" s="7">
        <v>0</v>
      </c>
      <c r="DL406" s="7">
        <v>0</v>
      </c>
      <c r="DM406" s="7">
        <v>0</v>
      </c>
      <c r="DN406" s="7">
        <v>0</v>
      </c>
      <c r="DO406" s="7">
        <v>0</v>
      </c>
      <c r="DP406" s="6"/>
      <c r="DQ406" s="4" t="s">
        <v>125</v>
      </c>
    </row>
    <row r="407" spans="1:121" ht="20" customHeight="1" x14ac:dyDescent="0.15">
      <c r="A407" s="5">
        <v>2018</v>
      </c>
      <c r="B407" s="3" t="s">
        <v>150</v>
      </c>
      <c r="C407" s="4" t="str">
        <f t="shared" ref="C407:C413" si="201">"0490011"</f>
        <v>0490011</v>
      </c>
      <c r="D407" s="4" t="s">
        <v>557</v>
      </c>
      <c r="E407" s="4" t="str">
        <f>"0491611"</f>
        <v>0491611</v>
      </c>
      <c r="F407" s="4" t="s">
        <v>327</v>
      </c>
      <c r="G407" s="7">
        <v>3</v>
      </c>
      <c r="H407" s="7">
        <v>5</v>
      </c>
      <c r="I407" s="4" t="s">
        <v>335</v>
      </c>
      <c r="J407" s="4" t="s">
        <v>330</v>
      </c>
      <c r="K407" s="7">
        <v>676.54857600000003</v>
      </c>
      <c r="L407" s="7">
        <v>850</v>
      </c>
      <c r="M407" s="7">
        <v>79.593950000000007</v>
      </c>
      <c r="N407" s="7">
        <v>2</v>
      </c>
      <c r="O407" s="7">
        <v>0</v>
      </c>
      <c r="P407" s="7">
        <v>68.430233000000001</v>
      </c>
      <c r="Q407" s="7">
        <v>45.620154999999997</v>
      </c>
      <c r="R407" s="7">
        <v>50</v>
      </c>
      <c r="S407" s="7">
        <v>63.021963</v>
      </c>
      <c r="T407" s="7">
        <v>75</v>
      </c>
      <c r="U407" s="7">
        <v>42.014642000000002</v>
      </c>
      <c r="V407" s="7">
        <v>50</v>
      </c>
      <c r="W407" s="7">
        <v>64.607951</v>
      </c>
      <c r="X407" s="7">
        <v>43.071967000000001</v>
      </c>
      <c r="Y407" s="7">
        <v>50</v>
      </c>
      <c r="Z407" s="7">
        <v>71.338944999999995</v>
      </c>
      <c r="AA407" s="7">
        <v>59.471139999999998</v>
      </c>
      <c r="AB407" s="7">
        <v>39.647427</v>
      </c>
      <c r="AC407" s="7">
        <v>50</v>
      </c>
      <c r="AD407" s="7">
        <v>69.356055999999995</v>
      </c>
      <c r="AE407" s="7">
        <v>46.237371000000003</v>
      </c>
      <c r="AF407" s="7">
        <v>50</v>
      </c>
      <c r="AG407" s="7">
        <v>64.776381000000001</v>
      </c>
      <c r="AH407" s="7">
        <v>75</v>
      </c>
      <c r="AI407" s="7">
        <v>43.184254000000003</v>
      </c>
      <c r="AJ407" s="7">
        <v>50</v>
      </c>
      <c r="AK407" s="7">
        <v>11.97</v>
      </c>
      <c r="AL407" s="7">
        <v>11.86</v>
      </c>
      <c r="AM407" s="7">
        <v>10.220000000000001</v>
      </c>
      <c r="AN407" s="7">
        <v>0.74135499999999999</v>
      </c>
      <c r="AO407" s="7">
        <v>74.135508999999999</v>
      </c>
      <c r="AP407" s="7">
        <v>100</v>
      </c>
      <c r="AQ407" s="7">
        <v>0.74806899999999998</v>
      </c>
      <c r="AR407" s="7">
        <v>74.806932000000003</v>
      </c>
      <c r="AS407" s="7">
        <v>100</v>
      </c>
      <c r="AT407" s="7">
        <v>0.70547199999999999</v>
      </c>
      <c r="AU407" s="7">
        <v>0.78441399999999994</v>
      </c>
      <c r="AV407" s="7">
        <v>70.547244000000006</v>
      </c>
      <c r="AW407" s="7">
        <v>100</v>
      </c>
      <c r="AX407" s="7">
        <v>0.71597100000000002</v>
      </c>
      <c r="AY407" s="7">
        <v>0.78624899999999998</v>
      </c>
      <c r="AZ407" s="7">
        <v>71.597144</v>
      </c>
      <c r="BA407" s="7">
        <v>100</v>
      </c>
      <c r="BB407" s="4" t="s">
        <v>124</v>
      </c>
      <c r="BC407" s="4" t="s">
        <v>124</v>
      </c>
      <c r="BD407" s="4" t="s">
        <v>124</v>
      </c>
      <c r="BE407" s="4" t="s">
        <v>124</v>
      </c>
      <c r="BF407" s="4" t="s">
        <v>124</v>
      </c>
      <c r="BG407" s="4" t="s">
        <v>124</v>
      </c>
      <c r="BH407" s="7">
        <v>0</v>
      </c>
      <c r="BI407" s="7">
        <v>0.99715900000000002</v>
      </c>
      <c r="BJ407" s="7">
        <v>1</v>
      </c>
      <c r="BK407" s="7">
        <v>0.99328899999999998</v>
      </c>
      <c r="BL407" s="7">
        <v>0.99715100000000001</v>
      </c>
      <c r="BM407" s="7">
        <v>1</v>
      </c>
      <c r="BN407" s="7">
        <v>0.99328899999999998</v>
      </c>
      <c r="BO407" s="7">
        <v>1</v>
      </c>
      <c r="BP407" s="7">
        <v>1</v>
      </c>
      <c r="BQ407" s="7">
        <v>1</v>
      </c>
      <c r="BR407" s="7">
        <v>7.7364000000000002E-2</v>
      </c>
      <c r="BS407" s="7">
        <v>44.527220999999997</v>
      </c>
      <c r="BT407" s="7">
        <v>50</v>
      </c>
      <c r="BU407" s="7">
        <v>0.11734700000000001</v>
      </c>
      <c r="BV407" s="7">
        <v>36.530611999999998</v>
      </c>
      <c r="BW407" s="7">
        <v>50</v>
      </c>
      <c r="BX407" s="4" t="s">
        <v>124</v>
      </c>
      <c r="BY407" s="4" t="s">
        <v>124</v>
      </c>
      <c r="BZ407" s="4" t="s">
        <v>124</v>
      </c>
      <c r="CA407" s="4" t="s">
        <v>124</v>
      </c>
      <c r="CB407" s="4" t="s">
        <v>124</v>
      </c>
      <c r="CC407" s="4" t="s">
        <v>124</v>
      </c>
      <c r="CD407" s="4" t="s">
        <v>124</v>
      </c>
      <c r="CE407" s="4" t="s">
        <v>124</v>
      </c>
      <c r="CF407" s="4" t="s">
        <v>124</v>
      </c>
      <c r="CG407" s="4" t="s">
        <v>124</v>
      </c>
      <c r="CH407" s="4" t="s">
        <v>124</v>
      </c>
      <c r="CI407" s="4" t="s">
        <v>124</v>
      </c>
      <c r="CJ407" s="4" t="s">
        <v>124</v>
      </c>
      <c r="CK407" s="4" t="s">
        <v>124</v>
      </c>
      <c r="CL407" s="4" t="s">
        <v>124</v>
      </c>
      <c r="CM407" s="4" t="s">
        <v>124</v>
      </c>
      <c r="CN407" s="4" t="s">
        <v>124</v>
      </c>
      <c r="CO407" s="4" t="s">
        <v>124</v>
      </c>
      <c r="CP407" s="4" t="s">
        <v>124</v>
      </c>
      <c r="CQ407" s="7">
        <v>0.66942100000000004</v>
      </c>
      <c r="CR407" s="7">
        <v>1</v>
      </c>
      <c r="CS407" s="7">
        <v>44.628098999999999</v>
      </c>
      <c r="CT407" s="7">
        <v>50</v>
      </c>
      <c r="CU407" s="4" t="s">
        <v>124</v>
      </c>
      <c r="CV407" s="4" t="s">
        <v>124</v>
      </c>
      <c r="CW407" s="4" t="s">
        <v>124</v>
      </c>
      <c r="CX407" s="4" t="s">
        <v>124</v>
      </c>
      <c r="CY407" s="4" t="s">
        <v>124</v>
      </c>
      <c r="CZ407" s="4" t="s">
        <v>124</v>
      </c>
      <c r="DA407" s="7">
        <v>15.314097</v>
      </c>
      <c r="DB407" s="7">
        <v>17.400950000000002</v>
      </c>
      <c r="DC407" s="7">
        <v>16.332519999999999</v>
      </c>
      <c r="DD407" s="4" t="s">
        <v>124</v>
      </c>
      <c r="DE407" s="7">
        <v>0</v>
      </c>
      <c r="DF407" s="6"/>
      <c r="DG407" s="6"/>
      <c r="DH407" s="6"/>
      <c r="DI407" s="6"/>
      <c r="DJ407" s="7">
        <v>0</v>
      </c>
      <c r="DK407" s="7">
        <v>0</v>
      </c>
      <c r="DL407" s="7">
        <v>0</v>
      </c>
      <c r="DM407" s="7">
        <v>0</v>
      </c>
      <c r="DN407" s="7">
        <v>0</v>
      </c>
      <c r="DO407" s="7">
        <v>0</v>
      </c>
      <c r="DP407" s="6"/>
      <c r="DQ407" s="4" t="s">
        <v>125</v>
      </c>
    </row>
    <row r="408" spans="1:121" ht="20" customHeight="1" x14ac:dyDescent="0.15">
      <c r="A408" s="5">
        <v>2018</v>
      </c>
      <c r="B408" s="3" t="s">
        <v>150</v>
      </c>
      <c r="C408" s="4" t="str">
        <f t="shared" si="201"/>
        <v>0490011</v>
      </c>
      <c r="D408" s="4" t="s">
        <v>558</v>
      </c>
      <c r="E408" s="4" t="str">
        <f>"0496111"</f>
        <v>0496111</v>
      </c>
      <c r="F408" s="4" t="s">
        <v>327</v>
      </c>
      <c r="G408" s="7">
        <v>9</v>
      </c>
      <c r="H408" s="7">
        <v>12</v>
      </c>
      <c r="I408" s="6"/>
      <c r="J408" s="4" t="s">
        <v>330</v>
      </c>
      <c r="K408" s="7">
        <v>1107.0597889999999</v>
      </c>
      <c r="L408" s="7">
        <v>1450</v>
      </c>
      <c r="M408" s="7">
        <v>76.348951</v>
      </c>
      <c r="N408" s="7">
        <v>3</v>
      </c>
      <c r="O408" s="7">
        <v>0</v>
      </c>
      <c r="P408" s="7">
        <v>56.764150999999998</v>
      </c>
      <c r="Q408" s="7">
        <v>113.528302</v>
      </c>
      <c r="R408" s="7">
        <v>150</v>
      </c>
      <c r="S408" s="7">
        <v>49.214815000000002</v>
      </c>
      <c r="T408" s="7">
        <v>62.333333000000003</v>
      </c>
      <c r="U408" s="7">
        <v>98.429630000000003</v>
      </c>
      <c r="V408" s="7">
        <v>150</v>
      </c>
      <c r="W408" s="7">
        <v>54.821278999999997</v>
      </c>
      <c r="X408" s="7">
        <v>109.64255799999999</v>
      </c>
      <c r="Y408" s="7">
        <v>150</v>
      </c>
      <c r="Z408" s="7">
        <v>60.079234999999997</v>
      </c>
      <c r="AA408" s="7">
        <v>47.693826999999999</v>
      </c>
      <c r="AB408" s="7">
        <v>95.387653999999998</v>
      </c>
      <c r="AC408" s="7">
        <v>150</v>
      </c>
      <c r="AD408" s="7">
        <v>69.256085999999996</v>
      </c>
      <c r="AE408" s="7">
        <v>92.341448</v>
      </c>
      <c r="AF408" s="7">
        <v>100</v>
      </c>
      <c r="AG408" s="7">
        <v>59.519088000000004</v>
      </c>
      <c r="AH408" s="7">
        <v>75</v>
      </c>
      <c r="AI408" s="7">
        <v>79.358784</v>
      </c>
      <c r="AJ408" s="7">
        <v>100</v>
      </c>
      <c r="AK408" s="7">
        <v>13.11</v>
      </c>
      <c r="AL408" s="7">
        <v>12.38</v>
      </c>
      <c r="AM408" s="7">
        <v>15.48</v>
      </c>
      <c r="AN408" s="4" t="s">
        <v>124</v>
      </c>
      <c r="AO408" s="4" t="s">
        <v>124</v>
      </c>
      <c r="AP408" s="4" t="s">
        <v>124</v>
      </c>
      <c r="AQ408" s="4" t="s">
        <v>124</v>
      </c>
      <c r="AR408" s="4" t="s">
        <v>124</v>
      </c>
      <c r="AS408" s="4" t="s">
        <v>124</v>
      </c>
      <c r="AT408" s="4" t="s">
        <v>124</v>
      </c>
      <c r="AU408" s="4" t="s">
        <v>124</v>
      </c>
      <c r="AV408" s="4" t="s">
        <v>124</v>
      </c>
      <c r="AW408" s="4" t="s">
        <v>124</v>
      </c>
      <c r="AX408" s="4" t="s">
        <v>124</v>
      </c>
      <c r="AY408" s="4" t="s">
        <v>124</v>
      </c>
      <c r="AZ408" s="4" t="s">
        <v>124</v>
      </c>
      <c r="BA408" s="4" t="s">
        <v>124</v>
      </c>
      <c r="BB408" s="4" t="s">
        <v>124</v>
      </c>
      <c r="BC408" s="4" t="s">
        <v>124</v>
      </c>
      <c r="BD408" s="4" t="s">
        <v>124</v>
      </c>
      <c r="BE408" s="4" t="s">
        <v>124</v>
      </c>
      <c r="BF408" s="4" t="s">
        <v>124</v>
      </c>
      <c r="BG408" s="4" t="s">
        <v>124</v>
      </c>
      <c r="BH408" s="7">
        <v>0</v>
      </c>
      <c r="BI408" s="7">
        <v>0.99079799999999996</v>
      </c>
      <c r="BJ408" s="7">
        <v>0.98571399999999998</v>
      </c>
      <c r="BK408" s="7">
        <v>0.99462399999999995</v>
      </c>
      <c r="BL408" s="7">
        <v>0.99079799999999996</v>
      </c>
      <c r="BM408" s="7">
        <v>0.98571399999999998</v>
      </c>
      <c r="BN408" s="7">
        <v>0.99462399999999995</v>
      </c>
      <c r="BO408" s="7">
        <v>0.99074099999999998</v>
      </c>
      <c r="BP408" s="7">
        <v>0.99275400000000003</v>
      </c>
      <c r="BQ408" s="7">
        <v>0.98924699999999999</v>
      </c>
      <c r="BR408" s="7">
        <v>0.133106</v>
      </c>
      <c r="BS408" s="7">
        <v>33.378839999999997</v>
      </c>
      <c r="BT408" s="7">
        <v>50</v>
      </c>
      <c r="BU408" s="7">
        <v>0.20948</v>
      </c>
      <c r="BV408" s="7">
        <v>18.103975999999999</v>
      </c>
      <c r="BW408" s="7">
        <v>50</v>
      </c>
      <c r="BX408" s="7">
        <v>0.89253700000000002</v>
      </c>
      <c r="BY408" s="7">
        <v>50</v>
      </c>
      <c r="BZ408" s="7">
        <v>50</v>
      </c>
      <c r="CA408" s="7">
        <v>0.37014900000000001</v>
      </c>
      <c r="CB408" s="7">
        <v>24.676617</v>
      </c>
      <c r="CC408" s="7">
        <v>50</v>
      </c>
      <c r="CD408" s="7">
        <v>0.85858599999999996</v>
      </c>
      <c r="CE408" s="7">
        <v>45.669460999999998</v>
      </c>
      <c r="CF408" s="7">
        <v>50</v>
      </c>
      <c r="CG408" s="7">
        <v>0.91878199999999999</v>
      </c>
      <c r="CH408" s="7">
        <v>97.742737000000005</v>
      </c>
      <c r="CI408" s="7">
        <v>100</v>
      </c>
      <c r="CJ408" s="7">
        <v>1</v>
      </c>
      <c r="CK408" s="7">
        <v>0.8</v>
      </c>
      <c r="CL408" s="7">
        <v>85.106382999999994</v>
      </c>
      <c r="CM408" s="7">
        <v>100</v>
      </c>
      <c r="CN408" s="7">
        <v>0.65600000000000003</v>
      </c>
      <c r="CO408" s="7">
        <v>87.466667000000001</v>
      </c>
      <c r="CP408" s="7">
        <v>100</v>
      </c>
      <c r="CQ408" s="7">
        <v>0.393401</v>
      </c>
      <c r="CR408" s="7">
        <v>0.98746900000000004</v>
      </c>
      <c r="CS408" s="7">
        <v>26.226734</v>
      </c>
      <c r="CT408" s="7">
        <v>50</v>
      </c>
      <c r="CU408" s="7">
        <v>0.70648500000000003</v>
      </c>
      <c r="CV408" s="7">
        <v>50</v>
      </c>
      <c r="CW408" s="7">
        <v>50</v>
      </c>
      <c r="CX408" s="7">
        <v>0.8</v>
      </c>
      <c r="CY408" s="7">
        <v>0.89361699999999999</v>
      </c>
      <c r="CZ408" s="7">
        <v>9.3617000000000006E-2</v>
      </c>
      <c r="DA408" s="7">
        <v>15.314097</v>
      </c>
      <c r="DB408" s="7">
        <v>17.400950000000002</v>
      </c>
      <c r="DC408" s="7">
        <v>16.332519999999999</v>
      </c>
      <c r="DD408" s="7">
        <v>7.9891730000000001</v>
      </c>
      <c r="DE408" s="7">
        <v>1</v>
      </c>
      <c r="DF408" s="6"/>
      <c r="DG408" s="6"/>
      <c r="DH408" s="6"/>
      <c r="DI408" s="6"/>
      <c r="DJ408" s="7">
        <v>0</v>
      </c>
      <c r="DK408" s="7">
        <v>0</v>
      </c>
      <c r="DL408" s="7">
        <v>0</v>
      </c>
      <c r="DM408" s="7">
        <v>0</v>
      </c>
      <c r="DN408" s="7">
        <v>0</v>
      </c>
      <c r="DO408" s="7">
        <v>0</v>
      </c>
      <c r="DP408" s="6"/>
      <c r="DQ408" s="4" t="s">
        <v>125</v>
      </c>
    </row>
    <row r="409" spans="1:121" ht="20" customHeight="1" x14ac:dyDescent="0.15">
      <c r="A409" s="5">
        <v>2018</v>
      </c>
      <c r="B409" s="3" t="s">
        <v>150</v>
      </c>
      <c r="C409" s="4" t="str">
        <f t="shared" si="201"/>
        <v>0490011</v>
      </c>
      <c r="D409" s="4" t="s">
        <v>559</v>
      </c>
      <c r="E409" s="4" t="str">
        <f>"0490211"</f>
        <v>0490211</v>
      </c>
      <c r="F409" s="4" t="s">
        <v>327</v>
      </c>
      <c r="G409" s="4" t="s">
        <v>338</v>
      </c>
      <c r="H409" s="7">
        <v>2</v>
      </c>
      <c r="I409" s="6"/>
      <c r="J409" s="4" t="s">
        <v>330</v>
      </c>
      <c r="K409" s="7">
        <v>76.880556999999996</v>
      </c>
      <c r="L409" s="7">
        <v>100</v>
      </c>
      <c r="M409" s="7">
        <v>76.880556999999996</v>
      </c>
      <c r="N409" s="4" t="s">
        <v>124</v>
      </c>
      <c r="O409" s="4" t="s">
        <v>124</v>
      </c>
      <c r="P409" s="4" t="s">
        <v>124</v>
      </c>
      <c r="Q409" s="4" t="s">
        <v>124</v>
      </c>
      <c r="R409" s="4" t="s">
        <v>124</v>
      </c>
      <c r="S409" s="4" t="s">
        <v>124</v>
      </c>
      <c r="T409" s="4" t="s">
        <v>124</v>
      </c>
      <c r="U409" s="4" t="s">
        <v>124</v>
      </c>
      <c r="V409" s="4" t="s">
        <v>124</v>
      </c>
      <c r="W409" s="4" t="s">
        <v>124</v>
      </c>
      <c r="X409" s="4" t="s">
        <v>124</v>
      </c>
      <c r="Y409" s="4" t="s">
        <v>124</v>
      </c>
      <c r="Z409" s="4" t="s">
        <v>124</v>
      </c>
      <c r="AA409" s="4" t="s">
        <v>124</v>
      </c>
      <c r="AB409" s="4" t="s">
        <v>124</v>
      </c>
      <c r="AC409" s="4" t="s">
        <v>124</v>
      </c>
      <c r="AD409" s="4" t="s">
        <v>124</v>
      </c>
      <c r="AE409" s="4" t="s">
        <v>124</v>
      </c>
      <c r="AF409" s="4" t="s">
        <v>124</v>
      </c>
      <c r="AG409" s="4" t="s">
        <v>124</v>
      </c>
      <c r="AH409" s="4" t="s">
        <v>124</v>
      </c>
      <c r="AI409" s="4" t="s">
        <v>124</v>
      </c>
      <c r="AJ409" s="4" t="s">
        <v>124</v>
      </c>
      <c r="AK409" s="4" t="s">
        <v>124</v>
      </c>
      <c r="AL409" s="4" t="s">
        <v>124</v>
      </c>
      <c r="AM409" s="4" t="s">
        <v>124</v>
      </c>
      <c r="AN409" s="4" t="s">
        <v>124</v>
      </c>
      <c r="AO409" s="4" t="s">
        <v>124</v>
      </c>
      <c r="AP409" s="4" t="s">
        <v>124</v>
      </c>
      <c r="AQ409" s="4" t="s">
        <v>124</v>
      </c>
      <c r="AR409" s="4" t="s">
        <v>124</v>
      </c>
      <c r="AS409" s="4" t="s">
        <v>124</v>
      </c>
      <c r="AT409" s="4" t="s">
        <v>124</v>
      </c>
      <c r="AU409" s="4" t="s">
        <v>124</v>
      </c>
      <c r="AV409" s="4" t="s">
        <v>124</v>
      </c>
      <c r="AW409" s="4" t="s">
        <v>124</v>
      </c>
      <c r="AX409" s="4" t="s">
        <v>124</v>
      </c>
      <c r="AY409" s="4" t="s">
        <v>124</v>
      </c>
      <c r="AZ409" s="4" t="s">
        <v>124</v>
      </c>
      <c r="BA409" s="4" t="s">
        <v>124</v>
      </c>
      <c r="BB409" s="4" t="s">
        <v>124</v>
      </c>
      <c r="BC409" s="4" t="s">
        <v>124</v>
      </c>
      <c r="BD409" s="4" t="s">
        <v>124</v>
      </c>
      <c r="BE409" s="4" t="s">
        <v>124</v>
      </c>
      <c r="BF409" s="4" t="s">
        <v>124</v>
      </c>
      <c r="BG409" s="4" t="s">
        <v>124</v>
      </c>
      <c r="BH409" s="4" t="s">
        <v>124</v>
      </c>
      <c r="BI409" s="4" t="s">
        <v>124</v>
      </c>
      <c r="BJ409" s="4" t="s">
        <v>124</v>
      </c>
      <c r="BK409" s="4" t="s">
        <v>124</v>
      </c>
      <c r="BL409" s="4" t="s">
        <v>124</v>
      </c>
      <c r="BM409" s="4" t="s">
        <v>124</v>
      </c>
      <c r="BN409" s="4" t="s">
        <v>124</v>
      </c>
      <c r="BO409" s="4" t="s">
        <v>124</v>
      </c>
      <c r="BP409" s="4" t="s">
        <v>124</v>
      </c>
      <c r="BQ409" s="4" t="s">
        <v>124</v>
      </c>
      <c r="BR409" s="7">
        <v>8.3067000000000002E-2</v>
      </c>
      <c r="BS409" s="7">
        <v>43.386581</v>
      </c>
      <c r="BT409" s="7">
        <v>50</v>
      </c>
      <c r="BU409" s="7">
        <v>0.13253000000000001</v>
      </c>
      <c r="BV409" s="7">
        <v>33.493976000000004</v>
      </c>
      <c r="BW409" s="7">
        <v>50</v>
      </c>
      <c r="BX409" s="4" t="s">
        <v>124</v>
      </c>
      <c r="BY409" s="4" t="s">
        <v>124</v>
      </c>
      <c r="BZ409" s="4" t="s">
        <v>124</v>
      </c>
      <c r="CA409" s="4" t="s">
        <v>124</v>
      </c>
      <c r="CB409" s="4" t="s">
        <v>124</v>
      </c>
      <c r="CC409" s="4" t="s">
        <v>124</v>
      </c>
      <c r="CD409" s="4" t="s">
        <v>124</v>
      </c>
      <c r="CE409" s="4" t="s">
        <v>124</v>
      </c>
      <c r="CF409" s="4" t="s">
        <v>124</v>
      </c>
      <c r="CG409" s="4" t="s">
        <v>124</v>
      </c>
      <c r="CH409" s="4" t="s">
        <v>124</v>
      </c>
      <c r="CI409" s="4" t="s">
        <v>124</v>
      </c>
      <c r="CJ409" s="4" t="s">
        <v>124</v>
      </c>
      <c r="CK409" s="4" t="s">
        <v>124</v>
      </c>
      <c r="CL409" s="4" t="s">
        <v>124</v>
      </c>
      <c r="CM409" s="4" t="s">
        <v>124</v>
      </c>
      <c r="CN409" s="4" t="s">
        <v>124</v>
      </c>
      <c r="CO409" s="4" t="s">
        <v>124</v>
      </c>
      <c r="CP409" s="4" t="s">
        <v>124</v>
      </c>
      <c r="CQ409" s="4" t="s">
        <v>124</v>
      </c>
      <c r="CR409" s="4" t="s">
        <v>124</v>
      </c>
      <c r="CS409" s="4" t="s">
        <v>124</v>
      </c>
      <c r="CT409" s="4" t="s">
        <v>124</v>
      </c>
      <c r="CU409" s="4" t="s">
        <v>124</v>
      </c>
      <c r="CV409" s="4" t="s">
        <v>124</v>
      </c>
      <c r="CW409" s="4" t="s">
        <v>124</v>
      </c>
      <c r="CX409" s="4" t="s">
        <v>124</v>
      </c>
      <c r="CY409" s="4" t="s">
        <v>124</v>
      </c>
      <c r="CZ409" s="4" t="s">
        <v>124</v>
      </c>
      <c r="DA409" s="4" t="s">
        <v>124</v>
      </c>
      <c r="DB409" s="4" t="s">
        <v>124</v>
      </c>
      <c r="DC409" s="4" t="s">
        <v>124</v>
      </c>
      <c r="DD409" s="4" t="s">
        <v>124</v>
      </c>
      <c r="DE409" s="4" t="s">
        <v>124</v>
      </c>
      <c r="DF409" s="6"/>
      <c r="DG409" s="6"/>
      <c r="DH409" s="6"/>
      <c r="DI409" s="6"/>
      <c r="DJ409" s="4" t="s">
        <v>124</v>
      </c>
      <c r="DK409" s="4" t="s">
        <v>124</v>
      </c>
      <c r="DL409" s="4" t="s">
        <v>124</v>
      </c>
      <c r="DM409" s="4" t="s">
        <v>124</v>
      </c>
      <c r="DN409" s="4" t="s">
        <v>124</v>
      </c>
      <c r="DO409" s="4" t="s">
        <v>124</v>
      </c>
      <c r="DP409" s="6"/>
      <c r="DQ409" s="4" t="s">
        <v>125</v>
      </c>
    </row>
    <row r="410" spans="1:121" ht="20" customHeight="1" x14ac:dyDescent="0.15">
      <c r="A410" s="5">
        <v>2018</v>
      </c>
      <c r="B410" s="3" t="s">
        <v>150</v>
      </c>
      <c r="C410" s="4" t="str">
        <f t="shared" si="201"/>
        <v>0490011</v>
      </c>
      <c r="D410" s="4" t="s">
        <v>560</v>
      </c>
      <c r="E410" s="4" t="str">
        <f>"0490411"</f>
        <v>0490411</v>
      </c>
      <c r="F410" s="4" t="s">
        <v>327</v>
      </c>
      <c r="G410" s="4" t="s">
        <v>338</v>
      </c>
      <c r="H410" s="7">
        <v>2</v>
      </c>
      <c r="I410" s="6"/>
      <c r="J410" s="4" t="s">
        <v>330</v>
      </c>
      <c r="K410" s="7">
        <v>81.515933000000004</v>
      </c>
      <c r="L410" s="7">
        <v>100</v>
      </c>
      <c r="M410" s="7">
        <v>81.515933000000004</v>
      </c>
      <c r="N410" s="4" t="s">
        <v>124</v>
      </c>
      <c r="O410" s="4" t="s">
        <v>124</v>
      </c>
      <c r="P410" s="4" t="s">
        <v>124</v>
      </c>
      <c r="Q410" s="4" t="s">
        <v>124</v>
      </c>
      <c r="R410" s="4" t="s">
        <v>124</v>
      </c>
      <c r="S410" s="4" t="s">
        <v>124</v>
      </c>
      <c r="T410" s="4" t="s">
        <v>124</v>
      </c>
      <c r="U410" s="4" t="s">
        <v>124</v>
      </c>
      <c r="V410" s="4" t="s">
        <v>124</v>
      </c>
      <c r="W410" s="4" t="s">
        <v>124</v>
      </c>
      <c r="X410" s="4" t="s">
        <v>124</v>
      </c>
      <c r="Y410" s="4" t="s">
        <v>124</v>
      </c>
      <c r="Z410" s="4" t="s">
        <v>124</v>
      </c>
      <c r="AA410" s="4" t="s">
        <v>124</v>
      </c>
      <c r="AB410" s="4" t="s">
        <v>124</v>
      </c>
      <c r="AC410" s="4" t="s">
        <v>124</v>
      </c>
      <c r="AD410" s="4" t="s">
        <v>124</v>
      </c>
      <c r="AE410" s="4" t="s">
        <v>124</v>
      </c>
      <c r="AF410" s="4" t="s">
        <v>124</v>
      </c>
      <c r="AG410" s="4" t="s">
        <v>124</v>
      </c>
      <c r="AH410" s="4" t="s">
        <v>124</v>
      </c>
      <c r="AI410" s="4" t="s">
        <v>124</v>
      </c>
      <c r="AJ410" s="4" t="s">
        <v>124</v>
      </c>
      <c r="AK410" s="4" t="s">
        <v>124</v>
      </c>
      <c r="AL410" s="4" t="s">
        <v>124</v>
      </c>
      <c r="AM410" s="4" t="s">
        <v>124</v>
      </c>
      <c r="AN410" s="4" t="s">
        <v>124</v>
      </c>
      <c r="AO410" s="4" t="s">
        <v>124</v>
      </c>
      <c r="AP410" s="4" t="s">
        <v>124</v>
      </c>
      <c r="AQ410" s="4" t="s">
        <v>124</v>
      </c>
      <c r="AR410" s="4" t="s">
        <v>124</v>
      </c>
      <c r="AS410" s="4" t="s">
        <v>124</v>
      </c>
      <c r="AT410" s="4" t="s">
        <v>124</v>
      </c>
      <c r="AU410" s="4" t="s">
        <v>124</v>
      </c>
      <c r="AV410" s="4" t="s">
        <v>124</v>
      </c>
      <c r="AW410" s="4" t="s">
        <v>124</v>
      </c>
      <c r="AX410" s="4" t="s">
        <v>124</v>
      </c>
      <c r="AY410" s="4" t="s">
        <v>124</v>
      </c>
      <c r="AZ410" s="4" t="s">
        <v>124</v>
      </c>
      <c r="BA410" s="4" t="s">
        <v>124</v>
      </c>
      <c r="BB410" s="4" t="s">
        <v>124</v>
      </c>
      <c r="BC410" s="4" t="s">
        <v>124</v>
      </c>
      <c r="BD410" s="4" t="s">
        <v>124</v>
      </c>
      <c r="BE410" s="4" t="s">
        <v>124</v>
      </c>
      <c r="BF410" s="4" t="s">
        <v>124</v>
      </c>
      <c r="BG410" s="4" t="s">
        <v>124</v>
      </c>
      <c r="BH410" s="4" t="s">
        <v>124</v>
      </c>
      <c r="BI410" s="4" t="s">
        <v>124</v>
      </c>
      <c r="BJ410" s="4" t="s">
        <v>124</v>
      </c>
      <c r="BK410" s="4" t="s">
        <v>124</v>
      </c>
      <c r="BL410" s="4" t="s">
        <v>124</v>
      </c>
      <c r="BM410" s="4" t="s">
        <v>124</v>
      </c>
      <c r="BN410" s="4" t="s">
        <v>124</v>
      </c>
      <c r="BO410" s="4" t="s">
        <v>124</v>
      </c>
      <c r="BP410" s="4" t="s">
        <v>124</v>
      </c>
      <c r="BQ410" s="4" t="s">
        <v>124</v>
      </c>
      <c r="BR410" s="7">
        <v>7.3863999999999999E-2</v>
      </c>
      <c r="BS410" s="7">
        <v>45.227272999999997</v>
      </c>
      <c r="BT410" s="7">
        <v>50</v>
      </c>
      <c r="BU410" s="7">
        <v>0.118557</v>
      </c>
      <c r="BV410" s="7">
        <v>36.28866</v>
      </c>
      <c r="BW410" s="7">
        <v>50</v>
      </c>
      <c r="BX410" s="4" t="s">
        <v>124</v>
      </c>
      <c r="BY410" s="4" t="s">
        <v>124</v>
      </c>
      <c r="BZ410" s="4" t="s">
        <v>124</v>
      </c>
      <c r="CA410" s="4" t="s">
        <v>124</v>
      </c>
      <c r="CB410" s="4" t="s">
        <v>124</v>
      </c>
      <c r="CC410" s="4" t="s">
        <v>124</v>
      </c>
      <c r="CD410" s="4" t="s">
        <v>124</v>
      </c>
      <c r="CE410" s="4" t="s">
        <v>124</v>
      </c>
      <c r="CF410" s="4" t="s">
        <v>124</v>
      </c>
      <c r="CG410" s="4" t="s">
        <v>124</v>
      </c>
      <c r="CH410" s="4" t="s">
        <v>124</v>
      </c>
      <c r="CI410" s="4" t="s">
        <v>124</v>
      </c>
      <c r="CJ410" s="4" t="s">
        <v>124</v>
      </c>
      <c r="CK410" s="4" t="s">
        <v>124</v>
      </c>
      <c r="CL410" s="4" t="s">
        <v>124</v>
      </c>
      <c r="CM410" s="4" t="s">
        <v>124</v>
      </c>
      <c r="CN410" s="4" t="s">
        <v>124</v>
      </c>
      <c r="CO410" s="4" t="s">
        <v>124</v>
      </c>
      <c r="CP410" s="4" t="s">
        <v>124</v>
      </c>
      <c r="CQ410" s="4" t="s">
        <v>124</v>
      </c>
      <c r="CR410" s="4" t="s">
        <v>124</v>
      </c>
      <c r="CS410" s="4" t="s">
        <v>124</v>
      </c>
      <c r="CT410" s="4" t="s">
        <v>124</v>
      </c>
      <c r="CU410" s="4" t="s">
        <v>124</v>
      </c>
      <c r="CV410" s="4" t="s">
        <v>124</v>
      </c>
      <c r="CW410" s="4" t="s">
        <v>124</v>
      </c>
      <c r="CX410" s="4" t="s">
        <v>124</v>
      </c>
      <c r="CY410" s="4" t="s">
        <v>124</v>
      </c>
      <c r="CZ410" s="4" t="s">
        <v>124</v>
      </c>
      <c r="DA410" s="4" t="s">
        <v>124</v>
      </c>
      <c r="DB410" s="4" t="s">
        <v>124</v>
      </c>
      <c r="DC410" s="4" t="s">
        <v>124</v>
      </c>
      <c r="DD410" s="4" t="s">
        <v>124</v>
      </c>
      <c r="DE410" s="4" t="s">
        <v>124</v>
      </c>
      <c r="DF410" s="6"/>
      <c r="DG410" s="6"/>
      <c r="DH410" s="6"/>
      <c r="DI410" s="6"/>
      <c r="DJ410" s="4" t="s">
        <v>124</v>
      </c>
      <c r="DK410" s="4" t="s">
        <v>124</v>
      </c>
      <c r="DL410" s="4" t="s">
        <v>124</v>
      </c>
      <c r="DM410" s="4" t="s">
        <v>124</v>
      </c>
      <c r="DN410" s="4" t="s">
        <v>124</v>
      </c>
      <c r="DO410" s="4" t="s">
        <v>124</v>
      </c>
      <c r="DP410" s="6"/>
      <c r="DQ410" s="4" t="s">
        <v>125</v>
      </c>
    </row>
    <row r="411" spans="1:121" ht="20" customHeight="1" x14ac:dyDescent="0.15">
      <c r="A411" s="5">
        <v>2018</v>
      </c>
      <c r="B411" s="3" t="s">
        <v>150</v>
      </c>
      <c r="C411" s="4" t="str">
        <f t="shared" si="201"/>
        <v>0490011</v>
      </c>
      <c r="D411" s="4" t="s">
        <v>561</v>
      </c>
      <c r="E411" s="4" t="str">
        <f>"0491811"</f>
        <v>0491811</v>
      </c>
      <c r="F411" s="4" t="s">
        <v>327</v>
      </c>
      <c r="G411" s="4" t="s">
        <v>338</v>
      </c>
      <c r="H411" s="7">
        <v>2</v>
      </c>
      <c r="I411" s="4" t="s">
        <v>335</v>
      </c>
      <c r="J411" s="4" t="s">
        <v>330</v>
      </c>
      <c r="K411" s="7">
        <v>69.956232</v>
      </c>
      <c r="L411" s="7">
        <v>100</v>
      </c>
      <c r="M411" s="7">
        <v>69.956232</v>
      </c>
      <c r="N411" s="4" t="s">
        <v>124</v>
      </c>
      <c r="O411" s="4" t="s">
        <v>124</v>
      </c>
      <c r="P411" s="4" t="s">
        <v>124</v>
      </c>
      <c r="Q411" s="4" t="s">
        <v>124</v>
      </c>
      <c r="R411" s="4" t="s">
        <v>124</v>
      </c>
      <c r="S411" s="4" t="s">
        <v>124</v>
      </c>
      <c r="T411" s="4" t="s">
        <v>124</v>
      </c>
      <c r="U411" s="4" t="s">
        <v>124</v>
      </c>
      <c r="V411" s="4" t="s">
        <v>124</v>
      </c>
      <c r="W411" s="4" t="s">
        <v>124</v>
      </c>
      <c r="X411" s="4" t="s">
        <v>124</v>
      </c>
      <c r="Y411" s="4" t="s">
        <v>124</v>
      </c>
      <c r="Z411" s="4" t="s">
        <v>124</v>
      </c>
      <c r="AA411" s="4" t="s">
        <v>124</v>
      </c>
      <c r="AB411" s="4" t="s">
        <v>124</v>
      </c>
      <c r="AC411" s="4" t="s">
        <v>124</v>
      </c>
      <c r="AD411" s="4" t="s">
        <v>124</v>
      </c>
      <c r="AE411" s="4" t="s">
        <v>124</v>
      </c>
      <c r="AF411" s="4" t="s">
        <v>124</v>
      </c>
      <c r="AG411" s="4" t="s">
        <v>124</v>
      </c>
      <c r="AH411" s="4" t="s">
        <v>124</v>
      </c>
      <c r="AI411" s="4" t="s">
        <v>124</v>
      </c>
      <c r="AJ411" s="4" t="s">
        <v>124</v>
      </c>
      <c r="AK411" s="4" t="s">
        <v>124</v>
      </c>
      <c r="AL411" s="4" t="s">
        <v>124</v>
      </c>
      <c r="AM411" s="4" t="s">
        <v>124</v>
      </c>
      <c r="AN411" s="4" t="s">
        <v>124</v>
      </c>
      <c r="AO411" s="4" t="s">
        <v>124</v>
      </c>
      <c r="AP411" s="4" t="s">
        <v>124</v>
      </c>
      <c r="AQ411" s="4" t="s">
        <v>124</v>
      </c>
      <c r="AR411" s="4" t="s">
        <v>124</v>
      </c>
      <c r="AS411" s="4" t="s">
        <v>124</v>
      </c>
      <c r="AT411" s="4" t="s">
        <v>124</v>
      </c>
      <c r="AU411" s="4" t="s">
        <v>124</v>
      </c>
      <c r="AV411" s="4" t="s">
        <v>124</v>
      </c>
      <c r="AW411" s="4" t="s">
        <v>124</v>
      </c>
      <c r="AX411" s="4" t="s">
        <v>124</v>
      </c>
      <c r="AY411" s="4" t="s">
        <v>124</v>
      </c>
      <c r="AZ411" s="4" t="s">
        <v>124</v>
      </c>
      <c r="BA411" s="4" t="s">
        <v>124</v>
      </c>
      <c r="BB411" s="4" t="s">
        <v>124</v>
      </c>
      <c r="BC411" s="4" t="s">
        <v>124</v>
      </c>
      <c r="BD411" s="4" t="s">
        <v>124</v>
      </c>
      <c r="BE411" s="4" t="s">
        <v>124</v>
      </c>
      <c r="BF411" s="4" t="s">
        <v>124</v>
      </c>
      <c r="BG411" s="4" t="s">
        <v>124</v>
      </c>
      <c r="BH411" s="4" t="s">
        <v>124</v>
      </c>
      <c r="BI411" s="4" t="s">
        <v>124</v>
      </c>
      <c r="BJ411" s="4" t="s">
        <v>124</v>
      </c>
      <c r="BK411" s="4" t="s">
        <v>124</v>
      </c>
      <c r="BL411" s="4" t="s">
        <v>124</v>
      </c>
      <c r="BM411" s="4" t="s">
        <v>124</v>
      </c>
      <c r="BN411" s="4" t="s">
        <v>124</v>
      </c>
      <c r="BO411" s="4" t="s">
        <v>124</v>
      </c>
      <c r="BP411" s="4" t="s">
        <v>124</v>
      </c>
      <c r="BQ411" s="4" t="s">
        <v>124</v>
      </c>
      <c r="BR411" s="7">
        <v>9.8958000000000004E-2</v>
      </c>
      <c r="BS411" s="7">
        <v>40.208333000000003</v>
      </c>
      <c r="BT411" s="7">
        <v>50</v>
      </c>
      <c r="BU411" s="7">
        <v>0.15126100000000001</v>
      </c>
      <c r="BV411" s="7">
        <v>29.747899</v>
      </c>
      <c r="BW411" s="7">
        <v>50</v>
      </c>
      <c r="BX411" s="4" t="s">
        <v>124</v>
      </c>
      <c r="BY411" s="4" t="s">
        <v>124</v>
      </c>
      <c r="BZ411" s="4" t="s">
        <v>124</v>
      </c>
      <c r="CA411" s="4" t="s">
        <v>124</v>
      </c>
      <c r="CB411" s="4" t="s">
        <v>124</v>
      </c>
      <c r="CC411" s="4" t="s">
        <v>124</v>
      </c>
      <c r="CD411" s="4" t="s">
        <v>124</v>
      </c>
      <c r="CE411" s="4" t="s">
        <v>124</v>
      </c>
      <c r="CF411" s="4" t="s">
        <v>124</v>
      </c>
      <c r="CG411" s="4" t="s">
        <v>124</v>
      </c>
      <c r="CH411" s="4" t="s">
        <v>124</v>
      </c>
      <c r="CI411" s="4" t="s">
        <v>124</v>
      </c>
      <c r="CJ411" s="4" t="s">
        <v>124</v>
      </c>
      <c r="CK411" s="4" t="s">
        <v>124</v>
      </c>
      <c r="CL411" s="4" t="s">
        <v>124</v>
      </c>
      <c r="CM411" s="4" t="s">
        <v>124</v>
      </c>
      <c r="CN411" s="4" t="s">
        <v>124</v>
      </c>
      <c r="CO411" s="4" t="s">
        <v>124</v>
      </c>
      <c r="CP411" s="4" t="s">
        <v>124</v>
      </c>
      <c r="CQ411" s="4" t="s">
        <v>124</v>
      </c>
      <c r="CR411" s="4" t="s">
        <v>124</v>
      </c>
      <c r="CS411" s="4" t="s">
        <v>124</v>
      </c>
      <c r="CT411" s="4" t="s">
        <v>124</v>
      </c>
      <c r="CU411" s="4" t="s">
        <v>124</v>
      </c>
      <c r="CV411" s="4" t="s">
        <v>124</v>
      </c>
      <c r="CW411" s="4" t="s">
        <v>124</v>
      </c>
      <c r="CX411" s="4" t="s">
        <v>124</v>
      </c>
      <c r="CY411" s="4" t="s">
        <v>124</v>
      </c>
      <c r="CZ411" s="4" t="s">
        <v>124</v>
      </c>
      <c r="DA411" s="4" t="s">
        <v>124</v>
      </c>
      <c r="DB411" s="4" t="s">
        <v>124</v>
      </c>
      <c r="DC411" s="4" t="s">
        <v>124</v>
      </c>
      <c r="DD411" s="4" t="s">
        <v>124</v>
      </c>
      <c r="DE411" s="4" t="s">
        <v>124</v>
      </c>
      <c r="DF411" s="6"/>
      <c r="DG411" s="6"/>
      <c r="DH411" s="6"/>
      <c r="DI411" s="6"/>
      <c r="DJ411" s="4" t="s">
        <v>124</v>
      </c>
      <c r="DK411" s="4" t="s">
        <v>124</v>
      </c>
      <c r="DL411" s="4" t="s">
        <v>124</v>
      </c>
      <c r="DM411" s="4" t="s">
        <v>124</v>
      </c>
      <c r="DN411" s="4" t="s">
        <v>124</v>
      </c>
      <c r="DO411" s="4" t="s">
        <v>124</v>
      </c>
      <c r="DP411" s="6"/>
      <c r="DQ411" s="4" t="s">
        <v>125</v>
      </c>
    </row>
    <row r="412" spans="1:121" ht="20" customHeight="1" x14ac:dyDescent="0.15">
      <c r="A412" s="5">
        <v>2018</v>
      </c>
      <c r="B412" s="3" t="s">
        <v>150</v>
      </c>
      <c r="C412" s="4" t="str">
        <f t="shared" si="201"/>
        <v>0490011</v>
      </c>
      <c r="D412" s="4" t="s">
        <v>562</v>
      </c>
      <c r="E412" s="4" t="str">
        <f>"0495211"</f>
        <v>0495211</v>
      </c>
      <c r="F412" s="4" t="s">
        <v>327</v>
      </c>
      <c r="G412" s="7">
        <v>6</v>
      </c>
      <c r="H412" s="7">
        <v>8</v>
      </c>
      <c r="I412" s="6"/>
      <c r="J412" s="4" t="s">
        <v>330</v>
      </c>
      <c r="K412" s="7">
        <v>571.54028100000005</v>
      </c>
      <c r="L412" s="7">
        <v>900</v>
      </c>
      <c r="M412" s="7">
        <v>63.504475999999997</v>
      </c>
      <c r="N412" s="7">
        <v>3</v>
      </c>
      <c r="O412" s="7">
        <v>0</v>
      </c>
      <c r="P412" s="7">
        <v>63.307212</v>
      </c>
      <c r="Q412" s="7">
        <v>42.204808</v>
      </c>
      <c r="R412" s="7">
        <v>50</v>
      </c>
      <c r="S412" s="7">
        <v>57.081057999999999</v>
      </c>
      <c r="T412" s="7">
        <v>70.375377999999998</v>
      </c>
      <c r="U412" s="7">
        <v>38.054039000000003</v>
      </c>
      <c r="V412" s="7">
        <v>50</v>
      </c>
      <c r="W412" s="7">
        <v>55.383764999999997</v>
      </c>
      <c r="X412" s="7">
        <v>36.922510000000003</v>
      </c>
      <c r="Y412" s="7">
        <v>50</v>
      </c>
      <c r="Z412" s="7">
        <v>62.041404</v>
      </c>
      <c r="AA412" s="7">
        <v>49.513345999999999</v>
      </c>
      <c r="AB412" s="7">
        <v>33.008896999999997</v>
      </c>
      <c r="AC412" s="7">
        <v>50</v>
      </c>
      <c r="AD412" s="7">
        <v>64.692301</v>
      </c>
      <c r="AE412" s="7">
        <v>43.128200999999997</v>
      </c>
      <c r="AF412" s="7">
        <v>50</v>
      </c>
      <c r="AG412" s="7">
        <v>58.85</v>
      </c>
      <c r="AH412" s="7">
        <v>70.809893000000002</v>
      </c>
      <c r="AI412" s="7">
        <v>39.233333000000002</v>
      </c>
      <c r="AJ412" s="7">
        <v>50</v>
      </c>
      <c r="AK412" s="7">
        <v>13.29</v>
      </c>
      <c r="AL412" s="7">
        <v>12.52</v>
      </c>
      <c r="AM412" s="7">
        <v>11.95</v>
      </c>
      <c r="AN412" s="7">
        <v>0.49692500000000001</v>
      </c>
      <c r="AO412" s="7">
        <v>49.692545000000003</v>
      </c>
      <c r="AP412" s="7">
        <v>100</v>
      </c>
      <c r="AQ412" s="7">
        <v>0.46152799999999999</v>
      </c>
      <c r="AR412" s="7">
        <v>46.152828999999997</v>
      </c>
      <c r="AS412" s="7">
        <v>100</v>
      </c>
      <c r="AT412" s="7">
        <v>0.48304999999999998</v>
      </c>
      <c r="AU412" s="7">
        <v>0.51174399999999998</v>
      </c>
      <c r="AV412" s="7">
        <v>48.305028</v>
      </c>
      <c r="AW412" s="7">
        <v>100</v>
      </c>
      <c r="AX412" s="7">
        <v>0.45363300000000001</v>
      </c>
      <c r="AY412" s="7">
        <v>0.469916</v>
      </c>
      <c r="AZ412" s="7">
        <v>45.363308000000004</v>
      </c>
      <c r="BA412" s="7">
        <v>100</v>
      </c>
      <c r="BB412" s="4" t="s">
        <v>124</v>
      </c>
      <c r="BC412" s="4" t="s">
        <v>124</v>
      </c>
      <c r="BD412" s="4" t="s">
        <v>124</v>
      </c>
      <c r="BE412" s="4" t="s">
        <v>124</v>
      </c>
      <c r="BF412" s="4" t="s">
        <v>124</v>
      </c>
      <c r="BG412" s="4" t="s">
        <v>124</v>
      </c>
      <c r="BH412" s="7">
        <v>0</v>
      </c>
      <c r="BI412" s="7">
        <v>0.99740899999999999</v>
      </c>
      <c r="BJ412" s="7">
        <v>1</v>
      </c>
      <c r="BK412" s="7">
        <v>0.99438199999999999</v>
      </c>
      <c r="BL412" s="7">
        <v>0.99652200000000002</v>
      </c>
      <c r="BM412" s="7">
        <v>0.99838400000000005</v>
      </c>
      <c r="BN412" s="7">
        <v>0.99434999999999996</v>
      </c>
      <c r="BO412" s="7">
        <v>1</v>
      </c>
      <c r="BP412" s="7">
        <v>1</v>
      </c>
      <c r="BQ412" s="7">
        <v>1</v>
      </c>
      <c r="BR412" s="7">
        <v>8.4495000000000001E-2</v>
      </c>
      <c r="BS412" s="7">
        <v>43.101044999999999</v>
      </c>
      <c r="BT412" s="7">
        <v>50</v>
      </c>
      <c r="BU412" s="7">
        <v>0.13606599999999999</v>
      </c>
      <c r="BV412" s="7">
        <v>32.786884999999998</v>
      </c>
      <c r="BW412" s="7">
        <v>50</v>
      </c>
      <c r="BX412" s="4" t="s">
        <v>124</v>
      </c>
      <c r="BY412" s="4" t="s">
        <v>124</v>
      </c>
      <c r="BZ412" s="4" t="s">
        <v>124</v>
      </c>
      <c r="CA412" s="4" t="s">
        <v>124</v>
      </c>
      <c r="CB412" s="4" t="s">
        <v>124</v>
      </c>
      <c r="CC412" s="4" t="s">
        <v>124</v>
      </c>
      <c r="CD412" s="7">
        <v>0.91343300000000005</v>
      </c>
      <c r="CE412" s="7">
        <v>48.586852999999998</v>
      </c>
      <c r="CF412" s="7">
        <v>50</v>
      </c>
      <c r="CG412" s="4" t="s">
        <v>124</v>
      </c>
      <c r="CH412" s="4" t="s">
        <v>124</v>
      </c>
      <c r="CI412" s="4" t="s">
        <v>124</v>
      </c>
      <c r="CJ412" s="4" t="s">
        <v>124</v>
      </c>
      <c r="CK412" s="4" t="s">
        <v>124</v>
      </c>
      <c r="CL412" s="4" t="s">
        <v>124</v>
      </c>
      <c r="CM412" s="4" t="s">
        <v>124</v>
      </c>
      <c r="CN412" s="4" t="s">
        <v>124</v>
      </c>
      <c r="CO412" s="4" t="s">
        <v>124</v>
      </c>
      <c r="CP412" s="4" t="s">
        <v>124</v>
      </c>
      <c r="CQ412" s="7">
        <v>0.77031799999999995</v>
      </c>
      <c r="CR412" s="7">
        <v>0.73316099999999995</v>
      </c>
      <c r="CS412" s="7">
        <v>25</v>
      </c>
      <c r="CT412" s="7">
        <v>50</v>
      </c>
      <c r="CU412" s="4" t="s">
        <v>124</v>
      </c>
      <c r="CV412" s="4" t="s">
        <v>124</v>
      </c>
      <c r="CW412" s="4" t="s">
        <v>124</v>
      </c>
      <c r="CX412" s="4" t="s">
        <v>124</v>
      </c>
      <c r="CY412" s="4" t="s">
        <v>124</v>
      </c>
      <c r="CZ412" s="4" t="s">
        <v>124</v>
      </c>
      <c r="DA412" s="7">
        <v>15.314097</v>
      </c>
      <c r="DB412" s="7">
        <v>17.400950000000002</v>
      </c>
      <c r="DC412" s="7">
        <v>16.332519999999999</v>
      </c>
      <c r="DD412" s="4" t="s">
        <v>124</v>
      </c>
      <c r="DE412" s="7">
        <v>0</v>
      </c>
      <c r="DF412" s="6"/>
      <c r="DG412" s="6"/>
      <c r="DH412" s="6"/>
      <c r="DI412" s="6"/>
      <c r="DJ412" s="7">
        <v>0</v>
      </c>
      <c r="DK412" s="7">
        <v>0</v>
      </c>
      <c r="DL412" s="7">
        <v>0</v>
      </c>
      <c r="DM412" s="7">
        <v>0</v>
      </c>
      <c r="DN412" s="7">
        <v>0</v>
      </c>
      <c r="DO412" s="7">
        <v>0</v>
      </c>
      <c r="DP412" s="6"/>
      <c r="DQ412" s="4" t="s">
        <v>125</v>
      </c>
    </row>
    <row r="413" spans="1:121" ht="20" customHeight="1" x14ac:dyDescent="0.15">
      <c r="A413" s="5">
        <v>2018</v>
      </c>
      <c r="B413" s="3" t="s">
        <v>150</v>
      </c>
      <c r="C413" s="4" t="str">
        <f t="shared" si="201"/>
        <v>0490011</v>
      </c>
      <c r="D413" s="4" t="s">
        <v>563</v>
      </c>
      <c r="E413" s="4" t="str">
        <f>"0491511"</f>
        <v>0491511</v>
      </c>
      <c r="F413" s="4" t="s">
        <v>327</v>
      </c>
      <c r="G413" s="7">
        <v>3</v>
      </c>
      <c r="H413" s="7">
        <v>5</v>
      </c>
      <c r="I413" s="4" t="s">
        <v>335</v>
      </c>
      <c r="J413" s="4" t="s">
        <v>330</v>
      </c>
      <c r="K413" s="7">
        <v>578.48333300000002</v>
      </c>
      <c r="L413" s="7">
        <v>850</v>
      </c>
      <c r="M413" s="7">
        <v>68.056863000000007</v>
      </c>
      <c r="N413" s="7">
        <v>3</v>
      </c>
      <c r="O413" s="7">
        <v>0</v>
      </c>
      <c r="P413" s="7">
        <v>68.176873000000001</v>
      </c>
      <c r="Q413" s="7">
        <v>45.451248999999997</v>
      </c>
      <c r="R413" s="7">
        <v>50</v>
      </c>
      <c r="S413" s="7">
        <v>63.108375000000002</v>
      </c>
      <c r="T413" s="7">
        <v>75</v>
      </c>
      <c r="U413" s="7">
        <v>42.072249999999997</v>
      </c>
      <c r="V413" s="7">
        <v>50</v>
      </c>
      <c r="W413" s="7">
        <v>64.023112999999995</v>
      </c>
      <c r="X413" s="7">
        <v>42.682076000000002</v>
      </c>
      <c r="Y413" s="7">
        <v>50</v>
      </c>
      <c r="Z413" s="7">
        <v>71.433721000000006</v>
      </c>
      <c r="AA413" s="7">
        <v>58.606391000000002</v>
      </c>
      <c r="AB413" s="7">
        <v>39.070928000000002</v>
      </c>
      <c r="AC413" s="7">
        <v>50</v>
      </c>
      <c r="AD413" s="7">
        <v>63.767612999999997</v>
      </c>
      <c r="AE413" s="7">
        <v>42.511741999999998</v>
      </c>
      <c r="AF413" s="7">
        <v>50</v>
      </c>
      <c r="AG413" s="7">
        <v>59.979681999999997</v>
      </c>
      <c r="AH413" s="7">
        <v>69.844086000000004</v>
      </c>
      <c r="AI413" s="7">
        <v>39.986454000000002</v>
      </c>
      <c r="AJ413" s="7">
        <v>50</v>
      </c>
      <c r="AK413" s="7">
        <v>11.89</v>
      </c>
      <c r="AL413" s="7">
        <v>12.82</v>
      </c>
      <c r="AM413" s="7">
        <v>9.86</v>
      </c>
      <c r="AN413" s="7">
        <v>0.564141</v>
      </c>
      <c r="AO413" s="7">
        <v>56.414093999999999</v>
      </c>
      <c r="AP413" s="7">
        <v>100</v>
      </c>
      <c r="AQ413" s="7">
        <v>0.55852999999999997</v>
      </c>
      <c r="AR413" s="7">
        <v>55.853031999999999</v>
      </c>
      <c r="AS413" s="7">
        <v>100</v>
      </c>
      <c r="AT413" s="7">
        <v>0.52558400000000005</v>
      </c>
      <c r="AU413" s="7">
        <v>0.613147</v>
      </c>
      <c r="AV413" s="7">
        <v>52.558433000000001</v>
      </c>
      <c r="AW413" s="7">
        <v>100</v>
      </c>
      <c r="AX413" s="7">
        <v>0.52170300000000003</v>
      </c>
      <c r="AY413" s="7">
        <v>0.60533899999999996</v>
      </c>
      <c r="AZ413" s="7">
        <v>52.170276999999999</v>
      </c>
      <c r="BA413" s="7">
        <v>100</v>
      </c>
      <c r="BB413" s="4" t="s">
        <v>124</v>
      </c>
      <c r="BC413" s="4" t="s">
        <v>124</v>
      </c>
      <c r="BD413" s="4" t="s">
        <v>124</v>
      </c>
      <c r="BE413" s="4" t="s">
        <v>124</v>
      </c>
      <c r="BF413" s="4" t="s">
        <v>124</v>
      </c>
      <c r="BG413" s="4" t="s">
        <v>124</v>
      </c>
      <c r="BH413" s="7">
        <v>0</v>
      </c>
      <c r="BI413" s="7">
        <v>0.99754900000000002</v>
      </c>
      <c r="BJ413" s="7">
        <v>1</v>
      </c>
      <c r="BK413" s="7">
        <v>0.99393900000000002</v>
      </c>
      <c r="BL413" s="7">
        <v>0.99754900000000002</v>
      </c>
      <c r="BM413" s="7">
        <v>1</v>
      </c>
      <c r="BN413" s="7">
        <v>0.99393900000000002</v>
      </c>
      <c r="BO413" s="7">
        <v>1</v>
      </c>
      <c r="BP413" s="7">
        <v>1</v>
      </c>
      <c r="BQ413" s="7">
        <v>1</v>
      </c>
      <c r="BR413" s="7">
        <v>9.3595999999999999E-2</v>
      </c>
      <c r="BS413" s="7">
        <v>41.280788000000001</v>
      </c>
      <c r="BT413" s="7">
        <v>50</v>
      </c>
      <c r="BU413" s="7">
        <v>0.131356</v>
      </c>
      <c r="BV413" s="7">
        <v>33.728814</v>
      </c>
      <c r="BW413" s="7">
        <v>50</v>
      </c>
      <c r="BX413" s="4" t="s">
        <v>124</v>
      </c>
      <c r="BY413" s="4" t="s">
        <v>124</v>
      </c>
      <c r="BZ413" s="4" t="s">
        <v>124</v>
      </c>
      <c r="CA413" s="4" t="s">
        <v>124</v>
      </c>
      <c r="CB413" s="4" t="s">
        <v>124</v>
      </c>
      <c r="CC413" s="4" t="s">
        <v>124</v>
      </c>
      <c r="CD413" s="4" t="s">
        <v>124</v>
      </c>
      <c r="CE413" s="4" t="s">
        <v>124</v>
      </c>
      <c r="CF413" s="4" t="s">
        <v>124</v>
      </c>
      <c r="CG413" s="4" t="s">
        <v>124</v>
      </c>
      <c r="CH413" s="4" t="s">
        <v>124</v>
      </c>
      <c r="CI413" s="4" t="s">
        <v>124</v>
      </c>
      <c r="CJ413" s="4" t="s">
        <v>124</v>
      </c>
      <c r="CK413" s="4" t="s">
        <v>124</v>
      </c>
      <c r="CL413" s="4" t="s">
        <v>124</v>
      </c>
      <c r="CM413" s="4" t="s">
        <v>124</v>
      </c>
      <c r="CN413" s="4" t="s">
        <v>124</v>
      </c>
      <c r="CO413" s="4" t="s">
        <v>124</v>
      </c>
      <c r="CP413" s="4" t="s">
        <v>124</v>
      </c>
      <c r="CQ413" s="7">
        <v>0.52054800000000001</v>
      </c>
      <c r="CR413" s="7">
        <v>1.035461</v>
      </c>
      <c r="CS413" s="7">
        <v>34.703195999999998</v>
      </c>
      <c r="CT413" s="7">
        <v>50</v>
      </c>
      <c r="CU413" s="4" t="s">
        <v>124</v>
      </c>
      <c r="CV413" s="4" t="s">
        <v>124</v>
      </c>
      <c r="CW413" s="4" t="s">
        <v>124</v>
      </c>
      <c r="CX413" s="4" t="s">
        <v>124</v>
      </c>
      <c r="CY413" s="4" t="s">
        <v>124</v>
      </c>
      <c r="CZ413" s="4" t="s">
        <v>124</v>
      </c>
      <c r="DA413" s="7">
        <v>15.314097</v>
      </c>
      <c r="DB413" s="7">
        <v>17.400950000000002</v>
      </c>
      <c r="DC413" s="7">
        <v>16.332519999999999</v>
      </c>
      <c r="DD413" s="4" t="s">
        <v>124</v>
      </c>
      <c r="DE413" s="7">
        <v>0</v>
      </c>
      <c r="DF413" s="6"/>
      <c r="DG413" s="6"/>
      <c r="DH413" s="6"/>
      <c r="DI413" s="6"/>
      <c r="DJ413" s="7">
        <v>0</v>
      </c>
      <c r="DK413" s="7">
        <v>0</v>
      </c>
      <c r="DL413" s="7">
        <v>0</v>
      </c>
      <c r="DM413" s="7">
        <v>0</v>
      </c>
      <c r="DN413" s="7">
        <v>0</v>
      </c>
      <c r="DO413" s="7">
        <v>0</v>
      </c>
      <c r="DP413" s="6"/>
      <c r="DQ413" s="4" t="s">
        <v>125</v>
      </c>
    </row>
    <row r="414" spans="1:121" ht="20" customHeight="1" x14ac:dyDescent="0.15">
      <c r="A414" s="5">
        <v>2018</v>
      </c>
      <c r="B414" s="3" t="s">
        <v>239</v>
      </c>
      <c r="C414" s="4" t="str">
        <f t="shared" si="114"/>
        <v>0500011</v>
      </c>
      <c r="D414" s="4" t="s">
        <v>564</v>
      </c>
      <c r="E414" s="4" t="str">
        <f>"0500111"</f>
        <v>0500111</v>
      </c>
      <c r="F414" s="4" t="s">
        <v>327</v>
      </c>
      <c r="G414" s="4" t="s">
        <v>328</v>
      </c>
      <c r="H414" s="7">
        <v>6</v>
      </c>
      <c r="I414" s="4" t="s">
        <v>329</v>
      </c>
      <c r="J414" s="4" t="s">
        <v>330</v>
      </c>
      <c r="K414" s="7">
        <v>784.43892000000005</v>
      </c>
      <c r="L414" s="7">
        <v>850</v>
      </c>
      <c r="M414" s="7">
        <v>92.286931999999993</v>
      </c>
      <c r="N414" s="7">
        <v>1</v>
      </c>
      <c r="O414" s="7">
        <v>0</v>
      </c>
      <c r="P414" s="7">
        <v>83.452167000000003</v>
      </c>
      <c r="Q414" s="7">
        <v>50</v>
      </c>
      <c r="R414" s="7">
        <v>50</v>
      </c>
      <c r="S414" s="7">
        <v>72.571074999999993</v>
      </c>
      <c r="T414" s="7">
        <v>75</v>
      </c>
      <c r="U414" s="7">
        <v>48.380716999999997</v>
      </c>
      <c r="V414" s="7">
        <v>50</v>
      </c>
      <c r="W414" s="7">
        <v>78.554648</v>
      </c>
      <c r="X414" s="7">
        <v>50</v>
      </c>
      <c r="Y414" s="7">
        <v>50</v>
      </c>
      <c r="Z414" s="7">
        <v>75</v>
      </c>
      <c r="AA414" s="7">
        <v>68.641379999999998</v>
      </c>
      <c r="AB414" s="7">
        <v>45.760919999999999</v>
      </c>
      <c r="AC414" s="7">
        <v>50</v>
      </c>
      <c r="AD414" s="7">
        <v>80.359702999999996</v>
      </c>
      <c r="AE414" s="7">
        <v>50</v>
      </c>
      <c r="AF414" s="7">
        <v>50</v>
      </c>
      <c r="AG414" s="7">
        <v>75.248947999999999</v>
      </c>
      <c r="AH414" s="7">
        <v>75</v>
      </c>
      <c r="AI414" s="7">
        <v>50</v>
      </c>
      <c r="AJ414" s="7">
        <v>50</v>
      </c>
      <c r="AK414" s="7">
        <v>2.42</v>
      </c>
      <c r="AL414" s="7">
        <v>6.35</v>
      </c>
      <c r="AM414" s="7">
        <v>-0.24</v>
      </c>
      <c r="AN414" s="7">
        <v>0.85273500000000002</v>
      </c>
      <c r="AO414" s="7">
        <v>85.273488999999998</v>
      </c>
      <c r="AP414" s="7">
        <v>100</v>
      </c>
      <c r="AQ414" s="7">
        <v>0.91019399999999995</v>
      </c>
      <c r="AR414" s="7">
        <v>91.019357999999997</v>
      </c>
      <c r="AS414" s="7">
        <v>100</v>
      </c>
      <c r="AT414" s="7">
        <v>0.85561699999999996</v>
      </c>
      <c r="AU414" s="7">
        <v>0.85162400000000005</v>
      </c>
      <c r="AV414" s="7">
        <v>85.561722000000003</v>
      </c>
      <c r="AW414" s="7">
        <v>100</v>
      </c>
      <c r="AX414" s="7">
        <v>0.85109400000000002</v>
      </c>
      <c r="AY414" s="7">
        <v>0.93297200000000002</v>
      </c>
      <c r="AZ414" s="7">
        <v>85.109380999999999</v>
      </c>
      <c r="BA414" s="7">
        <v>100</v>
      </c>
      <c r="BB414" s="4" t="s">
        <v>124</v>
      </c>
      <c r="BC414" s="4" t="s">
        <v>124</v>
      </c>
      <c r="BD414" s="4" t="s">
        <v>124</v>
      </c>
      <c r="BE414" s="4" t="s">
        <v>124</v>
      </c>
      <c r="BF414" s="4" t="s">
        <v>124</v>
      </c>
      <c r="BG414" s="4" t="s">
        <v>124</v>
      </c>
      <c r="BH414" s="7">
        <v>0</v>
      </c>
      <c r="BI414" s="7">
        <v>0.96858599999999995</v>
      </c>
      <c r="BJ414" s="7">
        <v>0.96666700000000005</v>
      </c>
      <c r="BK414" s="7">
        <v>0.96946600000000005</v>
      </c>
      <c r="BL414" s="7">
        <v>0.96858599999999995</v>
      </c>
      <c r="BM414" s="7">
        <v>0.96666700000000005</v>
      </c>
      <c r="BN414" s="7">
        <v>0.96946600000000005</v>
      </c>
      <c r="BO414" s="7">
        <v>0.984375</v>
      </c>
      <c r="BP414" s="7">
        <v>1</v>
      </c>
      <c r="BQ414" s="7">
        <v>0.97560999999999998</v>
      </c>
      <c r="BR414" s="7">
        <v>3.9867E-2</v>
      </c>
      <c r="BS414" s="7">
        <v>50</v>
      </c>
      <c r="BT414" s="7">
        <v>50</v>
      </c>
      <c r="BU414" s="7">
        <v>2.2221999999999999E-2</v>
      </c>
      <c r="BV414" s="7">
        <v>50</v>
      </c>
      <c r="BW414" s="7">
        <v>50</v>
      </c>
      <c r="BX414" s="4" t="s">
        <v>124</v>
      </c>
      <c r="BY414" s="4" t="s">
        <v>124</v>
      </c>
      <c r="BZ414" s="4" t="s">
        <v>124</v>
      </c>
      <c r="CA414" s="4" t="s">
        <v>124</v>
      </c>
      <c r="CB414" s="4" t="s">
        <v>124</v>
      </c>
      <c r="CC414" s="4" t="s">
        <v>124</v>
      </c>
      <c r="CD414" s="4" t="s">
        <v>124</v>
      </c>
      <c r="CE414" s="4" t="s">
        <v>124</v>
      </c>
      <c r="CF414" s="4" t="s">
        <v>124</v>
      </c>
      <c r="CG414" s="4" t="s">
        <v>124</v>
      </c>
      <c r="CH414" s="4" t="s">
        <v>124</v>
      </c>
      <c r="CI414" s="4" t="s">
        <v>124</v>
      </c>
      <c r="CJ414" s="4" t="s">
        <v>124</v>
      </c>
      <c r="CK414" s="4" t="s">
        <v>124</v>
      </c>
      <c r="CL414" s="4" t="s">
        <v>124</v>
      </c>
      <c r="CM414" s="4" t="s">
        <v>124</v>
      </c>
      <c r="CN414" s="4" t="s">
        <v>124</v>
      </c>
      <c r="CO414" s="4" t="s">
        <v>124</v>
      </c>
      <c r="CP414" s="4" t="s">
        <v>124</v>
      </c>
      <c r="CQ414" s="7">
        <v>0.65</v>
      </c>
      <c r="CR414" s="7">
        <v>0.96385500000000002</v>
      </c>
      <c r="CS414" s="7">
        <v>43.333333000000003</v>
      </c>
      <c r="CT414" s="7">
        <v>50</v>
      </c>
      <c r="CU414" s="4" t="s">
        <v>124</v>
      </c>
      <c r="CV414" s="4" t="s">
        <v>124</v>
      </c>
      <c r="CW414" s="4" t="s">
        <v>124</v>
      </c>
      <c r="CX414" s="4" t="s">
        <v>124</v>
      </c>
      <c r="CY414" s="4" t="s">
        <v>124</v>
      </c>
      <c r="CZ414" s="4" t="s">
        <v>124</v>
      </c>
      <c r="DA414" s="7">
        <v>15.314097</v>
      </c>
      <c r="DB414" s="7">
        <v>17.400950000000002</v>
      </c>
      <c r="DC414" s="7">
        <v>16.332519999999999</v>
      </c>
      <c r="DD414" s="4" t="s">
        <v>124</v>
      </c>
      <c r="DE414" s="7">
        <v>0</v>
      </c>
      <c r="DF414" s="6"/>
      <c r="DG414" s="6"/>
      <c r="DH414" s="4" t="s">
        <v>331</v>
      </c>
      <c r="DI414" s="4" t="s">
        <v>332</v>
      </c>
      <c r="DJ414" s="7">
        <v>1</v>
      </c>
      <c r="DK414" s="7">
        <v>0</v>
      </c>
      <c r="DL414" s="7">
        <v>0</v>
      </c>
      <c r="DM414" s="7">
        <v>0</v>
      </c>
      <c r="DN414" s="7">
        <v>0</v>
      </c>
      <c r="DO414" s="7">
        <v>0</v>
      </c>
      <c r="DP414" s="6"/>
      <c r="DQ414" s="4" t="s">
        <v>125</v>
      </c>
    </row>
    <row r="415" spans="1:121" ht="20" customHeight="1" x14ac:dyDescent="0.15">
      <c r="A415" s="5">
        <v>2018</v>
      </c>
      <c r="B415" s="3" t="s">
        <v>209</v>
      </c>
      <c r="C415" s="4" t="str">
        <f t="shared" si="84"/>
        <v>0510011</v>
      </c>
      <c r="D415" s="4" t="s">
        <v>565</v>
      </c>
      <c r="E415" s="4" t="str">
        <f>"0510211"</f>
        <v>0510211</v>
      </c>
      <c r="F415" s="4" t="s">
        <v>327</v>
      </c>
      <c r="G415" s="4" t="s">
        <v>328</v>
      </c>
      <c r="H415" s="7">
        <v>5</v>
      </c>
      <c r="I415" s="6"/>
      <c r="J415" s="4" t="s">
        <v>330</v>
      </c>
      <c r="K415" s="7">
        <v>680.390984</v>
      </c>
      <c r="L415" s="7">
        <v>800</v>
      </c>
      <c r="M415" s="7">
        <v>85.048873</v>
      </c>
      <c r="N415" s="7">
        <v>1</v>
      </c>
      <c r="O415" s="7">
        <v>0</v>
      </c>
      <c r="P415" s="7">
        <v>83.174110999999996</v>
      </c>
      <c r="Q415" s="7">
        <v>50</v>
      </c>
      <c r="R415" s="7">
        <v>50</v>
      </c>
      <c r="S415" s="7">
        <v>68.938244999999995</v>
      </c>
      <c r="T415" s="7">
        <v>75</v>
      </c>
      <c r="U415" s="7">
        <v>45.958829999999999</v>
      </c>
      <c r="V415" s="7">
        <v>50</v>
      </c>
      <c r="W415" s="7">
        <v>79.463976000000002</v>
      </c>
      <c r="X415" s="7">
        <v>50</v>
      </c>
      <c r="Y415" s="7">
        <v>50</v>
      </c>
      <c r="Z415" s="7">
        <v>75</v>
      </c>
      <c r="AA415" s="7">
        <v>67.736197000000004</v>
      </c>
      <c r="AB415" s="7">
        <v>45.157465000000002</v>
      </c>
      <c r="AC415" s="7">
        <v>50</v>
      </c>
      <c r="AD415" s="7">
        <v>75.725578999999996</v>
      </c>
      <c r="AE415" s="7">
        <v>50</v>
      </c>
      <c r="AF415" s="7">
        <v>50</v>
      </c>
      <c r="AG415" s="4" t="s">
        <v>124</v>
      </c>
      <c r="AH415" s="7">
        <v>75</v>
      </c>
      <c r="AI415" s="4" t="s">
        <v>124</v>
      </c>
      <c r="AJ415" s="4" t="s">
        <v>124</v>
      </c>
      <c r="AK415" s="7">
        <v>6.06</v>
      </c>
      <c r="AL415" s="7">
        <v>7.26</v>
      </c>
      <c r="AM415" s="4" t="s">
        <v>124</v>
      </c>
      <c r="AN415" s="7">
        <v>0.797238</v>
      </c>
      <c r="AO415" s="7">
        <v>79.723817999999994</v>
      </c>
      <c r="AP415" s="7">
        <v>100</v>
      </c>
      <c r="AQ415" s="7">
        <v>0.79187300000000005</v>
      </c>
      <c r="AR415" s="7">
        <v>79.187298999999996</v>
      </c>
      <c r="AS415" s="7">
        <v>100</v>
      </c>
      <c r="AT415" s="7">
        <v>0.67043799999999998</v>
      </c>
      <c r="AU415" s="7">
        <v>0.83253299999999997</v>
      </c>
      <c r="AV415" s="7">
        <v>67.043841</v>
      </c>
      <c r="AW415" s="7">
        <v>100</v>
      </c>
      <c r="AX415" s="7">
        <v>0.89110100000000003</v>
      </c>
      <c r="AY415" s="7">
        <v>0.76425299999999996</v>
      </c>
      <c r="AZ415" s="7">
        <v>89.110052999999994</v>
      </c>
      <c r="BA415" s="7">
        <v>100</v>
      </c>
      <c r="BB415" s="4" t="s">
        <v>124</v>
      </c>
      <c r="BC415" s="4" t="s">
        <v>124</v>
      </c>
      <c r="BD415" s="4" t="s">
        <v>124</v>
      </c>
      <c r="BE415" s="4" t="s">
        <v>124</v>
      </c>
      <c r="BF415" s="4" t="s">
        <v>124</v>
      </c>
      <c r="BG415" s="4" t="s">
        <v>124</v>
      </c>
      <c r="BH415" s="7">
        <v>0</v>
      </c>
      <c r="BI415" s="7">
        <v>0.98989899999999997</v>
      </c>
      <c r="BJ415" s="7">
        <v>1</v>
      </c>
      <c r="BK415" s="7">
        <v>0.98726100000000006</v>
      </c>
      <c r="BL415" s="7">
        <v>0.98989899999999997</v>
      </c>
      <c r="BM415" s="7">
        <v>1</v>
      </c>
      <c r="BN415" s="7">
        <v>0.98726100000000006</v>
      </c>
      <c r="BO415" s="7">
        <v>0.98611099999999996</v>
      </c>
      <c r="BP415" s="4" t="s">
        <v>124</v>
      </c>
      <c r="BQ415" s="7">
        <v>0.98305100000000001</v>
      </c>
      <c r="BR415" s="7">
        <v>7.4935000000000002E-2</v>
      </c>
      <c r="BS415" s="7">
        <v>45.012920000000001</v>
      </c>
      <c r="BT415" s="7">
        <v>50</v>
      </c>
      <c r="BU415" s="7">
        <v>0.14130400000000001</v>
      </c>
      <c r="BV415" s="7">
        <v>31.739129999999999</v>
      </c>
      <c r="BW415" s="7">
        <v>50</v>
      </c>
      <c r="BX415" s="4" t="s">
        <v>124</v>
      </c>
      <c r="BY415" s="4" t="s">
        <v>124</v>
      </c>
      <c r="BZ415" s="4" t="s">
        <v>124</v>
      </c>
      <c r="CA415" s="4" t="s">
        <v>124</v>
      </c>
      <c r="CB415" s="4" t="s">
        <v>124</v>
      </c>
      <c r="CC415" s="4" t="s">
        <v>124</v>
      </c>
      <c r="CD415" s="4" t="s">
        <v>124</v>
      </c>
      <c r="CE415" s="4" t="s">
        <v>124</v>
      </c>
      <c r="CF415" s="4" t="s">
        <v>124</v>
      </c>
      <c r="CG415" s="4" t="s">
        <v>124</v>
      </c>
      <c r="CH415" s="4" t="s">
        <v>124</v>
      </c>
      <c r="CI415" s="4" t="s">
        <v>124</v>
      </c>
      <c r="CJ415" s="4" t="s">
        <v>124</v>
      </c>
      <c r="CK415" s="4" t="s">
        <v>124</v>
      </c>
      <c r="CL415" s="4" t="s">
        <v>124</v>
      </c>
      <c r="CM415" s="4" t="s">
        <v>124</v>
      </c>
      <c r="CN415" s="4" t="s">
        <v>124</v>
      </c>
      <c r="CO415" s="4" t="s">
        <v>124</v>
      </c>
      <c r="CP415" s="4" t="s">
        <v>124</v>
      </c>
      <c r="CQ415" s="7">
        <v>0.71186400000000005</v>
      </c>
      <c r="CR415" s="7">
        <v>0.98333300000000001</v>
      </c>
      <c r="CS415" s="7">
        <v>47.457627000000002</v>
      </c>
      <c r="CT415" s="7">
        <v>50</v>
      </c>
      <c r="CU415" s="4" t="s">
        <v>124</v>
      </c>
      <c r="CV415" s="4" t="s">
        <v>124</v>
      </c>
      <c r="CW415" s="4" t="s">
        <v>124</v>
      </c>
      <c r="CX415" s="4" t="s">
        <v>124</v>
      </c>
      <c r="CY415" s="4" t="s">
        <v>124</v>
      </c>
      <c r="CZ415" s="4" t="s">
        <v>124</v>
      </c>
      <c r="DA415" s="7">
        <v>15.314097</v>
      </c>
      <c r="DB415" s="7">
        <v>17.400950000000002</v>
      </c>
      <c r="DC415" s="7">
        <v>16.332519999999999</v>
      </c>
      <c r="DD415" s="4" t="s">
        <v>124</v>
      </c>
      <c r="DE415" s="7">
        <v>0</v>
      </c>
      <c r="DF415" s="6"/>
      <c r="DG415" s="6"/>
      <c r="DH415" s="4" t="s">
        <v>331</v>
      </c>
      <c r="DI415" s="4" t="s">
        <v>566</v>
      </c>
      <c r="DJ415" s="7">
        <v>0</v>
      </c>
      <c r="DK415" s="7">
        <v>1</v>
      </c>
      <c r="DL415" s="7">
        <v>0</v>
      </c>
      <c r="DM415" s="7">
        <v>0</v>
      </c>
      <c r="DN415" s="7">
        <v>1</v>
      </c>
      <c r="DO415" s="7">
        <v>0</v>
      </c>
      <c r="DP415" s="6"/>
      <c r="DQ415" s="4" t="s">
        <v>125</v>
      </c>
    </row>
    <row r="416" spans="1:121" ht="20" customHeight="1" x14ac:dyDescent="0.15">
      <c r="A416" s="5">
        <v>2018</v>
      </c>
      <c r="B416" s="3" t="s">
        <v>209</v>
      </c>
      <c r="C416" s="4" t="str">
        <f t="shared" ref="C416:C430" si="202">"0510011"</f>
        <v>0510011</v>
      </c>
      <c r="D416" s="4" t="s">
        <v>567</v>
      </c>
      <c r="E416" s="4" t="str">
        <f>"0510111"</f>
        <v>0510111</v>
      </c>
      <c r="F416" s="4" t="s">
        <v>327</v>
      </c>
      <c r="G416" s="4" t="s">
        <v>338</v>
      </c>
      <c r="H416" s="7">
        <v>5</v>
      </c>
      <c r="I416" s="6"/>
      <c r="J416" s="4" t="s">
        <v>330</v>
      </c>
      <c r="K416" s="7">
        <v>538.03087500000004</v>
      </c>
      <c r="L416" s="7">
        <v>600</v>
      </c>
      <c r="M416" s="7">
        <v>89.671813</v>
      </c>
      <c r="N416" s="7">
        <v>1</v>
      </c>
      <c r="O416" s="7">
        <v>0</v>
      </c>
      <c r="P416" s="7">
        <v>83.672353999999999</v>
      </c>
      <c r="Q416" s="7">
        <v>50</v>
      </c>
      <c r="R416" s="7">
        <v>50</v>
      </c>
      <c r="S416" s="7">
        <v>72.481581000000006</v>
      </c>
      <c r="T416" s="7">
        <v>75</v>
      </c>
      <c r="U416" s="7">
        <v>48.321053999999997</v>
      </c>
      <c r="V416" s="7">
        <v>50</v>
      </c>
      <c r="W416" s="7">
        <v>80.626895000000005</v>
      </c>
      <c r="X416" s="7">
        <v>50</v>
      </c>
      <c r="Y416" s="7">
        <v>50</v>
      </c>
      <c r="Z416" s="7">
        <v>75</v>
      </c>
      <c r="AA416" s="7">
        <v>70.810776000000004</v>
      </c>
      <c r="AB416" s="7">
        <v>47.207183999999998</v>
      </c>
      <c r="AC416" s="7">
        <v>50</v>
      </c>
      <c r="AD416" s="7">
        <v>80.303532000000004</v>
      </c>
      <c r="AE416" s="7">
        <v>50</v>
      </c>
      <c r="AF416" s="7">
        <v>50</v>
      </c>
      <c r="AG416" s="4" t="s">
        <v>124</v>
      </c>
      <c r="AH416" s="7">
        <v>75</v>
      </c>
      <c r="AI416" s="4" t="s">
        <v>124</v>
      </c>
      <c r="AJ416" s="4" t="s">
        <v>124</v>
      </c>
      <c r="AK416" s="7">
        <v>2.5099999999999998</v>
      </c>
      <c r="AL416" s="7">
        <v>4.18</v>
      </c>
      <c r="AM416" s="4" t="s">
        <v>124</v>
      </c>
      <c r="AN416" s="7">
        <v>0.70774199999999998</v>
      </c>
      <c r="AO416" s="7">
        <v>70.774237999999997</v>
      </c>
      <c r="AP416" s="7">
        <v>100</v>
      </c>
      <c r="AQ416" s="7">
        <v>0.71932499999999999</v>
      </c>
      <c r="AR416" s="7">
        <v>71.932480999999996</v>
      </c>
      <c r="AS416" s="7">
        <v>100</v>
      </c>
      <c r="AT416" s="4" t="s">
        <v>124</v>
      </c>
      <c r="AU416" s="7">
        <v>0.71853699999999998</v>
      </c>
      <c r="AV416" s="4" t="s">
        <v>124</v>
      </c>
      <c r="AW416" s="4" t="s">
        <v>124</v>
      </c>
      <c r="AX416" s="4" t="s">
        <v>124</v>
      </c>
      <c r="AY416" s="7">
        <v>0.70752000000000004</v>
      </c>
      <c r="AZ416" s="4" t="s">
        <v>124</v>
      </c>
      <c r="BA416" s="4" t="s">
        <v>124</v>
      </c>
      <c r="BB416" s="4" t="s">
        <v>124</v>
      </c>
      <c r="BC416" s="4" t="s">
        <v>124</v>
      </c>
      <c r="BD416" s="4" t="s">
        <v>124</v>
      </c>
      <c r="BE416" s="4" t="s">
        <v>124</v>
      </c>
      <c r="BF416" s="4" t="s">
        <v>124</v>
      </c>
      <c r="BG416" s="4" t="s">
        <v>124</v>
      </c>
      <c r="BH416" s="7">
        <v>0</v>
      </c>
      <c r="BI416" s="7">
        <v>0.98809499999999995</v>
      </c>
      <c r="BJ416" s="7">
        <v>0.96428599999999998</v>
      </c>
      <c r="BK416" s="7">
        <v>0.99285699999999999</v>
      </c>
      <c r="BL416" s="7">
        <v>0.98809499999999995</v>
      </c>
      <c r="BM416" s="7">
        <v>0.96428599999999998</v>
      </c>
      <c r="BN416" s="7">
        <v>0.99285699999999999</v>
      </c>
      <c r="BO416" s="7">
        <v>0.98305100000000001</v>
      </c>
      <c r="BP416" s="4" t="s">
        <v>124</v>
      </c>
      <c r="BQ416" s="7">
        <v>1</v>
      </c>
      <c r="BR416" s="7">
        <v>5.1020000000000003E-2</v>
      </c>
      <c r="BS416" s="7">
        <v>49.795918</v>
      </c>
      <c r="BT416" s="7">
        <v>50</v>
      </c>
      <c r="BU416" s="7">
        <v>4.7619000000000002E-2</v>
      </c>
      <c r="BV416" s="7">
        <v>50</v>
      </c>
      <c r="BW416" s="7">
        <v>50</v>
      </c>
      <c r="BX416" s="4" t="s">
        <v>124</v>
      </c>
      <c r="BY416" s="4" t="s">
        <v>124</v>
      </c>
      <c r="BZ416" s="4" t="s">
        <v>124</v>
      </c>
      <c r="CA416" s="4" t="s">
        <v>124</v>
      </c>
      <c r="CB416" s="4" t="s">
        <v>124</v>
      </c>
      <c r="CC416" s="4" t="s">
        <v>124</v>
      </c>
      <c r="CD416" s="4" t="s">
        <v>124</v>
      </c>
      <c r="CE416" s="4" t="s">
        <v>124</v>
      </c>
      <c r="CF416" s="4" t="s">
        <v>124</v>
      </c>
      <c r="CG416" s="4" t="s">
        <v>124</v>
      </c>
      <c r="CH416" s="4" t="s">
        <v>124</v>
      </c>
      <c r="CI416" s="4" t="s">
        <v>124</v>
      </c>
      <c r="CJ416" s="4" t="s">
        <v>124</v>
      </c>
      <c r="CK416" s="4" t="s">
        <v>124</v>
      </c>
      <c r="CL416" s="4" t="s">
        <v>124</v>
      </c>
      <c r="CM416" s="4" t="s">
        <v>124</v>
      </c>
      <c r="CN416" s="4" t="s">
        <v>124</v>
      </c>
      <c r="CO416" s="4" t="s">
        <v>124</v>
      </c>
      <c r="CP416" s="4" t="s">
        <v>124</v>
      </c>
      <c r="CQ416" s="7">
        <v>0.83928599999999998</v>
      </c>
      <c r="CR416" s="7">
        <v>1</v>
      </c>
      <c r="CS416" s="7">
        <v>50</v>
      </c>
      <c r="CT416" s="7">
        <v>50</v>
      </c>
      <c r="CU416" s="4" t="s">
        <v>124</v>
      </c>
      <c r="CV416" s="4" t="s">
        <v>124</v>
      </c>
      <c r="CW416" s="4" t="s">
        <v>124</v>
      </c>
      <c r="CX416" s="4" t="s">
        <v>124</v>
      </c>
      <c r="CY416" s="4" t="s">
        <v>124</v>
      </c>
      <c r="CZ416" s="4" t="s">
        <v>124</v>
      </c>
      <c r="DA416" s="7">
        <v>15.314097</v>
      </c>
      <c r="DB416" s="7">
        <v>17.400950000000002</v>
      </c>
      <c r="DC416" s="7">
        <v>16.332519999999999</v>
      </c>
      <c r="DD416" s="4" t="s">
        <v>124</v>
      </c>
      <c r="DE416" s="7">
        <v>0</v>
      </c>
      <c r="DF416" s="6"/>
      <c r="DG416" s="6"/>
      <c r="DH416" s="4" t="s">
        <v>331</v>
      </c>
      <c r="DI416" s="4" t="s">
        <v>332</v>
      </c>
      <c r="DJ416" s="7">
        <v>1</v>
      </c>
      <c r="DK416" s="7">
        <v>0</v>
      </c>
      <c r="DL416" s="7">
        <v>0</v>
      </c>
      <c r="DM416" s="7">
        <v>0</v>
      </c>
      <c r="DN416" s="7">
        <v>0</v>
      </c>
      <c r="DO416" s="7">
        <v>0</v>
      </c>
      <c r="DP416" s="6"/>
      <c r="DQ416" s="4" t="s">
        <v>125</v>
      </c>
    </row>
    <row r="417" spans="1:121" ht="20" customHeight="1" x14ac:dyDescent="0.15">
      <c r="A417" s="5">
        <v>2018</v>
      </c>
      <c r="B417" s="3" t="s">
        <v>209</v>
      </c>
      <c r="C417" s="4" t="str">
        <f t="shared" si="202"/>
        <v>0510011</v>
      </c>
      <c r="D417" s="4" t="s">
        <v>568</v>
      </c>
      <c r="E417" s="4" t="str">
        <f>"0516011"</f>
        <v>0516011</v>
      </c>
      <c r="F417" s="4" t="s">
        <v>327</v>
      </c>
      <c r="G417" s="7">
        <v>9</v>
      </c>
      <c r="H417" s="7">
        <v>12</v>
      </c>
      <c r="I417" s="6"/>
      <c r="J417" s="4" t="s">
        <v>330</v>
      </c>
      <c r="K417" s="7">
        <v>1286.9512480000001</v>
      </c>
      <c r="L417" s="7">
        <v>1450</v>
      </c>
      <c r="M417" s="7">
        <v>88.755258999999995</v>
      </c>
      <c r="N417" s="7">
        <v>2</v>
      </c>
      <c r="O417" s="7">
        <v>1</v>
      </c>
      <c r="P417" s="7">
        <v>69.357771999999997</v>
      </c>
      <c r="Q417" s="7">
        <v>138.715543</v>
      </c>
      <c r="R417" s="7">
        <v>150</v>
      </c>
      <c r="S417" s="7">
        <v>56.441595</v>
      </c>
      <c r="T417" s="7">
        <v>72.855902999999998</v>
      </c>
      <c r="U417" s="7">
        <v>112.883191</v>
      </c>
      <c r="V417" s="7">
        <v>150</v>
      </c>
      <c r="W417" s="7">
        <v>71.404826999999997</v>
      </c>
      <c r="X417" s="7">
        <v>142.80965399999999</v>
      </c>
      <c r="Y417" s="7">
        <v>150</v>
      </c>
      <c r="Z417" s="7">
        <v>75</v>
      </c>
      <c r="AA417" s="7">
        <v>57.938034000000002</v>
      </c>
      <c r="AB417" s="7">
        <v>115.876068</v>
      </c>
      <c r="AC417" s="7">
        <v>150</v>
      </c>
      <c r="AD417" s="7">
        <v>72.117295999999996</v>
      </c>
      <c r="AE417" s="7">
        <v>96.156395000000003</v>
      </c>
      <c r="AF417" s="7">
        <v>100</v>
      </c>
      <c r="AG417" s="7">
        <v>56.491352999999997</v>
      </c>
      <c r="AH417" s="7">
        <v>75</v>
      </c>
      <c r="AI417" s="7">
        <v>75.321803000000003</v>
      </c>
      <c r="AJ417" s="7">
        <v>100</v>
      </c>
      <c r="AK417" s="7">
        <v>16.41</v>
      </c>
      <c r="AL417" s="7">
        <v>17.059999999999999</v>
      </c>
      <c r="AM417" s="7">
        <v>18.5</v>
      </c>
      <c r="AN417" s="4" t="s">
        <v>124</v>
      </c>
      <c r="AO417" s="4" t="s">
        <v>124</v>
      </c>
      <c r="AP417" s="4" t="s">
        <v>124</v>
      </c>
      <c r="AQ417" s="4" t="s">
        <v>124</v>
      </c>
      <c r="AR417" s="4" t="s">
        <v>124</v>
      </c>
      <c r="AS417" s="4" t="s">
        <v>124</v>
      </c>
      <c r="AT417" s="4" t="s">
        <v>124</v>
      </c>
      <c r="AU417" s="4" t="s">
        <v>124</v>
      </c>
      <c r="AV417" s="4" t="s">
        <v>124</v>
      </c>
      <c r="AW417" s="4" t="s">
        <v>124</v>
      </c>
      <c r="AX417" s="4" t="s">
        <v>124</v>
      </c>
      <c r="AY417" s="4" t="s">
        <v>124</v>
      </c>
      <c r="AZ417" s="4" t="s">
        <v>124</v>
      </c>
      <c r="BA417" s="4" t="s">
        <v>124</v>
      </c>
      <c r="BB417" s="4" t="s">
        <v>124</v>
      </c>
      <c r="BC417" s="4" t="s">
        <v>124</v>
      </c>
      <c r="BD417" s="4" t="s">
        <v>124</v>
      </c>
      <c r="BE417" s="4" t="s">
        <v>124</v>
      </c>
      <c r="BF417" s="4" t="s">
        <v>124</v>
      </c>
      <c r="BG417" s="4" t="s">
        <v>124</v>
      </c>
      <c r="BH417" s="7">
        <v>0</v>
      </c>
      <c r="BI417" s="7">
        <v>0.99459500000000001</v>
      </c>
      <c r="BJ417" s="7">
        <v>0.98734200000000005</v>
      </c>
      <c r="BK417" s="7">
        <v>0.99656400000000001</v>
      </c>
      <c r="BL417" s="7">
        <v>0.99459500000000001</v>
      </c>
      <c r="BM417" s="7">
        <v>0.98734200000000005</v>
      </c>
      <c r="BN417" s="7">
        <v>0.99656400000000001</v>
      </c>
      <c r="BO417" s="7">
        <v>0.997305</v>
      </c>
      <c r="BP417" s="7">
        <v>0.98750000000000004</v>
      </c>
      <c r="BQ417" s="7">
        <v>1</v>
      </c>
      <c r="BR417" s="7">
        <v>5.6728000000000001E-2</v>
      </c>
      <c r="BS417" s="7">
        <v>48.654353999999998</v>
      </c>
      <c r="BT417" s="7">
        <v>50</v>
      </c>
      <c r="BU417" s="7">
        <v>0.125</v>
      </c>
      <c r="BV417" s="7">
        <v>35</v>
      </c>
      <c r="BW417" s="7">
        <v>50</v>
      </c>
      <c r="BX417" s="7">
        <v>0.98365100000000005</v>
      </c>
      <c r="BY417" s="7">
        <v>50</v>
      </c>
      <c r="BZ417" s="7">
        <v>50</v>
      </c>
      <c r="CA417" s="7">
        <v>0.80517700000000003</v>
      </c>
      <c r="CB417" s="7">
        <v>50</v>
      </c>
      <c r="CC417" s="7">
        <v>50</v>
      </c>
      <c r="CD417" s="7">
        <v>0.96867499999999995</v>
      </c>
      <c r="CE417" s="7">
        <v>50</v>
      </c>
      <c r="CF417" s="7">
        <v>50</v>
      </c>
      <c r="CG417" s="7">
        <v>0.98395699999999997</v>
      </c>
      <c r="CH417" s="7">
        <v>100</v>
      </c>
      <c r="CI417" s="7">
        <v>100</v>
      </c>
      <c r="CJ417" s="7">
        <v>0</v>
      </c>
      <c r="CK417" s="7">
        <v>0.984375</v>
      </c>
      <c r="CL417" s="7">
        <v>100</v>
      </c>
      <c r="CM417" s="7">
        <v>100</v>
      </c>
      <c r="CN417" s="7">
        <v>0.86290299999999998</v>
      </c>
      <c r="CO417" s="7">
        <v>100</v>
      </c>
      <c r="CP417" s="7">
        <v>100</v>
      </c>
      <c r="CQ417" s="7">
        <v>0.47604800000000003</v>
      </c>
      <c r="CR417" s="7">
        <v>0.91008199999999995</v>
      </c>
      <c r="CS417" s="7">
        <v>31.736526999999999</v>
      </c>
      <c r="CT417" s="7">
        <v>50</v>
      </c>
      <c r="CU417" s="7">
        <v>0.47757300000000003</v>
      </c>
      <c r="CV417" s="7">
        <v>39.797713000000002</v>
      </c>
      <c r="CW417" s="7">
        <v>50</v>
      </c>
      <c r="CX417" s="7">
        <v>0.984375</v>
      </c>
      <c r="CY417" s="7">
        <v>0.94</v>
      </c>
      <c r="CZ417" s="7">
        <v>-4.4374999999999998E-2</v>
      </c>
      <c r="DA417" s="7">
        <v>15.314097</v>
      </c>
      <c r="DB417" s="7">
        <v>17.400950000000002</v>
      </c>
      <c r="DC417" s="7">
        <v>16.332519999999999</v>
      </c>
      <c r="DD417" s="7">
        <v>7.9891730000000001</v>
      </c>
      <c r="DE417" s="7">
        <v>1</v>
      </c>
      <c r="DF417" s="6"/>
      <c r="DG417" s="6"/>
      <c r="DH417" s="6"/>
      <c r="DI417" s="6"/>
      <c r="DJ417" s="7">
        <v>0</v>
      </c>
      <c r="DK417" s="7">
        <v>0</v>
      </c>
      <c r="DL417" s="7">
        <v>0</v>
      </c>
      <c r="DM417" s="7">
        <v>0</v>
      </c>
      <c r="DN417" s="7">
        <v>0</v>
      </c>
      <c r="DO417" s="7">
        <v>0</v>
      </c>
      <c r="DP417" s="6"/>
      <c r="DQ417" s="4" t="s">
        <v>125</v>
      </c>
    </row>
    <row r="418" spans="1:121" ht="20" customHeight="1" x14ac:dyDescent="0.15">
      <c r="A418" s="5">
        <v>2018</v>
      </c>
      <c r="B418" s="3" t="s">
        <v>209</v>
      </c>
      <c r="C418" s="4" t="str">
        <f t="shared" si="202"/>
        <v>0510011</v>
      </c>
      <c r="D418" s="4" t="s">
        <v>569</v>
      </c>
      <c r="E418" s="4" t="str">
        <f>"0516211"</f>
        <v>0516211</v>
      </c>
      <c r="F418" s="4" t="s">
        <v>327</v>
      </c>
      <c r="G418" s="7">
        <v>9</v>
      </c>
      <c r="H418" s="7">
        <v>12</v>
      </c>
      <c r="I418" s="6"/>
      <c r="J418" s="4" t="s">
        <v>330</v>
      </c>
      <c r="K418" s="7">
        <v>1312.1744100000001</v>
      </c>
      <c r="L418" s="7">
        <v>1550</v>
      </c>
      <c r="M418" s="7">
        <v>84.656413999999998</v>
      </c>
      <c r="N418" s="7">
        <v>3</v>
      </c>
      <c r="O418" s="7">
        <v>1</v>
      </c>
      <c r="P418" s="7">
        <v>65.742874999999998</v>
      </c>
      <c r="Q418" s="7">
        <v>131.48575099999999</v>
      </c>
      <c r="R418" s="7">
        <v>150</v>
      </c>
      <c r="S418" s="7">
        <v>53.937198000000002</v>
      </c>
      <c r="T418" s="7">
        <v>71.594828000000007</v>
      </c>
      <c r="U418" s="7">
        <v>107.874396</v>
      </c>
      <c r="V418" s="7">
        <v>150</v>
      </c>
      <c r="W418" s="7">
        <v>65.260327000000004</v>
      </c>
      <c r="X418" s="7">
        <v>130.52065300000001</v>
      </c>
      <c r="Y418" s="7">
        <v>150</v>
      </c>
      <c r="Z418" s="7">
        <v>71.460488999999995</v>
      </c>
      <c r="AA418" s="7">
        <v>52.752173999999997</v>
      </c>
      <c r="AB418" s="7">
        <v>105.50434799999999</v>
      </c>
      <c r="AC418" s="7">
        <v>150</v>
      </c>
      <c r="AD418" s="7">
        <v>73.325526999999994</v>
      </c>
      <c r="AE418" s="7">
        <v>97.76737</v>
      </c>
      <c r="AF418" s="7">
        <v>100</v>
      </c>
      <c r="AG418" s="7">
        <v>63.112676</v>
      </c>
      <c r="AH418" s="7">
        <v>75</v>
      </c>
      <c r="AI418" s="7">
        <v>84.150234999999995</v>
      </c>
      <c r="AJ418" s="7">
        <v>100</v>
      </c>
      <c r="AK418" s="7">
        <v>17.649999999999999</v>
      </c>
      <c r="AL418" s="7">
        <v>18.7</v>
      </c>
      <c r="AM418" s="7">
        <v>11.88</v>
      </c>
      <c r="AN418" s="4" t="s">
        <v>124</v>
      </c>
      <c r="AO418" s="4" t="s">
        <v>124</v>
      </c>
      <c r="AP418" s="4" t="s">
        <v>124</v>
      </c>
      <c r="AQ418" s="4" t="s">
        <v>124</v>
      </c>
      <c r="AR418" s="4" t="s">
        <v>124</v>
      </c>
      <c r="AS418" s="4" t="s">
        <v>124</v>
      </c>
      <c r="AT418" s="4" t="s">
        <v>124</v>
      </c>
      <c r="AU418" s="4" t="s">
        <v>124</v>
      </c>
      <c r="AV418" s="4" t="s">
        <v>124</v>
      </c>
      <c r="AW418" s="4" t="s">
        <v>124</v>
      </c>
      <c r="AX418" s="4" t="s">
        <v>124</v>
      </c>
      <c r="AY418" s="4" t="s">
        <v>124</v>
      </c>
      <c r="AZ418" s="4" t="s">
        <v>124</v>
      </c>
      <c r="BA418" s="4" t="s">
        <v>124</v>
      </c>
      <c r="BB418" s="7">
        <v>0.58364799999999994</v>
      </c>
      <c r="BC418" s="7">
        <v>29.182409</v>
      </c>
      <c r="BD418" s="7">
        <v>50</v>
      </c>
      <c r="BE418" s="7">
        <v>0.57405399999999995</v>
      </c>
      <c r="BF418" s="7">
        <v>28.702717</v>
      </c>
      <c r="BG418" s="7">
        <v>50</v>
      </c>
      <c r="BH418" s="7">
        <v>0</v>
      </c>
      <c r="BI418" s="7">
        <v>0.98607199999999995</v>
      </c>
      <c r="BJ418" s="7">
        <v>0.97541</v>
      </c>
      <c r="BK418" s="7">
        <v>0.99156100000000003</v>
      </c>
      <c r="BL418" s="7">
        <v>0.98607199999999995</v>
      </c>
      <c r="BM418" s="7">
        <v>0.97541</v>
      </c>
      <c r="BN418" s="7">
        <v>0.99156100000000003</v>
      </c>
      <c r="BO418" s="7">
        <v>0.99164300000000005</v>
      </c>
      <c r="BP418" s="7">
        <v>0.98360700000000001</v>
      </c>
      <c r="BQ418" s="7">
        <v>0.99578100000000003</v>
      </c>
      <c r="BR418" s="7">
        <v>7.1185999999999999E-2</v>
      </c>
      <c r="BS418" s="7">
        <v>45.762712000000001</v>
      </c>
      <c r="BT418" s="7">
        <v>50</v>
      </c>
      <c r="BU418" s="7">
        <v>0.14380499999999999</v>
      </c>
      <c r="BV418" s="7">
        <v>31.238938000000001</v>
      </c>
      <c r="BW418" s="7">
        <v>50</v>
      </c>
      <c r="BX418" s="7">
        <v>0.98280400000000001</v>
      </c>
      <c r="BY418" s="7">
        <v>50</v>
      </c>
      <c r="BZ418" s="7">
        <v>50</v>
      </c>
      <c r="CA418" s="7">
        <v>0.609788</v>
      </c>
      <c r="CB418" s="7">
        <v>40.652557000000002</v>
      </c>
      <c r="CC418" s="7">
        <v>50</v>
      </c>
      <c r="CD418" s="7">
        <v>0.91253600000000001</v>
      </c>
      <c r="CE418" s="7">
        <v>48.539172999999998</v>
      </c>
      <c r="CF418" s="7">
        <v>50</v>
      </c>
      <c r="CG418" s="7">
        <v>0.97631599999999996</v>
      </c>
      <c r="CH418" s="7">
        <v>100</v>
      </c>
      <c r="CI418" s="7">
        <v>100</v>
      </c>
      <c r="CJ418" s="7">
        <v>0</v>
      </c>
      <c r="CK418" s="7">
        <v>0.98165100000000005</v>
      </c>
      <c r="CL418" s="7">
        <v>100</v>
      </c>
      <c r="CM418" s="7">
        <v>100</v>
      </c>
      <c r="CN418" s="7">
        <v>0.85941599999999996</v>
      </c>
      <c r="CO418" s="7">
        <v>100</v>
      </c>
      <c r="CP418" s="7">
        <v>100</v>
      </c>
      <c r="CQ418" s="7">
        <v>0.59833800000000004</v>
      </c>
      <c r="CR418" s="7">
        <v>0.96010600000000001</v>
      </c>
      <c r="CS418" s="7">
        <v>39.889197000000003</v>
      </c>
      <c r="CT418" s="7">
        <v>50</v>
      </c>
      <c r="CU418" s="7">
        <v>0.49084699999999998</v>
      </c>
      <c r="CV418" s="7">
        <v>40.903955000000003</v>
      </c>
      <c r="CW418" s="7">
        <v>50</v>
      </c>
      <c r="CX418" s="7">
        <v>0.98165100000000005</v>
      </c>
      <c r="CY418" s="7">
        <v>0.94</v>
      </c>
      <c r="CZ418" s="7">
        <v>-4.1651000000000001E-2</v>
      </c>
      <c r="DA418" s="7">
        <v>15.314097</v>
      </c>
      <c r="DB418" s="7">
        <v>17.400950000000002</v>
      </c>
      <c r="DC418" s="7">
        <v>16.332519999999999</v>
      </c>
      <c r="DD418" s="7">
        <v>7.9891730000000001</v>
      </c>
      <c r="DE418" s="7">
        <v>1</v>
      </c>
      <c r="DF418" s="6"/>
      <c r="DG418" s="6"/>
      <c r="DH418" s="6"/>
      <c r="DI418" s="6"/>
      <c r="DJ418" s="7">
        <v>0</v>
      </c>
      <c r="DK418" s="7">
        <v>0</v>
      </c>
      <c r="DL418" s="7">
        <v>0</v>
      </c>
      <c r="DM418" s="7">
        <v>0</v>
      </c>
      <c r="DN418" s="7">
        <v>0</v>
      </c>
      <c r="DO418" s="7">
        <v>0</v>
      </c>
      <c r="DP418" s="6"/>
      <c r="DQ418" s="4" t="s">
        <v>125</v>
      </c>
    </row>
    <row r="419" spans="1:121" ht="20" customHeight="1" x14ac:dyDescent="0.15">
      <c r="A419" s="5">
        <v>2018</v>
      </c>
      <c r="B419" s="3" t="s">
        <v>209</v>
      </c>
      <c r="C419" s="4" t="str">
        <f t="shared" si="202"/>
        <v>0510011</v>
      </c>
      <c r="D419" s="4" t="s">
        <v>570</v>
      </c>
      <c r="E419" s="4" t="str">
        <f>"0515211"</f>
        <v>0515211</v>
      </c>
      <c r="F419" s="4" t="s">
        <v>327</v>
      </c>
      <c r="G419" s="7">
        <v>6</v>
      </c>
      <c r="H419" s="7">
        <v>8</v>
      </c>
      <c r="I419" s="6"/>
      <c r="J419" s="4" t="s">
        <v>330</v>
      </c>
      <c r="K419" s="7">
        <v>703.41474900000003</v>
      </c>
      <c r="L419" s="7">
        <v>900</v>
      </c>
      <c r="M419" s="7">
        <v>78.157194000000004</v>
      </c>
      <c r="N419" s="7">
        <v>2</v>
      </c>
      <c r="O419" s="7">
        <v>0</v>
      </c>
      <c r="P419" s="7">
        <v>79.292463999999995</v>
      </c>
      <c r="Q419" s="7">
        <v>50</v>
      </c>
      <c r="R419" s="7">
        <v>50</v>
      </c>
      <c r="S419" s="7">
        <v>66.339670999999996</v>
      </c>
      <c r="T419" s="7">
        <v>75</v>
      </c>
      <c r="U419" s="7">
        <v>44.226447999999998</v>
      </c>
      <c r="V419" s="7">
        <v>50</v>
      </c>
      <c r="W419" s="7">
        <v>74.926567000000006</v>
      </c>
      <c r="X419" s="7">
        <v>49.951045000000001</v>
      </c>
      <c r="Y419" s="7">
        <v>50</v>
      </c>
      <c r="Z419" s="7">
        <v>75</v>
      </c>
      <c r="AA419" s="7">
        <v>60.846409999999999</v>
      </c>
      <c r="AB419" s="7">
        <v>40.564273</v>
      </c>
      <c r="AC419" s="7">
        <v>50</v>
      </c>
      <c r="AD419" s="7">
        <v>76.908973000000003</v>
      </c>
      <c r="AE419" s="7">
        <v>50</v>
      </c>
      <c r="AF419" s="7">
        <v>50</v>
      </c>
      <c r="AG419" s="7">
        <v>60.610180999999997</v>
      </c>
      <c r="AH419" s="7">
        <v>75</v>
      </c>
      <c r="AI419" s="7">
        <v>40.406787000000001</v>
      </c>
      <c r="AJ419" s="7">
        <v>50</v>
      </c>
      <c r="AK419" s="7">
        <v>8.66</v>
      </c>
      <c r="AL419" s="7">
        <v>14.15</v>
      </c>
      <c r="AM419" s="7">
        <v>14.38</v>
      </c>
      <c r="AN419" s="7">
        <v>0.60276200000000002</v>
      </c>
      <c r="AO419" s="7">
        <v>60.276243999999998</v>
      </c>
      <c r="AP419" s="7">
        <v>100</v>
      </c>
      <c r="AQ419" s="7">
        <v>0.65990000000000004</v>
      </c>
      <c r="AR419" s="7">
        <v>65.990011999999993</v>
      </c>
      <c r="AS419" s="7">
        <v>100</v>
      </c>
      <c r="AT419" s="7">
        <v>0.54039400000000004</v>
      </c>
      <c r="AU419" s="7">
        <v>0.623552</v>
      </c>
      <c r="AV419" s="7">
        <v>54.039399000000003</v>
      </c>
      <c r="AW419" s="7">
        <v>100</v>
      </c>
      <c r="AX419" s="7">
        <v>0.56586000000000003</v>
      </c>
      <c r="AY419" s="7">
        <v>0.69119900000000001</v>
      </c>
      <c r="AZ419" s="7">
        <v>56.585997999999996</v>
      </c>
      <c r="BA419" s="7">
        <v>100</v>
      </c>
      <c r="BB419" s="4" t="s">
        <v>124</v>
      </c>
      <c r="BC419" s="4" t="s">
        <v>124</v>
      </c>
      <c r="BD419" s="4" t="s">
        <v>124</v>
      </c>
      <c r="BE419" s="4" t="s">
        <v>124</v>
      </c>
      <c r="BF419" s="4" t="s">
        <v>124</v>
      </c>
      <c r="BG419" s="4" t="s">
        <v>124</v>
      </c>
      <c r="BH419" s="7">
        <v>0</v>
      </c>
      <c r="BI419" s="7">
        <v>0.99344299999999996</v>
      </c>
      <c r="BJ419" s="7">
        <v>0.97967499999999996</v>
      </c>
      <c r="BK419" s="7">
        <v>0.99850499999999998</v>
      </c>
      <c r="BL419" s="7">
        <v>0.99016400000000004</v>
      </c>
      <c r="BM419" s="7">
        <v>0.97560999999999998</v>
      </c>
      <c r="BN419" s="7">
        <v>0.99551599999999996</v>
      </c>
      <c r="BO419" s="7">
        <v>0.98402599999999996</v>
      </c>
      <c r="BP419" s="7">
        <v>0.96296300000000001</v>
      </c>
      <c r="BQ419" s="7">
        <v>0.99137900000000001</v>
      </c>
      <c r="BR419" s="7">
        <v>3.7157999999999997E-2</v>
      </c>
      <c r="BS419" s="7">
        <v>50</v>
      </c>
      <c r="BT419" s="7">
        <v>50</v>
      </c>
      <c r="BU419" s="7">
        <v>7.5630000000000003E-2</v>
      </c>
      <c r="BV419" s="7">
        <v>44.873950000000001</v>
      </c>
      <c r="BW419" s="7">
        <v>50</v>
      </c>
      <c r="BX419" s="4" t="s">
        <v>124</v>
      </c>
      <c r="BY419" s="4" t="s">
        <v>124</v>
      </c>
      <c r="BZ419" s="4" t="s">
        <v>124</v>
      </c>
      <c r="CA419" s="4" t="s">
        <v>124</v>
      </c>
      <c r="CB419" s="4" t="s">
        <v>124</v>
      </c>
      <c r="CC419" s="4" t="s">
        <v>124</v>
      </c>
      <c r="CD419" s="7">
        <v>0.95075799999999999</v>
      </c>
      <c r="CE419" s="7">
        <v>50</v>
      </c>
      <c r="CF419" s="7">
        <v>50</v>
      </c>
      <c r="CG419" s="4" t="s">
        <v>124</v>
      </c>
      <c r="CH419" s="4" t="s">
        <v>124</v>
      </c>
      <c r="CI419" s="4" t="s">
        <v>124</v>
      </c>
      <c r="CJ419" s="4" t="s">
        <v>124</v>
      </c>
      <c r="CK419" s="4" t="s">
        <v>124</v>
      </c>
      <c r="CL419" s="4" t="s">
        <v>124</v>
      </c>
      <c r="CM419" s="4" t="s">
        <v>124</v>
      </c>
      <c r="CN419" s="4" t="s">
        <v>124</v>
      </c>
      <c r="CO419" s="4" t="s">
        <v>124</v>
      </c>
      <c r="CP419" s="4" t="s">
        <v>124</v>
      </c>
      <c r="CQ419" s="7">
        <v>0.69750900000000005</v>
      </c>
      <c r="CR419" s="7">
        <v>0.97063900000000003</v>
      </c>
      <c r="CS419" s="7">
        <v>46.500593000000002</v>
      </c>
      <c r="CT419" s="7">
        <v>50</v>
      </c>
      <c r="CU419" s="4" t="s">
        <v>124</v>
      </c>
      <c r="CV419" s="4" t="s">
        <v>124</v>
      </c>
      <c r="CW419" s="4" t="s">
        <v>124</v>
      </c>
      <c r="CX419" s="4" t="s">
        <v>124</v>
      </c>
      <c r="CY419" s="4" t="s">
        <v>124</v>
      </c>
      <c r="CZ419" s="4" t="s">
        <v>124</v>
      </c>
      <c r="DA419" s="7">
        <v>15.314097</v>
      </c>
      <c r="DB419" s="7">
        <v>17.400950000000002</v>
      </c>
      <c r="DC419" s="7">
        <v>16.332519999999999</v>
      </c>
      <c r="DD419" s="4" t="s">
        <v>124</v>
      </c>
      <c r="DE419" s="7">
        <v>0</v>
      </c>
      <c r="DF419" s="6"/>
      <c r="DG419" s="6"/>
      <c r="DH419" s="6"/>
      <c r="DI419" s="6"/>
      <c r="DJ419" s="7">
        <v>0</v>
      </c>
      <c r="DK419" s="7">
        <v>0</v>
      </c>
      <c r="DL419" s="7">
        <v>0</v>
      </c>
      <c r="DM419" s="7">
        <v>0</v>
      </c>
      <c r="DN419" s="7">
        <v>0</v>
      </c>
      <c r="DO419" s="7">
        <v>0</v>
      </c>
      <c r="DP419" s="6"/>
      <c r="DQ419" s="4" t="s">
        <v>125</v>
      </c>
    </row>
    <row r="420" spans="1:121" ht="20" customHeight="1" x14ac:dyDescent="0.15">
      <c r="A420" s="5">
        <v>2018</v>
      </c>
      <c r="B420" s="3" t="s">
        <v>209</v>
      </c>
      <c r="C420" s="4" t="str">
        <f t="shared" si="202"/>
        <v>0510011</v>
      </c>
      <c r="D420" s="4" t="s">
        <v>571</v>
      </c>
      <c r="E420" s="4" t="str">
        <f>"0510411"</f>
        <v>0510411</v>
      </c>
      <c r="F420" s="4" t="s">
        <v>327</v>
      </c>
      <c r="G420" s="4" t="s">
        <v>338</v>
      </c>
      <c r="H420" s="7">
        <v>5</v>
      </c>
      <c r="I420" s="4" t="s">
        <v>329</v>
      </c>
      <c r="J420" s="4" t="s">
        <v>330</v>
      </c>
      <c r="K420" s="7">
        <v>689.95862799999998</v>
      </c>
      <c r="L420" s="7">
        <v>850</v>
      </c>
      <c r="M420" s="7">
        <v>81.171603000000005</v>
      </c>
      <c r="N420" s="7">
        <v>2</v>
      </c>
      <c r="O420" s="7">
        <v>0</v>
      </c>
      <c r="P420" s="7">
        <v>76.395684000000003</v>
      </c>
      <c r="Q420" s="7">
        <v>50</v>
      </c>
      <c r="R420" s="7">
        <v>50</v>
      </c>
      <c r="S420" s="7">
        <v>68.998108000000002</v>
      </c>
      <c r="T420" s="7">
        <v>75</v>
      </c>
      <c r="U420" s="7">
        <v>45.998739</v>
      </c>
      <c r="V420" s="7">
        <v>50</v>
      </c>
      <c r="W420" s="7">
        <v>73.952498000000006</v>
      </c>
      <c r="X420" s="7">
        <v>49.301665999999997</v>
      </c>
      <c r="Y420" s="7">
        <v>50</v>
      </c>
      <c r="Z420" s="7">
        <v>75</v>
      </c>
      <c r="AA420" s="7">
        <v>65.048229000000006</v>
      </c>
      <c r="AB420" s="7">
        <v>43.365485999999997</v>
      </c>
      <c r="AC420" s="7">
        <v>50</v>
      </c>
      <c r="AD420" s="7">
        <v>73.580385000000007</v>
      </c>
      <c r="AE420" s="7">
        <v>49.05359</v>
      </c>
      <c r="AF420" s="7">
        <v>50</v>
      </c>
      <c r="AG420" s="7">
        <v>66.197890999999998</v>
      </c>
      <c r="AH420" s="7">
        <v>75</v>
      </c>
      <c r="AI420" s="7">
        <v>44.131926999999997</v>
      </c>
      <c r="AJ420" s="7">
        <v>50</v>
      </c>
      <c r="AK420" s="7">
        <v>6</v>
      </c>
      <c r="AL420" s="7">
        <v>9.9499999999999993</v>
      </c>
      <c r="AM420" s="7">
        <v>8.8000000000000007</v>
      </c>
      <c r="AN420" s="7">
        <v>0.64919300000000002</v>
      </c>
      <c r="AO420" s="7">
        <v>64.919273000000004</v>
      </c>
      <c r="AP420" s="7">
        <v>100</v>
      </c>
      <c r="AQ420" s="7">
        <v>0.78684900000000002</v>
      </c>
      <c r="AR420" s="7">
        <v>78.684858000000006</v>
      </c>
      <c r="AS420" s="7">
        <v>100</v>
      </c>
      <c r="AT420" s="7">
        <v>0.65537500000000004</v>
      </c>
      <c r="AU420" s="7">
        <v>0.644482</v>
      </c>
      <c r="AV420" s="7">
        <v>65.537508000000003</v>
      </c>
      <c r="AW420" s="7">
        <v>100</v>
      </c>
      <c r="AX420" s="7">
        <v>0.68631600000000004</v>
      </c>
      <c r="AY420" s="7">
        <v>0.86184899999999998</v>
      </c>
      <c r="AZ420" s="7">
        <v>68.631629000000004</v>
      </c>
      <c r="BA420" s="7">
        <v>100</v>
      </c>
      <c r="BB420" s="4" t="s">
        <v>124</v>
      </c>
      <c r="BC420" s="4" t="s">
        <v>124</v>
      </c>
      <c r="BD420" s="4" t="s">
        <v>124</v>
      </c>
      <c r="BE420" s="4" t="s">
        <v>124</v>
      </c>
      <c r="BF420" s="4" t="s">
        <v>124</v>
      </c>
      <c r="BG420" s="4" t="s">
        <v>124</v>
      </c>
      <c r="BH420" s="7">
        <v>0</v>
      </c>
      <c r="BI420" s="7">
        <v>0.99479200000000001</v>
      </c>
      <c r="BJ420" s="7">
        <v>1</v>
      </c>
      <c r="BK420" s="7">
        <v>0.99090900000000004</v>
      </c>
      <c r="BL420" s="7">
        <v>0.98958299999999999</v>
      </c>
      <c r="BM420" s="7">
        <v>1</v>
      </c>
      <c r="BN420" s="7">
        <v>0.98181799999999997</v>
      </c>
      <c r="BO420" s="7">
        <v>0.984375</v>
      </c>
      <c r="BP420" s="7">
        <v>1</v>
      </c>
      <c r="BQ420" s="7">
        <v>0.97368399999999999</v>
      </c>
      <c r="BR420" s="7">
        <v>4.9861000000000003E-2</v>
      </c>
      <c r="BS420" s="7">
        <v>50</v>
      </c>
      <c r="BT420" s="7">
        <v>50</v>
      </c>
      <c r="BU420" s="7">
        <v>6.8027000000000004E-2</v>
      </c>
      <c r="BV420" s="7">
        <v>46.394558000000004</v>
      </c>
      <c r="BW420" s="7">
        <v>50</v>
      </c>
      <c r="BX420" s="4" t="s">
        <v>124</v>
      </c>
      <c r="BY420" s="4" t="s">
        <v>124</v>
      </c>
      <c r="BZ420" s="4" t="s">
        <v>124</v>
      </c>
      <c r="CA420" s="4" t="s">
        <v>124</v>
      </c>
      <c r="CB420" s="4" t="s">
        <v>124</v>
      </c>
      <c r="CC420" s="4" t="s">
        <v>124</v>
      </c>
      <c r="CD420" s="4" t="s">
        <v>124</v>
      </c>
      <c r="CE420" s="4" t="s">
        <v>124</v>
      </c>
      <c r="CF420" s="4" t="s">
        <v>124</v>
      </c>
      <c r="CG420" s="4" t="s">
        <v>124</v>
      </c>
      <c r="CH420" s="4" t="s">
        <v>124</v>
      </c>
      <c r="CI420" s="4" t="s">
        <v>124</v>
      </c>
      <c r="CJ420" s="4" t="s">
        <v>124</v>
      </c>
      <c r="CK420" s="4" t="s">
        <v>124</v>
      </c>
      <c r="CL420" s="4" t="s">
        <v>124</v>
      </c>
      <c r="CM420" s="4" t="s">
        <v>124</v>
      </c>
      <c r="CN420" s="4" t="s">
        <v>124</v>
      </c>
      <c r="CO420" s="4" t="s">
        <v>124</v>
      </c>
      <c r="CP420" s="4" t="s">
        <v>124</v>
      </c>
      <c r="CQ420" s="7">
        <v>0.50909099999999996</v>
      </c>
      <c r="CR420" s="7">
        <v>0.94827600000000001</v>
      </c>
      <c r="CS420" s="7">
        <v>33.939394</v>
      </c>
      <c r="CT420" s="7">
        <v>50</v>
      </c>
      <c r="CU420" s="4" t="s">
        <v>124</v>
      </c>
      <c r="CV420" s="4" t="s">
        <v>124</v>
      </c>
      <c r="CW420" s="4" t="s">
        <v>124</v>
      </c>
      <c r="CX420" s="4" t="s">
        <v>124</v>
      </c>
      <c r="CY420" s="4" t="s">
        <v>124</v>
      </c>
      <c r="CZ420" s="4" t="s">
        <v>124</v>
      </c>
      <c r="DA420" s="7">
        <v>15.314097</v>
      </c>
      <c r="DB420" s="7">
        <v>17.400950000000002</v>
      </c>
      <c r="DC420" s="7">
        <v>16.332519999999999</v>
      </c>
      <c r="DD420" s="4" t="s">
        <v>124</v>
      </c>
      <c r="DE420" s="7">
        <v>0</v>
      </c>
      <c r="DF420" s="6"/>
      <c r="DG420" s="6"/>
      <c r="DH420" s="6"/>
      <c r="DI420" s="6"/>
      <c r="DJ420" s="7">
        <v>0</v>
      </c>
      <c r="DK420" s="7">
        <v>0</v>
      </c>
      <c r="DL420" s="7">
        <v>0</v>
      </c>
      <c r="DM420" s="7">
        <v>0</v>
      </c>
      <c r="DN420" s="7">
        <v>0</v>
      </c>
      <c r="DO420" s="7">
        <v>0</v>
      </c>
      <c r="DP420" s="6"/>
      <c r="DQ420" s="4" t="s">
        <v>125</v>
      </c>
    </row>
    <row r="421" spans="1:121" ht="20" customHeight="1" x14ac:dyDescent="0.15">
      <c r="A421" s="5">
        <v>2018</v>
      </c>
      <c r="B421" s="3" t="s">
        <v>209</v>
      </c>
      <c r="C421" s="4" t="str">
        <f t="shared" si="202"/>
        <v>0510011</v>
      </c>
      <c r="D421" s="4" t="s">
        <v>572</v>
      </c>
      <c r="E421" s="4" t="str">
        <f>"0511711"</f>
        <v>0511711</v>
      </c>
      <c r="F421" s="4" t="s">
        <v>327</v>
      </c>
      <c r="G421" s="4" t="s">
        <v>338</v>
      </c>
      <c r="H421" s="7">
        <v>5</v>
      </c>
      <c r="I421" s="6"/>
      <c r="J421" s="4" t="s">
        <v>330</v>
      </c>
      <c r="K421" s="7">
        <v>686.73204799999996</v>
      </c>
      <c r="L421" s="7">
        <v>800</v>
      </c>
      <c r="M421" s="7">
        <v>85.841505999999995</v>
      </c>
      <c r="N421" s="7">
        <v>1</v>
      </c>
      <c r="O421" s="7">
        <v>0</v>
      </c>
      <c r="P421" s="7">
        <v>79.964473999999996</v>
      </c>
      <c r="Q421" s="7">
        <v>50</v>
      </c>
      <c r="R421" s="7">
        <v>50</v>
      </c>
      <c r="S421" s="7">
        <v>66.271934000000002</v>
      </c>
      <c r="T421" s="7">
        <v>75</v>
      </c>
      <c r="U421" s="7">
        <v>44.181289999999997</v>
      </c>
      <c r="V421" s="7">
        <v>50</v>
      </c>
      <c r="W421" s="7">
        <v>78.657618999999997</v>
      </c>
      <c r="X421" s="7">
        <v>50</v>
      </c>
      <c r="Y421" s="7">
        <v>50</v>
      </c>
      <c r="Z421" s="7">
        <v>75</v>
      </c>
      <c r="AA421" s="7">
        <v>63.498435999999998</v>
      </c>
      <c r="AB421" s="7">
        <v>42.332290999999998</v>
      </c>
      <c r="AC421" s="7">
        <v>50</v>
      </c>
      <c r="AD421" s="7">
        <v>78.129174000000006</v>
      </c>
      <c r="AE421" s="7">
        <v>50</v>
      </c>
      <c r="AF421" s="7">
        <v>50</v>
      </c>
      <c r="AG421" s="4" t="s">
        <v>124</v>
      </c>
      <c r="AH421" s="7">
        <v>75</v>
      </c>
      <c r="AI421" s="4" t="s">
        <v>124</v>
      </c>
      <c r="AJ421" s="4" t="s">
        <v>124</v>
      </c>
      <c r="AK421" s="7">
        <v>8.7200000000000006</v>
      </c>
      <c r="AL421" s="7">
        <v>11.5</v>
      </c>
      <c r="AM421" s="4" t="s">
        <v>124</v>
      </c>
      <c r="AN421" s="7">
        <v>0.71575599999999995</v>
      </c>
      <c r="AO421" s="7">
        <v>71.575551000000004</v>
      </c>
      <c r="AP421" s="7">
        <v>100</v>
      </c>
      <c r="AQ421" s="7">
        <v>0.89182300000000003</v>
      </c>
      <c r="AR421" s="7">
        <v>89.182275000000004</v>
      </c>
      <c r="AS421" s="7">
        <v>100</v>
      </c>
      <c r="AT421" s="7">
        <v>0.64866000000000001</v>
      </c>
      <c r="AU421" s="7">
        <v>0.73838999999999999</v>
      </c>
      <c r="AV421" s="7">
        <v>64.865995999999996</v>
      </c>
      <c r="AW421" s="7">
        <v>100</v>
      </c>
      <c r="AX421" s="7">
        <v>0.83999800000000002</v>
      </c>
      <c r="AY421" s="7">
        <v>0.90930599999999995</v>
      </c>
      <c r="AZ421" s="7">
        <v>83.999808999999999</v>
      </c>
      <c r="BA421" s="7">
        <v>100</v>
      </c>
      <c r="BB421" s="4" t="s">
        <v>124</v>
      </c>
      <c r="BC421" s="4" t="s">
        <v>124</v>
      </c>
      <c r="BD421" s="4" t="s">
        <v>124</v>
      </c>
      <c r="BE421" s="4" t="s">
        <v>124</v>
      </c>
      <c r="BF421" s="4" t="s">
        <v>124</v>
      </c>
      <c r="BG421" s="4" t="s">
        <v>124</v>
      </c>
      <c r="BH421" s="7">
        <v>0</v>
      </c>
      <c r="BI421" s="7">
        <v>0.98830399999999996</v>
      </c>
      <c r="BJ421" s="7">
        <v>1</v>
      </c>
      <c r="BK421" s="7">
        <v>0.98373999999999995</v>
      </c>
      <c r="BL421" s="7">
        <v>0.98830399999999996</v>
      </c>
      <c r="BM421" s="7">
        <v>1</v>
      </c>
      <c r="BN421" s="7">
        <v>0.98373999999999995</v>
      </c>
      <c r="BO421" s="7">
        <v>0.96666700000000005</v>
      </c>
      <c r="BP421" s="4" t="s">
        <v>124</v>
      </c>
      <c r="BQ421" s="7">
        <v>0.95833299999999999</v>
      </c>
      <c r="BR421" s="7">
        <v>6.0606E-2</v>
      </c>
      <c r="BS421" s="7">
        <v>47.878788</v>
      </c>
      <c r="BT421" s="7">
        <v>50</v>
      </c>
      <c r="BU421" s="7">
        <v>8.6419999999999997E-2</v>
      </c>
      <c r="BV421" s="7">
        <v>42.716048999999998</v>
      </c>
      <c r="BW421" s="7">
        <v>50</v>
      </c>
      <c r="BX421" s="4" t="s">
        <v>124</v>
      </c>
      <c r="BY421" s="4" t="s">
        <v>124</v>
      </c>
      <c r="BZ421" s="4" t="s">
        <v>124</v>
      </c>
      <c r="CA421" s="4" t="s">
        <v>124</v>
      </c>
      <c r="CB421" s="4" t="s">
        <v>124</v>
      </c>
      <c r="CC421" s="4" t="s">
        <v>124</v>
      </c>
      <c r="CD421" s="4" t="s">
        <v>124</v>
      </c>
      <c r="CE421" s="4" t="s">
        <v>124</v>
      </c>
      <c r="CF421" s="4" t="s">
        <v>124</v>
      </c>
      <c r="CG421" s="4" t="s">
        <v>124</v>
      </c>
      <c r="CH421" s="4" t="s">
        <v>124</v>
      </c>
      <c r="CI421" s="4" t="s">
        <v>124</v>
      </c>
      <c r="CJ421" s="4" t="s">
        <v>124</v>
      </c>
      <c r="CK421" s="4" t="s">
        <v>124</v>
      </c>
      <c r="CL421" s="4" t="s">
        <v>124</v>
      </c>
      <c r="CM421" s="4" t="s">
        <v>124</v>
      </c>
      <c r="CN421" s="4" t="s">
        <v>124</v>
      </c>
      <c r="CO421" s="4" t="s">
        <v>124</v>
      </c>
      <c r="CP421" s="4" t="s">
        <v>124</v>
      </c>
      <c r="CQ421" s="7">
        <v>0.75</v>
      </c>
      <c r="CR421" s="7">
        <v>1.0169490000000001</v>
      </c>
      <c r="CS421" s="7">
        <v>50</v>
      </c>
      <c r="CT421" s="7">
        <v>50</v>
      </c>
      <c r="CU421" s="4" t="s">
        <v>124</v>
      </c>
      <c r="CV421" s="4" t="s">
        <v>124</v>
      </c>
      <c r="CW421" s="4" t="s">
        <v>124</v>
      </c>
      <c r="CX421" s="4" t="s">
        <v>124</v>
      </c>
      <c r="CY421" s="4" t="s">
        <v>124</v>
      </c>
      <c r="CZ421" s="4" t="s">
        <v>124</v>
      </c>
      <c r="DA421" s="7">
        <v>15.314097</v>
      </c>
      <c r="DB421" s="7">
        <v>17.400950000000002</v>
      </c>
      <c r="DC421" s="7">
        <v>16.332519999999999</v>
      </c>
      <c r="DD421" s="4" t="s">
        <v>124</v>
      </c>
      <c r="DE421" s="7">
        <v>0</v>
      </c>
      <c r="DF421" s="6"/>
      <c r="DG421" s="6"/>
      <c r="DH421" s="4" t="s">
        <v>331</v>
      </c>
      <c r="DI421" s="4" t="s">
        <v>452</v>
      </c>
      <c r="DJ421" s="7">
        <v>0</v>
      </c>
      <c r="DK421" s="7">
        <v>0</v>
      </c>
      <c r="DL421" s="7">
        <v>1</v>
      </c>
      <c r="DM421" s="7">
        <v>0</v>
      </c>
      <c r="DN421" s="7">
        <v>1</v>
      </c>
      <c r="DO421" s="7">
        <v>0</v>
      </c>
      <c r="DP421" s="6"/>
      <c r="DQ421" s="4" t="s">
        <v>125</v>
      </c>
    </row>
    <row r="422" spans="1:121" ht="20" customHeight="1" x14ac:dyDescent="0.15">
      <c r="A422" s="5">
        <v>2018</v>
      </c>
      <c r="B422" s="3" t="s">
        <v>209</v>
      </c>
      <c r="C422" s="4" t="str">
        <f t="shared" si="202"/>
        <v>0510011</v>
      </c>
      <c r="D422" s="4" t="s">
        <v>573</v>
      </c>
      <c r="E422" s="4" t="str">
        <f>"0510611"</f>
        <v>0510611</v>
      </c>
      <c r="F422" s="4" t="s">
        <v>327</v>
      </c>
      <c r="G422" s="4" t="s">
        <v>338</v>
      </c>
      <c r="H422" s="7">
        <v>5</v>
      </c>
      <c r="I422" s="4" t="s">
        <v>329</v>
      </c>
      <c r="J422" s="4" t="s">
        <v>330</v>
      </c>
      <c r="K422" s="7">
        <v>741.46927600000004</v>
      </c>
      <c r="L422" s="7">
        <v>950</v>
      </c>
      <c r="M422" s="7">
        <v>78.049396999999999</v>
      </c>
      <c r="N422" s="7">
        <v>2</v>
      </c>
      <c r="O422" s="7">
        <v>0</v>
      </c>
      <c r="P422" s="7">
        <v>75.783844999999999</v>
      </c>
      <c r="Q422" s="7">
        <v>50</v>
      </c>
      <c r="R422" s="7">
        <v>50</v>
      </c>
      <c r="S422" s="7">
        <v>70.553684000000004</v>
      </c>
      <c r="T422" s="7">
        <v>75</v>
      </c>
      <c r="U422" s="7">
        <v>47.035789999999999</v>
      </c>
      <c r="V422" s="7">
        <v>50</v>
      </c>
      <c r="W422" s="7">
        <v>71.814831999999996</v>
      </c>
      <c r="X422" s="7">
        <v>47.876553999999999</v>
      </c>
      <c r="Y422" s="7">
        <v>50</v>
      </c>
      <c r="Z422" s="7">
        <v>75</v>
      </c>
      <c r="AA422" s="7">
        <v>67.657576000000006</v>
      </c>
      <c r="AB422" s="7">
        <v>45.105051000000003</v>
      </c>
      <c r="AC422" s="7">
        <v>50</v>
      </c>
      <c r="AD422" s="7">
        <v>68.941426000000007</v>
      </c>
      <c r="AE422" s="7">
        <v>45.960951000000001</v>
      </c>
      <c r="AF422" s="7">
        <v>50</v>
      </c>
      <c r="AG422" s="7">
        <v>61.050933999999998</v>
      </c>
      <c r="AH422" s="7">
        <v>75</v>
      </c>
      <c r="AI422" s="7">
        <v>40.700623</v>
      </c>
      <c r="AJ422" s="7">
        <v>50</v>
      </c>
      <c r="AK422" s="7">
        <v>4.4400000000000004</v>
      </c>
      <c r="AL422" s="7">
        <v>7.34</v>
      </c>
      <c r="AM422" s="7">
        <v>13.94</v>
      </c>
      <c r="AN422" s="7">
        <v>0.74939299999999998</v>
      </c>
      <c r="AO422" s="7">
        <v>74.939317000000003</v>
      </c>
      <c r="AP422" s="7">
        <v>100</v>
      </c>
      <c r="AQ422" s="7">
        <v>0.63031000000000004</v>
      </c>
      <c r="AR422" s="7">
        <v>63.031035000000003</v>
      </c>
      <c r="AS422" s="7">
        <v>100</v>
      </c>
      <c r="AT422" s="7">
        <v>0.75142200000000003</v>
      </c>
      <c r="AU422" s="7">
        <v>0.74715900000000002</v>
      </c>
      <c r="AV422" s="7">
        <v>75.142194000000003</v>
      </c>
      <c r="AW422" s="7">
        <v>100</v>
      </c>
      <c r="AX422" s="7">
        <v>0.63649699999999998</v>
      </c>
      <c r="AY422" s="7">
        <v>0.62349600000000005</v>
      </c>
      <c r="AZ422" s="7">
        <v>63.649728000000003</v>
      </c>
      <c r="BA422" s="7">
        <v>100</v>
      </c>
      <c r="BB422" s="7">
        <v>0.65896900000000003</v>
      </c>
      <c r="BC422" s="7">
        <v>32.948447999999999</v>
      </c>
      <c r="BD422" s="7">
        <v>50</v>
      </c>
      <c r="BE422" s="7">
        <v>0.516675</v>
      </c>
      <c r="BF422" s="7">
        <v>25.833725999999999</v>
      </c>
      <c r="BG422" s="7">
        <v>50</v>
      </c>
      <c r="BH422" s="7">
        <v>0</v>
      </c>
      <c r="BI422" s="7">
        <v>0.99534900000000004</v>
      </c>
      <c r="BJ422" s="7">
        <v>1</v>
      </c>
      <c r="BK422" s="7">
        <v>0.98936199999999996</v>
      </c>
      <c r="BL422" s="7">
        <v>0.99534900000000004</v>
      </c>
      <c r="BM422" s="7">
        <v>1</v>
      </c>
      <c r="BN422" s="7">
        <v>0.98936199999999996</v>
      </c>
      <c r="BO422" s="7">
        <v>1</v>
      </c>
      <c r="BP422" s="7">
        <v>1</v>
      </c>
      <c r="BQ422" s="7">
        <v>1</v>
      </c>
      <c r="BR422" s="7">
        <v>4.5872000000000003E-2</v>
      </c>
      <c r="BS422" s="7">
        <v>50</v>
      </c>
      <c r="BT422" s="7">
        <v>50</v>
      </c>
      <c r="BU422" s="7">
        <v>5.2419E-2</v>
      </c>
      <c r="BV422" s="7">
        <v>49.516128999999999</v>
      </c>
      <c r="BW422" s="7">
        <v>50</v>
      </c>
      <c r="BX422" s="4" t="s">
        <v>124</v>
      </c>
      <c r="BY422" s="4" t="s">
        <v>124</v>
      </c>
      <c r="BZ422" s="4" t="s">
        <v>124</v>
      </c>
      <c r="CA422" s="4" t="s">
        <v>124</v>
      </c>
      <c r="CB422" s="4" t="s">
        <v>124</v>
      </c>
      <c r="CC422" s="4" t="s">
        <v>124</v>
      </c>
      <c r="CD422" s="4" t="s">
        <v>124</v>
      </c>
      <c r="CE422" s="4" t="s">
        <v>124</v>
      </c>
      <c r="CF422" s="4" t="s">
        <v>124</v>
      </c>
      <c r="CG422" s="4" t="s">
        <v>124</v>
      </c>
      <c r="CH422" s="4" t="s">
        <v>124</v>
      </c>
      <c r="CI422" s="4" t="s">
        <v>124</v>
      </c>
      <c r="CJ422" s="4" t="s">
        <v>124</v>
      </c>
      <c r="CK422" s="4" t="s">
        <v>124</v>
      </c>
      <c r="CL422" s="4" t="s">
        <v>124</v>
      </c>
      <c r="CM422" s="4" t="s">
        <v>124</v>
      </c>
      <c r="CN422" s="4" t="s">
        <v>124</v>
      </c>
      <c r="CO422" s="4" t="s">
        <v>124</v>
      </c>
      <c r="CP422" s="4" t="s">
        <v>124</v>
      </c>
      <c r="CQ422" s="7">
        <v>0.44594600000000001</v>
      </c>
      <c r="CR422" s="7">
        <v>0.96103899999999998</v>
      </c>
      <c r="CS422" s="7">
        <v>29.72973</v>
      </c>
      <c r="CT422" s="7">
        <v>50</v>
      </c>
      <c r="CU422" s="4" t="s">
        <v>124</v>
      </c>
      <c r="CV422" s="4" t="s">
        <v>124</v>
      </c>
      <c r="CW422" s="4" t="s">
        <v>124</v>
      </c>
      <c r="CX422" s="4" t="s">
        <v>124</v>
      </c>
      <c r="CY422" s="4" t="s">
        <v>124</v>
      </c>
      <c r="CZ422" s="4" t="s">
        <v>124</v>
      </c>
      <c r="DA422" s="7">
        <v>15.314097</v>
      </c>
      <c r="DB422" s="7">
        <v>17.400950000000002</v>
      </c>
      <c r="DC422" s="7">
        <v>16.332519999999999</v>
      </c>
      <c r="DD422" s="4" t="s">
        <v>124</v>
      </c>
      <c r="DE422" s="7">
        <v>0</v>
      </c>
      <c r="DF422" s="6"/>
      <c r="DG422" s="6"/>
      <c r="DH422" s="6"/>
      <c r="DI422" s="6"/>
      <c r="DJ422" s="7">
        <v>0</v>
      </c>
      <c r="DK422" s="7">
        <v>0</v>
      </c>
      <c r="DL422" s="7">
        <v>0</v>
      </c>
      <c r="DM422" s="7">
        <v>0</v>
      </c>
      <c r="DN422" s="7">
        <v>0</v>
      </c>
      <c r="DO422" s="7">
        <v>0</v>
      </c>
      <c r="DP422" s="6"/>
      <c r="DQ422" s="4" t="s">
        <v>125</v>
      </c>
    </row>
    <row r="423" spans="1:121" ht="20" customHeight="1" x14ac:dyDescent="0.15">
      <c r="A423" s="5">
        <v>2018</v>
      </c>
      <c r="B423" s="3" t="s">
        <v>209</v>
      </c>
      <c r="C423" s="4" t="str">
        <f t="shared" si="202"/>
        <v>0510011</v>
      </c>
      <c r="D423" s="4" t="s">
        <v>574</v>
      </c>
      <c r="E423" s="4" t="str">
        <f>"0510711"</f>
        <v>0510711</v>
      </c>
      <c r="F423" s="4" t="s">
        <v>327</v>
      </c>
      <c r="G423" s="4" t="s">
        <v>338</v>
      </c>
      <c r="H423" s="7">
        <v>5</v>
      </c>
      <c r="I423" s="6"/>
      <c r="J423" s="4" t="s">
        <v>330</v>
      </c>
      <c r="K423" s="7">
        <v>597.52516100000003</v>
      </c>
      <c r="L423" s="7">
        <v>800</v>
      </c>
      <c r="M423" s="7">
        <v>74.690645000000004</v>
      </c>
      <c r="N423" s="7">
        <v>2</v>
      </c>
      <c r="O423" s="7">
        <v>0</v>
      </c>
      <c r="P423" s="7">
        <v>80.287745000000001</v>
      </c>
      <c r="Q423" s="7">
        <v>50</v>
      </c>
      <c r="R423" s="7">
        <v>50</v>
      </c>
      <c r="S423" s="7">
        <v>65.120455000000007</v>
      </c>
      <c r="T423" s="7">
        <v>75</v>
      </c>
      <c r="U423" s="7">
        <v>43.413637000000001</v>
      </c>
      <c r="V423" s="7">
        <v>50</v>
      </c>
      <c r="W423" s="7">
        <v>78.480436999999995</v>
      </c>
      <c r="X423" s="7">
        <v>50</v>
      </c>
      <c r="Y423" s="7">
        <v>50</v>
      </c>
      <c r="Z423" s="7">
        <v>75</v>
      </c>
      <c r="AA423" s="7">
        <v>65.665627999999998</v>
      </c>
      <c r="AB423" s="7">
        <v>43.777085</v>
      </c>
      <c r="AC423" s="7">
        <v>50</v>
      </c>
      <c r="AD423" s="7">
        <v>80.042552999999998</v>
      </c>
      <c r="AE423" s="7">
        <v>50</v>
      </c>
      <c r="AF423" s="7">
        <v>50</v>
      </c>
      <c r="AG423" s="4" t="s">
        <v>124</v>
      </c>
      <c r="AH423" s="7">
        <v>75</v>
      </c>
      <c r="AI423" s="4" t="s">
        <v>124</v>
      </c>
      <c r="AJ423" s="4" t="s">
        <v>124</v>
      </c>
      <c r="AK423" s="7">
        <v>9.8699999999999992</v>
      </c>
      <c r="AL423" s="7">
        <v>9.33</v>
      </c>
      <c r="AM423" s="4" t="s">
        <v>124</v>
      </c>
      <c r="AN423" s="7">
        <v>0.607568</v>
      </c>
      <c r="AO423" s="7">
        <v>60.756802999999998</v>
      </c>
      <c r="AP423" s="7">
        <v>100</v>
      </c>
      <c r="AQ423" s="7">
        <v>0.71676300000000004</v>
      </c>
      <c r="AR423" s="7">
        <v>71.676299</v>
      </c>
      <c r="AS423" s="7">
        <v>100</v>
      </c>
      <c r="AT423" s="7">
        <v>0.42261799999999999</v>
      </c>
      <c r="AU423" s="7">
        <v>0.66327599999999998</v>
      </c>
      <c r="AV423" s="7">
        <v>42.261754000000003</v>
      </c>
      <c r="AW423" s="7">
        <v>100</v>
      </c>
      <c r="AX423" s="7">
        <v>0.61639600000000005</v>
      </c>
      <c r="AY423" s="7">
        <v>0.74699400000000005</v>
      </c>
      <c r="AZ423" s="7">
        <v>61.639581999999997</v>
      </c>
      <c r="BA423" s="7">
        <v>100</v>
      </c>
      <c r="BB423" s="4" t="s">
        <v>124</v>
      </c>
      <c r="BC423" s="4" t="s">
        <v>124</v>
      </c>
      <c r="BD423" s="4" t="s">
        <v>124</v>
      </c>
      <c r="BE423" s="4" t="s">
        <v>124</v>
      </c>
      <c r="BF423" s="4" t="s">
        <v>124</v>
      </c>
      <c r="BG423" s="4" t="s">
        <v>124</v>
      </c>
      <c r="BH423" s="7">
        <v>0</v>
      </c>
      <c r="BI423" s="7">
        <v>1</v>
      </c>
      <c r="BJ423" s="7">
        <v>1</v>
      </c>
      <c r="BK423" s="7">
        <v>1</v>
      </c>
      <c r="BL423" s="7">
        <v>1</v>
      </c>
      <c r="BM423" s="7">
        <v>1</v>
      </c>
      <c r="BN423" s="7">
        <v>1</v>
      </c>
      <c r="BO423" s="7">
        <v>1</v>
      </c>
      <c r="BP423" s="4" t="s">
        <v>124</v>
      </c>
      <c r="BQ423" s="7">
        <v>1</v>
      </c>
      <c r="BR423" s="7">
        <v>1.7441999999999999E-2</v>
      </c>
      <c r="BS423" s="7">
        <v>50</v>
      </c>
      <c r="BT423" s="7">
        <v>50</v>
      </c>
      <c r="BU423" s="7">
        <v>1.3332999999999999E-2</v>
      </c>
      <c r="BV423" s="7">
        <v>50</v>
      </c>
      <c r="BW423" s="7">
        <v>50</v>
      </c>
      <c r="BX423" s="4" t="s">
        <v>124</v>
      </c>
      <c r="BY423" s="4" t="s">
        <v>124</v>
      </c>
      <c r="BZ423" s="4" t="s">
        <v>124</v>
      </c>
      <c r="CA423" s="4" t="s">
        <v>124</v>
      </c>
      <c r="CB423" s="4" t="s">
        <v>124</v>
      </c>
      <c r="CC423" s="4" t="s">
        <v>124</v>
      </c>
      <c r="CD423" s="4" t="s">
        <v>124</v>
      </c>
      <c r="CE423" s="4" t="s">
        <v>124</v>
      </c>
      <c r="CF423" s="4" t="s">
        <v>124</v>
      </c>
      <c r="CG423" s="4" t="s">
        <v>124</v>
      </c>
      <c r="CH423" s="4" t="s">
        <v>124</v>
      </c>
      <c r="CI423" s="4" t="s">
        <v>124</v>
      </c>
      <c r="CJ423" s="4" t="s">
        <v>124</v>
      </c>
      <c r="CK423" s="4" t="s">
        <v>124</v>
      </c>
      <c r="CL423" s="4" t="s">
        <v>124</v>
      </c>
      <c r="CM423" s="4" t="s">
        <v>124</v>
      </c>
      <c r="CN423" s="4" t="s">
        <v>124</v>
      </c>
      <c r="CO423" s="4" t="s">
        <v>124</v>
      </c>
      <c r="CP423" s="4" t="s">
        <v>124</v>
      </c>
      <c r="CQ423" s="7">
        <v>0.72</v>
      </c>
      <c r="CR423" s="7">
        <v>0.75757600000000003</v>
      </c>
      <c r="CS423" s="7">
        <v>24</v>
      </c>
      <c r="CT423" s="7">
        <v>50</v>
      </c>
      <c r="CU423" s="4" t="s">
        <v>124</v>
      </c>
      <c r="CV423" s="4" t="s">
        <v>124</v>
      </c>
      <c r="CW423" s="4" t="s">
        <v>124</v>
      </c>
      <c r="CX423" s="4" t="s">
        <v>124</v>
      </c>
      <c r="CY423" s="4" t="s">
        <v>124</v>
      </c>
      <c r="CZ423" s="4" t="s">
        <v>124</v>
      </c>
      <c r="DA423" s="7">
        <v>15.314097</v>
      </c>
      <c r="DB423" s="7">
        <v>17.400950000000002</v>
      </c>
      <c r="DC423" s="7">
        <v>16.332519999999999</v>
      </c>
      <c r="DD423" s="4" t="s">
        <v>124</v>
      </c>
      <c r="DE423" s="7">
        <v>0</v>
      </c>
      <c r="DF423" s="6"/>
      <c r="DG423" s="6"/>
      <c r="DH423" s="6"/>
      <c r="DI423" s="6"/>
      <c r="DJ423" s="7">
        <v>0</v>
      </c>
      <c r="DK423" s="7">
        <v>0</v>
      </c>
      <c r="DL423" s="7">
        <v>0</v>
      </c>
      <c r="DM423" s="7">
        <v>0</v>
      </c>
      <c r="DN423" s="7">
        <v>0</v>
      </c>
      <c r="DO423" s="7">
        <v>0</v>
      </c>
      <c r="DP423" s="6"/>
      <c r="DQ423" s="4" t="s">
        <v>125</v>
      </c>
    </row>
    <row r="424" spans="1:121" ht="20" customHeight="1" x14ac:dyDescent="0.15">
      <c r="A424" s="5">
        <v>2018</v>
      </c>
      <c r="B424" s="3" t="s">
        <v>209</v>
      </c>
      <c r="C424" s="4" t="str">
        <f t="shared" si="202"/>
        <v>0510011</v>
      </c>
      <c r="D424" s="4" t="s">
        <v>575</v>
      </c>
      <c r="E424" s="4" t="str">
        <f>"0511611"</f>
        <v>0511611</v>
      </c>
      <c r="F424" s="4" t="s">
        <v>327</v>
      </c>
      <c r="G424" s="4" t="s">
        <v>338</v>
      </c>
      <c r="H424" s="7">
        <v>5</v>
      </c>
      <c r="I424" s="6"/>
      <c r="J424" s="4" t="s">
        <v>330</v>
      </c>
      <c r="K424" s="7">
        <v>693.803719</v>
      </c>
      <c r="L424" s="7">
        <v>850</v>
      </c>
      <c r="M424" s="7">
        <v>81.623966999999993</v>
      </c>
      <c r="N424" s="7">
        <v>3</v>
      </c>
      <c r="O424" s="7">
        <v>0</v>
      </c>
      <c r="P424" s="7">
        <v>80.090328999999997</v>
      </c>
      <c r="Q424" s="7">
        <v>50</v>
      </c>
      <c r="R424" s="7">
        <v>50</v>
      </c>
      <c r="S424" s="7">
        <v>69.406628999999995</v>
      </c>
      <c r="T424" s="7">
        <v>75</v>
      </c>
      <c r="U424" s="7">
        <v>46.271085999999997</v>
      </c>
      <c r="V424" s="7">
        <v>50</v>
      </c>
      <c r="W424" s="7">
        <v>74.258712000000003</v>
      </c>
      <c r="X424" s="7">
        <v>49.505808000000002</v>
      </c>
      <c r="Y424" s="7">
        <v>50</v>
      </c>
      <c r="Z424" s="7">
        <v>75</v>
      </c>
      <c r="AA424" s="7">
        <v>62.908267000000002</v>
      </c>
      <c r="AB424" s="7">
        <v>41.938844000000003</v>
      </c>
      <c r="AC424" s="7">
        <v>50</v>
      </c>
      <c r="AD424" s="7">
        <v>74.535572000000002</v>
      </c>
      <c r="AE424" s="7">
        <v>49.690381000000002</v>
      </c>
      <c r="AF424" s="7">
        <v>50</v>
      </c>
      <c r="AG424" s="7">
        <v>67.161289999999994</v>
      </c>
      <c r="AH424" s="7">
        <v>75</v>
      </c>
      <c r="AI424" s="7">
        <v>44.774194000000001</v>
      </c>
      <c r="AJ424" s="7">
        <v>50</v>
      </c>
      <c r="AK424" s="7">
        <v>5.59</v>
      </c>
      <c r="AL424" s="7">
        <v>12.09</v>
      </c>
      <c r="AM424" s="7">
        <v>7.83</v>
      </c>
      <c r="AN424" s="7">
        <v>0.72832699999999995</v>
      </c>
      <c r="AO424" s="7">
        <v>72.832690999999997</v>
      </c>
      <c r="AP424" s="7">
        <v>100</v>
      </c>
      <c r="AQ424" s="7">
        <v>0.72029399999999999</v>
      </c>
      <c r="AR424" s="7">
        <v>72.029426999999998</v>
      </c>
      <c r="AS424" s="7">
        <v>100</v>
      </c>
      <c r="AT424" s="7">
        <v>0.73749600000000004</v>
      </c>
      <c r="AU424" s="7">
        <v>0.72541699999999998</v>
      </c>
      <c r="AV424" s="7">
        <v>73.749639999999999</v>
      </c>
      <c r="AW424" s="7">
        <v>100</v>
      </c>
      <c r="AX424" s="7">
        <v>0.64447500000000002</v>
      </c>
      <c r="AY424" s="7">
        <v>0.74362300000000003</v>
      </c>
      <c r="AZ424" s="7">
        <v>64.447515999999993</v>
      </c>
      <c r="BA424" s="7">
        <v>100</v>
      </c>
      <c r="BB424" s="4" t="s">
        <v>124</v>
      </c>
      <c r="BC424" s="4" t="s">
        <v>124</v>
      </c>
      <c r="BD424" s="4" t="s">
        <v>124</v>
      </c>
      <c r="BE424" s="4" t="s">
        <v>124</v>
      </c>
      <c r="BF424" s="4" t="s">
        <v>124</v>
      </c>
      <c r="BG424" s="4" t="s">
        <v>124</v>
      </c>
      <c r="BH424" s="7">
        <v>1</v>
      </c>
      <c r="BI424" s="7">
        <v>0.96601899999999996</v>
      </c>
      <c r="BJ424" s="7">
        <v>0.88524599999999998</v>
      </c>
      <c r="BK424" s="7">
        <v>1</v>
      </c>
      <c r="BL424" s="7">
        <v>0.96116500000000005</v>
      </c>
      <c r="BM424" s="7">
        <v>0.86885199999999996</v>
      </c>
      <c r="BN424" s="7">
        <v>1</v>
      </c>
      <c r="BO424" s="7">
        <v>0.93670900000000001</v>
      </c>
      <c r="BP424" s="7">
        <v>0.81481499999999996</v>
      </c>
      <c r="BQ424" s="7">
        <v>1</v>
      </c>
      <c r="BR424" s="7">
        <v>5.2909999999999999E-2</v>
      </c>
      <c r="BS424" s="7">
        <v>49.417988999999999</v>
      </c>
      <c r="BT424" s="7">
        <v>50</v>
      </c>
      <c r="BU424" s="7">
        <v>8.0460000000000004E-2</v>
      </c>
      <c r="BV424" s="7">
        <v>43.908045999999999</v>
      </c>
      <c r="BW424" s="7">
        <v>50</v>
      </c>
      <c r="BX424" s="4" t="s">
        <v>124</v>
      </c>
      <c r="BY424" s="4" t="s">
        <v>124</v>
      </c>
      <c r="BZ424" s="4" t="s">
        <v>124</v>
      </c>
      <c r="CA424" s="4" t="s">
        <v>124</v>
      </c>
      <c r="CB424" s="4" t="s">
        <v>124</v>
      </c>
      <c r="CC424" s="4" t="s">
        <v>124</v>
      </c>
      <c r="CD424" s="4" t="s">
        <v>124</v>
      </c>
      <c r="CE424" s="4" t="s">
        <v>124</v>
      </c>
      <c r="CF424" s="4" t="s">
        <v>124</v>
      </c>
      <c r="CG424" s="4" t="s">
        <v>124</v>
      </c>
      <c r="CH424" s="4" t="s">
        <v>124</v>
      </c>
      <c r="CI424" s="4" t="s">
        <v>124</v>
      </c>
      <c r="CJ424" s="4" t="s">
        <v>124</v>
      </c>
      <c r="CK424" s="4" t="s">
        <v>124</v>
      </c>
      <c r="CL424" s="4" t="s">
        <v>124</v>
      </c>
      <c r="CM424" s="4" t="s">
        <v>124</v>
      </c>
      <c r="CN424" s="4" t="s">
        <v>124</v>
      </c>
      <c r="CO424" s="4" t="s">
        <v>124</v>
      </c>
      <c r="CP424" s="4" t="s">
        <v>124</v>
      </c>
      <c r="CQ424" s="7">
        <v>0.52857100000000001</v>
      </c>
      <c r="CR424" s="7">
        <v>1</v>
      </c>
      <c r="CS424" s="7">
        <v>35.238095000000001</v>
      </c>
      <c r="CT424" s="7">
        <v>50</v>
      </c>
      <c r="CU424" s="4" t="s">
        <v>124</v>
      </c>
      <c r="CV424" s="4" t="s">
        <v>124</v>
      </c>
      <c r="CW424" s="4" t="s">
        <v>124</v>
      </c>
      <c r="CX424" s="4" t="s">
        <v>124</v>
      </c>
      <c r="CY424" s="4" t="s">
        <v>124</v>
      </c>
      <c r="CZ424" s="4" t="s">
        <v>124</v>
      </c>
      <c r="DA424" s="7">
        <v>15.314097</v>
      </c>
      <c r="DB424" s="7">
        <v>17.400950000000002</v>
      </c>
      <c r="DC424" s="7">
        <v>16.332519999999999</v>
      </c>
      <c r="DD424" s="4" t="s">
        <v>124</v>
      </c>
      <c r="DE424" s="7">
        <v>1</v>
      </c>
      <c r="DF424" s="6"/>
      <c r="DG424" s="6"/>
      <c r="DH424" s="6"/>
      <c r="DI424" s="6"/>
      <c r="DJ424" s="7">
        <v>0</v>
      </c>
      <c r="DK424" s="7">
        <v>0</v>
      </c>
      <c r="DL424" s="7">
        <v>0</v>
      </c>
      <c r="DM424" s="7">
        <v>0</v>
      </c>
      <c r="DN424" s="7">
        <v>0</v>
      </c>
      <c r="DO424" s="7">
        <v>0</v>
      </c>
      <c r="DP424" s="6"/>
      <c r="DQ424" s="4" t="s">
        <v>125</v>
      </c>
    </row>
    <row r="425" spans="1:121" ht="20" customHeight="1" x14ac:dyDescent="0.15">
      <c r="A425" s="5">
        <v>2018</v>
      </c>
      <c r="B425" s="3" t="s">
        <v>209</v>
      </c>
      <c r="C425" s="4" t="str">
        <f t="shared" si="202"/>
        <v>0510011</v>
      </c>
      <c r="D425" s="4" t="s">
        <v>576</v>
      </c>
      <c r="E425" s="4" t="str">
        <f>"0511811"</f>
        <v>0511811</v>
      </c>
      <c r="F425" s="4" t="s">
        <v>327</v>
      </c>
      <c r="G425" s="4" t="s">
        <v>338</v>
      </c>
      <c r="H425" s="7">
        <v>5</v>
      </c>
      <c r="I425" s="6"/>
      <c r="J425" s="4" t="s">
        <v>330</v>
      </c>
      <c r="K425" s="7">
        <v>651.43869099999995</v>
      </c>
      <c r="L425" s="7">
        <v>800</v>
      </c>
      <c r="M425" s="7">
        <v>81.429835999999995</v>
      </c>
      <c r="N425" s="7">
        <v>3</v>
      </c>
      <c r="O425" s="7">
        <v>0</v>
      </c>
      <c r="P425" s="7">
        <v>79.142955999999998</v>
      </c>
      <c r="Q425" s="7">
        <v>50</v>
      </c>
      <c r="R425" s="7">
        <v>50</v>
      </c>
      <c r="S425" s="7">
        <v>65.192684</v>
      </c>
      <c r="T425" s="7">
        <v>75</v>
      </c>
      <c r="U425" s="7">
        <v>43.461789000000003</v>
      </c>
      <c r="V425" s="7">
        <v>50</v>
      </c>
      <c r="W425" s="7">
        <v>77.958026000000004</v>
      </c>
      <c r="X425" s="7">
        <v>50</v>
      </c>
      <c r="Y425" s="7">
        <v>50</v>
      </c>
      <c r="Z425" s="7">
        <v>75</v>
      </c>
      <c r="AA425" s="7">
        <v>61.049596999999999</v>
      </c>
      <c r="AB425" s="7">
        <v>40.699731999999997</v>
      </c>
      <c r="AC425" s="7">
        <v>50</v>
      </c>
      <c r="AD425" s="7">
        <v>81.345122000000003</v>
      </c>
      <c r="AE425" s="7">
        <v>50</v>
      </c>
      <c r="AF425" s="7">
        <v>50</v>
      </c>
      <c r="AG425" s="4" t="s">
        <v>124</v>
      </c>
      <c r="AH425" s="7">
        <v>75</v>
      </c>
      <c r="AI425" s="4" t="s">
        <v>124</v>
      </c>
      <c r="AJ425" s="4" t="s">
        <v>124</v>
      </c>
      <c r="AK425" s="7">
        <v>9.8000000000000007</v>
      </c>
      <c r="AL425" s="7">
        <v>13.95</v>
      </c>
      <c r="AM425" s="4" t="s">
        <v>124</v>
      </c>
      <c r="AN425" s="7">
        <v>0.70082100000000003</v>
      </c>
      <c r="AO425" s="7">
        <v>70.082117999999994</v>
      </c>
      <c r="AP425" s="7">
        <v>100</v>
      </c>
      <c r="AQ425" s="7">
        <v>0.71158399999999999</v>
      </c>
      <c r="AR425" s="7">
        <v>71.158427000000003</v>
      </c>
      <c r="AS425" s="7">
        <v>100</v>
      </c>
      <c r="AT425" s="7">
        <v>0.59446299999999996</v>
      </c>
      <c r="AU425" s="7">
        <v>0.72108000000000005</v>
      </c>
      <c r="AV425" s="7">
        <v>59.446280999999999</v>
      </c>
      <c r="AW425" s="7">
        <v>100</v>
      </c>
      <c r="AX425" s="7">
        <v>0.72499400000000003</v>
      </c>
      <c r="AY425" s="7">
        <v>0.70913599999999999</v>
      </c>
      <c r="AZ425" s="7">
        <v>72.499435000000005</v>
      </c>
      <c r="BA425" s="7">
        <v>100</v>
      </c>
      <c r="BB425" s="4" t="s">
        <v>124</v>
      </c>
      <c r="BC425" s="4" t="s">
        <v>124</v>
      </c>
      <c r="BD425" s="4" t="s">
        <v>124</v>
      </c>
      <c r="BE425" s="4" t="s">
        <v>124</v>
      </c>
      <c r="BF425" s="4" t="s">
        <v>124</v>
      </c>
      <c r="BG425" s="4" t="s">
        <v>124</v>
      </c>
      <c r="BH425" s="7">
        <v>1</v>
      </c>
      <c r="BI425" s="7">
        <v>0.99074099999999998</v>
      </c>
      <c r="BJ425" s="7">
        <v>0.953488</v>
      </c>
      <c r="BK425" s="7">
        <v>1</v>
      </c>
      <c r="BL425" s="7">
        <v>0.98611099999999996</v>
      </c>
      <c r="BM425" s="7">
        <v>0.93023299999999998</v>
      </c>
      <c r="BN425" s="7">
        <v>1</v>
      </c>
      <c r="BO425" s="7">
        <v>0.96511599999999997</v>
      </c>
      <c r="BP425" s="4" t="s">
        <v>124</v>
      </c>
      <c r="BQ425" s="7">
        <v>1</v>
      </c>
      <c r="BR425" s="7">
        <v>4.7732999999999998E-2</v>
      </c>
      <c r="BS425" s="7">
        <v>50</v>
      </c>
      <c r="BT425" s="7">
        <v>50</v>
      </c>
      <c r="BU425" s="7">
        <v>7.9545000000000005E-2</v>
      </c>
      <c r="BV425" s="7">
        <v>44.090909000000003</v>
      </c>
      <c r="BW425" s="7">
        <v>50</v>
      </c>
      <c r="BX425" s="4" t="s">
        <v>124</v>
      </c>
      <c r="BY425" s="4" t="s">
        <v>124</v>
      </c>
      <c r="BZ425" s="4" t="s">
        <v>124</v>
      </c>
      <c r="CA425" s="4" t="s">
        <v>124</v>
      </c>
      <c r="CB425" s="4" t="s">
        <v>124</v>
      </c>
      <c r="CC425" s="4" t="s">
        <v>124</v>
      </c>
      <c r="CD425" s="4" t="s">
        <v>124</v>
      </c>
      <c r="CE425" s="4" t="s">
        <v>124</v>
      </c>
      <c r="CF425" s="4" t="s">
        <v>124</v>
      </c>
      <c r="CG425" s="4" t="s">
        <v>124</v>
      </c>
      <c r="CH425" s="4" t="s">
        <v>124</v>
      </c>
      <c r="CI425" s="4" t="s">
        <v>124</v>
      </c>
      <c r="CJ425" s="4" t="s">
        <v>124</v>
      </c>
      <c r="CK425" s="4" t="s">
        <v>124</v>
      </c>
      <c r="CL425" s="4" t="s">
        <v>124</v>
      </c>
      <c r="CM425" s="4" t="s">
        <v>124</v>
      </c>
      <c r="CN425" s="4" t="s">
        <v>124</v>
      </c>
      <c r="CO425" s="4" t="s">
        <v>124</v>
      </c>
      <c r="CP425" s="4" t="s">
        <v>124</v>
      </c>
      <c r="CQ425" s="7">
        <v>0.776119</v>
      </c>
      <c r="CR425" s="7">
        <v>0.985294</v>
      </c>
      <c r="CS425" s="7">
        <v>50</v>
      </c>
      <c r="CT425" s="7">
        <v>50</v>
      </c>
      <c r="CU425" s="4" t="s">
        <v>124</v>
      </c>
      <c r="CV425" s="4" t="s">
        <v>124</v>
      </c>
      <c r="CW425" s="4" t="s">
        <v>124</v>
      </c>
      <c r="CX425" s="4" t="s">
        <v>124</v>
      </c>
      <c r="CY425" s="4" t="s">
        <v>124</v>
      </c>
      <c r="CZ425" s="4" t="s">
        <v>124</v>
      </c>
      <c r="DA425" s="7">
        <v>15.314097</v>
      </c>
      <c r="DB425" s="7">
        <v>17.400950000000002</v>
      </c>
      <c r="DC425" s="7">
        <v>16.332519999999999</v>
      </c>
      <c r="DD425" s="4" t="s">
        <v>124</v>
      </c>
      <c r="DE425" s="7">
        <v>1</v>
      </c>
      <c r="DF425" s="6"/>
      <c r="DG425" s="6"/>
      <c r="DH425" s="6"/>
      <c r="DI425" s="6"/>
      <c r="DJ425" s="7">
        <v>0</v>
      </c>
      <c r="DK425" s="7">
        <v>0</v>
      </c>
      <c r="DL425" s="7">
        <v>0</v>
      </c>
      <c r="DM425" s="7">
        <v>0</v>
      </c>
      <c r="DN425" s="7">
        <v>0</v>
      </c>
      <c r="DO425" s="7">
        <v>0</v>
      </c>
      <c r="DP425" s="6"/>
      <c r="DQ425" s="4" t="s">
        <v>125</v>
      </c>
    </row>
    <row r="426" spans="1:121" ht="20" customHeight="1" x14ac:dyDescent="0.15">
      <c r="A426" s="5">
        <v>2018</v>
      </c>
      <c r="B426" s="3" t="s">
        <v>209</v>
      </c>
      <c r="C426" s="4" t="str">
        <f t="shared" si="202"/>
        <v>0510011</v>
      </c>
      <c r="D426" s="4" t="s">
        <v>577</v>
      </c>
      <c r="E426" s="4" t="str">
        <f>"0511211"</f>
        <v>0511211</v>
      </c>
      <c r="F426" s="4" t="s">
        <v>327</v>
      </c>
      <c r="G426" s="4" t="s">
        <v>338</v>
      </c>
      <c r="H426" s="7">
        <v>5</v>
      </c>
      <c r="I426" s="6"/>
      <c r="J426" s="4" t="s">
        <v>330</v>
      </c>
      <c r="K426" s="7">
        <v>560.63141399999995</v>
      </c>
      <c r="L426" s="7">
        <v>600</v>
      </c>
      <c r="M426" s="7">
        <v>93.438569000000001</v>
      </c>
      <c r="N426" s="7">
        <v>2</v>
      </c>
      <c r="O426" s="7">
        <v>0</v>
      </c>
      <c r="P426" s="7">
        <v>85.356189999999998</v>
      </c>
      <c r="Q426" s="7">
        <v>50</v>
      </c>
      <c r="R426" s="7">
        <v>50</v>
      </c>
      <c r="S426" s="7">
        <v>73.816996000000003</v>
      </c>
      <c r="T426" s="7">
        <v>75</v>
      </c>
      <c r="U426" s="7">
        <v>49.211329999999997</v>
      </c>
      <c r="V426" s="7">
        <v>50</v>
      </c>
      <c r="W426" s="7">
        <v>82.186300000000003</v>
      </c>
      <c r="X426" s="7">
        <v>50</v>
      </c>
      <c r="Y426" s="7">
        <v>50</v>
      </c>
      <c r="Z426" s="7">
        <v>75</v>
      </c>
      <c r="AA426" s="7">
        <v>71.782348999999996</v>
      </c>
      <c r="AB426" s="7">
        <v>47.854899000000003</v>
      </c>
      <c r="AC426" s="7">
        <v>50</v>
      </c>
      <c r="AD426" s="7">
        <v>83.085218999999995</v>
      </c>
      <c r="AE426" s="7">
        <v>50</v>
      </c>
      <c r="AF426" s="7">
        <v>50</v>
      </c>
      <c r="AG426" s="4" t="s">
        <v>124</v>
      </c>
      <c r="AH426" s="7">
        <v>75</v>
      </c>
      <c r="AI426" s="4" t="s">
        <v>124</v>
      </c>
      <c r="AJ426" s="4" t="s">
        <v>124</v>
      </c>
      <c r="AK426" s="7">
        <v>1.18</v>
      </c>
      <c r="AL426" s="7">
        <v>3.21</v>
      </c>
      <c r="AM426" s="4" t="s">
        <v>124</v>
      </c>
      <c r="AN426" s="7">
        <v>0.83680200000000005</v>
      </c>
      <c r="AO426" s="7">
        <v>83.680204000000003</v>
      </c>
      <c r="AP426" s="7">
        <v>100</v>
      </c>
      <c r="AQ426" s="7">
        <v>0.83969499999999997</v>
      </c>
      <c r="AR426" s="7">
        <v>83.969487000000001</v>
      </c>
      <c r="AS426" s="7">
        <v>100</v>
      </c>
      <c r="AT426" s="4" t="s">
        <v>124</v>
      </c>
      <c r="AU426" s="7">
        <v>0.86536599999999997</v>
      </c>
      <c r="AV426" s="4" t="s">
        <v>124</v>
      </c>
      <c r="AW426" s="4" t="s">
        <v>124</v>
      </c>
      <c r="AX426" s="4" t="s">
        <v>124</v>
      </c>
      <c r="AY426" s="7">
        <v>0.86077300000000001</v>
      </c>
      <c r="AZ426" s="4" t="s">
        <v>124</v>
      </c>
      <c r="BA426" s="4" t="s">
        <v>124</v>
      </c>
      <c r="BB426" s="4" t="s">
        <v>124</v>
      </c>
      <c r="BC426" s="4" t="s">
        <v>124</v>
      </c>
      <c r="BD426" s="4" t="s">
        <v>124</v>
      </c>
      <c r="BE426" s="4" t="s">
        <v>124</v>
      </c>
      <c r="BF426" s="4" t="s">
        <v>124</v>
      </c>
      <c r="BG426" s="4" t="s">
        <v>124</v>
      </c>
      <c r="BH426" s="7">
        <v>1</v>
      </c>
      <c r="BI426" s="7">
        <v>0.98636400000000002</v>
      </c>
      <c r="BJ426" s="7">
        <v>0.91666700000000001</v>
      </c>
      <c r="BK426" s="7">
        <v>1</v>
      </c>
      <c r="BL426" s="7">
        <v>0.98636400000000002</v>
      </c>
      <c r="BM426" s="7">
        <v>0.91666700000000001</v>
      </c>
      <c r="BN426" s="7">
        <v>1</v>
      </c>
      <c r="BO426" s="7">
        <v>0.97297299999999998</v>
      </c>
      <c r="BP426" s="4" t="s">
        <v>124</v>
      </c>
      <c r="BQ426" s="7">
        <v>1</v>
      </c>
      <c r="BR426" s="7">
        <v>3.3815999999999999E-2</v>
      </c>
      <c r="BS426" s="7">
        <v>50</v>
      </c>
      <c r="BT426" s="7">
        <v>50</v>
      </c>
      <c r="BU426" s="7">
        <v>7.0422999999999999E-2</v>
      </c>
      <c r="BV426" s="7">
        <v>45.915492999999998</v>
      </c>
      <c r="BW426" s="7">
        <v>50</v>
      </c>
      <c r="BX426" s="4" t="s">
        <v>124</v>
      </c>
      <c r="BY426" s="4" t="s">
        <v>124</v>
      </c>
      <c r="BZ426" s="4" t="s">
        <v>124</v>
      </c>
      <c r="CA426" s="4" t="s">
        <v>124</v>
      </c>
      <c r="CB426" s="4" t="s">
        <v>124</v>
      </c>
      <c r="CC426" s="4" t="s">
        <v>124</v>
      </c>
      <c r="CD426" s="4" t="s">
        <v>124</v>
      </c>
      <c r="CE426" s="4" t="s">
        <v>124</v>
      </c>
      <c r="CF426" s="4" t="s">
        <v>124</v>
      </c>
      <c r="CG426" s="4" t="s">
        <v>124</v>
      </c>
      <c r="CH426" s="4" t="s">
        <v>124</v>
      </c>
      <c r="CI426" s="4" t="s">
        <v>124</v>
      </c>
      <c r="CJ426" s="4" t="s">
        <v>124</v>
      </c>
      <c r="CK426" s="4" t="s">
        <v>124</v>
      </c>
      <c r="CL426" s="4" t="s">
        <v>124</v>
      </c>
      <c r="CM426" s="4" t="s">
        <v>124</v>
      </c>
      <c r="CN426" s="4" t="s">
        <v>124</v>
      </c>
      <c r="CO426" s="4" t="s">
        <v>124</v>
      </c>
      <c r="CP426" s="4" t="s">
        <v>124</v>
      </c>
      <c r="CQ426" s="7">
        <v>0.86301399999999995</v>
      </c>
      <c r="CR426" s="7">
        <v>0.94805200000000001</v>
      </c>
      <c r="CS426" s="7">
        <v>50</v>
      </c>
      <c r="CT426" s="7">
        <v>50</v>
      </c>
      <c r="CU426" s="4" t="s">
        <v>124</v>
      </c>
      <c r="CV426" s="4" t="s">
        <v>124</v>
      </c>
      <c r="CW426" s="4" t="s">
        <v>124</v>
      </c>
      <c r="CX426" s="4" t="s">
        <v>124</v>
      </c>
      <c r="CY426" s="4" t="s">
        <v>124</v>
      </c>
      <c r="CZ426" s="4" t="s">
        <v>124</v>
      </c>
      <c r="DA426" s="7">
        <v>15.314097</v>
      </c>
      <c r="DB426" s="7">
        <v>17.400950000000002</v>
      </c>
      <c r="DC426" s="7">
        <v>16.332519999999999</v>
      </c>
      <c r="DD426" s="4" t="s">
        <v>124</v>
      </c>
      <c r="DE426" s="7">
        <v>1</v>
      </c>
      <c r="DF426" s="6"/>
      <c r="DG426" s="6"/>
      <c r="DH426" s="6"/>
      <c r="DI426" s="6"/>
      <c r="DJ426" s="7">
        <v>0</v>
      </c>
      <c r="DK426" s="7">
        <v>0</v>
      </c>
      <c r="DL426" s="7">
        <v>0</v>
      </c>
      <c r="DM426" s="7">
        <v>0</v>
      </c>
      <c r="DN426" s="7">
        <v>0</v>
      </c>
      <c r="DO426" s="7">
        <v>0</v>
      </c>
      <c r="DP426" s="6"/>
      <c r="DQ426" s="4" t="s">
        <v>125</v>
      </c>
    </row>
    <row r="427" spans="1:121" ht="20" customHeight="1" x14ac:dyDescent="0.15">
      <c r="A427" s="5">
        <v>2018</v>
      </c>
      <c r="B427" s="3" t="s">
        <v>209</v>
      </c>
      <c r="C427" s="4" t="str">
        <f t="shared" si="202"/>
        <v>0510011</v>
      </c>
      <c r="D427" s="4" t="s">
        <v>578</v>
      </c>
      <c r="E427" s="4" t="str">
        <f>"0515311"</f>
        <v>0515311</v>
      </c>
      <c r="F427" s="4" t="s">
        <v>327</v>
      </c>
      <c r="G427" s="7">
        <v>6</v>
      </c>
      <c r="H427" s="7">
        <v>8</v>
      </c>
      <c r="I427" s="6"/>
      <c r="J427" s="4" t="s">
        <v>330</v>
      </c>
      <c r="K427" s="7">
        <v>708.78348600000004</v>
      </c>
      <c r="L427" s="7">
        <v>900</v>
      </c>
      <c r="M427" s="7">
        <v>78.753720999999999</v>
      </c>
      <c r="N427" s="7">
        <v>2</v>
      </c>
      <c r="O427" s="7">
        <v>0</v>
      </c>
      <c r="P427" s="7">
        <v>81.983656999999994</v>
      </c>
      <c r="Q427" s="7">
        <v>50</v>
      </c>
      <c r="R427" s="7">
        <v>50</v>
      </c>
      <c r="S427" s="7">
        <v>68.699813000000006</v>
      </c>
      <c r="T427" s="7">
        <v>75</v>
      </c>
      <c r="U427" s="7">
        <v>45.799875</v>
      </c>
      <c r="V427" s="7">
        <v>50</v>
      </c>
      <c r="W427" s="7">
        <v>78.153735999999995</v>
      </c>
      <c r="X427" s="7">
        <v>50</v>
      </c>
      <c r="Y427" s="7">
        <v>50</v>
      </c>
      <c r="Z427" s="7">
        <v>75</v>
      </c>
      <c r="AA427" s="7">
        <v>62.972425999999999</v>
      </c>
      <c r="AB427" s="7">
        <v>41.981617</v>
      </c>
      <c r="AC427" s="7">
        <v>50</v>
      </c>
      <c r="AD427" s="7">
        <v>77.229167000000004</v>
      </c>
      <c r="AE427" s="7">
        <v>50</v>
      </c>
      <c r="AF427" s="7">
        <v>50</v>
      </c>
      <c r="AG427" s="7">
        <v>62.577961000000002</v>
      </c>
      <c r="AH427" s="7">
        <v>75</v>
      </c>
      <c r="AI427" s="7">
        <v>41.718640999999998</v>
      </c>
      <c r="AJ427" s="7">
        <v>50</v>
      </c>
      <c r="AK427" s="7">
        <v>6.3</v>
      </c>
      <c r="AL427" s="7">
        <v>12.02</v>
      </c>
      <c r="AM427" s="7">
        <v>12.42</v>
      </c>
      <c r="AN427" s="7">
        <v>0.58763900000000002</v>
      </c>
      <c r="AO427" s="7">
        <v>58.763933999999999</v>
      </c>
      <c r="AP427" s="7">
        <v>100</v>
      </c>
      <c r="AQ427" s="7">
        <v>0.71621000000000001</v>
      </c>
      <c r="AR427" s="7">
        <v>71.621020999999999</v>
      </c>
      <c r="AS427" s="7">
        <v>100</v>
      </c>
      <c r="AT427" s="7">
        <v>0.54536099999999998</v>
      </c>
      <c r="AU427" s="7">
        <v>0.596777</v>
      </c>
      <c r="AV427" s="7">
        <v>54.536133</v>
      </c>
      <c r="AW427" s="7">
        <v>100</v>
      </c>
      <c r="AX427" s="7">
        <v>0.57452599999999998</v>
      </c>
      <c r="AY427" s="7">
        <v>0.74640200000000001</v>
      </c>
      <c r="AZ427" s="7">
        <v>57.452559999999998</v>
      </c>
      <c r="BA427" s="7">
        <v>100</v>
      </c>
      <c r="BB427" s="4" t="s">
        <v>124</v>
      </c>
      <c r="BC427" s="4" t="s">
        <v>124</v>
      </c>
      <c r="BD427" s="4" t="s">
        <v>124</v>
      </c>
      <c r="BE427" s="4" t="s">
        <v>124</v>
      </c>
      <c r="BF427" s="4" t="s">
        <v>124</v>
      </c>
      <c r="BG427" s="4" t="s">
        <v>124</v>
      </c>
      <c r="BH427" s="7">
        <v>0</v>
      </c>
      <c r="BI427" s="7">
        <v>0.99757300000000004</v>
      </c>
      <c r="BJ427" s="7">
        <v>0.99382700000000002</v>
      </c>
      <c r="BK427" s="7">
        <v>0.99848899999999996</v>
      </c>
      <c r="BL427" s="7">
        <v>0.99635899999999999</v>
      </c>
      <c r="BM427" s="7">
        <v>0.98765400000000003</v>
      </c>
      <c r="BN427" s="7">
        <v>0.99848899999999996</v>
      </c>
      <c r="BO427" s="7">
        <v>0.98765400000000003</v>
      </c>
      <c r="BP427" s="7">
        <v>0.95833299999999999</v>
      </c>
      <c r="BQ427" s="7">
        <v>0.99487199999999998</v>
      </c>
      <c r="BR427" s="7">
        <v>5.1033000000000002E-2</v>
      </c>
      <c r="BS427" s="7">
        <v>49.793438999999999</v>
      </c>
      <c r="BT427" s="7">
        <v>50</v>
      </c>
      <c r="BU427" s="7">
        <v>8.1761E-2</v>
      </c>
      <c r="BV427" s="7">
        <v>43.647798999999999</v>
      </c>
      <c r="BW427" s="7">
        <v>50</v>
      </c>
      <c r="BX427" s="4" t="s">
        <v>124</v>
      </c>
      <c r="BY427" s="4" t="s">
        <v>124</v>
      </c>
      <c r="BZ427" s="4" t="s">
        <v>124</v>
      </c>
      <c r="CA427" s="4" t="s">
        <v>124</v>
      </c>
      <c r="CB427" s="4" t="s">
        <v>124</v>
      </c>
      <c r="CC427" s="4" t="s">
        <v>124</v>
      </c>
      <c r="CD427" s="7">
        <v>0.98007999999999995</v>
      </c>
      <c r="CE427" s="7">
        <v>50</v>
      </c>
      <c r="CF427" s="7">
        <v>50</v>
      </c>
      <c r="CG427" s="4" t="s">
        <v>124</v>
      </c>
      <c r="CH427" s="4" t="s">
        <v>124</v>
      </c>
      <c r="CI427" s="4" t="s">
        <v>124</v>
      </c>
      <c r="CJ427" s="4" t="s">
        <v>124</v>
      </c>
      <c r="CK427" s="4" t="s">
        <v>124</v>
      </c>
      <c r="CL427" s="4" t="s">
        <v>124</v>
      </c>
      <c r="CM427" s="4" t="s">
        <v>124</v>
      </c>
      <c r="CN427" s="4" t="s">
        <v>124</v>
      </c>
      <c r="CO427" s="4" t="s">
        <v>124</v>
      </c>
      <c r="CP427" s="4" t="s">
        <v>124</v>
      </c>
      <c r="CQ427" s="7">
        <v>0.65202700000000002</v>
      </c>
      <c r="CR427" s="7">
        <v>1.1792830000000001</v>
      </c>
      <c r="CS427" s="7">
        <v>43.468468000000001</v>
      </c>
      <c r="CT427" s="7">
        <v>50</v>
      </c>
      <c r="CU427" s="4" t="s">
        <v>124</v>
      </c>
      <c r="CV427" s="4" t="s">
        <v>124</v>
      </c>
      <c r="CW427" s="4" t="s">
        <v>124</v>
      </c>
      <c r="CX427" s="4" t="s">
        <v>124</v>
      </c>
      <c r="CY427" s="4" t="s">
        <v>124</v>
      </c>
      <c r="CZ427" s="4" t="s">
        <v>124</v>
      </c>
      <c r="DA427" s="7">
        <v>15.314097</v>
      </c>
      <c r="DB427" s="7">
        <v>17.400950000000002</v>
      </c>
      <c r="DC427" s="7">
        <v>16.332519999999999</v>
      </c>
      <c r="DD427" s="4" t="s">
        <v>124</v>
      </c>
      <c r="DE427" s="7">
        <v>0</v>
      </c>
      <c r="DF427" s="6"/>
      <c r="DG427" s="6"/>
      <c r="DH427" s="6"/>
      <c r="DI427" s="6"/>
      <c r="DJ427" s="7">
        <v>0</v>
      </c>
      <c r="DK427" s="7">
        <v>0</v>
      </c>
      <c r="DL427" s="7">
        <v>0</v>
      </c>
      <c r="DM427" s="7">
        <v>0</v>
      </c>
      <c r="DN427" s="7">
        <v>0</v>
      </c>
      <c r="DO427" s="7">
        <v>0</v>
      </c>
      <c r="DP427" s="6"/>
      <c r="DQ427" s="4" t="s">
        <v>125</v>
      </c>
    </row>
    <row r="428" spans="1:121" ht="20" customHeight="1" x14ac:dyDescent="0.15">
      <c r="A428" s="5">
        <v>2018</v>
      </c>
      <c r="B428" s="3" t="s">
        <v>209</v>
      </c>
      <c r="C428" s="4" t="str">
        <f t="shared" si="202"/>
        <v>0510011</v>
      </c>
      <c r="D428" s="4" t="s">
        <v>579</v>
      </c>
      <c r="E428" s="4" t="str">
        <f>"0511311"</f>
        <v>0511311</v>
      </c>
      <c r="F428" s="4" t="s">
        <v>327</v>
      </c>
      <c r="G428" s="4" t="s">
        <v>338</v>
      </c>
      <c r="H428" s="7">
        <v>5</v>
      </c>
      <c r="I428" s="6"/>
      <c r="J428" s="4" t="s">
        <v>330</v>
      </c>
      <c r="K428" s="7">
        <v>705.564165</v>
      </c>
      <c r="L428" s="7">
        <v>800</v>
      </c>
      <c r="M428" s="7">
        <v>88.195520999999999</v>
      </c>
      <c r="N428" s="7">
        <v>1</v>
      </c>
      <c r="O428" s="7">
        <v>0</v>
      </c>
      <c r="P428" s="7">
        <v>84.868144000000001</v>
      </c>
      <c r="Q428" s="7">
        <v>50</v>
      </c>
      <c r="R428" s="7">
        <v>50</v>
      </c>
      <c r="S428" s="7">
        <v>79.409043999999994</v>
      </c>
      <c r="T428" s="7">
        <v>75</v>
      </c>
      <c r="U428" s="7">
        <v>50</v>
      </c>
      <c r="V428" s="7">
        <v>50</v>
      </c>
      <c r="W428" s="7">
        <v>83.249180999999993</v>
      </c>
      <c r="X428" s="7">
        <v>50</v>
      </c>
      <c r="Y428" s="7">
        <v>50</v>
      </c>
      <c r="Z428" s="7">
        <v>75</v>
      </c>
      <c r="AA428" s="7">
        <v>78.492092</v>
      </c>
      <c r="AB428" s="7">
        <v>50</v>
      </c>
      <c r="AC428" s="7">
        <v>50</v>
      </c>
      <c r="AD428" s="7">
        <v>79.146000999999998</v>
      </c>
      <c r="AE428" s="7">
        <v>50</v>
      </c>
      <c r="AF428" s="7">
        <v>50</v>
      </c>
      <c r="AG428" s="4" t="s">
        <v>124</v>
      </c>
      <c r="AH428" s="7">
        <v>75</v>
      </c>
      <c r="AI428" s="4" t="s">
        <v>124</v>
      </c>
      <c r="AJ428" s="4" t="s">
        <v>124</v>
      </c>
      <c r="AK428" s="7">
        <v>-4.4000000000000004</v>
      </c>
      <c r="AL428" s="7">
        <v>-3.49</v>
      </c>
      <c r="AM428" s="4" t="s">
        <v>124</v>
      </c>
      <c r="AN428" s="7">
        <v>0.80228699999999997</v>
      </c>
      <c r="AO428" s="7">
        <v>80.22869</v>
      </c>
      <c r="AP428" s="7">
        <v>100</v>
      </c>
      <c r="AQ428" s="7">
        <v>0.79683999999999999</v>
      </c>
      <c r="AR428" s="7">
        <v>79.683998000000003</v>
      </c>
      <c r="AS428" s="7">
        <v>100</v>
      </c>
      <c r="AT428" s="7">
        <v>0.756965</v>
      </c>
      <c r="AU428" s="7">
        <v>0.811639</v>
      </c>
      <c r="AV428" s="7">
        <v>75.696470000000005</v>
      </c>
      <c r="AW428" s="7">
        <v>100</v>
      </c>
      <c r="AX428" s="7">
        <v>0.83908899999999997</v>
      </c>
      <c r="AY428" s="7">
        <v>0.78812199999999999</v>
      </c>
      <c r="AZ428" s="7">
        <v>83.908936999999995</v>
      </c>
      <c r="BA428" s="7">
        <v>100</v>
      </c>
      <c r="BB428" s="4" t="s">
        <v>124</v>
      </c>
      <c r="BC428" s="4" t="s">
        <v>124</v>
      </c>
      <c r="BD428" s="4" t="s">
        <v>124</v>
      </c>
      <c r="BE428" s="4" t="s">
        <v>124</v>
      </c>
      <c r="BF428" s="4" t="s">
        <v>124</v>
      </c>
      <c r="BG428" s="4" t="s">
        <v>124</v>
      </c>
      <c r="BH428" s="7">
        <v>0</v>
      </c>
      <c r="BI428" s="7">
        <v>1</v>
      </c>
      <c r="BJ428" s="7">
        <v>1</v>
      </c>
      <c r="BK428" s="7">
        <v>1</v>
      </c>
      <c r="BL428" s="7">
        <v>1</v>
      </c>
      <c r="BM428" s="7">
        <v>1</v>
      </c>
      <c r="BN428" s="7">
        <v>1</v>
      </c>
      <c r="BO428" s="7">
        <v>0.98969099999999999</v>
      </c>
      <c r="BP428" s="4" t="s">
        <v>124</v>
      </c>
      <c r="BQ428" s="7">
        <v>0.98717900000000003</v>
      </c>
      <c r="BR428" s="7">
        <v>5.1802000000000001E-2</v>
      </c>
      <c r="BS428" s="7">
        <v>49.63964</v>
      </c>
      <c r="BT428" s="7">
        <v>50</v>
      </c>
      <c r="BU428" s="7">
        <v>7.6923000000000005E-2</v>
      </c>
      <c r="BV428" s="7">
        <v>44.615385000000003</v>
      </c>
      <c r="BW428" s="7">
        <v>50</v>
      </c>
      <c r="BX428" s="4" t="s">
        <v>124</v>
      </c>
      <c r="BY428" s="4" t="s">
        <v>124</v>
      </c>
      <c r="BZ428" s="4" t="s">
        <v>124</v>
      </c>
      <c r="CA428" s="4" t="s">
        <v>124</v>
      </c>
      <c r="CB428" s="4" t="s">
        <v>124</v>
      </c>
      <c r="CC428" s="4" t="s">
        <v>124</v>
      </c>
      <c r="CD428" s="4" t="s">
        <v>124</v>
      </c>
      <c r="CE428" s="4" t="s">
        <v>124</v>
      </c>
      <c r="CF428" s="4" t="s">
        <v>124</v>
      </c>
      <c r="CG428" s="4" t="s">
        <v>124</v>
      </c>
      <c r="CH428" s="4" t="s">
        <v>124</v>
      </c>
      <c r="CI428" s="4" t="s">
        <v>124</v>
      </c>
      <c r="CJ428" s="4" t="s">
        <v>124</v>
      </c>
      <c r="CK428" s="4" t="s">
        <v>124</v>
      </c>
      <c r="CL428" s="4" t="s">
        <v>124</v>
      </c>
      <c r="CM428" s="4" t="s">
        <v>124</v>
      </c>
      <c r="CN428" s="4" t="s">
        <v>124</v>
      </c>
      <c r="CO428" s="4" t="s">
        <v>124</v>
      </c>
      <c r="CP428" s="4" t="s">
        <v>124</v>
      </c>
      <c r="CQ428" s="7">
        <v>0.62686600000000003</v>
      </c>
      <c r="CR428" s="7">
        <v>1.0151520000000001</v>
      </c>
      <c r="CS428" s="7">
        <v>41.791044999999997</v>
      </c>
      <c r="CT428" s="7">
        <v>50</v>
      </c>
      <c r="CU428" s="4" t="s">
        <v>124</v>
      </c>
      <c r="CV428" s="4" t="s">
        <v>124</v>
      </c>
      <c r="CW428" s="4" t="s">
        <v>124</v>
      </c>
      <c r="CX428" s="4" t="s">
        <v>124</v>
      </c>
      <c r="CY428" s="4" t="s">
        <v>124</v>
      </c>
      <c r="CZ428" s="4" t="s">
        <v>124</v>
      </c>
      <c r="DA428" s="7">
        <v>15.314097</v>
      </c>
      <c r="DB428" s="7">
        <v>17.400950000000002</v>
      </c>
      <c r="DC428" s="7">
        <v>16.332519999999999</v>
      </c>
      <c r="DD428" s="4" t="s">
        <v>124</v>
      </c>
      <c r="DE428" s="7">
        <v>0</v>
      </c>
      <c r="DF428" s="6"/>
      <c r="DG428" s="6"/>
      <c r="DH428" s="4" t="s">
        <v>331</v>
      </c>
      <c r="DI428" s="4" t="s">
        <v>478</v>
      </c>
      <c r="DJ428" s="7">
        <v>1</v>
      </c>
      <c r="DK428" s="7">
        <v>1</v>
      </c>
      <c r="DL428" s="7">
        <v>0</v>
      </c>
      <c r="DM428" s="7">
        <v>1</v>
      </c>
      <c r="DN428" s="7">
        <v>1</v>
      </c>
      <c r="DO428" s="7">
        <v>0</v>
      </c>
      <c r="DP428" s="6"/>
      <c r="DQ428" s="4" t="s">
        <v>125</v>
      </c>
    </row>
    <row r="429" spans="1:121" ht="20" customHeight="1" x14ac:dyDescent="0.15">
      <c r="A429" s="5">
        <v>2018</v>
      </c>
      <c r="B429" s="3" t="s">
        <v>209</v>
      </c>
      <c r="C429" s="4" t="str">
        <f t="shared" si="202"/>
        <v>0510011</v>
      </c>
      <c r="D429" s="4" t="s">
        <v>580</v>
      </c>
      <c r="E429" s="4" t="str">
        <f>"0511411"</f>
        <v>0511411</v>
      </c>
      <c r="F429" s="4" t="s">
        <v>327</v>
      </c>
      <c r="G429" s="4" t="s">
        <v>328</v>
      </c>
      <c r="H429" s="7">
        <v>5</v>
      </c>
      <c r="I429" s="6"/>
      <c r="J429" s="4" t="s">
        <v>330</v>
      </c>
      <c r="K429" s="7">
        <v>647.69951600000002</v>
      </c>
      <c r="L429" s="7">
        <v>800</v>
      </c>
      <c r="M429" s="7">
        <v>80.962440000000001</v>
      </c>
      <c r="N429" s="7">
        <v>2</v>
      </c>
      <c r="O429" s="7">
        <v>0</v>
      </c>
      <c r="P429" s="7">
        <v>79.921757999999997</v>
      </c>
      <c r="Q429" s="7">
        <v>50</v>
      </c>
      <c r="R429" s="7">
        <v>50</v>
      </c>
      <c r="S429" s="7">
        <v>65.184528999999998</v>
      </c>
      <c r="T429" s="7">
        <v>75</v>
      </c>
      <c r="U429" s="7">
        <v>43.456353</v>
      </c>
      <c r="V429" s="7">
        <v>50</v>
      </c>
      <c r="W429" s="7">
        <v>73.731093000000001</v>
      </c>
      <c r="X429" s="7">
        <v>49.154062000000003</v>
      </c>
      <c r="Y429" s="7">
        <v>50</v>
      </c>
      <c r="Z429" s="7">
        <v>75</v>
      </c>
      <c r="AA429" s="7">
        <v>59.613199999999999</v>
      </c>
      <c r="AB429" s="7">
        <v>39.742133000000003</v>
      </c>
      <c r="AC429" s="7">
        <v>50</v>
      </c>
      <c r="AD429" s="7">
        <v>73.968664000000004</v>
      </c>
      <c r="AE429" s="7">
        <v>49.312441999999997</v>
      </c>
      <c r="AF429" s="7">
        <v>50</v>
      </c>
      <c r="AG429" s="4" t="s">
        <v>124</v>
      </c>
      <c r="AH429" s="7">
        <v>75</v>
      </c>
      <c r="AI429" s="4" t="s">
        <v>124</v>
      </c>
      <c r="AJ429" s="4" t="s">
        <v>124</v>
      </c>
      <c r="AK429" s="7">
        <v>9.81</v>
      </c>
      <c r="AL429" s="7">
        <v>15.38</v>
      </c>
      <c r="AM429" s="4" t="s">
        <v>124</v>
      </c>
      <c r="AN429" s="7">
        <v>0.78513999999999995</v>
      </c>
      <c r="AO429" s="7">
        <v>78.513987999999998</v>
      </c>
      <c r="AP429" s="7">
        <v>100</v>
      </c>
      <c r="AQ429" s="7">
        <v>0.72795100000000001</v>
      </c>
      <c r="AR429" s="7">
        <v>72.795115999999993</v>
      </c>
      <c r="AS429" s="7">
        <v>100</v>
      </c>
      <c r="AT429" s="7">
        <v>0.68641300000000005</v>
      </c>
      <c r="AU429" s="7">
        <v>0.81140699999999999</v>
      </c>
      <c r="AV429" s="7">
        <v>68.641330999999994</v>
      </c>
      <c r="AW429" s="7">
        <v>100</v>
      </c>
      <c r="AX429" s="7">
        <v>0.707646</v>
      </c>
      <c r="AY429" s="7">
        <v>0.73340300000000003</v>
      </c>
      <c r="AZ429" s="7">
        <v>70.764617000000001</v>
      </c>
      <c r="BA429" s="7">
        <v>100</v>
      </c>
      <c r="BB429" s="4" t="s">
        <v>124</v>
      </c>
      <c r="BC429" s="4" t="s">
        <v>124</v>
      </c>
      <c r="BD429" s="4" t="s">
        <v>124</v>
      </c>
      <c r="BE429" s="4" t="s">
        <v>124</v>
      </c>
      <c r="BF429" s="4" t="s">
        <v>124</v>
      </c>
      <c r="BG429" s="4" t="s">
        <v>124</v>
      </c>
      <c r="BH429" s="7">
        <v>0</v>
      </c>
      <c r="BI429" s="7">
        <v>1</v>
      </c>
      <c r="BJ429" s="7">
        <v>1</v>
      </c>
      <c r="BK429" s="7">
        <v>1</v>
      </c>
      <c r="BL429" s="7">
        <v>0.99509800000000004</v>
      </c>
      <c r="BM429" s="7">
        <v>0.97826100000000005</v>
      </c>
      <c r="BN429" s="7">
        <v>1</v>
      </c>
      <c r="BO429" s="7">
        <v>0.98611099999999996</v>
      </c>
      <c r="BP429" s="4" t="s">
        <v>124</v>
      </c>
      <c r="BQ429" s="7">
        <v>1</v>
      </c>
      <c r="BR429" s="7">
        <v>5.2356E-2</v>
      </c>
      <c r="BS429" s="7">
        <v>49.528796</v>
      </c>
      <c r="BT429" s="7">
        <v>50</v>
      </c>
      <c r="BU429" s="7">
        <v>8.5365999999999997E-2</v>
      </c>
      <c r="BV429" s="7">
        <v>42.926828999999998</v>
      </c>
      <c r="BW429" s="7">
        <v>50</v>
      </c>
      <c r="BX429" s="4" t="s">
        <v>124</v>
      </c>
      <c r="BY429" s="4" t="s">
        <v>124</v>
      </c>
      <c r="BZ429" s="4" t="s">
        <v>124</v>
      </c>
      <c r="CA429" s="4" t="s">
        <v>124</v>
      </c>
      <c r="CB429" s="4" t="s">
        <v>124</v>
      </c>
      <c r="CC429" s="4" t="s">
        <v>124</v>
      </c>
      <c r="CD429" s="4" t="s">
        <v>124</v>
      </c>
      <c r="CE429" s="4" t="s">
        <v>124</v>
      </c>
      <c r="CF429" s="4" t="s">
        <v>124</v>
      </c>
      <c r="CG429" s="4" t="s">
        <v>124</v>
      </c>
      <c r="CH429" s="4" t="s">
        <v>124</v>
      </c>
      <c r="CI429" s="4" t="s">
        <v>124</v>
      </c>
      <c r="CJ429" s="4" t="s">
        <v>124</v>
      </c>
      <c r="CK429" s="4" t="s">
        <v>124</v>
      </c>
      <c r="CL429" s="4" t="s">
        <v>124</v>
      </c>
      <c r="CM429" s="4" t="s">
        <v>124</v>
      </c>
      <c r="CN429" s="4" t="s">
        <v>124</v>
      </c>
      <c r="CO429" s="4" t="s">
        <v>124</v>
      </c>
      <c r="CP429" s="4" t="s">
        <v>124</v>
      </c>
      <c r="CQ429" s="7">
        <v>0.49295800000000001</v>
      </c>
      <c r="CR429" s="7">
        <v>1</v>
      </c>
      <c r="CS429" s="7">
        <v>32.863849999999999</v>
      </c>
      <c r="CT429" s="7">
        <v>50</v>
      </c>
      <c r="CU429" s="4" t="s">
        <v>124</v>
      </c>
      <c r="CV429" s="4" t="s">
        <v>124</v>
      </c>
      <c r="CW429" s="4" t="s">
        <v>124</v>
      </c>
      <c r="CX429" s="4" t="s">
        <v>124</v>
      </c>
      <c r="CY429" s="4" t="s">
        <v>124</v>
      </c>
      <c r="CZ429" s="4" t="s">
        <v>124</v>
      </c>
      <c r="DA429" s="7">
        <v>15.314097</v>
      </c>
      <c r="DB429" s="7">
        <v>17.400950000000002</v>
      </c>
      <c r="DC429" s="7">
        <v>16.332519999999999</v>
      </c>
      <c r="DD429" s="4" t="s">
        <v>124</v>
      </c>
      <c r="DE429" s="7">
        <v>0</v>
      </c>
      <c r="DF429" s="6"/>
      <c r="DG429" s="6"/>
      <c r="DH429" s="4" t="s">
        <v>331</v>
      </c>
      <c r="DI429" s="4" t="s">
        <v>500</v>
      </c>
      <c r="DJ429" s="7">
        <v>0</v>
      </c>
      <c r="DK429" s="7">
        <v>1</v>
      </c>
      <c r="DL429" s="7">
        <v>0</v>
      </c>
      <c r="DM429" s="7">
        <v>0</v>
      </c>
      <c r="DN429" s="7">
        <v>0</v>
      </c>
      <c r="DO429" s="7">
        <v>0</v>
      </c>
      <c r="DP429" s="6"/>
      <c r="DQ429" s="4" t="s">
        <v>125</v>
      </c>
    </row>
    <row r="430" spans="1:121" ht="20" customHeight="1" x14ac:dyDescent="0.15">
      <c r="A430" s="5">
        <v>2018</v>
      </c>
      <c r="B430" s="3" t="s">
        <v>209</v>
      </c>
      <c r="C430" s="4" t="str">
        <f t="shared" si="202"/>
        <v>0510011</v>
      </c>
      <c r="D430" s="4" t="s">
        <v>581</v>
      </c>
      <c r="E430" s="4" t="str">
        <f>"0515111"</f>
        <v>0515111</v>
      </c>
      <c r="F430" s="4" t="s">
        <v>327</v>
      </c>
      <c r="G430" s="7">
        <v>6</v>
      </c>
      <c r="H430" s="7">
        <v>8</v>
      </c>
      <c r="I430" s="6"/>
      <c r="J430" s="4" t="s">
        <v>330</v>
      </c>
      <c r="K430" s="7">
        <v>761.27987199999995</v>
      </c>
      <c r="L430" s="7">
        <v>1000</v>
      </c>
      <c r="M430" s="7">
        <v>76.127987000000005</v>
      </c>
      <c r="N430" s="7">
        <v>2</v>
      </c>
      <c r="O430" s="7">
        <v>0</v>
      </c>
      <c r="P430" s="7">
        <v>75.688834</v>
      </c>
      <c r="Q430" s="7">
        <v>50</v>
      </c>
      <c r="R430" s="7">
        <v>50</v>
      </c>
      <c r="S430" s="7">
        <v>64.174431999999996</v>
      </c>
      <c r="T430" s="7">
        <v>75</v>
      </c>
      <c r="U430" s="7">
        <v>42.782955000000001</v>
      </c>
      <c r="V430" s="7">
        <v>50</v>
      </c>
      <c r="W430" s="7">
        <v>71.541985999999994</v>
      </c>
      <c r="X430" s="7">
        <v>47.694656999999999</v>
      </c>
      <c r="Y430" s="7">
        <v>50</v>
      </c>
      <c r="Z430" s="7">
        <v>75</v>
      </c>
      <c r="AA430" s="7">
        <v>58.443631000000003</v>
      </c>
      <c r="AB430" s="7">
        <v>38.962420999999999</v>
      </c>
      <c r="AC430" s="7">
        <v>50</v>
      </c>
      <c r="AD430" s="7">
        <v>74.179310000000001</v>
      </c>
      <c r="AE430" s="7">
        <v>49.452874000000001</v>
      </c>
      <c r="AF430" s="7">
        <v>50</v>
      </c>
      <c r="AG430" s="7">
        <v>64.606033999999994</v>
      </c>
      <c r="AH430" s="7">
        <v>75</v>
      </c>
      <c r="AI430" s="7">
        <v>43.070689999999999</v>
      </c>
      <c r="AJ430" s="7">
        <v>50</v>
      </c>
      <c r="AK430" s="7">
        <v>10.82</v>
      </c>
      <c r="AL430" s="7">
        <v>16.55</v>
      </c>
      <c r="AM430" s="7">
        <v>10.39</v>
      </c>
      <c r="AN430" s="7">
        <v>0.61384300000000003</v>
      </c>
      <c r="AO430" s="7">
        <v>61.384340000000002</v>
      </c>
      <c r="AP430" s="7">
        <v>100</v>
      </c>
      <c r="AQ430" s="7">
        <v>0.73438099999999995</v>
      </c>
      <c r="AR430" s="7">
        <v>73.438107000000002</v>
      </c>
      <c r="AS430" s="7">
        <v>100</v>
      </c>
      <c r="AT430" s="7">
        <v>0.59126299999999998</v>
      </c>
      <c r="AU430" s="7">
        <v>0.62579799999999997</v>
      </c>
      <c r="AV430" s="7">
        <v>59.126263999999999</v>
      </c>
      <c r="AW430" s="7">
        <v>100</v>
      </c>
      <c r="AX430" s="7">
        <v>0.62670999999999999</v>
      </c>
      <c r="AY430" s="7">
        <v>0.79164699999999999</v>
      </c>
      <c r="AZ430" s="7">
        <v>62.671016999999999</v>
      </c>
      <c r="BA430" s="7">
        <v>100</v>
      </c>
      <c r="BB430" s="7">
        <v>0.54761300000000002</v>
      </c>
      <c r="BC430" s="7">
        <v>27.380642999999999</v>
      </c>
      <c r="BD430" s="7">
        <v>50</v>
      </c>
      <c r="BE430" s="7">
        <v>0.60162800000000005</v>
      </c>
      <c r="BF430" s="7">
        <v>30.081406000000001</v>
      </c>
      <c r="BG430" s="7">
        <v>50</v>
      </c>
      <c r="BH430" s="7">
        <v>0</v>
      </c>
      <c r="BI430" s="7">
        <v>0.99548899999999996</v>
      </c>
      <c r="BJ430" s="7">
        <v>0.99583299999999997</v>
      </c>
      <c r="BK430" s="7">
        <v>0.99529400000000001</v>
      </c>
      <c r="BL430" s="7">
        <v>0.99398500000000001</v>
      </c>
      <c r="BM430" s="7">
        <v>0.99166699999999997</v>
      </c>
      <c r="BN430" s="7">
        <v>0.99529400000000001</v>
      </c>
      <c r="BO430" s="7">
        <v>0.99114999999999998</v>
      </c>
      <c r="BP430" s="7">
        <v>1</v>
      </c>
      <c r="BQ430" s="7">
        <v>0.98591499999999999</v>
      </c>
      <c r="BR430" s="7">
        <v>6.0150000000000002E-2</v>
      </c>
      <c r="BS430" s="7">
        <v>47.969925000000003</v>
      </c>
      <c r="BT430" s="7">
        <v>50</v>
      </c>
      <c r="BU430" s="7">
        <v>0.1</v>
      </c>
      <c r="BV430" s="7">
        <v>40</v>
      </c>
      <c r="BW430" s="7">
        <v>50</v>
      </c>
      <c r="BX430" s="4" t="s">
        <v>124</v>
      </c>
      <c r="BY430" s="4" t="s">
        <v>124</v>
      </c>
      <c r="BZ430" s="4" t="s">
        <v>124</v>
      </c>
      <c r="CA430" s="4" t="s">
        <v>124</v>
      </c>
      <c r="CB430" s="4" t="s">
        <v>124</v>
      </c>
      <c r="CC430" s="4" t="s">
        <v>124</v>
      </c>
      <c r="CD430" s="7">
        <v>0.92783499999999997</v>
      </c>
      <c r="CE430" s="7">
        <v>49.352927999999999</v>
      </c>
      <c r="CF430" s="7">
        <v>50</v>
      </c>
      <c r="CG430" s="4" t="s">
        <v>124</v>
      </c>
      <c r="CH430" s="4" t="s">
        <v>124</v>
      </c>
      <c r="CI430" s="4" t="s">
        <v>124</v>
      </c>
      <c r="CJ430" s="4" t="s">
        <v>124</v>
      </c>
      <c r="CK430" s="4" t="s">
        <v>124</v>
      </c>
      <c r="CL430" s="4" t="s">
        <v>124</v>
      </c>
      <c r="CM430" s="4" t="s">
        <v>124</v>
      </c>
      <c r="CN430" s="4" t="s">
        <v>124</v>
      </c>
      <c r="CO430" s="4" t="s">
        <v>124</v>
      </c>
      <c r="CP430" s="4" t="s">
        <v>124</v>
      </c>
      <c r="CQ430" s="7">
        <v>0.56867500000000004</v>
      </c>
      <c r="CR430" s="7">
        <v>0.94965699999999997</v>
      </c>
      <c r="CS430" s="7">
        <v>37.911647000000002</v>
      </c>
      <c r="CT430" s="7">
        <v>50</v>
      </c>
      <c r="CU430" s="4" t="s">
        <v>124</v>
      </c>
      <c r="CV430" s="4" t="s">
        <v>124</v>
      </c>
      <c r="CW430" s="4" t="s">
        <v>124</v>
      </c>
      <c r="CX430" s="4" t="s">
        <v>124</v>
      </c>
      <c r="CY430" s="4" t="s">
        <v>124</v>
      </c>
      <c r="CZ430" s="4" t="s">
        <v>124</v>
      </c>
      <c r="DA430" s="7">
        <v>15.314097</v>
      </c>
      <c r="DB430" s="7">
        <v>17.400950000000002</v>
      </c>
      <c r="DC430" s="7">
        <v>16.332519999999999</v>
      </c>
      <c r="DD430" s="4" t="s">
        <v>124</v>
      </c>
      <c r="DE430" s="7">
        <v>0</v>
      </c>
      <c r="DF430" s="6"/>
      <c r="DG430" s="6"/>
      <c r="DH430" s="6"/>
      <c r="DI430" s="6"/>
      <c r="DJ430" s="7">
        <v>0</v>
      </c>
      <c r="DK430" s="7">
        <v>0</v>
      </c>
      <c r="DL430" s="7">
        <v>0</v>
      </c>
      <c r="DM430" s="7">
        <v>0</v>
      </c>
      <c r="DN430" s="7">
        <v>0</v>
      </c>
      <c r="DO430" s="7">
        <v>0</v>
      </c>
      <c r="DP430" s="6"/>
      <c r="DQ430" s="4" t="s">
        <v>125</v>
      </c>
    </row>
    <row r="431" spans="1:121" ht="20" customHeight="1" x14ac:dyDescent="0.15">
      <c r="A431" s="5">
        <v>2018</v>
      </c>
      <c r="B431" s="3" t="s">
        <v>192</v>
      </c>
      <c r="C431" s="4" t="str">
        <f t="shared" si="67"/>
        <v>0520011</v>
      </c>
      <c r="D431" s="4" t="s">
        <v>582</v>
      </c>
      <c r="E431" s="4" t="str">
        <f>"0520411"</f>
        <v>0520411</v>
      </c>
      <c r="F431" s="4" t="s">
        <v>327</v>
      </c>
      <c r="G431" s="4" t="s">
        <v>338</v>
      </c>
      <c r="H431" s="7">
        <v>4</v>
      </c>
      <c r="I431" s="6"/>
      <c r="J431" s="4" t="s">
        <v>330</v>
      </c>
      <c r="K431" s="7">
        <v>697.69022900000004</v>
      </c>
      <c r="L431" s="7">
        <v>850</v>
      </c>
      <c r="M431" s="7">
        <v>82.081203000000002</v>
      </c>
      <c r="N431" s="7">
        <v>2</v>
      </c>
      <c r="O431" s="7">
        <v>0</v>
      </c>
      <c r="P431" s="7">
        <v>84.344524000000007</v>
      </c>
      <c r="Q431" s="7">
        <v>50</v>
      </c>
      <c r="R431" s="7">
        <v>50</v>
      </c>
      <c r="S431" s="7">
        <v>75.211495999999997</v>
      </c>
      <c r="T431" s="7">
        <v>75</v>
      </c>
      <c r="U431" s="7">
        <v>50</v>
      </c>
      <c r="V431" s="7">
        <v>50</v>
      </c>
      <c r="W431" s="7">
        <v>82.248192000000003</v>
      </c>
      <c r="X431" s="7">
        <v>50</v>
      </c>
      <c r="Y431" s="7">
        <v>50</v>
      </c>
      <c r="Z431" s="7">
        <v>75</v>
      </c>
      <c r="AA431" s="7">
        <v>74.973968999999997</v>
      </c>
      <c r="AB431" s="7">
        <v>49.982646000000003</v>
      </c>
      <c r="AC431" s="7">
        <v>50</v>
      </c>
      <c r="AD431" s="4" t="s">
        <v>124</v>
      </c>
      <c r="AE431" s="4" t="s">
        <v>124</v>
      </c>
      <c r="AF431" s="4" t="s">
        <v>124</v>
      </c>
      <c r="AG431" s="4" t="s">
        <v>124</v>
      </c>
      <c r="AH431" s="4" t="s">
        <v>124</v>
      </c>
      <c r="AI431" s="4" t="s">
        <v>124</v>
      </c>
      <c r="AJ431" s="4" t="s">
        <v>124</v>
      </c>
      <c r="AK431" s="7">
        <v>-0.21</v>
      </c>
      <c r="AL431" s="7">
        <v>0.02</v>
      </c>
      <c r="AM431" s="4" t="s">
        <v>124</v>
      </c>
      <c r="AN431" s="7">
        <v>0.80199200000000004</v>
      </c>
      <c r="AO431" s="7">
        <v>80.199231999999995</v>
      </c>
      <c r="AP431" s="7">
        <v>100</v>
      </c>
      <c r="AQ431" s="7">
        <v>0.82253699999999996</v>
      </c>
      <c r="AR431" s="7">
        <v>82.253662000000006</v>
      </c>
      <c r="AS431" s="7">
        <v>100</v>
      </c>
      <c r="AT431" s="7">
        <v>0.72077800000000003</v>
      </c>
      <c r="AU431" s="7">
        <v>0.83890799999999999</v>
      </c>
      <c r="AV431" s="7">
        <v>72.077832999999998</v>
      </c>
      <c r="AW431" s="7">
        <v>100</v>
      </c>
      <c r="AX431" s="7">
        <v>0.76881200000000005</v>
      </c>
      <c r="AY431" s="7">
        <v>0.84695699999999996</v>
      </c>
      <c r="AZ431" s="7">
        <v>76.881236000000001</v>
      </c>
      <c r="BA431" s="7">
        <v>100</v>
      </c>
      <c r="BB431" s="7">
        <v>0.50891399999999998</v>
      </c>
      <c r="BC431" s="7">
        <v>25.445701</v>
      </c>
      <c r="BD431" s="7">
        <v>50</v>
      </c>
      <c r="BE431" s="7">
        <v>0.52686100000000002</v>
      </c>
      <c r="BF431" s="7">
        <v>26.343053000000001</v>
      </c>
      <c r="BG431" s="7">
        <v>50</v>
      </c>
      <c r="BH431" s="7">
        <v>0</v>
      </c>
      <c r="BI431" s="7">
        <v>1</v>
      </c>
      <c r="BJ431" s="7">
        <v>1</v>
      </c>
      <c r="BK431" s="7">
        <v>1</v>
      </c>
      <c r="BL431" s="7">
        <v>1</v>
      </c>
      <c r="BM431" s="7">
        <v>1</v>
      </c>
      <c r="BN431" s="7">
        <v>1</v>
      </c>
      <c r="BO431" s="4" t="s">
        <v>124</v>
      </c>
      <c r="BP431" s="4" t="s">
        <v>124</v>
      </c>
      <c r="BQ431" s="4" t="s">
        <v>124</v>
      </c>
      <c r="BR431" s="7">
        <v>5.5556000000000001E-2</v>
      </c>
      <c r="BS431" s="7">
        <v>48.888888999999999</v>
      </c>
      <c r="BT431" s="7">
        <v>50</v>
      </c>
      <c r="BU431" s="7">
        <v>6.6667000000000004E-2</v>
      </c>
      <c r="BV431" s="7">
        <v>46.666666999999997</v>
      </c>
      <c r="BW431" s="7">
        <v>50</v>
      </c>
      <c r="BX431" s="4" t="s">
        <v>124</v>
      </c>
      <c r="BY431" s="4" t="s">
        <v>124</v>
      </c>
      <c r="BZ431" s="4" t="s">
        <v>124</v>
      </c>
      <c r="CA431" s="4" t="s">
        <v>124</v>
      </c>
      <c r="CB431" s="4" t="s">
        <v>124</v>
      </c>
      <c r="CC431" s="4" t="s">
        <v>124</v>
      </c>
      <c r="CD431" s="4" t="s">
        <v>124</v>
      </c>
      <c r="CE431" s="4" t="s">
        <v>124</v>
      </c>
      <c r="CF431" s="4" t="s">
        <v>124</v>
      </c>
      <c r="CG431" s="4" t="s">
        <v>124</v>
      </c>
      <c r="CH431" s="4" t="s">
        <v>124</v>
      </c>
      <c r="CI431" s="4" t="s">
        <v>124</v>
      </c>
      <c r="CJ431" s="4" t="s">
        <v>124</v>
      </c>
      <c r="CK431" s="4" t="s">
        <v>124</v>
      </c>
      <c r="CL431" s="4" t="s">
        <v>124</v>
      </c>
      <c r="CM431" s="4" t="s">
        <v>124</v>
      </c>
      <c r="CN431" s="4" t="s">
        <v>124</v>
      </c>
      <c r="CO431" s="4" t="s">
        <v>124</v>
      </c>
      <c r="CP431" s="4" t="s">
        <v>124</v>
      </c>
      <c r="CQ431" s="7">
        <v>0.58426999999999996</v>
      </c>
      <c r="CR431" s="7">
        <v>0.967391</v>
      </c>
      <c r="CS431" s="7">
        <v>38.951310999999997</v>
      </c>
      <c r="CT431" s="7">
        <v>50</v>
      </c>
      <c r="CU431" s="4" t="s">
        <v>124</v>
      </c>
      <c r="CV431" s="4" t="s">
        <v>124</v>
      </c>
      <c r="CW431" s="4" t="s">
        <v>124</v>
      </c>
      <c r="CX431" s="4" t="s">
        <v>124</v>
      </c>
      <c r="CY431" s="4" t="s">
        <v>124</v>
      </c>
      <c r="CZ431" s="4" t="s">
        <v>124</v>
      </c>
      <c r="DA431" s="7">
        <v>15.314097</v>
      </c>
      <c r="DB431" s="7">
        <v>17.400950000000002</v>
      </c>
      <c r="DC431" s="7">
        <v>16.332519999999999</v>
      </c>
      <c r="DD431" s="4" t="s">
        <v>124</v>
      </c>
      <c r="DE431" s="7">
        <v>0</v>
      </c>
      <c r="DF431" s="6"/>
      <c r="DG431" s="6"/>
      <c r="DH431" s="4" t="s">
        <v>331</v>
      </c>
      <c r="DI431" s="4" t="s">
        <v>528</v>
      </c>
      <c r="DJ431" s="7">
        <v>0</v>
      </c>
      <c r="DK431" s="7">
        <v>1</v>
      </c>
      <c r="DL431" s="7">
        <v>0</v>
      </c>
      <c r="DM431" s="7">
        <v>1</v>
      </c>
      <c r="DN431" s="7">
        <v>0</v>
      </c>
      <c r="DO431" s="7">
        <v>0</v>
      </c>
      <c r="DP431" s="6"/>
      <c r="DQ431" s="4" t="s">
        <v>125</v>
      </c>
    </row>
    <row r="432" spans="1:121" ht="20" customHeight="1" x14ac:dyDescent="0.15">
      <c r="A432" s="5">
        <v>2018</v>
      </c>
      <c r="B432" s="3" t="s">
        <v>192</v>
      </c>
      <c r="C432" s="4" t="str">
        <f t="shared" ref="C432:C437" si="203">"0520011"</f>
        <v>0520011</v>
      </c>
      <c r="D432" s="4" t="s">
        <v>583</v>
      </c>
      <c r="E432" s="4" t="str">
        <f>"0526111"</f>
        <v>0526111</v>
      </c>
      <c r="F432" s="4" t="s">
        <v>327</v>
      </c>
      <c r="G432" s="7">
        <v>9</v>
      </c>
      <c r="H432" s="7">
        <v>12</v>
      </c>
      <c r="I432" s="4" t="s">
        <v>329</v>
      </c>
      <c r="J432" s="4" t="s">
        <v>330</v>
      </c>
      <c r="K432" s="7">
        <v>1285.588804</v>
      </c>
      <c r="L432" s="7">
        <v>1450</v>
      </c>
      <c r="M432" s="7">
        <v>88.661297000000005</v>
      </c>
      <c r="N432" s="7">
        <v>2</v>
      </c>
      <c r="O432" s="7">
        <v>1</v>
      </c>
      <c r="P432" s="7">
        <v>70.109562999999994</v>
      </c>
      <c r="Q432" s="7">
        <v>140.21912499999999</v>
      </c>
      <c r="R432" s="7">
        <v>150</v>
      </c>
      <c r="S432" s="7">
        <v>55.392206000000002</v>
      </c>
      <c r="T432" s="7">
        <v>74.591667000000001</v>
      </c>
      <c r="U432" s="7">
        <v>110.78441100000001</v>
      </c>
      <c r="V432" s="7">
        <v>150</v>
      </c>
      <c r="W432" s="7">
        <v>69.528261999999998</v>
      </c>
      <c r="X432" s="7">
        <v>139.056523</v>
      </c>
      <c r="Y432" s="7">
        <v>150</v>
      </c>
      <c r="Z432" s="7">
        <v>74.258332999999993</v>
      </c>
      <c r="AA432" s="7">
        <v>53.996682999999997</v>
      </c>
      <c r="AB432" s="7">
        <v>107.99336700000001</v>
      </c>
      <c r="AC432" s="7">
        <v>150</v>
      </c>
      <c r="AD432" s="7">
        <v>81.080719999999999</v>
      </c>
      <c r="AE432" s="7">
        <v>100</v>
      </c>
      <c r="AF432" s="7">
        <v>100</v>
      </c>
      <c r="AG432" s="7">
        <v>64.054207000000005</v>
      </c>
      <c r="AH432" s="7">
        <v>75</v>
      </c>
      <c r="AI432" s="7">
        <v>85.405608999999998</v>
      </c>
      <c r="AJ432" s="7">
        <v>100</v>
      </c>
      <c r="AK432" s="7">
        <v>19.190000000000001</v>
      </c>
      <c r="AL432" s="7">
        <v>20.260000000000002</v>
      </c>
      <c r="AM432" s="7">
        <v>10.94</v>
      </c>
      <c r="AN432" s="4" t="s">
        <v>124</v>
      </c>
      <c r="AO432" s="4" t="s">
        <v>124</v>
      </c>
      <c r="AP432" s="4" t="s">
        <v>124</v>
      </c>
      <c r="AQ432" s="4" t="s">
        <v>124</v>
      </c>
      <c r="AR432" s="4" t="s">
        <v>124</v>
      </c>
      <c r="AS432" s="4" t="s">
        <v>124</v>
      </c>
      <c r="AT432" s="4" t="s">
        <v>124</v>
      </c>
      <c r="AU432" s="4" t="s">
        <v>124</v>
      </c>
      <c r="AV432" s="4" t="s">
        <v>124</v>
      </c>
      <c r="AW432" s="4" t="s">
        <v>124</v>
      </c>
      <c r="AX432" s="4" t="s">
        <v>124</v>
      </c>
      <c r="AY432" s="4" t="s">
        <v>124</v>
      </c>
      <c r="AZ432" s="4" t="s">
        <v>124</v>
      </c>
      <c r="BA432" s="4" t="s">
        <v>124</v>
      </c>
      <c r="BB432" s="4" t="s">
        <v>124</v>
      </c>
      <c r="BC432" s="4" t="s">
        <v>124</v>
      </c>
      <c r="BD432" s="4" t="s">
        <v>124</v>
      </c>
      <c r="BE432" s="4" t="s">
        <v>124</v>
      </c>
      <c r="BF432" s="4" t="s">
        <v>124</v>
      </c>
      <c r="BG432" s="4" t="s">
        <v>124</v>
      </c>
      <c r="BH432" s="7">
        <v>0</v>
      </c>
      <c r="BI432" s="7">
        <v>0.98316499999999996</v>
      </c>
      <c r="BJ432" s="7">
        <v>0.95945899999999995</v>
      </c>
      <c r="BK432" s="7">
        <v>0.991031</v>
      </c>
      <c r="BL432" s="7">
        <v>0.98316499999999996</v>
      </c>
      <c r="BM432" s="7">
        <v>0.95945899999999995</v>
      </c>
      <c r="BN432" s="7">
        <v>0.991031</v>
      </c>
      <c r="BO432" s="7">
        <v>0.98322100000000001</v>
      </c>
      <c r="BP432" s="7">
        <v>0.96</v>
      </c>
      <c r="BQ432" s="7">
        <v>0.991031</v>
      </c>
      <c r="BR432" s="7">
        <v>7.4940000000000007E-2</v>
      </c>
      <c r="BS432" s="7">
        <v>45.012087000000001</v>
      </c>
      <c r="BT432" s="7">
        <v>50</v>
      </c>
      <c r="BU432" s="7">
        <v>0.162577</v>
      </c>
      <c r="BV432" s="7">
        <v>27.484663000000001</v>
      </c>
      <c r="BW432" s="7">
        <v>50</v>
      </c>
      <c r="BX432" s="7">
        <v>0.78741499999999998</v>
      </c>
      <c r="BY432" s="7">
        <v>50</v>
      </c>
      <c r="BZ432" s="7">
        <v>50</v>
      </c>
      <c r="CA432" s="7">
        <v>0.71938800000000003</v>
      </c>
      <c r="CB432" s="7">
        <v>47.959184</v>
      </c>
      <c r="CC432" s="7">
        <v>50</v>
      </c>
      <c r="CD432" s="7">
        <v>0.99096399999999996</v>
      </c>
      <c r="CE432" s="7">
        <v>50</v>
      </c>
      <c r="CF432" s="7">
        <v>50</v>
      </c>
      <c r="CG432" s="7">
        <v>0.97517699999999996</v>
      </c>
      <c r="CH432" s="7">
        <v>100</v>
      </c>
      <c r="CI432" s="7">
        <v>100</v>
      </c>
      <c r="CJ432" s="7">
        <v>0</v>
      </c>
      <c r="CK432" s="7">
        <v>0.943662</v>
      </c>
      <c r="CL432" s="7">
        <v>100</v>
      </c>
      <c r="CM432" s="7">
        <v>100</v>
      </c>
      <c r="CN432" s="7">
        <v>0.83812900000000001</v>
      </c>
      <c r="CO432" s="7">
        <v>100</v>
      </c>
      <c r="CP432" s="7">
        <v>100</v>
      </c>
      <c r="CQ432" s="7">
        <v>0.50333300000000003</v>
      </c>
      <c r="CR432" s="7">
        <v>0.92879299999999998</v>
      </c>
      <c r="CS432" s="7">
        <v>33.555556000000003</v>
      </c>
      <c r="CT432" s="7">
        <v>50</v>
      </c>
      <c r="CU432" s="7">
        <v>0.57741900000000002</v>
      </c>
      <c r="CV432" s="7">
        <v>48.118279999999999</v>
      </c>
      <c r="CW432" s="7">
        <v>50</v>
      </c>
      <c r="CX432" s="7">
        <v>0.943662</v>
      </c>
      <c r="CY432" s="7">
        <v>0.94</v>
      </c>
      <c r="CZ432" s="7">
        <v>-3.6619999999999999E-3</v>
      </c>
      <c r="DA432" s="7">
        <v>15.314097</v>
      </c>
      <c r="DB432" s="7">
        <v>17.400950000000002</v>
      </c>
      <c r="DC432" s="7">
        <v>16.332519999999999</v>
      </c>
      <c r="DD432" s="7">
        <v>7.9891730000000001</v>
      </c>
      <c r="DE432" s="7">
        <v>1</v>
      </c>
      <c r="DF432" s="6"/>
      <c r="DG432" s="6"/>
      <c r="DH432" s="6"/>
      <c r="DI432" s="6"/>
      <c r="DJ432" s="7">
        <v>0</v>
      </c>
      <c r="DK432" s="7">
        <v>0</v>
      </c>
      <c r="DL432" s="7">
        <v>0</v>
      </c>
      <c r="DM432" s="7">
        <v>0</v>
      </c>
      <c r="DN432" s="7">
        <v>0</v>
      </c>
      <c r="DO432" s="7">
        <v>0</v>
      </c>
      <c r="DP432" s="6"/>
      <c r="DQ432" s="4" t="s">
        <v>125</v>
      </c>
    </row>
    <row r="433" spans="1:121" ht="20" customHeight="1" x14ac:dyDescent="0.15">
      <c r="A433" s="5">
        <v>2018</v>
      </c>
      <c r="B433" s="3" t="s">
        <v>192</v>
      </c>
      <c r="C433" s="4" t="str">
        <f t="shared" si="203"/>
        <v>0520011</v>
      </c>
      <c r="D433" s="4" t="s">
        <v>584</v>
      </c>
      <c r="E433" s="4" t="str">
        <f>"0525111"</f>
        <v>0525111</v>
      </c>
      <c r="F433" s="4" t="s">
        <v>327</v>
      </c>
      <c r="G433" s="7">
        <v>7</v>
      </c>
      <c r="H433" s="7">
        <v>8</v>
      </c>
      <c r="I433" s="6"/>
      <c r="J433" s="4" t="s">
        <v>330</v>
      </c>
      <c r="K433" s="7">
        <v>711.61704599999996</v>
      </c>
      <c r="L433" s="7">
        <v>900</v>
      </c>
      <c r="M433" s="7">
        <v>79.068561000000003</v>
      </c>
      <c r="N433" s="7">
        <v>2</v>
      </c>
      <c r="O433" s="7">
        <v>0</v>
      </c>
      <c r="P433" s="7">
        <v>83.208189000000004</v>
      </c>
      <c r="Q433" s="7">
        <v>50</v>
      </c>
      <c r="R433" s="7">
        <v>50</v>
      </c>
      <c r="S433" s="7">
        <v>65.866668000000004</v>
      </c>
      <c r="T433" s="7">
        <v>75</v>
      </c>
      <c r="U433" s="7">
        <v>43.911112000000003</v>
      </c>
      <c r="V433" s="7">
        <v>50</v>
      </c>
      <c r="W433" s="7">
        <v>78.569609999999997</v>
      </c>
      <c r="X433" s="7">
        <v>50</v>
      </c>
      <c r="Y433" s="7">
        <v>50</v>
      </c>
      <c r="Z433" s="7">
        <v>75</v>
      </c>
      <c r="AA433" s="7">
        <v>59.378633000000001</v>
      </c>
      <c r="AB433" s="7">
        <v>39.585756000000003</v>
      </c>
      <c r="AC433" s="7">
        <v>50</v>
      </c>
      <c r="AD433" s="7">
        <v>79.03716</v>
      </c>
      <c r="AE433" s="7">
        <v>50</v>
      </c>
      <c r="AF433" s="7">
        <v>50</v>
      </c>
      <c r="AG433" s="7">
        <v>63.625028999999998</v>
      </c>
      <c r="AH433" s="7">
        <v>75</v>
      </c>
      <c r="AI433" s="7">
        <v>42.416685999999999</v>
      </c>
      <c r="AJ433" s="7">
        <v>50</v>
      </c>
      <c r="AK433" s="7">
        <v>9.1300000000000008</v>
      </c>
      <c r="AL433" s="7">
        <v>15.62</v>
      </c>
      <c r="AM433" s="7">
        <v>11.37</v>
      </c>
      <c r="AN433" s="7">
        <v>0.67917700000000003</v>
      </c>
      <c r="AO433" s="7">
        <v>67.917671999999996</v>
      </c>
      <c r="AP433" s="7">
        <v>100</v>
      </c>
      <c r="AQ433" s="7">
        <v>0.75854999999999995</v>
      </c>
      <c r="AR433" s="7">
        <v>75.854956000000001</v>
      </c>
      <c r="AS433" s="7">
        <v>100</v>
      </c>
      <c r="AT433" s="7">
        <v>0.496612</v>
      </c>
      <c r="AU433" s="7">
        <v>0.73171600000000003</v>
      </c>
      <c r="AV433" s="7">
        <v>49.661208999999999</v>
      </c>
      <c r="AW433" s="7">
        <v>100</v>
      </c>
      <c r="AX433" s="7">
        <v>0.60699599999999998</v>
      </c>
      <c r="AY433" s="7">
        <v>0.80216399999999999</v>
      </c>
      <c r="AZ433" s="7">
        <v>60.699630999999997</v>
      </c>
      <c r="BA433" s="7">
        <v>100</v>
      </c>
      <c r="BB433" s="4" t="s">
        <v>124</v>
      </c>
      <c r="BC433" s="4" t="s">
        <v>124</v>
      </c>
      <c r="BD433" s="4" t="s">
        <v>124</v>
      </c>
      <c r="BE433" s="4" t="s">
        <v>124</v>
      </c>
      <c r="BF433" s="4" t="s">
        <v>124</v>
      </c>
      <c r="BG433" s="4" t="s">
        <v>124</v>
      </c>
      <c r="BH433" s="7">
        <v>0</v>
      </c>
      <c r="BI433" s="7">
        <v>0.99393900000000002</v>
      </c>
      <c r="BJ433" s="7">
        <v>0.99425300000000005</v>
      </c>
      <c r="BK433" s="7">
        <v>0.99382700000000002</v>
      </c>
      <c r="BL433" s="7">
        <v>0.99393900000000002</v>
      </c>
      <c r="BM433" s="7">
        <v>0.99425300000000005</v>
      </c>
      <c r="BN433" s="7">
        <v>0.99382700000000002</v>
      </c>
      <c r="BO433" s="7">
        <v>0.99079799999999996</v>
      </c>
      <c r="BP433" s="7">
        <v>0.98765400000000003</v>
      </c>
      <c r="BQ433" s="7">
        <v>0.99183699999999997</v>
      </c>
      <c r="BR433" s="7">
        <v>4.5455000000000002E-2</v>
      </c>
      <c r="BS433" s="7">
        <v>50</v>
      </c>
      <c r="BT433" s="7">
        <v>50</v>
      </c>
      <c r="BU433" s="7">
        <v>0.110429</v>
      </c>
      <c r="BV433" s="7">
        <v>37.914110000000001</v>
      </c>
      <c r="BW433" s="7">
        <v>50</v>
      </c>
      <c r="BX433" s="4" t="s">
        <v>124</v>
      </c>
      <c r="BY433" s="4" t="s">
        <v>124</v>
      </c>
      <c r="BZ433" s="4" t="s">
        <v>124</v>
      </c>
      <c r="CA433" s="4" t="s">
        <v>124</v>
      </c>
      <c r="CB433" s="4" t="s">
        <v>124</v>
      </c>
      <c r="CC433" s="4" t="s">
        <v>124</v>
      </c>
      <c r="CD433" s="7">
        <v>0.99068299999999998</v>
      </c>
      <c r="CE433" s="7">
        <v>50</v>
      </c>
      <c r="CF433" s="7">
        <v>50</v>
      </c>
      <c r="CG433" s="4" t="s">
        <v>124</v>
      </c>
      <c r="CH433" s="4" t="s">
        <v>124</v>
      </c>
      <c r="CI433" s="4" t="s">
        <v>124</v>
      </c>
      <c r="CJ433" s="4" t="s">
        <v>124</v>
      </c>
      <c r="CK433" s="4" t="s">
        <v>124</v>
      </c>
      <c r="CL433" s="4" t="s">
        <v>124</v>
      </c>
      <c r="CM433" s="4" t="s">
        <v>124</v>
      </c>
      <c r="CN433" s="4" t="s">
        <v>124</v>
      </c>
      <c r="CO433" s="4" t="s">
        <v>124</v>
      </c>
      <c r="CP433" s="4" t="s">
        <v>124</v>
      </c>
      <c r="CQ433" s="7">
        <v>0.65483899999999995</v>
      </c>
      <c r="CR433" s="7">
        <v>0.95091999999999999</v>
      </c>
      <c r="CS433" s="7">
        <v>43.655914000000003</v>
      </c>
      <c r="CT433" s="7">
        <v>50</v>
      </c>
      <c r="CU433" s="4" t="s">
        <v>124</v>
      </c>
      <c r="CV433" s="4" t="s">
        <v>124</v>
      </c>
      <c r="CW433" s="4" t="s">
        <v>124</v>
      </c>
      <c r="CX433" s="4" t="s">
        <v>124</v>
      </c>
      <c r="CY433" s="4" t="s">
        <v>124</v>
      </c>
      <c r="CZ433" s="4" t="s">
        <v>124</v>
      </c>
      <c r="DA433" s="7">
        <v>15.314097</v>
      </c>
      <c r="DB433" s="7">
        <v>17.400950000000002</v>
      </c>
      <c r="DC433" s="7">
        <v>16.332519999999999</v>
      </c>
      <c r="DD433" s="4" t="s">
        <v>124</v>
      </c>
      <c r="DE433" s="7">
        <v>0</v>
      </c>
      <c r="DF433" s="6"/>
      <c r="DG433" s="6"/>
      <c r="DH433" s="6"/>
      <c r="DI433" s="6"/>
      <c r="DJ433" s="7">
        <v>0</v>
      </c>
      <c r="DK433" s="7">
        <v>0</v>
      </c>
      <c r="DL433" s="7">
        <v>0</v>
      </c>
      <c r="DM433" s="7">
        <v>0</v>
      </c>
      <c r="DN433" s="7">
        <v>0</v>
      </c>
      <c r="DO433" s="7">
        <v>0</v>
      </c>
      <c r="DP433" s="6"/>
      <c r="DQ433" s="4" t="s">
        <v>125</v>
      </c>
    </row>
    <row r="434" spans="1:121" ht="20" customHeight="1" x14ac:dyDescent="0.15">
      <c r="A434" s="5">
        <v>2018</v>
      </c>
      <c r="B434" s="3" t="s">
        <v>192</v>
      </c>
      <c r="C434" s="4" t="str">
        <f t="shared" si="203"/>
        <v>0520011</v>
      </c>
      <c r="D434" s="4" t="s">
        <v>585</v>
      </c>
      <c r="E434" s="4" t="str">
        <f>"0520211"</f>
        <v>0520211</v>
      </c>
      <c r="F434" s="4" t="s">
        <v>327</v>
      </c>
      <c r="G434" s="4" t="s">
        <v>338</v>
      </c>
      <c r="H434" s="7">
        <v>4</v>
      </c>
      <c r="I434" s="4" t="s">
        <v>329</v>
      </c>
      <c r="J434" s="4" t="s">
        <v>330</v>
      </c>
      <c r="K434" s="7">
        <v>481.16095799999999</v>
      </c>
      <c r="L434" s="7">
        <v>550</v>
      </c>
      <c r="M434" s="7">
        <v>87.483811000000003</v>
      </c>
      <c r="N434" s="7">
        <v>1</v>
      </c>
      <c r="O434" s="7">
        <v>0</v>
      </c>
      <c r="P434" s="7">
        <v>85.060441999999995</v>
      </c>
      <c r="Q434" s="7">
        <v>50</v>
      </c>
      <c r="R434" s="7">
        <v>50</v>
      </c>
      <c r="S434" s="7">
        <v>74.561070999999998</v>
      </c>
      <c r="T434" s="7">
        <v>75</v>
      </c>
      <c r="U434" s="7">
        <v>49.707380999999998</v>
      </c>
      <c r="V434" s="7">
        <v>50</v>
      </c>
      <c r="W434" s="7">
        <v>80.362876999999997</v>
      </c>
      <c r="X434" s="7">
        <v>50</v>
      </c>
      <c r="Y434" s="7">
        <v>50</v>
      </c>
      <c r="Z434" s="7">
        <v>75</v>
      </c>
      <c r="AA434" s="7">
        <v>68.164564999999996</v>
      </c>
      <c r="AB434" s="7">
        <v>45.443043000000003</v>
      </c>
      <c r="AC434" s="7">
        <v>50</v>
      </c>
      <c r="AD434" s="4" t="s">
        <v>124</v>
      </c>
      <c r="AE434" s="4" t="s">
        <v>124</v>
      </c>
      <c r="AF434" s="4" t="s">
        <v>124</v>
      </c>
      <c r="AG434" s="4" t="s">
        <v>124</v>
      </c>
      <c r="AH434" s="4" t="s">
        <v>124</v>
      </c>
      <c r="AI434" s="4" t="s">
        <v>124</v>
      </c>
      <c r="AJ434" s="4" t="s">
        <v>124</v>
      </c>
      <c r="AK434" s="7">
        <v>0.43</v>
      </c>
      <c r="AL434" s="7">
        <v>6.83</v>
      </c>
      <c r="AM434" s="4" t="s">
        <v>124</v>
      </c>
      <c r="AN434" s="7">
        <v>0.81891999999999998</v>
      </c>
      <c r="AO434" s="7">
        <v>81.891979000000006</v>
      </c>
      <c r="AP434" s="7">
        <v>100</v>
      </c>
      <c r="AQ434" s="7">
        <v>0.84603600000000001</v>
      </c>
      <c r="AR434" s="7">
        <v>84.603590999999994</v>
      </c>
      <c r="AS434" s="7">
        <v>100</v>
      </c>
      <c r="AT434" s="4" t="s">
        <v>124</v>
      </c>
      <c r="AU434" s="7">
        <v>0.81948799999999999</v>
      </c>
      <c r="AV434" s="4" t="s">
        <v>124</v>
      </c>
      <c r="AW434" s="4" t="s">
        <v>124</v>
      </c>
      <c r="AX434" s="4" t="s">
        <v>124</v>
      </c>
      <c r="AY434" s="7">
        <v>0.85024</v>
      </c>
      <c r="AZ434" s="4" t="s">
        <v>124</v>
      </c>
      <c r="BA434" s="4" t="s">
        <v>124</v>
      </c>
      <c r="BB434" s="4" t="s">
        <v>124</v>
      </c>
      <c r="BC434" s="4" t="s">
        <v>124</v>
      </c>
      <c r="BD434" s="4" t="s">
        <v>124</v>
      </c>
      <c r="BE434" s="4" t="s">
        <v>124</v>
      </c>
      <c r="BF434" s="4" t="s">
        <v>124</v>
      </c>
      <c r="BG434" s="4" t="s">
        <v>124</v>
      </c>
      <c r="BH434" s="7">
        <v>0</v>
      </c>
      <c r="BI434" s="7">
        <v>0.99367099999999997</v>
      </c>
      <c r="BJ434" s="7">
        <v>0.97727299999999995</v>
      </c>
      <c r="BK434" s="7">
        <v>1</v>
      </c>
      <c r="BL434" s="7">
        <v>0.99367099999999997</v>
      </c>
      <c r="BM434" s="7">
        <v>0.97727299999999995</v>
      </c>
      <c r="BN434" s="7">
        <v>1</v>
      </c>
      <c r="BO434" s="4" t="s">
        <v>124</v>
      </c>
      <c r="BP434" s="4" t="s">
        <v>124</v>
      </c>
      <c r="BQ434" s="4" t="s">
        <v>124</v>
      </c>
      <c r="BR434" s="7">
        <v>5.042E-2</v>
      </c>
      <c r="BS434" s="7">
        <v>49.915965999999997</v>
      </c>
      <c r="BT434" s="7">
        <v>50</v>
      </c>
      <c r="BU434" s="7">
        <v>0.114286</v>
      </c>
      <c r="BV434" s="7">
        <v>37.142856999999999</v>
      </c>
      <c r="BW434" s="7">
        <v>50</v>
      </c>
      <c r="BX434" s="4" t="s">
        <v>124</v>
      </c>
      <c r="BY434" s="4" t="s">
        <v>124</v>
      </c>
      <c r="BZ434" s="4" t="s">
        <v>124</v>
      </c>
      <c r="CA434" s="4" t="s">
        <v>124</v>
      </c>
      <c r="CB434" s="4" t="s">
        <v>124</v>
      </c>
      <c r="CC434" s="4" t="s">
        <v>124</v>
      </c>
      <c r="CD434" s="4" t="s">
        <v>124</v>
      </c>
      <c r="CE434" s="4" t="s">
        <v>124</v>
      </c>
      <c r="CF434" s="4" t="s">
        <v>124</v>
      </c>
      <c r="CG434" s="4" t="s">
        <v>124</v>
      </c>
      <c r="CH434" s="4" t="s">
        <v>124</v>
      </c>
      <c r="CI434" s="4" t="s">
        <v>124</v>
      </c>
      <c r="CJ434" s="4" t="s">
        <v>124</v>
      </c>
      <c r="CK434" s="4" t="s">
        <v>124</v>
      </c>
      <c r="CL434" s="4" t="s">
        <v>124</v>
      </c>
      <c r="CM434" s="4" t="s">
        <v>124</v>
      </c>
      <c r="CN434" s="4" t="s">
        <v>124</v>
      </c>
      <c r="CO434" s="4" t="s">
        <v>124</v>
      </c>
      <c r="CP434" s="4" t="s">
        <v>124</v>
      </c>
      <c r="CQ434" s="7">
        <v>0.486842</v>
      </c>
      <c r="CR434" s="7">
        <v>1</v>
      </c>
      <c r="CS434" s="7">
        <v>32.456139999999998</v>
      </c>
      <c r="CT434" s="7">
        <v>50</v>
      </c>
      <c r="CU434" s="4" t="s">
        <v>124</v>
      </c>
      <c r="CV434" s="4" t="s">
        <v>124</v>
      </c>
      <c r="CW434" s="4" t="s">
        <v>124</v>
      </c>
      <c r="CX434" s="4" t="s">
        <v>124</v>
      </c>
      <c r="CY434" s="4" t="s">
        <v>124</v>
      </c>
      <c r="CZ434" s="4" t="s">
        <v>124</v>
      </c>
      <c r="DA434" s="7">
        <v>15.314097</v>
      </c>
      <c r="DB434" s="7">
        <v>17.400950000000002</v>
      </c>
      <c r="DC434" s="7">
        <v>16.332519999999999</v>
      </c>
      <c r="DD434" s="4" t="s">
        <v>124</v>
      </c>
      <c r="DE434" s="7">
        <v>0</v>
      </c>
      <c r="DF434" s="6"/>
      <c r="DG434" s="6"/>
      <c r="DH434" s="4" t="s">
        <v>331</v>
      </c>
      <c r="DI434" s="4" t="s">
        <v>497</v>
      </c>
      <c r="DJ434" s="7">
        <v>1</v>
      </c>
      <c r="DK434" s="7">
        <v>1</v>
      </c>
      <c r="DL434" s="7">
        <v>1</v>
      </c>
      <c r="DM434" s="7">
        <v>0</v>
      </c>
      <c r="DN434" s="7">
        <v>0</v>
      </c>
      <c r="DO434" s="7">
        <v>0</v>
      </c>
      <c r="DP434" s="6"/>
      <c r="DQ434" s="4" t="s">
        <v>125</v>
      </c>
    </row>
    <row r="435" spans="1:121" ht="20" customHeight="1" x14ac:dyDescent="0.15">
      <c r="A435" s="5">
        <v>2018</v>
      </c>
      <c r="B435" s="3" t="s">
        <v>192</v>
      </c>
      <c r="C435" s="4" t="str">
        <f t="shared" si="203"/>
        <v>0520011</v>
      </c>
      <c r="D435" s="4" t="s">
        <v>586</v>
      </c>
      <c r="E435" s="4" t="str">
        <f>"0520111"</f>
        <v>0520111</v>
      </c>
      <c r="F435" s="4" t="s">
        <v>327</v>
      </c>
      <c r="G435" s="4" t="s">
        <v>338</v>
      </c>
      <c r="H435" s="7">
        <v>4</v>
      </c>
      <c r="I435" s="4" t="s">
        <v>329</v>
      </c>
      <c r="J435" s="4" t="s">
        <v>330</v>
      </c>
      <c r="K435" s="7">
        <v>505.41851200000002</v>
      </c>
      <c r="L435" s="7">
        <v>550</v>
      </c>
      <c r="M435" s="7">
        <v>91.894274999999993</v>
      </c>
      <c r="N435" s="7">
        <v>1</v>
      </c>
      <c r="O435" s="7">
        <v>0</v>
      </c>
      <c r="P435" s="7">
        <v>81.615587000000005</v>
      </c>
      <c r="Q435" s="7">
        <v>50</v>
      </c>
      <c r="R435" s="7">
        <v>50</v>
      </c>
      <c r="S435" s="7">
        <v>71.511718999999999</v>
      </c>
      <c r="T435" s="7">
        <v>75</v>
      </c>
      <c r="U435" s="7">
        <v>47.674480000000003</v>
      </c>
      <c r="V435" s="7">
        <v>50</v>
      </c>
      <c r="W435" s="7">
        <v>75.772020999999995</v>
      </c>
      <c r="X435" s="7">
        <v>50</v>
      </c>
      <c r="Y435" s="7">
        <v>50</v>
      </c>
      <c r="Z435" s="7">
        <v>75</v>
      </c>
      <c r="AA435" s="7">
        <v>66.200085000000001</v>
      </c>
      <c r="AB435" s="7">
        <v>44.133389999999999</v>
      </c>
      <c r="AC435" s="7">
        <v>50</v>
      </c>
      <c r="AD435" s="4" t="s">
        <v>124</v>
      </c>
      <c r="AE435" s="4" t="s">
        <v>124</v>
      </c>
      <c r="AF435" s="4" t="s">
        <v>124</v>
      </c>
      <c r="AG435" s="4" t="s">
        <v>124</v>
      </c>
      <c r="AH435" s="4" t="s">
        <v>124</v>
      </c>
      <c r="AI435" s="4" t="s">
        <v>124</v>
      </c>
      <c r="AJ435" s="4" t="s">
        <v>124</v>
      </c>
      <c r="AK435" s="7">
        <v>3.48</v>
      </c>
      <c r="AL435" s="7">
        <v>8.7899999999999991</v>
      </c>
      <c r="AM435" s="4" t="s">
        <v>124</v>
      </c>
      <c r="AN435" s="7">
        <v>0.92044099999999995</v>
      </c>
      <c r="AO435" s="7">
        <v>92.044116000000002</v>
      </c>
      <c r="AP435" s="7">
        <v>100</v>
      </c>
      <c r="AQ435" s="7">
        <v>0.95210300000000003</v>
      </c>
      <c r="AR435" s="7">
        <v>95.210342999999995</v>
      </c>
      <c r="AS435" s="7">
        <v>100</v>
      </c>
      <c r="AT435" s="4" t="s">
        <v>124</v>
      </c>
      <c r="AU435" s="7">
        <v>0.94853900000000002</v>
      </c>
      <c r="AV435" s="4" t="s">
        <v>124</v>
      </c>
      <c r="AW435" s="4" t="s">
        <v>124</v>
      </c>
      <c r="AX435" s="4" t="s">
        <v>124</v>
      </c>
      <c r="AY435" s="7">
        <v>0.96457199999999998</v>
      </c>
      <c r="AZ435" s="4" t="s">
        <v>124</v>
      </c>
      <c r="BA435" s="4" t="s">
        <v>124</v>
      </c>
      <c r="BB435" s="4" t="s">
        <v>124</v>
      </c>
      <c r="BC435" s="4" t="s">
        <v>124</v>
      </c>
      <c r="BD435" s="4" t="s">
        <v>124</v>
      </c>
      <c r="BE435" s="4" t="s">
        <v>124</v>
      </c>
      <c r="BF435" s="4" t="s">
        <v>124</v>
      </c>
      <c r="BG435" s="4" t="s">
        <v>124</v>
      </c>
      <c r="BH435" s="7">
        <v>0</v>
      </c>
      <c r="BI435" s="7">
        <v>1</v>
      </c>
      <c r="BJ435" s="7">
        <v>1</v>
      </c>
      <c r="BK435" s="7">
        <v>1</v>
      </c>
      <c r="BL435" s="7">
        <v>1</v>
      </c>
      <c r="BM435" s="7">
        <v>1</v>
      </c>
      <c r="BN435" s="7">
        <v>1</v>
      </c>
      <c r="BO435" s="4" t="s">
        <v>124</v>
      </c>
      <c r="BP435" s="4" t="s">
        <v>124</v>
      </c>
      <c r="BQ435" s="4" t="s">
        <v>124</v>
      </c>
      <c r="BR435" s="7">
        <v>5.0793999999999999E-2</v>
      </c>
      <c r="BS435" s="7">
        <v>49.841270000000002</v>
      </c>
      <c r="BT435" s="7">
        <v>50</v>
      </c>
      <c r="BU435" s="7">
        <v>0.10204100000000001</v>
      </c>
      <c r="BV435" s="7">
        <v>39.591836999999998</v>
      </c>
      <c r="BW435" s="7">
        <v>50</v>
      </c>
      <c r="BX435" s="4" t="s">
        <v>124</v>
      </c>
      <c r="BY435" s="4" t="s">
        <v>124</v>
      </c>
      <c r="BZ435" s="4" t="s">
        <v>124</v>
      </c>
      <c r="CA435" s="4" t="s">
        <v>124</v>
      </c>
      <c r="CB435" s="4" t="s">
        <v>124</v>
      </c>
      <c r="CC435" s="4" t="s">
        <v>124</v>
      </c>
      <c r="CD435" s="4" t="s">
        <v>124</v>
      </c>
      <c r="CE435" s="4" t="s">
        <v>124</v>
      </c>
      <c r="CF435" s="4" t="s">
        <v>124</v>
      </c>
      <c r="CG435" s="4" t="s">
        <v>124</v>
      </c>
      <c r="CH435" s="4" t="s">
        <v>124</v>
      </c>
      <c r="CI435" s="4" t="s">
        <v>124</v>
      </c>
      <c r="CJ435" s="4" t="s">
        <v>124</v>
      </c>
      <c r="CK435" s="4" t="s">
        <v>124</v>
      </c>
      <c r="CL435" s="4" t="s">
        <v>124</v>
      </c>
      <c r="CM435" s="4" t="s">
        <v>124</v>
      </c>
      <c r="CN435" s="4" t="s">
        <v>124</v>
      </c>
      <c r="CO435" s="4" t="s">
        <v>124</v>
      </c>
      <c r="CP435" s="4" t="s">
        <v>124</v>
      </c>
      <c r="CQ435" s="7">
        <v>0.55384599999999995</v>
      </c>
      <c r="CR435" s="7">
        <v>1.015625</v>
      </c>
      <c r="CS435" s="7">
        <v>36.923076999999999</v>
      </c>
      <c r="CT435" s="7">
        <v>50</v>
      </c>
      <c r="CU435" s="4" t="s">
        <v>124</v>
      </c>
      <c r="CV435" s="4" t="s">
        <v>124</v>
      </c>
      <c r="CW435" s="4" t="s">
        <v>124</v>
      </c>
      <c r="CX435" s="4" t="s">
        <v>124</v>
      </c>
      <c r="CY435" s="4" t="s">
        <v>124</v>
      </c>
      <c r="CZ435" s="4" t="s">
        <v>124</v>
      </c>
      <c r="DA435" s="7">
        <v>15.314097</v>
      </c>
      <c r="DB435" s="7">
        <v>17.400950000000002</v>
      </c>
      <c r="DC435" s="7">
        <v>16.332519999999999</v>
      </c>
      <c r="DD435" s="4" t="s">
        <v>124</v>
      </c>
      <c r="DE435" s="7">
        <v>0</v>
      </c>
      <c r="DF435" s="6"/>
      <c r="DG435" s="6"/>
      <c r="DH435" s="4" t="s">
        <v>331</v>
      </c>
      <c r="DI435" s="4" t="s">
        <v>497</v>
      </c>
      <c r="DJ435" s="7">
        <v>1</v>
      </c>
      <c r="DK435" s="7">
        <v>1</v>
      </c>
      <c r="DL435" s="7">
        <v>1</v>
      </c>
      <c r="DM435" s="7">
        <v>0</v>
      </c>
      <c r="DN435" s="7">
        <v>0</v>
      </c>
      <c r="DO435" s="7">
        <v>0</v>
      </c>
      <c r="DP435" s="6"/>
      <c r="DQ435" s="4" t="s">
        <v>125</v>
      </c>
    </row>
    <row r="436" spans="1:121" ht="20" customHeight="1" x14ac:dyDescent="0.15">
      <c r="A436" s="5">
        <v>2018</v>
      </c>
      <c r="B436" s="3" t="s">
        <v>192</v>
      </c>
      <c r="C436" s="4" t="str">
        <f t="shared" si="203"/>
        <v>0520011</v>
      </c>
      <c r="D436" s="4" t="s">
        <v>587</v>
      </c>
      <c r="E436" s="4" t="str">
        <f>"0520311"</f>
        <v>0520311</v>
      </c>
      <c r="F436" s="4" t="s">
        <v>327</v>
      </c>
      <c r="G436" s="4" t="s">
        <v>338</v>
      </c>
      <c r="H436" s="7">
        <v>4</v>
      </c>
      <c r="I436" s="4" t="s">
        <v>329</v>
      </c>
      <c r="J436" s="4" t="s">
        <v>330</v>
      </c>
      <c r="K436" s="7">
        <v>504.08404999999999</v>
      </c>
      <c r="L436" s="7">
        <v>550</v>
      </c>
      <c r="M436" s="7">
        <v>91.651645000000002</v>
      </c>
      <c r="N436" s="7">
        <v>1</v>
      </c>
      <c r="O436" s="7">
        <v>0</v>
      </c>
      <c r="P436" s="7">
        <v>87.814237000000006</v>
      </c>
      <c r="Q436" s="7">
        <v>50</v>
      </c>
      <c r="R436" s="7">
        <v>50</v>
      </c>
      <c r="S436" s="7">
        <v>80.808207999999993</v>
      </c>
      <c r="T436" s="7">
        <v>75</v>
      </c>
      <c r="U436" s="7">
        <v>50</v>
      </c>
      <c r="V436" s="7">
        <v>50</v>
      </c>
      <c r="W436" s="7">
        <v>84.555762999999999</v>
      </c>
      <c r="X436" s="7">
        <v>50</v>
      </c>
      <c r="Y436" s="7">
        <v>50</v>
      </c>
      <c r="Z436" s="7">
        <v>75</v>
      </c>
      <c r="AA436" s="7">
        <v>76.850488999999996</v>
      </c>
      <c r="AB436" s="7">
        <v>50</v>
      </c>
      <c r="AC436" s="7">
        <v>50</v>
      </c>
      <c r="AD436" s="4" t="s">
        <v>124</v>
      </c>
      <c r="AE436" s="4" t="s">
        <v>124</v>
      </c>
      <c r="AF436" s="4" t="s">
        <v>124</v>
      </c>
      <c r="AG436" s="4" t="s">
        <v>124</v>
      </c>
      <c r="AH436" s="4" t="s">
        <v>124</v>
      </c>
      <c r="AI436" s="4" t="s">
        <v>124</v>
      </c>
      <c r="AJ436" s="4" t="s">
        <v>124</v>
      </c>
      <c r="AK436" s="7">
        <v>-5.8</v>
      </c>
      <c r="AL436" s="7">
        <v>-1.85</v>
      </c>
      <c r="AM436" s="4" t="s">
        <v>124</v>
      </c>
      <c r="AN436" s="7">
        <v>0.811751</v>
      </c>
      <c r="AO436" s="7">
        <v>81.175138000000004</v>
      </c>
      <c r="AP436" s="7">
        <v>100</v>
      </c>
      <c r="AQ436" s="7">
        <v>0.87492199999999998</v>
      </c>
      <c r="AR436" s="7">
        <v>87.492245999999994</v>
      </c>
      <c r="AS436" s="7">
        <v>100</v>
      </c>
      <c r="AT436" s="4" t="s">
        <v>124</v>
      </c>
      <c r="AU436" s="7">
        <v>0.80909200000000003</v>
      </c>
      <c r="AV436" s="4" t="s">
        <v>124</v>
      </c>
      <c r="AW436" s="4" t="s">
        <v>124</v>
      </c>
      <c r="AX436" s="4" t="s">
        <v>124</v>
      </c>
      <c r="AY436" s="7">
        <v>0.92152299999999998</v>
      </c>
      <c r="AZ436" s="4" t="s">
        <v>124</v>
      </c>
      <c r="BA436" s="4" t="s">
        <v>124</v>
      </c>
      <c r="BB436" s="4" t="s">
        <v>124</v>
      </c>
      <c r="BC436" s="4" t="s">
        <v>124</v>
      </c>
      <c r="BD436" s="4" t="s">
        <v>124</v>
      </c>
      <c r="BE436" s="4" t="s">
        <v>124</v>
      </c>
      <c r="BF436" s="4" t="s">
        <v>124</v>
      </c>
      <c r="BG436" s="4" t="s">
        <v>124</v>
      </c>
      <c r="BH436" s="7">
        <v>0</v>
      </c>
      <c r="BI436" s="7">
        <v>0.99199999999999999</v>
      </c>
      <c r="BJ436" s="7">
        <v>1</v>
      </c>
      <c r="BK436" s="7">
        <v>0.98809499999999995</v>
      </c>
      <c r="BL436" s="7">
        <v>0.99193500000000001</v>
      </c>
      <c r="BM436" s="7">
        <v>1</v>
      </c>
      <c r="BN436" s="7">
        <v>0.98809499999999995</v>
      </c>
      <c r="BO436" s="4" t="s">
        <v>124</v>
      </c>
      <c r="BP436" s="4" t="s">
        <v>124</v>
      </c>
      <c r="BQ436" s="4" t="s">
        <v>124</v>
      </c>
      <c r="BR436" s="7">
        <v>2.2152000000000002E-2</v>
      </c>
      <c r="BS436" s="7">
        <v>50</v>
      </c>
      <c r="BT436" s="7">
        <v>50</v>
      </c>
      <c r="BU436" s="7">
        <v>4.2553000000000001E-2</v>
      </c>
      <c r="BV436" s="7">
        <v>50</v>
      </c>
      <c r="BW436" s="7">
        <v>50</v>
      </c>
      <c r="BX436" s="4" t="s">
        <v>124</v>
      </c>
      <c r="BY436" s="4" t="s">
        <v>124</v>
      </c>
      <c r="BZ436" s="4" t="s">
        <v>124</v>
      </c>
      <c r="CA436" s="4" t="s">
        <v>124</v>
      </c>
      <c r="CB436" s="4" t="s">
        <v>124</v>
      </c>
      <c r="CC436" s="4" t="s">
        <v>124</v>
      </c>
      <c r="CD436" s="4" t="s">
        <v>124</v>
      </c>
      <c r="CE436" s="4" t="s">
        <v>124</v>
      </c>
      <c r="CF436" s="4" t="s">
        <v>124</v>
      </c>
      <c r="CG436" s="4" t="s">
        <v>124</v>
      </c>
      <c r="CH436" s="4" t="s">
        <v>124</v>
      </c>
      <c r="CI436" s="4" t="s">
        <v>124</v>
      </c>
      <c r="CJ436" s="4" t="s">
        <v>124</v>
      </c>
      <c r="CK436" s="4" t="s">
        <v>124</v>
      </c>
      <c r="CL436" s="4" t="s">
        <v>124</v>
      </c>
      <c r="CM436" s="4" t="s">
        <v>124</v>
      </c>
      <c r="CN436" s="4" t="s">
        <v>124</v>
      </c>
      <c r="CO436" s="4" t="s">
        <v>124</v>
      </c>
      <c r="CP436" s="4" t="s">
        <v>124</v>
      </c>
      <c r="CQ436" s="7">
        <v>0.53125</v>
      </c>
      <c r="CR436" s="7">
        <v>0.98461500000000002</v>
      </c>
      <c r="CS436" s="7">
        <v>35.416666999999997</v>
      </c>
      <c r="CT436" s="7">
        <v>50</v>
      </c>
      <c r="CU436" s="4" t="s">
        <v>124</v>
      </c>
      <c r="CV436" s="4" t="s">
        <v>124</v>
      </c>
      <c r="CW436" s="4" t="s">
        <v>124</v>
      </c>
      <c r="CX436" s="4" t="s">
        <v>124</v>
      </c>
      <c r="CY436" s="4" t="s">
        <v>124</v>
      </c>
      <c r="CZ436" s="4" t="s">
        <v>124</v>
      </c>
      <c r="DA436" s="7">
        <v>15.314097</v>
      </c>
      <c r="DB436" s="7">
        <v>17.400950000000002</v>
      </c>
      <c r="DC436" s="7">
        <v>16.332519999999999</v>
      </c>
      <c r="DD436" s="4" t="s">
        <v>124</v>
      </c>
      <c r="DE436" s="7">
        <v>0</v>
      </c>
      <c r="DF436" s="6"/>
      <c r="DG436" s="6"/>
      <c r="DH436" s="4" t="s">
        <v>331</v>
      </c>
      <c r="DI436" s="4" t="s">
        <v>497</v>
      </c>
      <c r="DJ436" s="7">
        <v>1</v>
      </c>
      <c r="DK436" s="7">
        <v>1</v>
      </c>
      <c r="DL436" s="7">
        <v>1</v>
      </c>
      <c r="DM436" s="7">
        <v>0</v>
      </c>
      <c r="DN436" s="7">
        <v>0</v>
      </c>
      <c r="DO436" s="7">
        <v>0</v>
      </c>
      <c r="DP436" s="6"/>
      <c r="DQ436" s="4" t="s">
        <v>125</v>
      </c>
    </row>
    <row r="437" spans="1:121" ht="20" customHeight="1" x14ac:dyDescent="0.15">
      <c r="A437" s="5">
        <v>2018</v>
      </c>
      <c r="B437" s="3" t="s">
        <v>192</v>
      </c>
      <c r="C437" s="4" t="str">
        <f t="shared" si="203"/>
        <v>0520011</v>
      </c>
      <c r="D437" s="4" t="s">
        <v>588</v>
      </c>
      <c r="E437" s="4" t="str">
        <f>"0520511"</f>
        <v>0520511</v>
      </c>
      <c r="F437" s="4" t="s">
        <v>327</v>
      </c>
      <c r="G437" s="7">
        <v>5</v>
      </c>
      <c r="H437" s="7">
        <v>6</v>
      </c>
      <c r="I437" s="6"/>
      <c r="J437" s="4" t="s">
        <v>330</v>
      </c>
      <c r="K437" s="7">
        <v>665.52667199999996</v>
      </c>
      <c r="L437" s="7">
        <v>850</v>
      </c>
      <c r="M437" s="7">
        <v>78.297255000000007</v>
      </c>
      <c r="N437" s="7">
        <v>2</v>
      </c>
      <c r="O437" s="7">
        <v>0</v>
      </c>
      <c r="P437" s="7">
        <v>82.645486000000005</v>
      </c>
      <c r="Q437" s="7">
        <v>50</v>
      </c>
      <c r="R437" s="7">
        <v>50</v>
      </c>
      <c r="S437" s="7">
        <v>72.297338999999994</v>
      </c>
      <c r="T437" s="7">
        <v>75</v>
      </c>
      <c r="U437" s="7">
        <v>48.198225999999998</v>
      </c>
      <c r="V437" s="7">
        <v>50</v>
      </c>
      <c r="W437" s="7">
        <v>78.087834000000001</v>
      </c>
      <c r="X437" s="7">
        <v>50</v>
      </c>
      <c r="Y437" s="7">
        <v>50</v>
      </c>
      <c r="Z437" s="7">
        <v>75</v>
      </c>
      <c r="AA437" s="7">
        <v>66.912256999999997</v>
      </c>
      <c r="AB437" s="7">
        <v>44.608170999999999</v>
      </c>
      <c r="AC437" s="7">
        <v>50</v>
      </c>
      <c r="AD437" s="7">
        <v>84.221259000000003</v>
      </c>
      <c r="AE437" s="7">
        <v>50</v>
      </c>
      <c r="AF437" s="7">
        <v>50</v>
      </c>
      <c r="AG437" s="7">
        <v>76.374194000000003</v>
      </c>
      <c r="AH437" s="7">
        <v>75</v>
      </c>
      <c r="AI437" s="7">
        <v>50</v>
      </c>
      <c r="AJ437" s="7">
        <v>50</v>
      </c>
      <c r="AK437" s="7">
        <v>2.7</v>
      </c>
      <c r="AL437" s="7">
        <v>8.08</v>
      </c>
      <c r="AM437" s="7">
        <v>-1.37</v>
      </c>
      <c r="AN437" s="7">
        <v>0.68192799999999998</v>
      </c>
      <c r="AO437" s="7">
        <v>68.192815999999993</v>
      </c>
      <c r="AP437" s="7">
        <v>100</v>
      </c>
      <c r="AQ437" s="7">
        <v>0.68359000000000003</v>
      </c>
      <c r="AR437" s="7">
        <v>68.359048999999999</v>
      </c>
      <c r="AS437" s="7">
        <v>100</v>
      </c>
      <c r="AT437" s="7">
        <v>0.56464199999999998</v>
      </c>
      <c r="AU437" s="7">
        <v>0.72467000000000004</v>
      </c>
      <c r="AV437" s="7">
        <v>56.464210999999999</v>
      </c>
      <c r="AW437" s="7">
        <v>100</v>
      </c>
      <c r="AX437" s="7">
        <v>0.54132599999999997</v>
      </c>
      <c r="AY437" s="7">
        <v>0.73523899999999998</v>
      </c>
      <c r="AZ437" s="7">
        <v>54.132629000000001</v>
      </c>
      <c r="BA437" s="7">
        <v>100</v>
      </c>
      <c r="BB437" s="4" t="s">
        <v>124</v>
      </c>
      <c r="BC437" s="4" t="s">
        <v>124</v>
      </c>
      <c r="BD437" s="4" t="s">
        <v>124</v>
      </c>
      <c r="BE437" s="4" t="s">
        <v>124</v>
      </c>
      <c r="BF437" s="4" t="s">
        <v>124</v>
      </c>
      <c r="BG437" s="4" t="s">
        <v>124</v>
      </c>
      <c r="BH437" s="7">
        <v>0</v>
      </c>
      <c r="BI437" s="7">
        <v>0.99548199999999998</v>
      </c>
      <c r="BJ437" s="7">
        <v>0.99141599999999996</v>
      </c>
      <c r="BK437" s="7">
        <v>0.99768000000000001</v>
      </c>
      <c r="BL437" s="7">
        <v>0.99397599999999997</v>
      </c>
      <c r="BM437" s="7">
        <v>0.987124</v>
      </c>
      <c r="BN437" s="7">
        <v>0.99768000000000001</v>
      </c>
      <c r="BO437" s="7">
        <v>0.990506</v>
      </c>
      <c r="BP437" s="7">
        <v>0.98275900000000005</v>
      </c>
      <c r="BQ437" s="7">
        <v>0.995</v>
      </c>
      <c r="BR437" s="7">
        <v>3.1674000000000001E-2</v>
      </c>
      <c r="BS437" s="7">
        <v>50</v>
      </c>
      <c r="BT437" s="7">
        <v>50</v>
      </c>
      <c r="BU437" s="7">
        <v>9.5238000000000003E-2</v>
      </c>
      <c r="BV437" s="7">
        <v>40.952381000000003</v>
      </c>
      <c r="BW437" s="7">
        <v>50</v>
      </c>
      <c r="BX437" s="4" t="s">
        <v>124</v>
      </c>
      <c r="BY437" s="4" t="s">
        <v>124</v>
      </c>
      <c r="BZ437" s="4" t="s">
        <v>124</v>
      </c>
      <c r="CA437" s="4" t="s">
        <v>124</v>
      </c>
      <c r="CB437" s="4" t="s">
        <v>124</v>
      </c>
      <c r="CC437" s="4" t="s">
        <v>124</v>
      </c>
      <c r="CD437" s="4" t="s">
        <v>124</v>
      </c>
      <c r="CE437" s="4" t="s">
        <v>124</v>
      </c>
      <c r="CF437" s="4" t="s">
        <v>124</v>
      </c>
      <c r="CG437" s="4" t="s">
        <v>124</v>
      </c>
      <c r="CH437" s="4" t="s">
        <v>124</v>
      </c>
      <c r="CI437" s="4" t="s">
        <v>124</v>
      </c>
      <c r="CJ437" s="4" t="s">
        <v>124</v>
      </c>
      <c r="CK437" s="4" t="s">
        <v>124</v>
      </c>
      <c r="CL437" s="4" t="s">
        <v>124</v>
      </c>
      <c r="CM437" s="4" t="s">
        <v>124</v>
      </c>
      <c r="CN437" s="4" t="s">
        <v>124</v>
      </c>
      <c r="CO437" s="4" t="s">
        <v>124</v>
      </c>
      <c r="CP437" s="4" t="s">
        <v>124</v>
      </c>
      <c r="CQ437" s="7">
        <v>0.51928799999999997</v>
      </c>
      <c r="CR437" s="7">
        <v>0.97118199999999999</v>
      </c>
      <c r="CS437" s="7">
        <v>34.619188999999999</v>
      </c>
      <c r="CT437" s="7">
        <v>50</v>
      </c>
      <c r="CU437" s="4" t="s">
        <v>124</v>
      </c>
      <c r="CV437" s="4" t="s">
        <v>124</v>
      </c>
      <c r="CW437" s="4" t="s">
        <v>124</v>
      </c>
      <c r="CX437" s="4" t="s">
        <v>124</v>
      </c>
      <c r="CY437" s="4" t="s">
        <v>124</v>
      </c>
      <c r="CZ437" s="4" t="s">
        <v>124</v>
      </c>
      <c r="DA437" s="7">
        <v>15.314097</v>
      </c>
      <c r="DB437" s="7">
        <v>17.400950000000002</v>
      </c>
      <c r="DC437" s="7">
        <v>16.332519999999999</v>
      </c>
      <c r="DD437" s="4" t="s">
        <v>124</v>
      </c>
      <c r="DE437" s="7">
        <v>0</v>
      </c>
      <c r="DF437" s="6"/>
      <c r="DG437" s="6"/>
      <c r="DH437" s="6"/>
      <c r="DI437" s="6"/>
      <c r="DJ437" s="7">
        <v>0</v>
      </c>
      <c r="DK437" s="7">
        <v>0</v>
      </c>
      <c r="DL437" s="7">
        <v>0</v>
      </c>
      <c r="DM437" s="7">
        <v>0</v>
      </c>
      <c r="DN437" s="7">
        <v>0</v>
      </c>
      <c r="DO437" s="7">
        <v>0</v>
      </c>
      <c r="DP437" s="6"/>
      <c r="DQ437" s="4" t="s">
        <v>125</v>
      </c>
    </row>
    <row r="438" spans="1:121" ht="20" customHeight="1" x14ac:dyDescent="0.15">
      <c r="A438" s="5">
        <v>2018</v>
      </c>
      <c r="B438" s="3" t="s">
        <v>151</v>
      </c>
      <c r="C438" s="4" t="str">
        <f t="shared" si="26"/>
        <v>0530011</v>
      </c>
      <c r="D438" s="4" t="s">
        <v>589</v>
      </c>
      <c r="E438" s="4" t="str">
        <f>"0530111"</f>
        <v>0530111</v>
      </c>
      <c r="F438" s="4" t="s">
        <v>327</v>
      </c>
      <c r="G438" s="4" t="s">
        <v>328</v>
      </c>
      <c r="H438" s="7">
        <v>8</v>
      </c>
      <c r="I438" s="4" t="s">
        <v>329</v>
      </c>
      <c r="J438" s="4" t="s">
        <v>330</v>
      </c>
      <c r="K438" s="7">
        <v>509.75889999999998</v>
      </c>
      <c r="L438" s="7">
        <v>600</v>
      </c>
      <c r="M438" s="7">
        <v>84.959817000000001</v>
      </c>
      <c r="N438" s="7">
        <v>2</v>
      </c>
      <c r="O438" s="7">
        <v>0</v>
      </c>
      <c r="P438" s="7">
        <v>74.734504000000001</v>
      </c>
      <c r="Q438" s="7">
        <v>49.823003</v>
      </c>
      <c r="R438" s="7">
        <v>50</v>
      </c>
      <c r="S438" s="7">
        <v>60.332793000000002</v>
      </c>
      <c r="T438" s="7">
        <v>75</v>
      </c>
      <c r="U438" s="7">
        <v>40.221862000000002</v>
      </c>
      <c r="V438" s="7">
        <v>50</v>
      </c>
      <c r="W438" s="7">
        <v>69.067428000000007</v>
      </c>
      <c r="X438" s="7">
        <v>46.044952000000002</v>
      </c>
      <c r="Y438" s="7">
        <v>50</v>
      </c>
      <c r="Z438" s="7">
        <v>72.529133999999999</v>
      </c>
      <c r="AA438" s="7">
        <v>58.052906999999998</v>
      </c>
      <c r="AB438" s="7">
        <v>38.701937999999998</v>
      </c>
      <c r="AC438" s="7">
        <v>50</v>
      </c>
      <c r="AD438" s="7">
        <v>69.640711999999994</v>
      </c>
      <c r="AE438" s="7">
        <v>46.427140999999999</v>
      </c>
      <c r="AF438" s="7">
        <v>50</v>
      </c>
      <c r="AG438" s="4" t="s">
        <v>124</v>
      </c>
      <c r="AH438" s="4" t="s">
        <v>124</v>
      </c>
      <c r="AI438" s="4" t="s">
        <v>124</v>
      </c>
      <c r="AJ438" s="4" t="s">
        <v>124</v>
      </c>
      <c r="AK438" s="7">
        <v>14.66</v>
      </c>
      <c r="AL438" s="7">
        <v>14.47</v>
      </c>
      <c r="AM438" s="4" t="s">
        <v>124</v>
      </c>
      <c r="AN438" s="7">
        <v>0.67065900000000001</v>
      </c>
      <c r="AO438" s="7">
        <v>67.065860999999998</v>
      </c>
      <c r="AP438" s="7">
        <v>100</v>
      </c>
      <c r="AQ438" s="7">
        <v>0.88102499999999995</v>
      </c>
      <c r="AR438" s="7">
        <v>88.102495000000005</v>
      </c>
      <c r="AS438" s="7">
        <v>100</v>
      </c>
      <c r="AT438" s="4" t="s">
        <v>124</v>
      </c>
      <c r="AU438" s="7">
        <v>0.69493400000000005</v>
      </c>
      <c r="AV438" s="4" t="s">
        <v>124</v>
      </c>
      <c r="AW438" s="4" t="s">
        <v>124</v>
      </c>
      <c r="AX438" s="4" t="s">
        <v>124</v>
      </c>
      <c r="AY438" s="7">
        <v>0.91644999999999999</v>
      </c>
      <c r="AZ438" s="4" t="s">
        <v>124</v>
      </c>
      <c r="BA438" s="4" t="s">
        <v>124</v>
      </c>
      <c r="BB438" s="4" t="s">
        <v>124</v>
      </c>
      <c r="BC438" s="4" t="s">
        <v>124</v>
      </c>
      <c r="BD438" s="4" t="s">
        <v>124</v>
      </c>
      <c r="BE438" s="4" t="s">
        <v>124</v>
      </c>
      <c r="BF438" s="4" t="s">
        <v>124</v>
      </c>
      <c r="BG438" s="4" t="s">
        <v>124</v>
      </c>
      <c r="BH438" s="7">
        <v>0</v>
      </c>
      <c r="BI438" s="7">
        <v>1</v>
      </c>
      <c r="BJ438" s="7">
        <v>1</v>
      </c>
      <c r="BK438" s="7">
        <v>1</v>
      </c>
      <c r="BL438" s="7">
        <v>1</v>
      </c>
      <c r="BM438" s="7">
        <v>1</v>
      </c>
      <c r="BN438" s="7">
        <v>1</v>
      </c>
      <c r="BO438" s="7">
        <v>1</v>
      </c>
      <c r="BP438" s="4" t="s">
        <v>124</v>
      </c>
      <c r="BQ438" s="4" t="s">
        <v>124</v>
      </c>
      <c r="BR438" s="7">
        <v>1.4388E-2</v>
      </c>
      <c r="BS438" s="7">
        <v>50</v>
      </c>
      <c r="BT438" s="7">
        <v>50</v>
      </c>
      <c r="BU438" s="7">
        <v>5.5556000000000001E-2</v>
      </c>
      <c r="BV438" s="7">
        <v>48.888888999999999</v>
      </c>
      <c r="BW438" s="7">
        <v>50</v>
      </c>
      <c r="BX438" s="4" t="s">
        <v>124</v>
      </c>
      <c r="BY438" s="4" t="s">
        <v>124</v>
      </c>
      <c r="BZ438" s="4" t="s">
        <v>124</v>
      </c>
      <c r="CA438" s="4" t="s">
        <v>124</v>
      </c>
      <c r="CB438" s="4" t="s">
        <v>124</v>
      </c>
      <c r="CC438" s="4" t="s">
        <v>124</v>
      </c>
      <c r="CD438" s="4" t="s">
        <v>124</v>
      </c>
      <c r="CE438" s="4" t="s">
        <v>124</v>
      </c>
      <c r="CF438" s="4" t="s">
        <v>124</v>
      </c>
      <c r="CG438" s="4" t="s">
        <v>124</v>
      </c>
      <c r="CH438" s="4" t="s">
        <v>124</v>
      </c>
      <c r="CI438" s="4" t="s">
        <v>124</v>
      </c>
      <c r="CJ438" s="4" t="s">
        <v>124</v>
      </c>
      <c r="CK438" s="4" t="s">
        <v>124</v>
      </c>
      <c r="CL438" s="4" t="s">
        <v>124</v>
      </c>
      <c r="CM438" s="4" t="s">
        <v>124</v>
      </c>
      <c r="CN438" s="4" t="s">
        <v>124</v>
      </c>
      <c r="CO438" s="4" t="s">
        <v>124</v>
      </c>
      <c r="CP438" s="4" t="s">
        <v>124</v>
      </c>
      <c r="CQ438" s="7">
        <v>0.51724099999999995</v>
      </c>
      <c r="CR438" s="7">
        <v>1</v>
      </c>
      <c r="CS438" s="7">
        <v>34.482759000000001</v>
      </c>
      <c r="CT438" s="7">
        <v>50</v>
      </c>
      <c r="CU438" s="4" t="s">
        <v>124</v>
      </c>
      <c r="CV438" s="4" t="s">
        <v>124</v>
      </c>
      <c r="CW438" s="4" t="s">
        <v>124</v>
      </c>
      <c r="CX438" s="4" t="s">
        <v>124</v>
      </c>
      <c r="CY438" s="4" t="s">
        <v>124</v>
      </c>
      <c r="CZ438" s="4" t="s">
        <v>124</v>
      </c>
      <c r="DA438" s="7">
        <v>15.314097</v>
      </c>
      <c r="DB438" s="7">
        <v>17.400950000000002</v>
      </c>
      <c r="DC438" s="7">
        <v>16.332519999999999</v>
      </c>
      <c r="DD438" s="4" t="s">
        <v>124</v>
      </c>
      <c r="DE438" s="7">
        <v>0</v>
      </c>
      <c r="DF438" s="6"/>
      <c r="DG438" s="6"/>
      <c r="DH438" s="4" t="s">
        <v>331</v>
      </c>
      <c r="DI438" s="4" t="s">
        <v>590</v>
      </c>
      <c r="DJ438" s="7">
        <v>0</v>
      </c>
      <c r="DK438" s="7">
        <v>0</v>
      </c>
      <c r="DL438" s="7">
        <v>1</v>
      </c>
      <c r="DM438" s="7">
        <v>0</v>
      </c>
      <c r="DN438" s="7">
        <v>0</v>
      </c>
      <c r="DO438" s="7">
        <v>0</v>
      </c>
      <c r="DP438" s="6"/>
      <c r="DQ438" s="4" t="s">
        <v>125</v>
      </c>
    </row>
    <row r="439" spans="1:121" ht="20" customHeight="1" x14ac:dyDescent="0.15">
      <c r="A439" s="5">
        <v>2018</v>
      </c>
      <c r="B439" s="3" t="s">
        <v>152</v>
      </c>
      <c r="C439" s="4" t="str">
        <f t="shared" si="27"/>
        <v>0540011</v>
      </c>
      <c r="D439" s="4" t="s">
        <v>591</v>
      </c>
      <c r="E439" s="4" t="str">
        <f>"0540211"</f>
        <v>0540211</v>
      </c>
      <c r="F439" s="4" t="s">
        <v>327</v>
      </c>
      <c r="G439" s="4" t="s">
        <v>338</v>
      </c>
      <c r="H439" s="7">
        <v>5</v>
      </c>
      <c r="I439" s="6"/>
      <c r="J439" s="4" t="s">
        <v>330</v>
      </c>
      <c r="K439" s="7">
        <v>731.74567400000001</v>
      </c>
      <c r="L439" s="7">
        <v>850</v>
      </c>
      <c r="M439" s="7">
        <v>86.087726000000004</v>
      </c>
      <c r="N439" s="7">
        <v>1</v>
      </c>
      <c r="O439" s="7">
        <v>0</v>
      </c>
      <c r="P439" s="7">
        <v>80.209807999999995</v>
      </c>
      <c r="Q439" s="7">
        <v>50</v>
      </c>
      <c r="R439" s="7">
        <v>50</v>
      </c>
      <c r="S439" s="7">
        <v>70.125146000000001</v>
      </c>
      <c r="T439" s="7">
        <v>75</v>
      </c>
      <c r="U439" s="7">
        <v>46.750096999999997</v>
      </c>
      <c r="V439" s="7">
        <v>50</v>
      </c>
      <c r="W439" s="7">
        <v>77.034717999999998</v>
      </c>
      <c r="X439" s="7">
        <v>50</v>
      </c>
      <c r="Y439" s="7">
        <v>50</v>
      </c>
      <c r="Z439" s="7">
        <v>75</v>
      </c>
      <c r="AA439" s="7">
        <v>66.526966000000002</v>
      </c>
      <c r="AB439" s="7">
        <v>44.351309999999998</v>
      </c>
      <c r="AC439" s="7">
        <v>50</v>
      </c>
      <c r="AD439" s="7">
        <v>76.064420999999996</v>
      </c>
      <c r="AE439" s="7">
        <v>50</v>
      </c>
      <c r="AF439" s="7">
        <v>50</v>
      </c>
      <c r="AG439" s="7">
        <v>69.443212000000003</v>
      </c>
      <c r="AH439" s="7">
        <v>75</v>
      </c>
      <c r="AI439" s="7">
        <v>46.295475000000003</v>
      </c>
      <c r="AJ439" s="7">
        <v>50</v>
      </c>
      <c r="AK439" s="7">
        <v>4.87</v>
      </c>
      <c r="AL439" s="7">
        <v>8.4700000000000006</v>
      </c>
      <c r="AM439" s="7">
        <v>5.55</v>
      </c>
      <c r="AN439" s="7">
        <v>0.71269700000000002</v>
      </c>
      <c r="AO439" s="7">
        <v>71.269653000000005</v>
      </c>
      <c r="AP439" s="7">
        <v>100</v>
      </c>
      <c r="AQ439" s="7">
        <v>0.780254</v>
      </c>
      <c r="AR439" s="7">
        <v>78.025366000000005</v>
      </c>
      <c r="AS439" s="7">
        <v>100</v>
      </c>
      <c r="AT439" s="7">
        <v>0.73846999999999996</v>
      </c>
      <c r="AU439" s="7">
        <v>0.70439700000000005</v>
      </c>
      <c r="AV439" s="7">
        <v>73.846964</v>
      </c>
      <c r="AW439" s="7">
        <v>100</v>
      </c>
      <c r="AX439" s="7">
        <v>0.734205</v>
      </c>
      <c r="AY439" s="7">
        <v>0.79508299999999998</v>
      </c>
      <c r="AZ439" s="7">
        <v>73.420547999999997</v>
      </c>
      <c r="BA439" s="7">
        <v>100</v>
      </c>
      <c r="BB439" s="4" t="s">
        <v>124</v>
      </c>
      <c r="BC439" s="4" t="s">
        <v>124</v>
      </c>
      <c r="BD439" s="4" t="s">
        <v>124</v>
      </c>
      <c r="BE439" s="4" t="s">
        <v>124</v>
      </c>
      <c r="BF439" s="4" t="s">
        <v>124</v>
      </c>
      <c r="BG439" s="4" t="s">
        <v>124</v>
      </c>
      <c r="BH439" s="7">
        <v>0</v>
      </c>
      <c r="BI439" s="7">
        <v>1</v>
      </c>
      <c r="BJ439" s="7">
        <v>1</v>
      </c>
      <c r="BK439" s="7">
        <v>1</v>
      </c>
      <c r="BL439" s="7">
        <v>1</v>
      </c>
      <c r="BM439" s="7">
        <v>1</v>
      </c>
      <c r="BN439" s="7">
        <v>1</v>
      </c>
      <c r="BO439" s="7">
        <v>1</v>
      </c>
      <c r="BP439" s="7">
        <v>1</v>
      </c>
      <c r="BQ439" s="7">
        <v>1</v>
      </c>
      <c r="BR439" s="7">
        <v>2.8747000000000002E-2</v>
      </c>
      <c r="BS439" s="7">
        <v>50</v>
      </c>
      <c r="BT439" s="7">
        <v>50</v>
      </c>
      <c r="BU439" s="7">
        <v>6.1068999999999998E-2</v>
      </c>
      <c r="BV439" s="7">
        <v>47.786259999999999</v>
      </c>
      <c r="BW439" s="7">
        <v>50</v>
      </c>
      <c r="BX439" s="4" t="s">
        <v>124</v>
      </c>
      <c r="BY439" s="4" t="s">
        <v>124</v>
      </c>
      <c r="BZ439" s="4" t="s">
        <v>124</v>
      </c>
      <c r="CA439" s="4" t="s">
        <v>124</v>
      </c>
      <c r="CB439" s="4" t="s">
        <v>124</v>
      </c>
      <c r="CC439" s="4" t="s">
        <v>124</v>
      </c>
      <c r="CD439" s="4" t="s">
        <v>124</v>
      </c>
      <c r="CE439" s="4" t="s">
        <v>124</v>
      </c>
      <c r="CF439" s="4" t="s">
        <v>124</v>
      </c>
      <c r="CG439" s="4" t="s">
        <v>124</v>
      </c>
      <c r="CH439" s="4" t="s">
        <v>124</v>
      </c>
      <c r="CI439" s="4" t="s">
        <v>124</v>
      </c>
      <c r="CJ439" s="4" t="s">
        <v>124</v>
      </c>
      <c r="CK439" s="4" t="s">
        <v>124</v>
      </c>
      <c r="CL439" s="4" t="s">
        <v>124</v>
      </c>
      <c r="CM439" s="4" t="s">
        <v>124</v>
      </c>
      <c r="CN439" s="4" t="s">
        <v>124</v>
      </c>
      <c r="CO439" s="4" t="s">
        <v>124</v>
      </c>
      <c r="CP439" s="4" t="s">
        <v>124</v>
      </c>
      <c r="CQ439" s="7">
        <v>0.75</v>
      </c>
      <c r="CR439" s="7">
        <v>0.95238100000000003</v>
      </c>
      <c r="CS439" s="7">
        <v>50</v>
      </c>
      <c r="CT439" s="7">
        <v>50</v>
      </c>
      <c r="CU439" s="4" t="s">
        <v>124</v>
      </c>
      <c r="CV439" s="4" t="s">
        <v>124</v>
      </c>
      <c r="CW439" s="4" t="s">
        <v>124</v>
      </c>
      <c r="CX439" s="4" t="s">
        <v>124</v>
      </c>
      <c r="CY439" s="4" t="s">
        <v>124</v>
      </c>
      <c r="CZ439" s="4" t="s">
        <v>124</v>
      </c>
      <c r="DA439" s="7">
        <v>15.314097</v>
      </c>
      <c r="DB439" s="7">
        <v>17.400950000000002</v>
      </c>
      <c r="DC439" s="7">
        <v>16.332519999999999</v>
      </c>
      <c r="DD439" s="4" t="s">
        <v>124</v>
      </c>
      <c r="DE439" s="7">
        <v>0</v>
      </c>
      <c r="DF439" s="6"/>
      <c r="DG439" s="6"/>
      <c r="DH439" s="6"/>
      <c r="DI439" s="6"/>
      <c r="DJ439" s="7">
        <v>0</v>
      </c>
      <c r="DK439" s="7">
        <v>0</v>
      </c>
      <c r="DL439" s="7">
        <v>0</v>
      </c>
      <c r="DM439" s="7">
        <v>0</v>
      </c>
      <c r="DN439" s="7">
        <v>0</v>
      </c>
      <c r="DO439" s="7">
        <v>0</v>
      </c>
      <c r="DP439" s="6"/>
      <c r="DQ439" s="4" t="s">
        <v>125</v>
      </c>
    </row>
    <row r="440" spans="1:121" ht="20" customHeight="1" x14ac:dyDescent="0.15">
      <c r="A440" s="5">
        <v>2018</v>
      </c>
      <c r="B440" s="3" t="s">
        <v>152</v>
      </c>
      <c r="C440" s="4" t="str">
        <f t="shared" ref="C440:C446" si="204">"0540011"</f>
        <v>0540011</v>
      </c>
      <c r="D440" s="4" t="s">
        <v>592</v>
      </c>
      <c r="E440" s="4" t="str">
        <f>"0540811"</f>
        <v>0540811</v>
      </c>
      <c r="F440" s="4" t="s">
        <v>327</v>
      </c>
      <c r="G440" s="7">
        <v>6</v>
      </c>
      <c r="H440" s="7">
        <v>6</v>
      </c>
      <c r="I440" s="6"/>
      <c r="J440" s="4" t="s">
        <v>330</v>
      </c>
      <c r="K440" s="7">
        <v>599.96289400000001</v>
      </c>
      <c r="L440" s="7">
        <v>750</v>
      </c>
      <c r="M440" s="7">
        <v>79.995052999999999</v>
      </c>
      <c r="N440" s="7">
        <v>2</v>
      </c>
      <c r="O440" s="7">
        <v>0</v>
      </c>
      <c r="P440" s="7">
        <v>83.686605999999998</v>
      </c>
      <c r="Q440" s="7">
        <v>50</v>
      </c>
      <c r="R440" s="7">
        <v>50</v>
      </c>
      <c r="S440" s="7">
        <v>66.457954999999998</v>
      </c>
      <c r="T440" s="7">
        <v>75</v>
      </c>
      <c r="U440" s="7">
        <v>44.305303000000002</v>
      </c>
      <c r="V440" s="7">
        <v>50</v>
      </c>
      <c r="W440" s="7">
        <v>82.393186</v>
      </c>
      <c r="X440" s="7">
        <v>50</v>
      </c>
      <c r="Y440" s="7">
        <v>50</v>
      </c>
      <c r="Z440" s="7">
        <v>75</v>
      </c>
      <c r="AA440" s="7">
        <v>64.527534000000003</v>
      </c>
      <c r="AB440" s="7">
        <v>43.018355999999997</v>
      </c>
      <c r="AC440" s="7">
        <v>50</v>
      </c>
      <c r="AD440" s="4" t="s">
        <v>124</v>
      </c>
      <c r="AE440" s="4" t="s">
        <v>124</v>
      </c>
      <c r="AF440" s="4" t="s">
        <v>124</v>
      </c>
      <c r="AG440" s="4" t="s">
        <v>124</v>
      </c>
      <c r="AH440" s="4" t="s">
        <v>124</v>
      </c>
      <c r="AI440" s="4" t="s">
        <v>124</v>
      </c>
      <c r="AJ440" s="4" t="s">
        <v>124</v>
      </c>
      <c r="AK440" s="7">
        <v>8.5399999999999991</v>
      </c>
      <c r="AL440" s="7">
        <v>10.47</v>
      </c>
      <c r="AM440" s="4" t="s">
        <v>124</v>
      </c>
      <c r="AN440" s="7">
        <v>0.69673600000000002</v>
      </c>
      <c r="AO440" s="7">
        <v>69.673591000000002</v>
      </c>
      <c r="AP440" s="7">
        <v>100</v>
      </c>
      <c r="AQ440" s="7">
        <v>0.85980800000000002</v>
      </c>
      <c r="AR440" s="7">
        <v>85.980818999999997</v>
      </c>
      <c r="AS440" s="7">
        <v>100</v>
      </c>
      <c r="AT440" s="7">
        <v>0.62149500000000002</v>
      </c>
      <c r="AU440" s="7">
        <v>0.71243699999999999</v>
      </c>
      <c r="AV440" s="7">
        <v>62.149478000000002</v>
      </c>
      <c r="AW440" s="7">
        <v>100</v>
      </c>
      <c r="AX440" s="7">
        <v>0.80753299999999995</v>
      </c>
      <c r="AY440" s="7">
        <v>0.87071699999999996</v>
      </c>
      <c r="AZ440" s="7">
        <v>80.753276999999997</v>
      </c>
      <c r="BA440" s="7">
        <v>100</v>
      </c>
      <c r="BB440" s="4" t="s">
        <v>124</v>
      </c>
      <c r="BC440" s="4" t="s">
        <v>124</v>
      </c>
      <c r="BD440" s="4" t="s">
        <v>124</v>
      </c>
      <c r="BE440" s="4" t="s">
        <v>124</v>
      </c>
      <c r="BF440" s="4" t="s">
        <v>124</v>
      </c>
      <c r="BG440" s="4" t="s">
        <v>124</v>
      </c>
      <c r="BH440" s="7">
        <v>0</v>
      </c>
      <c r="BI440" s="7">
        <v>0.99577199999999999</v>
      </c>
      <c r="BJ440" s="7">
        <v>0.98947399999999996</v>
      </c>
      <c r="BK440" s="7">
        <v>0.99735399999999996</v>
      </c>
      <c r="BL440" s="7">
        <v>0.99154299999999995</v>
      </c>
      <c r="BM440" s="7">
        <v>0.98947399999999996</v>
      </c>
      <c r="BN440" s="7">
        <v>0.99206300000000003</v>
      </c>
      <c r="BO440" s="4" t="s">
        <v>124</v>
      </c>
      <c r="BP440" s="4" t="s">
        <v>124</v>
      </c>
      <c r="BQ440" s="4" t="s">
        <v>124</v>
      </c>
      <c r="BR440" s="7">
        <v>3.3827000000000003E-2</v>
      </c>
      <c r="BS440" s="7">
        <v>50</v>
      </c>
      <c r="BT440" s="7">
        <v>50</v>
      </c>
      <c r="BU440" s="7">
        <v>0.123596</v>
      </c>
      <c r="BV440" s="7">
        <v>35.280898999999998</v>
      </c>
      <c r="BW440" s="7">
        <v>50</v>
      </c>
      <c r="BX440" s="4" t="s">
        <v>124</v>
      </c>
      <c r="BY440" s="4" t="s">
        <v>124</v>
      </c>
      <c r="BZ440" s="4" t="s">
        <v>124</v>
      </c>
      <c r="CA440" s="4" t="s">
        <v>124</v>
      </c>
      <c r="CB440" s="4" t="s">
        <v>124</v>
      </c>
      <c r="CC440" s="4" t="s">
        <v>124</v>
      </c>
      <c r="CD440" s="4" t="s">
        <v>124</v>
      </c>
      <c r="CE440" s="4" t="s">
        <v>124</v>
      </c>
      <c r="CF440" s="4" t="s">
        <v>124</v>
      </c>
      <c r="CG440" s="4" t="s">
        <v>124</v>
      </c>
      <c r="CH440" s="4" t="s">
        <v>124</v>
      </c>
      <c r="CI440" s="4" t="s">
        <v>124</v>
      </c>
      <c r="CJ440" s="4" t="s">
        <v>124</v>
      </c>
      <c r="CK440" s="4" t="s">
        <v>124</v>
      </c>
      <c r="CL440" s="4" t="s">
        <v>124</v>
      </c>
      <c r="CM440" s="4" t="s">
        <v>124</v>
      </c>
      <c r="CN440" s="4" t="s">
        <v>124</v>
      </c>
      <c r="CO440" s="4" t="s">
        <v>124</v>
      </c>
      <c r="CP440" s="4" t="s">
        <v>124</v>
      </c>
      <c r="CQ440" s="7">
        <v>0.43201800000000001</v>
      </c>
      <c r="CR440" s="7">
        <v>0.964059</v>
      </c>
      <c r="CS440" s="7">
        <v>28.801169999999999</v>
      </c>
      <c r="CT440" s="7">
        <v>50</v>
      </c>
      <c r="CU440" s="4" t="s">
        <v>124</v>
      </c>
      <c r="CV440" s="4" t="s">
        <v>124</v>
      </c>
      <c r="CW440" s="4" t="s">
        <v>124</v>
      </c>
      <c r="CX440" s="4" t="s">
        <v>124</v>
      </c>
      <c r="CY440" s="4" t="s">
        <v>124</v>
      </c>
      <c r="CZ440" s="4" t="s">
        <v>124</v>
      </c>
      <c r="DA440" s="7">
        <v>15.314097</v>
      </c>
      <c r="DB440" s="7">
        <v>17.400950000000002</v>
      </c>
      <c r="DC440" s="7">
        <v>16.332519999999999</v>
      </c>
      <c r="DD440" s="4" t="s">
        <v>124</v>
      </c>
      <c r="DE440" s="7">
        <v>0</v>
      </c>
      <c r="DF440" s="6"/>
      <c r="DG440" s="6"/>
      <c r="DH440" s="4" t="s">
        <v>331</v>
      </c>
      <c r="DI440" s="4" t="s">
        <v>452</v>
      </c>
      <c r="DJ440" s="7">
        <v>0</v>
      </c>
      <c r="DK440" s="7">
        <v>0</v>
      </c>
      <c r="DL440" s="7">
        <v>1</v>
      </c>
      <c r="DM440" s="7">
        <v>0</v>
      </c>
      <c r="DN440" s="7">
        <v>1</v>
      </c>
      <c r="DO440" s="7">
        <v>0</v>
      </c>
      <c r="DP440" s="6"/>
      <c r="DQ440" s="4" t="s">
        <v>125</v>
      </c>
    </row>
    <row r="441" spans="1:121" ht="20" customHeight="1" x14ac:dyDescent="0.15">
      <c r="A441" s="5">
        <v>2018</v>
      </c>
      <c r="B441" s="3" t="s">
        <v>152</v>
      </c>
      <c r="C441" s="4" t="str">
        <f t="shared" si="204"/>
        <v>0540011</v>
      </c>
      <c r="D441" s="4" t="s">
        <v>593</v>
      </c>
      <c r="E441" s="4" t="str">
        <f>"0546111"</f>
        <v>0546111</v>
      </c>
      <c r="F441" s="4" t="s">
        <v>327</v>
      </c>
      <c r="G441" s="7">
        <v>9</v>
      </c>
      <c r="H441" s="7">
        <v>12</v>
      </c>
      <c r="I441" s="6"/>
      <c r="J441" s="4" t="s">
        <v>330</v>
      </c>
      <c r="K441" s="7">
        <v>1284.983571</v>
      </c>
      <c r="L441" s="7">
        <v>1450</v>
      </c>
      <c r="M441" s="7">
        <v>88.619557</v>
      </c>
      <c r="N441" s="7">
        <v>2</v>
      </c>
      <c r="O441" s="7">
        <v>1</v>
      </c>
      <c r="P441" s="7">
        <v>68.398895999999993</v>
      </c>
      <c r="Q441" s="7">
        <v>136.79779199999999</v>
      </c>
      <c r="R441" s="7">
        <v>150</v>
      </c>
      <c r="S441" s="7">
        <v>53.101190000000003</v>
      </c>
      <c r="T441" s="7">
        <v>71.619465000000005</v>
      </c>
      <c r="U441" s="7">
        <v>106.202381</v>
      </c>
      <c r="V441" s="7">
        <v>150</v>
      </c>
      <c r="W441" s="7">
        <v>70.620658000000006</v>
      </c>
      <c r="X441" s="7">
        <v>141.24131600000001</v>
      </c>
      <c r="Y441" s="7">
        <v>150</v>
      </c>
      <c r="Z441" s="7">
        <v>74.505013000000005</v>
      </c>
      <c r="AA441" s="7">
        <v>52.169974000000003</v>
      </c>
      <c r="AB441" s="7">
        <v>104.339947</v>
      </c>
      <c r="AC441" s="7">
        <v>150</v>
      </c>
      <c r="AD441" s="7">
        <v>74.386476999999999</v>
      </c>
      <c r="AE441" s="7">
        <v>99.181968999999995</v>
      </c>
      <c r="AF441" s="7">
        <v>100</v>
      </c>
      <c r="AG441" s="7">
        <v>59.434781999999998</v>
      </c>
      <c r="AH441" s="7">
        <v>75</v>
      </c>
      <c r="AI441" s="7">
        <v>79.246375999999998</v>
      </c>
      <c r="AJ441" s="7">
        <v>100</v>
      </c>
      <c r="AK441" s="7">
        <v>18.510000000000002</v>
      </c>
      <c r="AL441" s="7">
        <v>22.33</v>
      </c>
      <c r="AM441" s="7">
        <v>15.56</v>
      </c>
      <c r="AN441" s="4" t="s">
        <v>124</v>
      </c>
      <c r="AO441" s="4" t="s">
        <v>124</v>
      </c>
      <c r="AP441" s="4" t="s">
        <v>124</v>
      </c>
      <c r="AQ441" s="4" t="s">
        <v>124</v>
      </c>
      <c r="AR441" s="4" t="s">
        <v>124</v>
      </c>
      <c r="AS441" s="4" t="s">
        <v>124</v>
      </c>
      <c r="AT441" s="4" t="s">
        <v>124</v>
      </c>
      <c r="AU441" s="4" t="s">
        <v>124</v>
      </c>
      <c r="AV441" s="4" t="s">
        <v>124</v>
      </c>
      <c r="AW441" s="4" t="s">
        <v>124</v>
      </c>
      <c r="AX441" s="4" t="s">
        <v>124</v>
      </c>
      <c r="AY441" s="4" t="s">
        <v>124</v>
      </c>
      <c r="AZ441" s="4" t="s">
        <v>124</v>
      </c>
      <c r="BA441" s="4" t="s">
        <v>124</v>
      </c>
      <c r="BB441" s="4" t="s">
        <v>124</v>
      </c>
      <c r="BC441" s="4" t="s">
        <v>124</v>
      </c>
      <c r="BD441" s="4" t="s">
        <v>124</v>
      </c>
      <c r="BE441" s="4" t="s">
        <v>124</v>
      </c>
      <c r="BF441" s="4" t="s">
        <v>124</v>
      </c>
      <c r="BG441" s="4" t="s">
        <v>124</v>
      </c>
      <c r="BH441" s="7">
        <v>0</v>
      </c>
      <c r="BI441" s="7">
        <v>0.99188600000000005</v>
      </c>
      <c r="BJ441" s="7">
        <v>0.95652199999999998</v>
      </c>
      <c r="BK441" s="7">
        <v>1</v>
      </c>
      <c r="BL441" s="7">
        <v>0.99188600000000005</v>
      </c>
      <c r="BM441" s="7">
        <v>0.95652199999999998</v>
      </c>
      <c r="BN441" s="7">
        <v>1</v>
      </c>
      <c r="BO441" s="7">
        <v>0.993927</v>
      </c>
      <c r="BP441" s="7">
        <v>0.978495</v>
      </c>
      <c r="BQ441" s="7">
        <v>0.997506</v>
      </c>
      <c r="BR441" s="7">
        <v>4.0662999999999998E-2</v>
      </c>
      <c r="BS441" s="7">
        <v>50</v>
      </c>
      <c r="BT441" s="7">
        <v>50</v>
      </c>
      <c r="BU441" s="7">
        <v>9.5477000000000006E-2</v>
      </c>
      <c r="BV441" s="7">
        <v>40.904522999999998</v>
      </c>
      <c r="BW441" s="7">
        <v>50</v>
      </c>
      <c r="BX441" s="7">
        <v>0.73340000000000005</v>
      </c>
      <c r="BY441" s="7">
        <v>48.893360000000001</v>
      </c>
      <c r="BZ441" s="7">
        <v>50</v>
      </c>
      <c r="CA441" s="7">
        <v>0.74949699999999997</v>
      </c>
      <c r="CB441" s="7">
        <v>49.966464999999999</v>
      </c>
      <c r="CC441" s="7">
        <v>50</v>
      </c>
      <c r="CD441" s="7">
        <v>0.967611</v>
      </c>
      <c r="CE441" s="7">
        <v>50</v>
      </c>
      <c r="CF441" s="7">
        <v>50</v>
      </c>
      <c r="CG441" s="7">
        <v>0.99373699999999998</v>
      </c>
      <c r="CH441" s="7">
        <v>100</v>
      </c>
      <c r="CI441" s="7">
        <v>100</v>
      </c>
      <c r="CJ441" s="7">
        <v>0</v>
      </c>
      <c r="CK441" s="7">
        <v>0.99029100000000003</v>
      </c>
      <c r="CL441" s="7">
        <v>100</v>
      </c>
      <c r="CM441" s="7">
        <v>100</v>
      </c>
      <c r="CN441" s="7">
        <v>0.86221300000000001</v>
      </c>
      <c r="CO441" s="7">
        <v>100</v>
      </c>
      <c r="CP441" s="7">
        <v>100</v>
      </c>
      <c r="CQ441" s="7">
        <v>0.58642000000000005</v>
      </c>
      <c r="CR441" s="7">
        <v>0.96428599999999998</v>
      </c>
      <c r="CS441" s="7">
        <v>39.094650000000001</v>
      </c>
      <c r="CT441" s="7">
        <v>50</v>
      </c>
      <c r="CU441" s="7">
        <v>0.46937800000000002</v>
      </c>
      <c r="CV441" s="7">
        <v>39.114792999999999</v>
      </c>
      <c r="CW441" s="7">
        <v>50</v>
      </c>
      <c r="CX441" s="7">
        <v>0.99029100000000003</v>
      </c>
      <c r="CY441" s="7">
        <v>0.94</v>
      </c>
      <c r="CZ441" s="7">
        <v>-5.0291000000000002E-2</v>
      </c>
      <c r="DA441" s="7">
        <v>15.314097</v>
      </c>
      <c r="DB441" s="7">
        <v>17.400950000000002</v>
      </c>
      <c r="DC441" s="7">
        <v>16.332519999999999</v>
      </c>
      <c r="DD441" s="7">
        <v>7.9891730000000001</v>
      </c>
      <c r="DE441" s="7">
        <v>1</v>
      </c>
      <c r="DF441" s="6"/>
      <c r="DG441" s="6"/>
      <c r="DH441" s="6"/>
      <c r="DI441" s="6"/>
      <c r="DJ441" s="7">
        <v>0</v>
      </c>
      <c r="DK441" s="7">
        <v>0</v>
      </c>
      <c r="DL441" s="7">
        <v>0</v>
      </c>
      <c r="DM441" s="7">
        <v>0</v>
      </c>
      <c r="DN441" s="7">
        <v>0</v>
      </c>
      <c r="DO441" s="7">
        <v>0</v>
      </c>
      <c r="DP441" s="6"/>
      <c r="DQ441" s="4" t="s">
        <v>125</v>
      </c>
    </row>
    <row r="442" spans="1:121" ht="20" customHeight="1" x14ac:dyDescent="0.15">
      <c r="A442" s="5">
        <v>2018</v>
      </c>
      <c r="B442" s="3" t="s">
        <v>152</v>
      </c>
      <c r="C442" s="4" t="str">
        <f t="shared" si="204"/>
        <v>0540011</v>
      </c>
      <c r="D442" s="4" t="s">
        <v>594</v>
      </c>
      <c r="E442" s="4" t="str">
        <f>"0540411"</f>
        <v>0540411</v>
      </c>
      <c r="F442" s="4" t="s">
        <v>327</v>
      </c>
      <c r="G442" s="4" t="s">
        <v>338</v>
      </c>
      <c r="H442" s="7">
        <v>5</v>
      </c>
      <c r="I442" s="6"/>
      <c r="J442" s="4" t="s">
        <v>330</v>
      </c>
      <c r="K442" s="7">
        <v>657.55357400000003</v>
      </c>
      <c r="L442" s="7">
        <v>800</v>
      </c>
      <c r="M442" s="7">
        <v>82.194197000000003</v>
      </c>
      <c r="N442" s="7">
        <v>2</v>
      </c>
      <c r="O442" s="7">
        <v>0</v>
      </c>
      <c r="P442" s="7">
        <v>86.390596000000002</v>
      </c>
      <c r="Q442" s="7">
        <v>50</v>
      </c>
      <c r="R442" s="7">
        <v>50</v>
      </c>
      <c r="S442" s="7">
        <v>76.197944000000007</v>
      </c>
      <c r="T442" s="7">
        <v>75</v>
      </c>
      <c r="U442" s="7">
        <v>50</v>
      </c>
      <c r="V442" s="7">
        <v>50</v>
      </c>
      <c r="W442" s="7">
        <v>81.542417999999998</v>
      </c>
      <c r="X442" s="7">
        <v>50</v>
      </c>
      <c r="Y442" s="7">
        <v>50</v>
      </c>
      <c r="Z442" s="7">
        <v>75</v>
      </c>
      <c r="AA442" s="7">
        <v>70.045908999999995</v>
      </c>
      <c r="AB442" s="7">
        <v>46.697273000000003</v>
      </c>
      <c r="AC442" s="7">
        <v>50</v>
      </c>
      <c r="AD442" s="7">
        <v>79.508253999999994</v>
      </c>
      <c r="AE442" s="7">
        <v>50</v>
      </c>
      <c r="AF442" s="7">
        <v>50</v>
      </c>
      <c r="AG442" s="4" t="s">
        <v>124</v>
      </c>
      <c r="AH442" s="7">
        <v>75</v>
      </c>
      <c r="AI442" s="4" t="s">
        <v>124</v>
      </c>
      <c r="AJ442" s="4" t="s">
        <v>124</v>
      </c>
      <c r="AK442" s="7">
        <v>-1.19</v>
      </c>
      <c r="AL442" s="7">
        <v>4.95</v>
      </c>
      <c r="AM442" s="4" t="s">
        <v>124</v>
      </c>
      <c r="AN442" s="7">
        <v>0.732294</v>
      </c>
      <c r="AO442" s="7">
        <v>73.229427999999999</v>
      </c>
      <c r="AP442" s="7">
        <v>100</v>
      </c>
      <c r="AQ442" s="7">
        <v>0.64360700000000004</v>
      </c>
      <c r="AR442" s="7">
        <v>64.360668000000004</v>
      </c>
      <c r="AS442" s="7">
        <v>100</v>
      </c>
      <c r="AT442" s="7">
        <v>0.65905800000000003</v>
      </c>
      <c r="AU442" s="7">
        <v>0.744035</v>
      </c>
      <c r="AV442" s="7">
        <v>65.905749999999998</v>
      </c>
      <c r="AW442" s="7">
        <v>100</v>
      </c>
      <c r="AX442" s="7">
        <v>0.58875599999999995</v>
      </c>
      <c r="AY442" s="7">
        <v>0.65239999999999998</v>
      </c>
      <c r="AZ442" s="7">
        <v>58.875605999999998</v>
      </c>
      <c r="BA442" s="7">
        <v>100</v>
      </c>
      <c r="BB442" s="4" t="s">
        <v>124</v>
      </c>
      <c r="BC442" s="4" t="s">
        <v>124</v>
      </c>
      <c r="BD442" s="4" t="s">
        <v>124</v>
      </c>
      <c r="BE442" s="4" t="s">
        <v>124</v>
      </c>
      <c r="BF442" s="4" t="s">
        <v>124</v>
      </c>
      <c r="BG442" s="4" t="s">
        <v>124</v>
      </c>
      <c r="BH442" s="7">
        <v>0</v>
      </c>
      <c r="BI442" s="7">
        <v>1</v>
      </c>
      <c r="BJ442" s="7">
        <v>1</v>
      </c>
      <c r="BK442" s="7">
        <v>1</v>
      </c>
      <c r="BL442" s="7">
        <v>1</v>
      </c>
      <c r="BM442" s="7">
        <v>1</v>
      </c>
      <c r="BN442" s="7">
        <v>1</v>
      </c>
      <c r="BO442" s="7">
        <v>1</v>
      </c>
      <c r="BP442" s="4" t="s">
        <v>124</v>
      </c>
      <c r="BQ442" s="7">
        <v>1</v>
      </c>
      <c r="BR442" s="7">
        <v>2.5172E-2</v>
      </c>
      <c r="BS442" s="7">
        <v>50</v>
      </c>
      <c r="BT442" s="7">
        <v>50</v>
      </c>
      <c r="BU442" s="7">
        <v>3.8961000000000003E-2</v>
      </c>
      <c r="BV442" s="7">
        <v>50</v>
      </c>
      <c r="BW442" s="7">
        <v>50</v>
      </c>
      <c r="BX442" s="4" t="s">
        <v>124</v>
      </c>
      <c r="BY442" s="4" t="s">
        <v>124</v>
      </c>
      <c r="BZ442" s="4" t="s">
        <v>124</v>
      </c>
      <c r="CA442" s="4" t="s">
        <v>124</v>
      </c>
      <c r="CB442" s="4" t="s">
        <v>124</v>
      </c>
      <c r="CC442" s="4" t="s">
        <v>124</v>
      </c>
      <c r="CD442" s="4" t="s">
        <v>124</v>
      </c>
      <c r="CE442" s="4" t="s">
        <v>124</v>
      </c>
      <c r="CF442" s="4" t="s">
        <v>124</v>
      </c>
      <c r="CG442" s="4" t="s">
        <v>124</v>
      </c>
      <c r="CH442" s="4" t="s">
        <v>124</v>
      </c>
      <c r="CI442" s="4" t="s">
        <v>124</v>
      </c>
      <c r="CJ442" s="4" t="s">
        <v>124</v>
      </c>
      <c r="CK442" s="4" t="s">
        <v>124</v>
      </c>
      <c r="CL442" s="4" t="s">
        <v>124</v>
      </c>
      <c r="CM442" s="4" t="s">
        <v>124</v>
      </c>
      <c r="CN442" s="4" t="s">
        <v>124</v>
      </c>
      <c r="CO442" s="4" t="s">
        <v>124</v>
      </c>
      <c r="CP442" s="4" t="s">
        <v>124</v>
      </c>
      <c r="CQ442" s="7">
        <v>0.72727299999999995</v>
      </c>
      <c r="CR442" s="7">
        <v>1</v>
      </c>
      <c r="CS442" s="7">
        <v>48.484848</v>
      </c>
      <c r="CT442" s="7">
        <v>50</v>
      </c>
      <c r="CU442" s="4" t="s">
        <v>124</v>
      </c>
      <c r="CV442" s="4" t="s">
        <v>124</v>
      </c>
      <c r="CW442" s="4" t="s">
        <v>124</v>
      </c>
      <c r="CX442" s="4" t="s">
        <v>124</v>
      </c>
      <c r="CY442" s="4" t="s">
        <v>124</v>
      </c>
      <c r="CZ442" s="4" t="s">
        <v>124</v>
      </c>
      <c r="DA442" s="7">
        <v>15.314097</v>
      </c>
      <c r="DB442" s="7">
        <v>17.400950000000002</v>
      </c>
      <c r="DC442" s="7">
        <v>16.332519999999999</v>
      </c>
      <c r="DD442" s="4" t="s">
        <v>124</v>
      </c>
      <c r="DE442" s="7">
        <v>0</v>
      </c>
      <c r="DF442" s="6"/>
      <c r="DG442" s="6"/>
      <c r="DH442" s="6"/>
      <c r="DI442" s="6"/>
      <c r="DJ442" s="7">
        <v>0</v>
      </c>
      <c r="DK442" s="7">
        <v>0</v>
      </c>
      <c r="DL442" s="7">
        <v>0</v>
      </c>
      <c r="DM442" s="7">
        <v>0</v>
      </c>
      <c r="DN442" s="7">
        <v>0</v>
      </c>
      <c r="DO442" s="7">
        <v>0</v>
      </c>
      <c r="DP442" s="6"/>
      <c r="DQ442" s="4" t="s">
        <v>125</v>
      </c>
    </row>
    <row r="443" spans="1:121" ht="20" customHeight="1" x14ac:dyDescent="0.15">
      <c r="A443" s="5">
        <v>2018</v>
      </c>
      <c r="B443" s="3" t="s">
        <v>152</v>
      </c>
      <c r="C443" s="4" t="str">
        <f t="shared" si="204"/>
        <v>0540011</v>
      </c>
      <c r="D443" s="4" t="s">
        <v>595</v>
      </c>
      <c r="E443" s="4" t="str">
        <f>"0540611"</f>
        <v>0540611</v>
      </c>
      <c r="F443" s="4" t="s">
        <v>327</v>
      </c>
      <c r="G443" s="4" t="s">
        <v>338</v>
      </c>
      <c r="H443" s="7">
        <v>5</v>
      </c>
      <c r="I443" s="6"/>
      <c r="J443" s="4" t="s">
        <v>330</v>
      </c>
      <c r="K443" s="7">
        <v>690.25500399999999</v>
      </c>
      <c r="L443" s="7">
        <v>800</v>
      </c>
      <c r="M443" s="7">
        <v>86.281874999999999</v>
      </c>
      <c r="N443" s="7">
        <v>1</v>
      </c>
      <c r="O443" s="7">
        <v>0</v>
      </c>
      <c r="P443" s="7">
        <v>84.088517999999993</v>
      </c>
      <c r="Q443" s="7">
        <v>50</v>
      </c>
      <c r="R443" s="7">
        <v>50</v>
      </c>
      <c r="S443" s="7">
        <v>69.555376999999993</v>
      </c>
      <c r="T443" s="7">
        <v>75</v>
      </c>
      <c r="U443" s="7">
        <v>46.370251000000003</v>
      </c>
      <c r="V443" s="7">
        <v>50</v>
      </c>
      <c r="W443" s="7">
        <v>81.371031000000002</v>
      </c>
      <c r="X443" s="7">
        <v>50</v>
      </c>
      <c r="Y443" s="7">
        <v>50</v>
      </c>
      <c r="Z443" s="7">
        <v>75</v>
      </c>
      <c r="AA443" s="7">
        <v>69.770328000000006</v>
      </c>
      <c r="AB443" s="7">
        <v>46.513551999999997</v>
      </c>
      <c r="AC443" s="7">
        <v>50</v>
      </c>
      <c r="AD443" s="7">
        <v>77.362903000000003</v>
      </c>
      <c r="AE443" s="7">
        <v>50</v>
      </c>
      <c r="AF443" s="7">
        <v>50</v>
      </c>
      <c r="AG443" s="4" t="s">
        <v>124</v>
      </c>
      <c r="AH443" s="7">
        <v>75</v>
      </c>
      <c r="AI443" s="4" t="s">
        <v>124</v>
      </c>
      <c r="AJ443" s="4" t="s">
        <v>124</v>
      </c>
      <c r="AK443" s="7">
        <v>5.44</v>
      </c>
      <c r="AL443" s="7">
        <v>5.22</v>
      </c>
      <c r="AM443" s="4" t="s">
        <v>124</v>
      </c>
      <c r="AN443" s="7">
        <v>0.75090999999999997</v>
      </c>
      <c r="AO443" s="7">
        <v>75.091012000000006</v>
      </c>
      <c r="AP443" s="7">
        <v>100</v>
      </c>
      <c r="AQ443" s="7">
        <v>0.78537800000000002</v>
      </c>
      <c r="AR443" s="7">
        <v>78.537833000000006</v>
      </c>
      <c r="AS443" s="7">
        <v>100</v>
      </c>
      <c r="AT443" s="7">
        <v>0.71471499999999999</v>
      </c>
      <c r="AU443" s="7">
        <v>0.75626300000000002</v>
      </c>
      <c r="AV443" s="7">
        <v>71.471542999999997</v>
      </c>
      <c r="AW443" s="7">
        <v>100</v>
      </c>
      <c r="AX443" s="7">
        <v>0.81941600000000003</v>
      </c>
      <c r="AY443" s="7">
        <v>0.78034499999999996</v>
      </c>
      <c r="AZ443" s="7">
        <v>81.941595000000007</v>
      </c>
      <c r="BA443" s="7">
        <v>100</v>
      </c>
      <c r="BB443" s="4" t="s">
        <v>124</v>
      </c>
      <c r="BC443" s="4" t="s">
        <v>124</v>
      </c>
      <c r="BD443" s="4" t="s">
        <v>124</v>
      </c>
      <c r="BE443" s="4" t="s">
        <v>124</v>
      </c>
      <c r="BF443" s="4" t="s">
        <v>124</v>
      </c>
      <c r="BG443" s="4" t="s">
        <v>124</v>
      </c>
      <c r="BH443" s="7">
        <v>0</v>
      </c>
      <c r="BI443" s="7">
        <v>1</v>
      </c>
      <c r="BJ443" s="7">
        <v>1</v>
      </c>
      <c r="BK443" s="7">
        <v>1</v>
      </c>
      <c r="BL443" s="7">
        <v>1</v>
      </c>
      <c r="BM443" s="7">
        <v>1</v>
      </c>
      <c r="BN443" s="7">
        <v>1</v>
      </c>
      <c r="BO443" s="7">
        <v>1</v>
      </c>
      <c r="BP443" s="4" t="s">
        <v>124</v>
      </c>
      <c r="BQ443" s="7">
        <v>1</v>
      </c>
      <c r="BR443" s="7">
        <v>1.8218999999999999E-2</v>
      </c>
      <c r="BS443" s="7">
        <v>50</v>
      </c>
      <c r="BT443" s="7">
        <v>50</v>
      </c>
      <c r="BU443" s="7">
        <v>0.05</v>
      </c>
      <c r="BV443" s="7">
        <v>50</v>
      </c>
      <c r="BW443" s="7">
        <v>50</v>
      </c>
      <c r="BX443" s="4" t="s">
        <v>124</v>
      </c>
      <c r="BY443" s="4" t="s">
        <v>124</v>
      </c>
      <c r="BZ443" s="4" t="s">
        <v>124</v>
      </c>
      <c r="CA443" s="4" t="s">
        <v>124</v>
      </c>
      <c r="CB443" s="4" t="s">
        <v>124</v>
      </c>
      <c r="CC443" s="4" t="s">
        <v>124</v>
      </c>
      <c r="CD443" s="4" t="s">
        <v>124</v>
      </c>
      <c r="CE443" s="4" t="s">
        <v>124</v>
      </c>
      <c r="CF443" s="4" t="s">
        <v>124</v>
      </c>
      <c r="CG443" s="4" t="s">
        <v>124</v>
      </c>
      <c r="CH443" s="4" t="s">
        <v>124</v>
      </c>
      <c r="CI443" s="4" t="s">
        <v>124</v>
      </c>
      <c r="CJ443" s="4" t="s">
        <v>124</v>
      </c>
      <c r="CK443" s="4" t="s">
        <v>124</v>
      </c>
      <c r="CL443" s="4" t="s">
        <v>124</v>
      </c>
      <c r="CM443" s="4" t="s">
        <v>124</v>
      </c>
      <c r="CN443" s="4" t="s">
        <v>124</v>
      </c>
      <c r="CO443" s="4" t="s">
        <v>124</v>
      </c>
      <c r="CP443" s="4" t="s">
        <v>124</v>
      </c>
      <c r="CQ443" s="7">
        <v>0.60493799999999998</v>
      </c>
      <c r="CR443" s="7">
        <v>1</v>
      </c>
      <c r="CS443" s="7">
        <v>40.329217999999997</v>
      </c>
      <c r="CT443" s="7">
        <v>50</v>
      </c>
      <c r="CU443" s="4" t="s">
        <v>124</v>
      </c>
      <c r="CV443" s="4" t="s">
        <v>124</v>
      </c>
      <c r="CW443" s="4" t="s">
        <v>124</v>
      </c>
      <c r="CX443" s="4" t="s">
        <v>124</v>
      </c>
      <c r="CY443" s="4" t="s">
        <v>124</v>
      </c>
      <c r="CZ443" s="4" t="s">
        <v>124</v>
      </c>
      <c r="DA443" s="7">
        <v>15.314097</v>
      </c>
      <c r="DB443" s="7">
        <v>17.400950000000002</v>
      </c>
      <c r="DC443" s="7">
        <v>16.332519999999999</v>
      </c>
      <c r="DD443" s="4" t="s">
        <v>124</v>
      </c>
      <c r="DE443" s="7">
        <v>0</v>
      </c>
      <c r="DF443" s="6"/>
      <c r="DG443" s="6"/>
      <c r="DH443" s="4" t="s">
        <v>331</v>
      </c>
      <c r="DI443" s="4" t="s">
        <v>596</v>
      </c>
      <c r="DJ443" s="7">
        <v>0</v>
      </c>
      <c r="DK443" s="7">
        <v>0</v>
      </c>
      <c r="DL443" s="7">
        <v>0</v>
      </c>
      <c r="DM443" s="7">
        <v>1</v>
      </c>
      <c r="DN443" s="7">
        <v>1</v>
      </c>
      <c r="DO443" s="7">
        <v>0</v>
      </c>
      <c r="DP443" s="6"/>
      <c r="DQ443" s="4" t="s">
        <v>125</v>
      </c>
    </row>
    <row r="444" spans="1:121" ht="20" customHeight="1" x14ac:dyDescent="0.15">
      <c r="A444" s="5">
        <v>2018</v>
      </c>
      <c r="B444" s="3" t="s">
        <v>152</v>
      </c>
      <c r="C444" s="4" t="str">
        <f t="shared" si="204"/>
        <v>0540011</v>
      </c>
      <c r="D444" s="4" t="s">
        <v>597</v>
      </c>
      <c r="E444" s="4" t="str">
        <f>"0540711"</f>
        <v>0540711</v>
      </c>
      <c r="F444" s="4" t="s">
        <v>327</v>
      </c>
      <c r="G444" s="4" t="s">
        <v>338</v>
      </c>
      <c r="H444" s="7">
        <v>5</v>
      </c>
      <c r="I444" s="4" t="s">
        <v>329</v>
      </c>
      <c r="J444" s="4" t="s">
        <v>330</v>
      </c>
      <c r="K444" s="7">
        <v>734.36890600000004</v>
      </c>
      <c r="L444" s="7">
        <v>950</v>
      </c>
      <c r="M444" s="7">
        <v>77.301990000000004</v>
      </c>
      <c r="N444" s="7">
        <v>2</v>
      </c>
      <c r="O444" s="7">
        <v>0</v>
      </c>
      <c r="P444" s="7">
        <v>76.787150999999994</v>
      </c>
      <c r="Q444" s="7">
        <v>50</v>
      </c>
      <c r="R444" s="7">
        <v>50</v>
      </c>
      <c r="S444" s="7">
        <v>66.695228999999998</v>
      </c>
      <c r="T444" s="7">
        <v>75</v>
      </c>
      <c r="U444" s="7">
        <v>44.463486000000003</v>
      </c>
      <c r="V444" s="7">
        <v>50</v>
      </c>
      <c r="W444" s="7">
        <v>76.319388000000004</v>
      </c>
      <c r="X444" s="7">
        <v>50</v>
      </c>
      <c r="Y444" s="7">
        <v>50</v>
      </c>
      <c r="Z444" s="7">
        <v>75</v>
      </c>
      <c r="AA444" s="7">
        <v>66.522107000000005</v>
      </c>
      <c r="AB444" s="7">
        <v>44.348070999999997</v>
      </c>
      <c r="AC444" s="7">
        <v>50</v>
      </c>
      <c r="AD444" s="7">
        <v>73.871588000000003</v>
      </c>
      <c r="AE444" s="7">
        <v>49.247725000000003</v>
      </c>
      <c r="AF444" s="7">
        <v>50</v>
      </c>
      <c r="AG444" s="7">
        <v>67.162903</v>
      </c>
      <c r="AH444" s="7">
        <v>75</v>
      </c>
      <c r="AI444" s="7">
        <v>44.775269000000002</v>
      </c>
      <c r="AJ444" s="7">
        <v>50</v>
      </c>
      <c r="AK444" s="7">
        <v>8.3000000000000007</v>
      </c>
      <c r="AL444" s="7">
        <v>8.4700000000000006</v>
      </c>
      <c r="AM444" s="7">
        <v>7.83</v>
      </c>
      <c r="AN444" s="7">
        <v>0.56743100000000002</v>
      </c>
      <c r="AO444" s="7">
        <v>56.743059000000002</v>
      </c>
      <c r="AP444" s="7">
        <v>100</v>
      </c>
      <c r="AQ444" s="7">
        <v>0.84060800000000002</v>
      </c>
      <c r="AR444" s="7">
        <v>84.060785999999993</v>
      </c>
      <c r="AS444" s="7">
        <v>100</v>
      </c>
      <c r="AT444" s="7">
        <v>0.47456900000000002</v>
      </c>
      <c r="AU444" s="7">
        <v>0.61981399999999998</v>
      </c>
      <c r="AV444" s="7">
        <v>47.456947</v>
      </c>
      <c r="AW444" s="7">
        <v>100</v>
      </c>
      <c r="AX444" s="7">
        <v>0.848163</v>
      </c>
      <c r="AY444" s="7">
        <v>0.83634600000000003</v>
      </c>
      <c r="AZ444" s="7">
        <v>84.816325000000006</v>
      </c>
      <c r="BA444" s="7">
        <v>100</v>
      </c>
      <c r="BB444" s="7">
        <v>0.73684099999999997</v>
      </c>
      <c r="BC444" s="7">
        <v>36.842030000000001</v>
      </c>
      <c r="BD444" s="7">
        <v>50</v>
      </c>
      <c r="BE444" s="7">
        <v>0.56572599999999995</v>
      </c>
      <c r="BF444" s="7">
        <v>28.286290999999999</v>
      </c>
      <c r="BG444" s="7">
        <v>50</v>
      </c>
      <c r="BH444" s="7">
        <v>0</v>
      </c>
      <c r="BI444" s="7">
        <v>0.98564600000000002</v>
      </c>
      <c r="BJ444" s="7">
        <v>0.97647099999999998</v>
      </c>
      <c r="BK444" s="7">
        <v>0.99193500000000001</v>
      </c>
      <c r="BL444" s="7">
        <v>0.98571399999999998</v>
      </c>
      <c r="BM444" s="7">
        <v>0.97674399999999995</v>
      </c>
      <c r="BN444" s="7">
        <v>0.99193500000000001</v>
      </c>
      <c r="BO444" s="7">
        <v>0.98591499999999999</v>
      </c>
      <c r="BP444" s="7">
        <v>1</v>
      </c>
      <c r="BQ444" s="7">
        <v>0.97560999999999998</v>
      </c>
      <c r="BR444" s="7">
        <v>5.1345000000000002E-2</v>
      </c>
      <c r="BS444" s="7">
        <v>49.731051000000001</v>
      </c>
      <c r="BT444" s="7">
        <v>50</v>
      </c>
      <c r="BU444" s="7">
        <v>9.1463000000000003E-2</v>
      </c>
      <c r="BV444" s="7">
        <v>41.707317000000003</v>
      </c>
      <c r="BW444" s="7">
        <v>50</v>
      </c>
      <c r="BX444" s="4" t="s">
        <v>124</v>
      </c>
      <c r="BY444" s="4" t="s">
        <v>124</v>
      </c>
      <c r="BZ444" s="4" t="s">
        <v>124</v>
      </c>
      <c r="CA444" s="4" t="s">
        <v>124</v>
      </c>
      <c r="CB444" s="4" t="s">
        <v>124</v>
      </c>
      <c r="CC444" s="4" t="s">
        <v>124</v>
      </c>
      <c r="CD444" s="4" t="s">
        <v>124</v>
      </c>
      <c r="CE444" s="4" t="s">
        <v>124</v>
      </c>
      <c r="CF444" s="4" t="s">
        <v>124</v>
      </c>
      <c r="CG444" s="4" t="s">
        <v>124</v>
      </c>
      <c r="CH444" s="4" t="s">
        <v>124</v>
      </c>
      <c r="CI444" s="4" t="s">
        <v>124</v>
      </c>
      <c r="CJ444" s="4" t="s">
        <v>124</v>
      </c>
      <c r="CK444" s="4" t="s">
        <v>124</v>
      </c>
      <c r="CL444" s="4" t="s">
        <v>124</v>
      </c>
      <c r="CM444" s="4" t="s">
        <v>124</v>
      </c>
      <c r="CN444" s="4" t="s">
        <v>124</v>
      </c>
      <c r="CO444" s="4" t="s">
        <v>124</v>
      </c>
      <c r="CP444" s="4" t="s">
        <v>124</v>
      </c>
      <c r="CQ444" s="7">
        <v>0.32835799999999998</v>
      </c>
      <c r="CR444" s="7">
        <v>1</v>
      </c>
      <c r="CS444" s="7">
        <v>21.890547000000002</v>
      </c>
      <c r="CT444" s="7">
        <v>50</v>
      </c>
      <c r="CU444" s="4" t="s">
        <v>124</v>
      </c>
      <c r="CV444" s="4" t="s">
        <v>124</v>
      </c>
      <c r="CW444" s="4" t="s">
        <v>124</v>
      </c>
      <c r="CX444" s="4" t="s">
        <v>124</v>
      </c>
      <c r="CY444" s="4" t="s">
        <v>124</v>
      </c>
      <c r="CZ444" s="4" t="s">
        <v>124</v>
      </c>
      <c r="DA444" s="7">
        <v>15.314097</v>
      </c>
      <c r="DB444" s="7">
        <v>17.400950000000002</v>
      </c>
      <c r="DC444" s="7">
        <v>16.332519999999999</v>
      </c>
      <c r="DD444" s="4" t="s">
        <v>124</v>
      </c>
      <c r="DE444" s="7">
        <v>0</v>
      </c>
      <c r="DF444" s="6"/>
      <c r="DG444" s="6"/>
      <c r="DH444" s="6"/>
      <c r="DI444" s="6"/>
      <c r="DJ444" s="7">
        <v>0</v>
      </c>
      <c r="DK444" s="7">
        <v>0</v>
      </c>
      <c r="DL444" s="7">
        <v>0</v>
      </c>
      <c r="DM444" s="7">
        <v>0</v>
      </c>
      <c r="DN444" s="7">
        <v>0</v>
      </c>
      <c r="DO444" s="7">
        <v>0</v>
      </c>
      <c r="DP444" s="6"/>
      <c r="DQ444" s="4" t="s">
        <v>125</v>
      </c>
    </row>
    <row r="445" spans="1:121" ht="20" customHeight="1" x14ac:dyDescent="0.15">
      <c r="A445" s="5">
        <v>2018</v>
      </c>
      <c r="B445" s="3" t="s">
        <v>152</v>
      </c>
      <c r="C445" s="4" t="str">
        <f t="shared" si="204"/>
        <v>0540011</v>
      </c>
      <c r="D445" s="4" t="s">
        <v>598</v>
      </c>
      <c r="E445" s="4" t="str">
        <f>"0540911"</f>
        <v>0540911</v>
      </c>
      <c r="F445" s="4" t="s">
        <v>327</v>
      </c>
      <c r="G445" s="4" t="s">
        <v>338</v>
      </c>
      <c r="H445" s="7">
        <v>5</v>
      </c>
      <c r="I445" s="6"/>
      <c r="J445" s="4" t="s">
        <v>330</v>
      </c>
      <c r="K445" s="7">
        <v>676.20184600000005</v>
      </c>
      <c r="L445" s="7">
        <v>850</v>
      </c>
      <c r="M445" s="7">
        <v>79.553157999999996</v>
      </c>
      <c r="N445" s="7">
        <v>2</v>
      </c>
      <c r="O445" s="7">
        <v>0</v>
      </c>
      <c r="P445" s="7">
        <v>79.634029999999996</v>
      </c>
      <c r="Q445" s="7">
        <v>50</v>
      </c>
      <c r="R445" s="7">
        <v>50</v>
      </c>
      <c r="S445" s="7">
        <v>62.168911000000001</v>
      </c>
      <c r="T445" s="7">
        <v>75</v>
      </c>
      <c r="U445" s="7">
        <v>41.445940999999998</v>
      </c>
      <c r="V445" s="7">
        <v>50</v>
      </c>
      <c r="W445" s="7">
        <v>80.757227</v>
      </c>
      <c r="X445" s="7">
        <v>50</v>
      </c>
      <c r="Y445" s="7">
        <v>50</v>
      </c>
      <c r="Z445" s="7">
        <v>75</v>
      </c>
      <c r="AA445" s="7">
        <v>62.977981</v>
      </c>
      <c r="AB445" s="7">
        <v>41.985320000000002</v>
      </c>
      <c r="AC445" s="7">
        <v>50</v>
      </c>
      <c r="AD445" s="7">
        <v>81.487558000000007</v>
      </c>
      <c r="AE445" s="7">
        <v>50</v>
      </c>
      <c r="AF445" s="7">
        <v>50</v>
      </c>
      <c r="AG445" s="7">
        <v>64.748947999999999</v>
      </c>
      <c r="AH445" s="7">
        <v>75</v>
      </c>
      <c r="AI445" s="7">
        <v>43.165965</v>
      </c>
      <c r="AJ445" s="7">
        <v>50</v>
      </c>
      <c r="AK445" s="7">
        <v>12.83</v>
      </c>
      <c r="AL445" s="7">
        <v>12.02</v>
      </c>
      <c r="AM445" s="7">
        <v>10.25</v>
      </c>
      <c r="AN445" s="7">
        <v>0.70621999999999996</v>
      </c>
      <c r="AO445" s="7">
        <v>70.622016000000002</v>
      </c>
      <c r="AP445" s="7">
        <v>100</v>
      </c>
      <c r="AQ445" s="7">
        <v>0.83935300000000002</v>
      </c>
      <c r="AR445" s="7">
        <v>83.935325000000006</v>
      </c>
      <c r="AS445" s="7">
        <v>100</v>
      </c>
      <c r="AT445" s="7">
        <v>0.48905300000000002</v>
      </c>
      <c r="AU445" s="7">
        <v>0.75779700000000005</v>
      </c>
      <c r="AV445" s="7">
        <v>48.905267000000002</v>
      </c>
      <c r="AW445" s="7">
        <v>100</v>
      </c>
      <c r="AX445" s="7">
        <v>0.73121199999999997</v>
      </c>
      <c r="AY445" s="7">
        <v>0.86503699999999994</v>
      </c>
      <c r="AZ445" s="7">
        <v>73.121178</v>
      </c>
      <c r="BA445" s="7">
        <v>100</v>
      </c>
      <c r="BB445" s="4" t="s">
        <v>124</v>
      </c>
      <c r="BC445" s="4" t="s">
        <v>124</v>
      </c>
      <c r="BD445" s="4" t="s">
        <v>124</v>
      </c>
      <c r="BE445" s="4" t="s">
        <v>124</v>
      </c>
      <c r="BF445" s="4" t="s">
        <v>124</v>
      </c>
      <c r="BG445" s="4" t="s">
        <v>124</v>
      </c>
      <c r="BH445" s="7">
        <v>0</v>
      </c>
      <c r="BI445" s="7">
        <v>1</v>
      </c>
      <c r="BJ445" s="7">
        <v>1</v>
      </c>
      <c r="BK445" s="7">
        <v>1</v>
      </c>
      <c r="BL445" s="7">
        <v>1</v>
      </c>
      <c r="BM445" s="7">
        <v>1</v>
      </c>
      <c r="BN445" s="7">
        <v>1</v>
      </c>
      <c r="BO445" s="7">
        <v>1</v>
      </c>
      <c r="BP445" s="7">
        <v>1</v>
      </c>
      <c r="BQ445" s="7">
        <v>1</v>
      </c>
      <c r="BR445" s="7">
        <v>2.8219000000000001E-2</v>
      </c>
      <c r="BS445" s="7">
        <v>50</v>
      </c>
      <c r="BT445" s="7">
        <v>50</v>
      </c>
      <c r="BU445" s="7">
        <v>0.101563</v>
      </c>
      <c r="BV445" s="7">
        <v>39.6875</v>
      </c>
      <c r="BW445" s="7">
        <v>50</v>
      </c>
      <c r="BX445" s="4" t="s">
        <v>124</v>
      </c>
      <c r="BY445" s="4" t="s">
        <v>124</v>
      </c>
      <c r="BZ445" s="4" t="s">
        <v>124</v>
      </c>
      <c r="CA445" s="4" t="s">
        <v>124</v>
      </c>
      <c r="CB445" s="4" t="s">
        <v>124</v>
      </c>
      <c r="CC445" s="4" t="s">
        <v>124</v>
      </c>
      <c r="CD445" s="4" t="s">
        <v>124</v>
      </c>
      <c r="CE445" s="4" t="s">
        <v>124</v>
      </c>
      <c r="CF445" s="4" t="s">
        <v>124</v>
      </c>
      <c r="CG445" s="4" t="s">
        <v>124</v>
      </c>
      <c r="CH445" s="4" t="s">
        <v>124</v>
      </c>
      <c r="CI445" s="4" t="s">
        <v>124</v>
      </c>
      <c r="CJ445" s="4" t="s">
        <v>124</v>
      </c>
      <c r="CK445" s="4" t="s">
        <v>124</v>
      </c>
      <c r="CL445" s="4" t="s">
        <v>124</v>
      </c>
      <c r="CM445" s="4" t="s">
        <v>124</v>
      </c>
      <c r="CN445" s="4" t="s">
        <v>124</v>
      </c>
      <c r="CO445" s="4" t="s">
        <v>124</v>
      </c>
      <c r="CP445" s="4" t="s">
        <v>124</v>
      </c>
      <c r="CQ445" s="7">
        <v>0.5</v>
      </c>
      <c r="CR445" s="7">
        <v>0.99009899999999995</v>
      </c>
      <c r="CS445" s="7">
        <v>33.333333000000003</v>
      </c>
      <c r="CT445" s="7">
        <v>50</v>
      </c>
      <c r="CU445" s="4" t="s">
        <v>124</v>
      </c>
      <c r="CV445" s="4" t="s">
        <v>124</v>
      </c>
      <c r="CW445" s="4" t="s">
        <v>124</v>
      </c>
      <c r="CX445" s="4" t="s">
        <v>124</v>
      </c>
      <c r="CY445" s="4" t="s">
        <v>124</v>
      </c>
      <c r="CZ445" s="4" t="s">
        <v>124</v>
      </c>
      <c r="DA445" s="7">
        <v>15.314097</v>
      </c>
      <c r="DB445" s="7">
        <v>17.400950000000002</v>
      </c>
      <c r="DC445" s="7">
        <v>16.332519999999999</v>
      </c>
      <c r="DD445" s="4" t="s">
        <v>124</v>
      </c>
      <c r="DE445" s="7">
        <v>0</v>
      </c>
      <c r="DF445" s="6"/>
      <c r="DG445" s="6"/>
      <c r="DH445" s="4" t="s">
        <v>331</v>
      </c>
      <c r="DI445" s="4" t="s">
        <v>590</v>
      </c>
      <c r="DJ445" s="7">
        <v>0</v>
      </c>
      <c r="DK445" s="7">
        <v>0</v>
      </c>
      <c r="DL445" s="7">
        <v>1</v>
      </c>
      <c r="DM445" s="7">
        <v>0</v>
      </c>
      <c r="DN445" s="7">
        <v>0</v>
      </c>
      <c r="DO445" s="7">
        <v>0</v>
      </c>
      <c r="DP445" s="6"/>
      <c r="DQ445" s="4" t="s">
        <v>125</v>
      </c>
    </row>
    <row r="446" spans="1:121" ht="20" customHeight="1" x14ac:dyDescent="0.15">
      <c r="A446" s="5">
        <v>2018</v>
      </c>
      <c r="B446" s="3" t="s">
        <v>152</v>
      </c>
      <c r="C446" s="4" t="str">
        <f t="shared" si="204"/>
        <v>0540011</v>
      </c>
      <c r="D446" s="4" t="s">
        <v>599</v>
      </c>
      <c r="E446" s="4" t="str">
        <f>"0545211"</f>
        <v>0545211</v>
      </c>
      <c r="F446" s="4" t="s">
        <v>327</v>
      </c>
      <c r="G446" s="7">
        <v>7</v>
      </c>
      <c r="H446" s="7">
        <v>8</v>
      </c>
      <c r="I446" s="6"/>
      <c r="J446" s="4" t="s">
        <v>330</v>
      </c>
      <c r="K446" s="7">
        <v>664.45754899999997</v>
      </c>
      <c r="L446" s="7">
        <v>900</v>
      </c>
      <c r="M446" s="7">
        <v>73.828616999999994</v>
      </c>
      <c r="N446" s="7">
        <v>3</v>
      </c>
      <c r="O446" s="7">
        <v>1</v>
      </c>
      <c r="P446" s="7">
        <v>80.174751999999998</v>
      </c>
      <c r="Q446" s="7">
        <v>50</v>
      </c>
      <c r="R446" s="7">
        <v>50</v>
      </c>
      <c r="S446" s="7">
        <v>62.244261000000002</v>
      </c>
      <c r="T446" s="7">
        <v>75</v>
      </c>
      <c r="U446" s="7">
        <v>41.496174000000003</v>
      </c>
      <c r="V446" s="7">
        <v>50</v>
      </c>
      <c r="W446" s="7">
        <v>77.585052000000005</v>
      </c>
      <c r="X446" s="7">
        <v>50</v>
      </c>
      <c r="Y446" s="7">
        <v>50</v>
      </c>
      <c r="Z446" s="7">
        <v>75</v>
      </c>
      <c r="AA446" s="7">
        <v>55.72833</v>
      </c>
      <c r="AB446" s="7">
        <v>37.15222</v>
      </c>
      <c r="AC446" s="7">
        <v>50</v>
      </c>
      <c r="AD446" s="7">
        <v>77.564639999999997</v>
      </c>
      <c r="AE446" s="7">
        <v>50</v>
      </c>
      <c r="AF446" s="7">
        <v>50</v>
      </c>
      <c r="AG446" s="7">
        <v>58.098781000000002</v>
      </c>
      <c r="AH446" s="7">
        <v>75</v>
      </c>
      <c r="AI446" s="7">
        <v>38.732520999999998</v>
      </c>
      <c r="AJ446" s="7">
        <v>50</v>
      </c>
      <c r="AK446" s="7">
        <v>12.75</v>
      </c>
      <c r="AL446" s="7">
        <v>19.27</v>
      </c>
      <c r="AM446" s="7">
        <v>16.899999999999999</v>
      </c>
      <c r="AN446" s="7">
        <v>0.61337799999999998</v>
      </c>
      <c r="AO446" s="7">
        <v>61.337806999999998</v>
      </c>
      <c r="AP446" s="7">
        <v>100</v>
      </c>
      <c r="AQ446" s="7">
        <v>0.66171899999999995</v>
      </c>
      <c r="AR446" s="7">
        <v>66.171904999999995</v>
      </c>
      <c r="AS446" s="7">
        <v>100</v>
      </c>
      <c r="AT446" s="7">
        <v>0.500946</v>
      </c>
      <c r="AU446" s="7">
        <v>0.64218699999999995</v>
      </c>
      <c r="AV446" s="7">
        <v>50.094560000000001</v>
      </c>
      <c r="AW446" s="7">
        <v>100</v>
      </c>
      <c r="AX446" s="7">
        <v>0.43653999999999998</v>
      </c>
      <c r="AY446" s="7">
        <v>0.71910499999999999</v>
      </c>
      <c r="AZ446" s="7">
        <v>43.654015999999999</v>
      </c>
      <c r="BA446" s="7">
        <v>100</v>
      </c>
      <c r="BB446" s="4" t="s">
        <v>124</v>
      </c>
      <c r="BC446" s="4" t="s">
        <v>124</v>
      </c>
      <c r="BD446" s="4" t="s">
        <v>124</v>
      </c>
      <c r="BE446" s="4" t="s">
        <v>124</v>
      </c>
      <c r="BF446" s="4" t="s">
        <v>124</v>
      </c>
      <c r="BG446" s="4" t="s">
        <v>124</v>
      </c>
      <c r="BH446" s="7">
        <v>0</v>
      </c>
      <c r="BI446" s="7">
        <v>0.99685199999999996</v>
      </c>
      <c r="BJ446" s="7">
        <v>0.99069799999999997</v>
      </c>
      <c r="BK446" s="7">
        <v>0.998645</v>
      </c>
      <c r="BL446" s="7">
        <v>0.99685199999999996</v>
      </c>
      <c r="BM446" s="7">
        <v>0.99069799999999997</v>
      </c>
      <c r="BN446" s="7">
        <v>0.998645</v>
      </c>
      <c r="BO446" s="7">
        <v>0.997942</v>
      </c>
      <c r="BP446" s="7">
        <v>1</v>
      </c>
      <c r="BQ446" s="7">
        <v>0.99742900000000001</v>
      </c>
      <c r="BR446" s="7">
        <v>2.5263000000000001E-2</v>
      </c>
      <c r="BS446" s="7">
        <v>50</v>
      </c>
      <c r="BT446" s="7">
        <v>50</v>
      </c>
      <c r="BU446" s="7">
        <v>7.177E-2</v>
      </c>
      <c r="BV446" s="7">
        <v>45.645932999999999</v>
      </c>
      <c r="BW446" s="7">
        <v>50</v>
      </c>
      <c r="BX446" s="4" t="s">
        <v>124</v>
      </c>
      <c r="BY446" s="4" t="s">
        <v>124</v>
      </c>
      <c r="BZ446" s="4" t="s">
        <v>124</v>
      </c>
      <c r="CA446" s="4" t="s">
        <v>124</v>
      </c>
      <c r="CB446" s="4" t="s">
        <v>124</v>
      </c>
      <c r="CC446" s="4" t="s">
        <v>124</v>
      </c>
      <c r="CD446" s="7">
        <v>0.96551699999999996</v>
      </c>
      <c r="CE446" s="7">
        <v>50</v>
      </c>
      <c r="CF446" s="7">
        <v>50</v>
      </c>
      <c r="CG446" s="4" t="s">
        <v>124</v>
      </c>
      <c r="CH446" s="4" t="s">
        <v>124</v>
      </c>
      <c r="CI446" s="4" t="s">
        <v>124</v>
      </c>
      <c r="CJ446" s="4" t="s">
        <v>124</v>
      </c>
      <c r="CK446" s="4" t="s">
        <v>124</v>
      </c>
      <c r="CL446" s="4" t="s">
        <v>124</v>
      </c>
      <c r="CM446" s="4" t="s">
        <v>124</v>
      </c>
      <c r="CN446" s="4" t="s">
        <v>124</v>
      </c>
      <c r="CO446" s="4" t="s">
        <v>124</v>
      </c>
      <c r="CP446" s="4" t="s">
        <v>124</v>
      </c>
      <c r="CQ446" s="7">
        <v>0.45258599999999999</v>
      </c>
      <c r="CR446" s="7">
        <v>0.95473300000000005</v>
      </c>
      <c r="CS446" s="7">
        <v>30.172414</v>
      </c>
      <c r="CT446" s="7">
        <v>50</v>
      </c>
      <c r="CU446" s="4" t="s">
        <v>124</v>
      </c>
      <c r="CV446" s="4" t="s">
        <v>124</v>
      </c>
      <c r="CW446" s="4" t="s">
        <v>124</v>
      </c>
      <c r="CX446" s="4" t="s">
        <v>124</v>
      </c>
      <c r="CY446" s="4" t="s">
        <v>124</v>
      </c>
      <c r="CZ446" s="4" t="s">
        <v>124</v>
      </c>
      <c r="DA446" s="7">
        <v>15.314097</v>
      </c>
      <c r="DB446" s="7">
        <v>17.400950000000002</v>
      </c>
      <c r="DC446" s="7">
        <v>16.332519999999999</v>
      </c>
      <c r="DD446" s="4" t="s">
        <v>124</v>
      </c>
      <c r="DE446" s="7">
        <v>1</v>
      </c>
      <c r="DF446" s="6"/>
      <c r="DG446" s="6"/>
      <c r="DH446" s="6"/>
      <c r="DI446" s="6"/>
      <c r="DJ446" s="7">
        <v>0</v>
      </c>
      <c r="DK446" s="7">
        <v>0</v>
      </c>
      <c r="DL446" s="7">
        <v>0</v>
      </c>
      <c r="DM446" s="7">
        <v>0</v>
      </c>
      <c r="DN446" s="7">
        <v>0</v>
      </c>
      <c r="DO446" s="7">
        <v>0</v>
      </c>
      <c r="DP446" s="6"/>
      <c r="DQ446" s="4" t="s">
        <v>125</v>
      </c>
    </row>
    <row r="447" spans="1:121" ht="20" customHeight="1" x14ac:dyDescent="0.15">
      <c r="A447" s="5">
        <v>2018</v>
      </c>
      <c r="B447" s="3" t="s">
        <v>195</v>
      </c>
      <c r="C447" s="4" t="str">
        <f t="shared" si="70"/>
        <v>0560011</v>
      </c>
      <c r="D447" s="4" t="s">
        <v>600</v>
      </c>
      <c r="E447" s="4" t="str">
        <f>"0566111"</f>
        <v>0566111</v>
      </c>
      <c r="F447" s="4" t="s">
        <v>327</v>
      </c>
      <c r="G447" s="7">
        <v>9</v>
      </c>
      <c r="H447" s="7">
        <v>12</v>
      </c>
      <c r="I447" s="6"/>
      <c r="J447" s="4" t="s">
        <v>330</v>
      </c>
      <c r="K447" s="7">
        <v>1299.564678</v>
      </c>
      <c r="L447" s="7">
        <v>1450</v>
      </c>
      <c r="M447" s="7">
        <v>89.625150000000005</v>
      </c>
      <c r="N447" s="7">
        <v>2</v>
      </c>
      <c r="O447" s="7">
        <v>0</v>
      </c>
      <c r="P447" s="7">
        <v>68.154167000000001</v>
      </c>
      <c r="Q447" s="7">
        <v>136.308333</v>
      </c>
      <c r="R447" s="7">
        <v>150</v>
      </c>
      <c r="S447" s="7">
        <v>61.783332999999999</v>
      </c>
      <c r="T447" s="7">
        <v>69.624358999999998</v>
      </c>
      <c r="U447" s="7">
        <v>123.566667</v>
      </c>
      <c r="V447" s="7">
        <v>150</v>
      </c>
      <c r="W447" s="7">
        <v>64.659374999999997</v>
      </c>
      <c r="X447" s="7">
        <v>129.31874999999999</v>
      </c>
      <c r="Y447" s="7">
        <v>150</v>
      </c>
      <c r="Z447" s="7">
        <v>67.212821000000005</v>
      </c>
      <c r="AA447" s="7">
        <v>53.594444000000003</v>
      </c>
      <c r="AB447" s="7">
        <v>107.188889</v>
      </c>
      <c r="AC447" s="7">
        <v>150</v>
      </c>
      <c r="AD447" s="7">
        <v>79.773116999999999</v>
      </c>
      <c r="AE447" s="7">
        <v>100</v>
      </c>
      <c r="AF447" s="7">
        <v>100</v>
      </c>
      <c r="AG447" s="7">
        <v>66.634988000000007</v>
      </c>
      <c r="AH447" s="7">
        <v>75</v>
      </c>
      <c r="AI447" s="7">
        <v>88.846650999999994</v>
      </c>
      <c r="AJ447" s="7">
        <v>100</v>
      </c>
      <c r="AK447" s="7">
        <v>7.84</v>
      </c>
      <c r="AL447" s="7">
        <v>13.61</v>
      </c>
      <c r="AM447" s="7">
        <v>8.36</v>
      </c>
      <c r="AN447" s="4" t="s">
        <v>124</v>
      </c>
      <c r="AO447" s="4" t="s">
        <v>124</v>
      </c>
      <c r="AP447" s="4" t="s">
        <v>124</v>
      </c>
      <c r="AQ447" s="4" t="s">
        <v>124</v>
      </c>
      <c r="AR447" s="4" t="s">
        <v>124</v>
      </c>
      <c r="AS447" s="4" t="s">
        <v>124</v>
      </c>
      <c r="AT447" s="4" t="s">
        <v>124</v>
      </c>
      <c r="AU447" s="4" t="s">
        <v>124</v>
      </c>
      <c r="AV447" s="4" t="s">
        <v>124</v>
      </c>
      <c r="AW447" s="4" t="s">
        <v>124</v>
      </c>
      <c r="AX447" s="4" t="s">
        <v>124</v>
      </c>
      <c r="AY447" s="4" t="s">
        <v>124</v>
      </c>
      <c r="AZ447" s="4" t="s">
        <v>124</v>
      </c>
      <c r="BA447" s="4" t="s">
        <v>124</v>
      </c>
      <c r="BB447" s="4" t="s">
        <v>124</v>
      </c>
      <c r="BC447" s="4" t="s">
        <v>124</v>
      </c>
      <c r="BD447" s="4" t="s">
        <v>124</v>
      </c>
      <c r="BE447" s="4" t="s">
        <v>124</v>
      </c>
      <c r="BF447" s="4" t="s">
        <v>124</v>
      </c>
      <c r="BG447" s="4" t="s">
        <v>124</v>
      </c>
      <c r="BH447" s="7">
        <v>1</v>
      </c>
      <c r="BI447" s="7">
        <v>0.99382700000000002</v>
      </c>
      <c r="BJ447" s="7">
        <v>1</v>
      </c>
      <c r="BK447" s="7">
        <v>0.99242399999999997</v>
      </c>
      <c r="BL447" s="7">
        <v>0.99382700000000002</v>
      </c>
      <c r="BM447" s="7">
        <v>1</v>
      </c>
      <c r="BN447" s="7">
        <v>0.99242399999999997</v>
      </c>
      <c r="BO447" s="7">
        <v>0.97515499999999999</v>
      </c>
      <c r="BP447" s="7">
        <v>0.93103400000000003</v>
      </c>
      <c r="BQ447" s="7">
        <v>0.98484799999999995</v>
      </c>
      <c r="BR447" s="7">
        <v>5.7813000000000003E-2</v>
      </c>
      <c r="BS447" s="7">
        <v>48.4375</v>
      </c>
      <c r="BT447" s="7">
        <v>50</v>
      </c>
      <c r="BU447" s="7">
        <v>0.140741</v>
      </c>
      <c r="BV447" s="7">
        <v>31.851852000000001</v>
      </c>
      <c r="BW447" s="7">
        <v>50</v>
      </c>
      <c r="BX447" s="7">
        <v>0.97872300000000001</v>
      </c>
      <c r="BY447" s="7">
        <v>50</v>
      </c>
      <c r="BZ447" s="7">
        <v>50</v>
      </c>
      <c r="CA447" s="7">
        <v>0.65957399999999999</v>
      </c>
      <c r="CB447" s="7">
        <v>43.971631000000002</v>
      </c>
      <c r="CC447" s="7">
        <v>50</v>
      </c>
      <c r="CD447" s="7">
        <v>0.98750000000000004</v>
      </c>
      <c r="CE447" s="7">
        <v>50</v>
      </c>
      <c r="CF447" s="7">
        <v>50</v>
      </c>
      <c r="CG447" s="7">
        <v>0.97484300000000002</v>
      </c>
      <c r="CH447" s="7">
        <v>100</v>
      </c>
      <c r="CI447" s="7">
        <v>100</v>
      </c>
      <c r="CJ447" s="7">
        <v>0</v>
      </c>
      <c r="CK447" s="7">
        <v>0.96875</v>
      </c>
      <c r="CL447" s="7">
        <v>100</v>
      </c>
      <c r="CM447" s="7">
        <v>100</v>
      </c>
      <c r="CN447" s="7">
        <v>0.79617800000000005</v>
      </c>
      <c r="CO447" s="7">
        <v>100</v>
      </c>
      <c r="CP447" s="7">
        <v>100</v>
      </c>
      <c r="CQ447" s="7">
        <v>0.67142900000000005</v>
      </c>
      <c r="CR447" s="7">
        <v>0.92715199999999998</v>
      </c>
      <c r="CS447" s="7">
        <v>44.761904999999999</v>
      </c>
      <c r="CT447" s="7">
        <v>50</v>
      </c>
      <c r="CU447" s="7">
        <v>0.54374999999999996</v>
      </c>
      <c r="CV447" s="7">
        <v>45.3125</v>
      </c>
      <c r="CW447" s="7">
        <v>50</v>
      </c>
      <c r="CX447" s="7">
        <v>0.96875</v>
      </c>
      <c r="CY447" s="7">
        <v>0.94</v>
      </c>
      <c r="CZ447" s="7">
        <v>-2.8750000000000001E-2</v>
      </c>
      <c r="DA447" s="7">
        <v>15.314097</v>
      </c>
      <c r="DB447" s="7">
        <v>17.400950000000002</v>
      </c>
      <c r="DC447" s="7">
        <v>16.332519999999999</v>
      </c>
      <c r="DD447" s="7">
        <v>7.9891730000000001</v>
      </c>
      <c r="DE447" s="7">
        <v>1</v>
      </c>
      <c r="DF447" s="6"/>
      <c r="DG447" s="6"/>
      <c r="DH447" s="6"/>
      <c r="DI447" s="6"/>
      <c r="DJ447" s="7">
        <v>0</v>
      </c>
      <c r="DK447" s="7">
        <v>0</v>
      </c>
      <c r="DL447" s="7">
        <v>0</v>
      </c>
      <c r="DM447" s="7">
        <v>0</v>
      </c>
      <c r="DN447" s="7">
        <v>0</v>
      </c>
      <c r="DO447" s="7">
        <v>0</v>
      </c>
      <c r="DP447" s="6"/>
      <c r="DQ447" s="4" t="s">
        <v>125</v>
      </c>
    </row>
    <row r="448" spans="1:121" ht="20" customHeight="1" x14ac:dyDescent="0.15">
      <c r="A448" s="5">
        <v>2018</v>
      </c>
      <c r="B448" s="3" t="s">
        <v>195</v>
      </c>
      <c r="C448" s="4" t="str">
        <f t="shared" ref="C448:C450" si="205">"0560011"</f>
        <v>0560011</v>
      </c>
      <c r="D448" s="4" t="s">
        <v>601</v>
      </c>
      <c r="E448" s="4" t="str">
        <f>"0565111"</f>
        <v>0565111</v>
      </c>
      <c r="F448" s="4" t="s">
        <v>327</v>
      </c>
      <c r="G448" s="7">
        <v>6</v>
      </c>
      <c r="H448" s="7">
        <v>8</v>
      </c>
      <c r="I448" s="6"/>
      <c r="J448" s="4" t="s">
        <v>330</v>
      </c>
      <c r="K448" s="7">
        <v>672.97633800000006</v>
      </c>
      <c r="L448" s="7">
        <v>900</v>
      </c>
      <c r="M448" s="7">
        <v>74.775148999999999</v>
      </c>
      <c r="N448" s="7">
        <v>3</v>
      </c>
      <c r="O448" s="7">
        <v>1</v>
      </c>
      <c r="P448" s="7">
        <v>79.402198999999996</v>
      </c>
      <c r="Q448" s="7">
        <v>50</v>
      </c>
      <c r="R448" s="7">
        <v>50</v>
      </c>
      <c r="S448" s="7">
        <v>66.513191000000006</v>
      </c>
      <c r="T448" s="7">
        <v>75</v>
      </c>
      <c r="U448" s="7">
        <v>44.342126999999998</v>
      </c>
      <c r="V448" s="7">
        <v>50</v>
      </c>
      <c r="W448" s="7">
        <v>70.555193000000003</v>
      </c>
      <c r="X448" s="7">
        <v>47.036794999999998</v>
      </c>
      <c r="Y448" s="7">
        <v>50</v>
      </c>
      <c r="Z448" s="7">
        <v>75</v>
      </c>
      <c r="AA448" s="7">
        <v>56.817864</v>
      </c>
      <c r="AB448" s="7">
        <v>37.878576000000002</v>
      </c>
      <c r="AC448" s="7">
        <v>50</v>
      </c>
      <c r="AD448" s="7">
        <v>74.984133999999997</v>
      </c>
      <c r="AE448" s="7">
        <v>49.989421999999998</v>
      </c>
      <c r="AF448" s="7">
        <v>50</v>
      </c>
      <c r="AG448" s="7">
        <v>58.934592000000002</v>
      </c>
      <c r="AH448" s="7">
        <v>75</v>
      </c>
      <c r="AI448" s="7">
        <v>39.289727999999997</v>
      </c>
      <c r="AJ448" s="7">
        <v>50</v>
      </c>
      <c r="AK448" s="7">
        <v>8.48</v>
      </c>
      <c r="AL448" s="7">
        <v>18.18</v>
      </c>
      <c r="AM448" s="7">
        <v>16.059999999999999</v>
      </c>
      <c r="AN448" s="7">
        <v>0.68117300000000003</v>
      </c>
      <c r="AO448" s="7">
        <v>68.117316000000002</v>
      </c>
      <c r="AP448" s="7">
        <v>100</v>
      </c>
      <c r="AQ448" s="7">
        <v>0.59281399999999995</v>
      </c>
      <c r="AR448" s="7">
        <v>59.281391999999997</v>
      </c>
      <c r="AS448" s="7">
        <v>100</v>
      </c>
      <c r="AT448" s="7">
        <v>0.58227700000000004</v>
      </c>
      <c r="AU448" s="7">
        <v>0.71346600000000004</v>
      </c>
      <c r="AV448" s="7">
        <v>58.227721000000003</v>
      </c>
      <c r="AW448" s="7">
        <v>100</v>
      </c>
      <c r="AX448" s="7">
        <v>0.47382400000000002</v>
      </c>
      <c r="AY448" s="7">
        <v>0.63098799999999999</v>
      </c>
      <c r="AZ448" s="7">
        <v>47.382444999999997</v>
      </c>
      <c r="BA448" s="7">
        <v>100</v>
      </c>
      <c r="BB448" s="4" t="s">
        <v>124</v>
      </c>
      <c r="BC448" s="4" t="s">
        <v>124</v>
      </c>
      <c r="BD448" s="4" t="s">
        <v>124</v>
      </c>
      <c r="BE448" s="4" t="s">
        <v>124</v>
      </c>
      <c r="BF448" s="4" t="s">
        <v>124</v>
      </c>
      <c r="BG448" s="4" t="s">
        <v>124</v>
      </c>
      <c r="BH448" s="7">
        <v>0</v>
      </c>
      <c r="BI448" s="7">
        <v>0.99507400000000001</v>
      </c>
      <c r="BJ448" s="7">
        <v>0.98148100000000005</v>
      </c>
      <c r="BK448" s="7">
        <v>1</v>
      </c>
      <c r="BL448" s="7">
        <v>0.99014800000000003</v>
      </c>
      <c r="BM448" s="7">
        <v>0.97222200000000003</v>
      </c>
      <c r="BN448" s="7">
        <v>0.99664399999999997</v>
      </c>
      <c r="BO448" s="7">
        <v>0.98412699999999997</v>
      </c>
      <c r="BP448" s="7">
        <v>0.97142899999999999</v>
      </c>
      <c r="BQ448" s="7">
        <v>0.98901099999999997</v>
      </c>
      <c r="BR448" s="7">
        <v>5.4186999999999999E-2</v>
      </c>
      <c r="BS448" s="7">
        <v>49.162562000000001</v>
      </c>
      <c r="BT448" s="7">
        <v>50</v>
      </c>
      <c r="BU448" s="7">
        <v>0.117647</v>
      </c>
      <c r="BV448" s="7">
        <v>36.470587999999999</v>
      </c>
      <c r="BW448" s="7">
        <v>50</v>
      </c>
      <c r="BX448" s="4" t="s">
        <v>124</v>
      </c>
      <c r="BY448" s="4" t="s">
        <v>124</v>
      </c>
      <c r="BZ448" s="4" t="s">
        <v>124</v>
      </c>
      <c r="CA448" s="4" t="s">
        <v>124</v>
      </c>
      <c r="CB448" s="4" t="s">
        <v>124</v>
      </c>
      <c r="CC448" s="4" t="s">
        <v>124</v>
      </c>
      <c r="CD448" s="7">
        <v>0.98648599999999997</v>
      </c>
      <c r="CE448" s="7">
        <v>50</v>
      </c>
      <c r="CF448" s="7">
        <v>50</v>
      </c>
      <c r="CG448" s="4" t="s">
        <v>124</v>
      </c>
      <c r="CH448" s="4" t="s">
        <v>124</v>
      </c>
      <c r="CI448" s="4" t="s">
        <v>124</v>
      </c>
      <c r="CJ448" s="4" t="s">
        <v>124</v>
      </c>
      <c r="CK448" s="4" t="s">
        <v>124</v>
      </c>
      <c r="CL448" s="4" t="s">
        <v>124</v>
      </c>
      <c r="CM448" s="4" t="s">
        <v>124</v>
      </c>
      <c r="CN448" s="4" t="s">
        <v>124</v>
      </c>
      <c r="CO448" s="4" t="s">
        <v>124</v>
      </c>
      <c r="CP448" s="4" t="s">
        <v>124</v>
      </c>
      <c r="CQ448" s="7">
        <v>0.53696500000000003</v>
      </c>
      <c r="CR448" s="7">
        <v>0.96254700000000004</v>
      </c>
      <c r="CS448" s="7">
        <v>35.797665000000002</v>
      </c>
      <c r="CT448" s="7">
        <v>50</v>
      </c>
      <c r="CU448" s="4" t="s">
        <v>124</v>
      </c>
      <c r="CV448" s="4" t="s">
        <v>124</v>
      </c>
      <c r="CW448" s="4" t="s">
        <v>124</v>
      </c>
      <c r="CX448" s="4" t="s">
        <v>124</v>
      </c>
      <c r="CY448" s="4" t="s">
        <v>124</v>
      </c>
      <c r="CZ448" s="4" t="s">
        <v>124</v>
      </c>
      <c r="DA448" s="7">
        <v>15.314097</v>
      </c>
      <c r="DB448" s="7">
        <v>17.400950000000002</v>
      </c>
      <c r="DC448" s="7">
        <v>16.332519999999999</v>
      </c>
      <c r="DD448" s="4" t="s">
        <v>124</v>
      </c>
      <c r="DE448" s="7">
        <v>1</v>
      </c>
      <c r="DF448" s="6"/>
      <c r="DG448" s="6"/>
      <c r="DH448" s="6"/>
      <c r="DI448" s="6"/>
      <c r="DJ448" s="7">
        <v>0</v>
      </c>
      <c r="DK448" s="7">
        <v>0</v>
      </c>
      <c r="DL448" s="7">
        <v>0</v>
      </c>
      <c r="DM448" s="7">
        <v>0</v>
      </c>
      <c r="DN448" s="7">
        <v>0</v>
      </c>
      <c r="DO448" s="7">
        <v>0</v>
      </c>
      <c r="DP448" s="6"/>
      <c r="DQ448" s="4" t="s">
        <v>125</v>
      </c>
    </row>
    <row r="449" spans="1:121" ht="20" customHeight="1" x14ac:dyDescent="0.15">
      <c r="A449" s="5">
        <v>2018</v>
      </c>
      <c r="B449" s="3" t="s">
        <v>195</v>
      </c>
      <c r="C449" s="4" t="str">
        <f t="shared" si="205"/>
        <v>0560011</v>
      </c>
      <c r="D449" s="4" t="s">
        <v>602</v>
      </c>
      <c r="E449" s="4" t="str">
        <f>"0560411"</f>
        <v>0560411</v>
      </c>
      <c r="F449" s="4" t="s">
        <v>327</v>
      </c>
      <c r="G449" s="4" t="s">
        <v>328</v>
      </c>
      <c r="H449" s="7">
        <v>2</v>
      </c>
      <c r="I449" s="4" t="s">
        <v>329</v>
      </c>
      <c r="J449" s="4" t="s">
        <v>330</v>
      </c>
      <c r="K449" s="7">
        <v>86.399358000000007</v>
      </c>
      <c r="L449" s="7">
        <v>100</v>
      </c>
      <c r="M449" s="7">
        <v>86.399358000000007</v>
      </c>
      <c r="N449" s="4" t="s">
        <v>124</v>
      </c>
      <c r="O449" s="4" t="s">
        <v>124</v>
      </c>
      <c r="P449" s="4" t="s">
        <v>124</v>
      </c>
      <c r="Q449" s="4" t="s">
        <v>124</v>
      </c>
      <c r="R449" s="4" t="s">
        <v>124</v>
      </c>
      <c r="S449" s="4" t="s">
        <v>124</v>
      </c>
      <c r="T449" s="4" t="s">
        <v>124</v>
      </c>
      <c r="U449" s="4" t="s">
        <v>124</v>
      </c>
      <c r="V449" s="4" t="s">
        <v>124</v>
      </c>
      <c r="W449" s="4" t="s">
        <v>124</v>
      </c>
      <c r="X449" s="4" t="s">
        <v>124</v>
      </c>
      <c r="Y449" s="4" t="s">
        <v>124</v>
      </c>
      <c r="Z449" s="4" t="s">
        <v>124</v>
      </c>
      <c r="AA449" s="4" t="s">
        <v>124</v>
      </c>
      <c r="AB449" s="4" t="s">
        <v>124</v>
      </c>
      <c r="AC449" s="4" t="s">
        <v>124</v>
      </c>
      <c r="AD449" s="4" t="s">
        <v>124</v>
      </c>
      <c r="AE449" s="4" t="s">
        <v>124</v>
      </c>
      <c r="AF449" s="4" t="s">
        <v>124</v>
      </c>
      <c r="AG449" s="4" t="s">
        <v>124</v>
      </c>
      <c r="AH449" s="4" t="s">
        <v>124</v>
      </c>
      <c r="AI449" s="4" t="s">
        <v>124</v>
      </c>
      <c r="AJ449" s="4" t="s">
        <v>124</v>
      </c>
      <c r="AK449" s="4" t="s">
        <v>124</v>
      </c>
      <c r="AL449" s="4" t="s">
        <v>124</v>
      </c>
      <c r="AM449" s="4" t="s">
        <v>124</v>
      </c>
      <c r="AN449" s="4" t="s">
        <v>124</v>
      </c>
      <c r="AO449" s="4" t="s">
        <v>124</v>
      </c>
      <c r="AP449" s="4" t="s">
        <v>124</v>
      </c>
      <c r="AQ449" s="4" t="s">
        <v>124</v>
      </c>
      <c r="AR449" s="4" t="s">
        <v>124</v>
      </c>
      <c r="AS449" s="4" t="s">
        <v>124</v>
      </c>
      <c r="AT449" s="4" t="s">
        <v>124</v>
      </c>
      <c r="AU449" s="4" t="s">
        <v>124</v>
      </c>
      <c r="AV449" s="4" t="s">
        <v>124</v>
      </c>
      <c r="AW449" s="4" t="s">
        <v>124</v>
      </c>
      <c r="AX449" s="4" t="s">
        <v>124</v>
      </c>
      <c r="AY449" s="4" t="s">
        <v>124</v>
      </c>
      <c r="AZ449" s="4" t="s">
        <v>124</v>
      </c>
      <c r="BA449" s="4" t="s">
        <v>124</v>
      </c>
      <c r="BB449" s="4" t="s">
        <v>124</v>
      </c>
      <c r="BC449" s="4" t="s">
        <v>124</v>
      </c>
      <c r="BD449" s="4" t="s">
        <v>124</v>
      </c>
      <c r="BE449" s="4" t="s">
        <v>124</v>
      </c>
      <c r="BF449" s="4" t="s">
        <v>124</v>
      </c>
      <c r="BG449" s="4" t="s">
        <v>124</v>
      </c>
      <c r="BH449" s="4" t="s">
        <v>124</v>
      </c>
      <c r="BI449" s="4" t="s">
        <v>124</v>
      </c>
      <c r="BJ449" s="4" t="s">
        <v>124</v>
      </c>
      <c r="BK449" s="4" t="s">
        <v>124</v>
      </c>
      <c r="BL449" s="4" t="s">
        <v>124</v>
      </c>
      <c r="BM449" s="4" t="s">
        <v>124</v>
      </c>
      <c r="BN449" s="4" t="s">
        <v>124</v>
      </c>
      <c r="BO449" s="4" t="s">
        <v>124</v>
      </c>
      <c r="BP449" s="4" t="s">
        <v>124</v>
      </c>
      <c r="BQ449" s="4" t="s">
        <v>124</v>
      </c>
      <c r="BR449" s="7">
        <v>5.1723999999999999E-2</v>
      </c>
      <c r="BS449" s="7">
        <v>49.655172</v>
      </c>
      <c r="BT449" s="7">
        <v>50</v>
      </c>
      <c r="BU449" s="7">
        <v>0.11627899999999999</v>
      </c>
      <c r="BV449" s="7">
        <v>36.744185999999999</v>
      </c>
      <c r="BW449" s="7">
        <v>50</v>
      </c>
      <c r="BX449" s="4" t="s">
        <v>124</v>
      </c>
      <c r="BY449" s="4" t="s">
        <v>124</v>
      </c>
      <c r="BZ449" s="4" t="s">
        <v>124</v>
      </c>
      <c r="CA449" s="4" t="s">
        <v>124</v>
      </c>
      <c r="CB449" s="4" t="s">
        <v>124</v>
      </c>
      <c r="CC449" s="4" t="s">
        <v>124</v>
      </c>
      <c r="CD449" s="4" t="s">
        <v>124</v>
      </c>
      <c r="CE449" s="4" t="s">
        <v>124</v>
      </c>
      <c r="CF449" s="4" t="s">
        <v>124</v>
      </c>
      <c r="CG449" s="4" t="s">
        <v>124</v>
      </c>
      <c r="CH449" s="4" t="s">
        <v>124</v>
      </c>
      <c r="CI449" s="4" t="s">
        <v>124</v>
      </c>
      <c r="CJ449" s="4" t="s">
        <v>124</v>
      </c>
      <c r="CK449" s="4" t="s">
        <v>124</v>
      </c>
      <c r="CL449" s="4" t="s">
        <v>124</v>
      </c>
      <c r="CM449" s="4" t="s">
        <v>124</v>
      </c>
      <c r="CN449" s="4" t="s">
        <v>124</v>
      </c>
      <c r="CO449" s="4" t="s">
        <v>124</v>
      </c>
      <c r="CP449" s="4" t="s">
        <v>124</v>
      </c>
      <c r="CQ449" s="4" t="s">
        <v>124</v>
      </c>
      <c r="CR449" s="4" t="s">
        <v>124</v>
      </c>
      <c r="CS449" s="4" t="s">
        <v>124</v>
      </c>
      <c r="CT449" s="4" t="s">
        <v>124</v>
      </c>
      <c r="CU449" s="4" t="s">
        <v>124</v>
      </c>
      <c r="CV449" s="4" t="s">
        <v>124</v>
      </c>
      <c r="CW449" s="4" t="s">
        <v>124</v>
      </c>
      <c r="CX449" s="4" t="s">
        <v>124</v>
      </c>
      <c r="CY449" s="4" t="s">
        <v>124</v>
      </c>
      <c r="CZ449" s="4" t="s">
        <v>124</v>
      </c>
      <c r="DA449" s="4" t="s">
        <v>124</v>
      </c>
      <c r="DB449" s="4" t="s">
        <v>124</v>
      </c>
      <c r="DC449" s="4" t="s">
        <v>124</v>
      </c>
      <c r="DD449" s="4" t="s">
        <v>124</v>
      </c>
      <c r="DE449" s="4" t="s">
        <v>124</v>
      </c>
      <c r="DF449" s="6"/>
      <c r="DG449" s="6"/>
      <c r="DH449" s="6"/>
      <c r="DI449" s="6"/>
      <c r="DJ449" s="4" t="s">
        <v>124</v>
      </c>
      <c r="DK449" s="4" t="s">
        <v>124</v>
      </c>
      <c r="DL449" s="4" t="s">
        <v>124</v>
      </c>
      <c r="DM449" s="4" t="s">
        <v>124</v>
      </c>
      <c r="DN449" s="4" t="s">
        <v>124</v>
      </c>
      <c r="DO449" s="4" t="s">
        <v>124</v>
      </c>
      <c r="DP449" s="6"/>
      <c r="DQ449" s="4" t="s">
        <v>125</v>
      </c>
    </row>
    <row r="450" spans="1:121" ht="20" customHeight="1" x14ac:dyDescent="0.15">
      <c r="A450" s="5">
        <v>2018</v>
      </c>
      <c r="B450" s="3" t="s">
        <v>195</v>
      </c>
      <c r="C450" s="4" t="str">
        <f t="shared" si="205"/>
        <v>0560011</v>
      </c>
      <c r="D450" s="4" t="s">
        <v>603</v>
      </c>
      <c r="E450" s="4" t="str">
        <f>"0560311"</f>
        <v>0560311</v>
      </c>
      <c r="F450" s="4" t="s">
        <v>327</v>
      </c>
      <c r="G450" s="7">
        <v>3</v>
      </c>
      <c r="H450" s="7">
        <v>5</v>
      </c>
      <c r="I450" s="6"/>
      <c r="J450" s="4" t="s">
        <v>330</v>
      </c>
      <c r="K450" s="7">
        <v>706.58196799999996</v>
      </c>
      <c r="L450" s="7">
        <v>850</v>
      </c>
      <c r="M450" s="7">
        <v>83.127290000000002</v>
      </c>
      <c r="N450" s="7">
        <v>2</v>
      </c>
      <c r="O450" s="7">
        <v>0</v>
      </c>
      <c r="P450" s="7">
        <v>78.926123000000004</v>
      </c>
      <c r="Q450" s="7">
        <v>50</v>
      </c>
      <c r="R450" s="7">
        <v>50</v>
      </c>
      <c r="S450" s="7">
        <v>67.622625999999997</v>
      </c>
      <c r="T450" s="7">
        <v>75</v>
      </c>
      <c r="U450" s="7">
        <v>45.081750999999997</v>
      </c>
      <c r="V450" s="7">
        <v>50</v>
      </c>
      <c r="W450" s="7">
        <v>74.327512999999996</v>
      </c>
      <c r="X450" s="7">
        <v>49.551675000000003</v>
      </c>
      <c r="Y450" s="7">
        <v>50</v>
      </c>
      <c r="Z450" s="7">
        <v>75</v>
      </c>
      <c r="AA450" s="7">
        <v>62.168103000000002</v>
      </c>
      <c r="AB450" s="7">
        <v>41.445402000000001</v>
      </c>
      <c r="AC450" s="7">
        <v>50</v>
      </c>
      <c r="AD450" s="7">
        <v>78.254643000000002</v>
      </c>
      <c r="AE450" s="7">
        <v>50</v>
      </c>
      <c r="AF450" s="7">
        <v>50</v>
      </c>
      <c r="AG450" s="7">
        <v>64.296111999999994</v>
      </c>
      <c r="AH450" s="7">
        <v>75</v>
      </c>
      <c r="AI450" s="7">
        <v>42.864075</v>
      </c>
      <c r="AJ450" s="7">
        <v>50</v>
      </c>
      <c r="AK450" s="7">
        <v>7.37</v>
      </c>
      <c r="AL450" s="7">
        <v>12.83</v>
      </c>
      <c r="AM450" s="7">
        <v>10.7</v>
      </c>
      <c r="AN450" s="7">
        <v>0.69223800000000002</v>
      </c>
      <c r="AO450" s="7">
        <v>69.223826000000003</v>
      </c>
      <c r="AP450" s="7">
        <v>100</v>
      </c>
      <c r="AQ450" s="7">
        <v>0.78950500000000001</v>
      </c>
      <c r="AR450" s="7">
        <v>78.950468999999998</v>
      </c>
      <c r="AS450" s="7">
        <v>100</v>
      </c>
      <c r="AT450" s="7">
        <v>0.59593399999999996</v>
      </c>
      <c r="AU450" s="7">
        <v>0.72871699999999995</v>
      </c>
      <c r="AV450" s="7">
        <v>59.593387</v>
      </c>
      <c r="AW450" s="7">
        <v>100</v>
      </c>
      <c r="AX450" s="7">
        <v>0.73316800000000004</v>
      </c>
      <c r="AY450" s="7">
        <v>0.81055999999999995</v>
      </c>
      <c r="AZ450" s="7">
        <v>73.316761</v>
      </c>
      <c r="BA450" s="7">
        <v>100</v>
      </c>
      <c r="BB450" s="4" t="s">
        <v>124</v>
      </c>
      <c r="BC450" s="4" t="s">
        <v>124</v>
      </c>
      <c r="BD450" s="4" t="s">
        <v>124</v>
      </c>
      <c r="BE450" s="4" t="s">
        <v>124</v>
      </c>
      <c r="BF450" s="4" t="s">
        <v>124</v>
      </c>
      <c r="BG450" s="4" t="s">
        <v>124</v>
      </c>
      <c r="BH450" s="7">
        <v>0</v>
      </c>
      <c r="BI450" s="7">
        <v>0.99271799999999999</v>
      </c>
      <c r="BJ450" s="7">
        <v>0.98319299999999998</v>
      </c>
      <c r="BK450" s="7">
        <v>0.996587</v>
      </c>
      <c r="BL450" s="7">
        <v>0.99031499999999995</v>
      </c>
      <c r="BM450" s="7">
        <v>0.97479000000000005</v>
      </c>
      <c r="BN450" s="7">
        <v>0.99659900000000001</v>
      </c>
      <c r="BO450" s="7">
        <v>0.99259299999999995</v>
      </c>
      <c r="BP450" s="7">
        <v>0.97619</v>
      </c>
      <c r="BQ450" s="7">
        <v>1</v>
      </c>
      <c r="BR450" s="7">
        <v>3.6408000000000003E-2</v>
      </c>
      <c r="BS450" s="7">
        <v>50</v>
      </c>
      <c r="BT450" s="7">
        <v>50</v>
      </c>
      <c r="BU450" s="7">
        <v>6.7226999999999995E-2</v>
      </c>
      <c r="BV450" s="7">
        <v>46.554622000000002</v>
      </c>
      <c r="BW450" s="7">
        <v>50</v>
      </c>
      <c r="BX450" s="4" t="s">
        <v>124</v>
      </c>
      <c r="BY450" s="4" t="s">
        <v>124</v>
      </c>
      <c r="BZ450" s="4" t="s">
        <v>124</v>
      </c>
      <c r="CA450" s="4" t="s">
        <v>124</v>
      </c>
      <c r="CB450" s="4" t="s">
        <v>124</v>
      </c>
      <c r="CC450" s="4" t="s">
        <v>124</v>
      </c>
      <c r="CD450" s="4" t="s">
        <v>124</v>
      </c>
      <c r="CE450" s="4" t="s">
        <v>124</v>
      </c>
      <c r="CF450" s="4" t="s">
        <v>124</v>
      </c>
      <c r="CG450" s="4" t="s">
        <v>124</v>
      </c>
      <c r="CH450" s="4" t="s">
        <v>124</v>
      </c>
      <c r="CI450" s="4" t="s">
        <v>124</v>
      </c>
      <c r="CJ450" s="4" t="s">
        <v>124</v>
      </c>
      <c r="CK450" s="4" t="s">
        <v>124</v>
      </c>
      <c r="CL450" s="4" t="s">
        <v>124</v>
      </c>
      <c r="CM450" s="4" t="s">
        <v>124</v>
      </c>
      <c r="CN450" s="4" t="s">
        <v>124</v>
      </c>
      <c r="CO450" s="4" t="s">
        <v>124</v>
      </c>
      <c r="CP450" s="4" t="s">
        <v>124</v>
      </c>
      <c r="CQ450" s="7">
        <v>0.83006500000000005</v>
      </c>
      <c r="CR450" s="7">
        <v>0.987097</v>
      </c>
      <c r="CS450" s="7">
        <v>50</v>
      </c>
      <c r="CT450" s="7">
        <v>50</v>
      </c>
      <c r="CU450" s="4" t="s">
        <v>124</v>
      </c>
      <c r="CV450" s="4" t="s">
        <v>124</v>
      </c>
      <c r="CW450" s="4" t="s">
        <v>124</v>
      </c>
      <c r="CX450" s="4" t="s">
        <v>124</v>
      </c>
      <c r="CY450" s="4" t="s">
        <v>124</v>
      </c>
      <c r="CZ450" s="4" t="s">
        <v>124</v>
      </c>
      <c r="DA450" s="7">
        <v>15.314097</v>
      </c>
      <c r="DB450" s="7">
        <v>17.400950000000002</v>
      </c>
      <c r="DC450" s="7">
        <v>16.332519999999999</v>
      </c>
      <c r="DD450" s="4" t="s">
        <v>124</v>
      </c>
      <c r="DE450" s="7">
        <v>0</v>
      </c>
      <c r="DF450" s="6"/>
      <c r="DG450" s="6"/>
      <c r="DH450" s="6"/>
      <c r="DI450" s="6"/>
      <c r="DJ450" s="7">
        <v>0</v>
      </c>
      <c r="DK450" s="7">
        <v>0</v>
      </c>
      <c r="DL450" s="7">
        <v>0</v>
      </c>
      <c r="DM450" s="7">
        <v>0</v>
      </c>
      <c r="DN450" s="7">
        <v>0</v>
      </c>
      <c r="DO450" s="7">
        <v>0</v>
      </c>
      <c r="DP450" s="6"/>
      <c r="DQ450" s="4" t="s">
        <v>125</v>
      </c>
    </row>
    <row r="451" spans="1:121" ht="20" customHeight="1" x14ac:dyDescent="0.15">
      <c r="A451" s="5">
        <v>2018</v>
      </c>
      <c r="B451" s="3" t="s">
        <v>196</v>
      </c>
      <c r="C451" s="4" t="str">
        <f t="shared" si="71"/>
        <v>0570011</v>
      </c>
      <c r="D451" s="4" t="s">
        <v>604</v>
      </c>
      <c r="E451" s="4" t="str">
        <f>"0575111"</f>
        <v>0575111</v>
      </c>
      <c r="F451" s="4" t="s">
        <v>327</v>
      </c>
      <c r="G451" s="7">
        <v>6</v>
      </c>
      <c r="H451" s="7">
        <v>8</v>
      </c>
      <c r="I451" s="6"/>
      <c r="J451" s="4" t="s">
        <v>330</v>
      </c>
      <c r="K451" s="7">
        <v>749.62101600000005</v>
      </c>
      <c r="L451" s="7">
        <v>1000</v>
      </c>
      <c r="M451" s="7">
        <v>74.962102000000002</v>
      </c>
      <c r="N451" s="7">
        <v>2</v>
      </c>
      <c r="O451" s="7">
        <v>0</v>
      </c>
      <c r="P451" s="7">
        <v>77.443102999999994</v>
      </c>
      <c r="Q451" s="7">
        <v>50</v>
      </c>
      <c r="R451" s="7">
        <v>50</v>
      </c>
      <c r="S451" s="7">
        <v>62.899774999999998</v>
      </c>
      <c r="T451" s="7">
        <v>75</v>
      </c>
      <c r="U451" s="7">
        <v>41.933183</v>
      </c>
      <c r="V451" s="7">
        <v>50</v>
      </c>
      <c r="W451" s="7">
        <v>73.562144000000004</v>
      </c>
      <c r="X451" s="7">
        <v>49.041429000000001</v>
      </c>
      <c r="Y451" s="7">
        <v>50</v>
      </c>
      <c r="Z451" s="7">
        <v>75</v>
      </c>
      <c r="AA451" s="7">
        <v>58.569597000000002</v>
      </c>
      <c r="AB451" s="7">
        <v>39.046398000000003</v>
      </c>
      <c r="AC451" s="7">
        <v>50</v>
      </c>
      <c r="AD451" s="7">
        <v>73.583119999999994</v>
      </c>
      <c r="AE451" s="7">
        <v>49.055413000000001</v>
      </c>
      <c r="AF451" s="7">
        <v>50</v>
      </c>
      <c r="AG451" s="7">
        <v>61.932661000000003</v>
      </c>
      <c r="AH451" s="7">
        <v>75</v>
      </c>
      <c r="AI451" s="7">
        <v>41.288440000000001</v>
      </c>
      <c r="AJ451" s="7">
        <v>50</v>
      </c>
      <c r="AK451" s="7">
        <v>12.1</v>
      </c>
      <c r="AL451" s="7">
        <v>16.43</v>
      </c>
      <c r="AM451" s="7">
        <v>13.06</v>
      </c>
      <c r="AN451" s="7">
        <v>0.58253299999999997</v>
      </c>
      <c r="AO451" s="7">
        <v>58.253318</v>
      </c>
      <c r="AP451" s="7">
        <v>100</v>
      </c>
      <c r="AQ451" s="7">
        <v>0.63804799999999995</v>
      </c>
      <c r="AR451" s="7">
        <v>63.804766000000001</v>
      </c>
      <c r="AS451" s="7">
        <v>100</v>
      </c>
      <c r="AT451" s="7">
        <v>0.58726599999999995</v>
      </c>
      <c r="AU451" s="7">
        <v>0.580928</v>
      </c>
      <c r="AV451" s="7">
        <v>58.726630999999998</v>
      </c>
      <c r="AW451" s="7">
        <v>100</v>
      </c>
      <c r="AX451" s="7">
        <v>0.56806500000000004</v>
      </c>
      <c r="AY451" s="7">
        <v>0.66177600000000003</v>
      </c>
      <c r="AZ451" s="7">
        <v>56.806548999999997</v>
      </c>
      <c r="BA451" s="7">
        <v>100</v>
      </c>
      <c r="BB451" s="7">
        <v>0.75324899999999995</v>
      </c>
      <c r="BC451" s="7">
        <v>37.662466000000002</v>
      </c>
      <c r="BD451" s="7">
        <v>50</v>
      </c>
      <c r="BE451" s="7">
        <v>0.69973799999999997</v>
      </c>
      <c r="BF451" s="7">
        <v>34.986897999999997</v>
      </c>
      <c r="BG451" s="7">
        <v>50</v>
      </c>
      <c r="BH451" s="7">
        <v>0</v>
      </c>
      <c r="BI451" s="7">
        <v>0.99657499999999999</v>
      </c>
      <c r="BJ451" s="7">
        <v>0.98809499999999995</v>
      </c>
      <c r="BK451" s="7">
        <v>1</v>
      </c>
      <c r="BL451" s="7">
        <v>0.99486300000000005</v>
      </c>
      <c r="BM451" s="7">
        <v>0.98214299999999999</v>
      </c>
      <c r="BN451" s="7">
        <v>1</v>
      </c>
      <c r="BO451" s="7">
        <v>1</v>
      </c>
      <c r="BP451" s="7">
        <v>1</v>
      </c>
      <c r="BQ451" s="7">
        <v>1</v>
      </c>
      <c r="BR451" s="7">
        <v>3.9384000000000002E-2</v>
      </c>
      <c r="BS451" s="7">
        <v>50</v>
      </c>
      <c r="BT451" s="7">
        <v>50</v>
      </c>
      <c r="BU451" s="7">
        <v>9.7403000000000003E-2</v>
      </c>
      <c r="BV451" s="7">
        <v>40.519480999999999</v>
      </c>
      <c r="BW451" s="7">
        <v>50</v>
      </c>
      <c r="BX451" s="4" t="s">
        <v>124</v>
      </c>
      <c r="BY451" s="4" t="s">
        <v>124</v>
      </c>
      <c r="BZ451" s="4" t="s">
        <v>124</v>
      </c>
      <c r="CA451" s="4" t="s">
        <v>124</v>
      </c>
      <c r="CB451" s="4" t="s">
        <v>124</v>
      </c>
      <c r="CC451" s="4" t="s">
        <v>124</v>
      </c>
      <c r="CD451" s="7">
        <v>0.95428599999999997</v>
      </c>
      <c r="CE451" s="7">
        <v>50</v>
      </c>
      <c r="CF451" s="7">
        <v>50</v>
      </c>
      <c r="CG451" s="4" t="s">
        <v>124</v>
      </c>
      <c r="CH451" s="4" t="s">
        <v>124</v>
      </c>
      <c r="CI451" s="4" t="s">
        <v>124</v>
      </c>
      <c r="CJ451" s="4" t="s">
        <v>124</v>
      </c>
      <c r="CK451" s="4" t="s">
        <v>124</v>
      </c>
      <c r="CL451" s="4" t="s">
        <v>124</v>
      </c>
      <c r="CM451" s="4" t="s">
        <v>124</v>
      </c>
      <c r="CN451" s="4" t="s">
        <v>124</v>
      </c>
      <c r="CO451" s="4" t="s">
        <v>124</v>
      </c>
      <c r="CP451" s="4" t="s">
        <v>124</v>
      </c>
      <c r="CQ451" s="7">
        <v>0.42744100000000002</v>
      </c>
      <c r="CR451" s="7">
        <v>0.97932799999999998</v>
      </c>
      <c r="CS451" s="7">
        <v>28.496041999999999</v>
      </c>
      <c r="CT451" s="7">
        <v>50</v>
      </c>
      <c r="CU451" s="4" t="s">
        <v>124</v>
      </c>
      <c r="CV451" s="4" t="s">
        <v>124</v>
      </c>
      <c r="CW451" s="4" t="s">
        <v>124</v>
      </c>
      <c r="CX451" s="4" t="s">
        <v>124</v>
      </c>
      <c r="CY451" s="4" t="s">
        <v>124</v>
      </c>
      <c r="CZ451" s="4" t="s">
        <v>124</v>
      </c>
      <c r="DA451" s="7">
        <v>15.314097</v>
      </c>
      <c r="DB451" s="7">
        <v>17.400950000000002</v>
      </c>
      <c r="DC451" s="7">
        <v>16.332519999999999</v>
      </c>
      <c r="DD451" s="4" t="s">
        <v>124</v>
      </c>
      <c r="DE451" s="7">
        <v>0</v>
      </c>
      <c r="DF451" s="6"/>
      <c r="DG451" s="6"/>
      <c r="DH451" s="6"/>
      <c r="DI451" s="6"/>
      <c r="DJ451" s="7">
        <v>0</v>
      </c>
      <c r="DK451" s="7">
        <v>0</v>
      </c>
      <c r="DL451" s="7">
        <v>0</v>
      </c>
      <c r="DM451" s="7">
        <v>0</v>
      </c>
      <c r="DN451" s="7">
        <v>0</v>
      </c>
      <c r="DO451" s="7">
        <v>0</v>
      </c>
      <c r="DP451" s="6"/>
      <c r="DQ451" s="4" t="s">
        <v>125</v>
      </c>
    </row>
    <row r="452" spans="1:121" ht="20" customHeight="1" x14ac:dyDescent="0.15">
      <c r="A452" s="5">
        <v>2018</v>
      </c>
      <c r="B452" s="3" t="s">
        <v>196</v>
      </c>
      <c r="C452" s="4" t="str">
        <f t="shared" ref="C452:C465" si="206">"0570011"</f>
        <v>0570011</v>
      </c>
      <c r="D452" s="4" t="s">
        <v>605</v>
      </c>
      <c r="E452" s="4" t="str">
        <f>"0570211"</f>
        <v>0570211</v>
      </c>
      <c r="F452" s="4" t="s">
        <v>327</v>
      </c>
      <c r="G452" s="4" t="s">
        <v>338</v>
      </c>
      <c r="H452" s="7">
        <v>5</v>
      </c>
      <c r="I452" s="6"/>
      <c r="J452" s="4" t="s">
        <v>330</v>
      </c>
      <c r="K452" s="7">
        <v>803.17650000000003</v>
      </c>
      <c r="L452" s="7">
        <v>950</v>
      </c>
      <c r="M452" s="7">
        <v>84.544894999999997</v>
      </c>
      <c r="N452" s="7">
        <v>2</v>
      </c>
      <c r="O452" s="7">
        <v>0</v>
      </c>
      <c r="P452" s="7">
        <v>77.890032000000005</v>
      </c>
      <c r="Q452" s="7">
        <v>50</v>
      </c>
      <c r="R452" s="7">
        <v>50</v>
      </c>
      <c r="S452" s="7">
        <v>67.688422000000003</v>
      </c>
      <c r="T452" s="7">
        <v>75</v>
      </c>
      <c r="U452" s="7">
        <v>45.125615000000003</v>
      </c>
      <c r="V452" s="7">
        <v>50</v>
      </c>
      <c r="W452" s="7">
        <v>78.005217000000002</v>
      </c>
      <c r="X452" s="7">
        <v>50</v>
      </c>
      <c r="Y452" s="7">
        <v>50</v>
      </c>
      <c r="Z452" s="7">
        <v>75</v>
      </c>
      <c r="AA452" s="7">
        <v>70.297911999999997</v>
      </c>
      <c r="AB452" s="7">
        <v>46.865273999999999</v>
      </c>
      <c r="AC452" s="7">
        <v>50</v>
      </c>
      <c r="AD452" s="7">
        <v>75.217044999999999</v>
      </c>
      <c r="AE452" s="7">
        <v>50</v>
      </c>
      <c r="AF452" s="7">
        <v>50</v>
      </c>
      <c r="AG452" s="7">
        <v>66.225806000000006</v>
      </c>
      <c r="AH452" s="7">
        <v>75</v>
      </c>
      <c r="AI452" s="7">
        <v>44.150537999999997</v>
      </c>
      <c r="AJ452" s="7">
        <v>50</v>
      </c>
      <c r="AK452" s="7">
        <v>7.31</v>
      </c>
      <c r="AL452" s="7">
        <v>4.7</v>
      </c>
      <c r="AM452" s="7">
        <v>8.77</v>
      </c>
      <c r="AN452" s="7">
        <v>0.70997100000000002</v>
      </c>
      <c r="AO452" s="7">
        <v>70.997103999999993</v>
      </c>
      <c r="AP452" s="7">
        <v>100</v>
      </c>
      <c r="AQ452" s="7">
        <v>0.82394199999999995</v>
      </c>
      <c r="AR452" s="7">
        <v>82.394180000000006</v>
      </c>
      <c r="AS452" s="7">
        <v>100</v>
      </c>
      <c r="AT452" s="7">
        <v>0.63903500000000002</v>
      </c>
      <c r="AU452" s="7">
        <v>0.73338700000000001</v>
      </c>
      <c r="AV452" s="7">
        <v>63.903523999999997</v>
      </c>
      <c r="AW452" s="7">
        <v>100</v>
      </c>
      <c r="AX452" s="7">
        <v>0.74866999999999995</v>
      </c>
      <c r="AY452" s="7">
        <v>0.84878900000000002</v>
      </c>
      <c r="AZ452" s="7">
        <v>74.866962999999998</v>
      </c>
      <c r="BA452" s="7">
        <v>100</v>
      </c>
      <c r="BB452" s="7">
        <v>0.79457</v>
      </c>
      <c r="BC452" s="7">
        <v>39.728478000000003</v>
      </c>
      <c r="BD452" s="7">
        <v>50</v>
      </c>
      <c r="BE452" s="7">
        <v>0.70289599999999997</v>
      </c>
      <c r="BF452" s="7">
        <v>35.144824</v>
      </c>
      <c r="BG452" s="7">
        <v>50</v>
      </c>
      <c r="BH452" s="7">
        <v>0</v>
      </c>
      <c r="BI452" s="7">
        <v>1</v>
      </c>
      <c r="BJ452" s="7">
        <v>1</v>
      </c>
      <c r="BK452" s="7">
        <v>1</v>
      </c>
      <c r="BL452" s="7">
        <v>1</v>
      </c>
      <c r="BM452" s="7">
        <v>1</v>
      </c>
      <c r="BN452" s="7">
        <v>1</v>
      </c>
      <c r="BO452" s="7">
        <v>1</v>
      </c>
      <c r="BP452" s="7">
        <v>1</v>
      </c>
      <c r="BQ452" s="7">
        <v>1</v>
      </c>
      <c r="BR452" s="7">
        <v>3.3980999999999997E-2</v>
      </c>
      <c r="BS452" s="7">
        <v>50</v>
      </c>
      <c r="BT452" s="7">
        <v>50</v>
      </c>
      <c r="BU452" s="7">
        <v>4.6875E-2</v>
      </c>
      <c r="BV452" s="7">
        <v>50</v>
      </c>
      <c r="BW452" s="7">
        <v>50</v>
      </c>
      <c r="BX452" s="4" t="s">
        <v>124</v>
      </c>
      <c r="BY452" s="4" t="s">
        <v>124</v>
      </c>
      <c r="BZ452" s="4" t="s">
        <v>124</v>
      </c>
      <c r="CA452" s="4" t="s">
        <v>124</v>
      </c>
      <c r="CB452" s="4" t="s">
        <v>124</v>
      </c>
      <c r="CC452" s="4" t="s">
        <v>124</v>
      </c>
      <c r="CD452" s="4" t="s">
        <v>124</v>
      </c>
      <c r="CE452" s="4" t="s">
        <v>124</v>
      </c>
      <c r="CF452" s="4" t="s">
        <v>124</v>
      </c>
      <c r="CG452" s="4" t="s">
        <v>124</v>
      </c>
      <c r="CH452" s="4" t="s">
        <v>124</v>
      </c>
      <c r="CI452" s="4" t="s">
        <v>124</v>
      </c>
      <c r="CJ452" s="4" t="s">
        <v>124</v>
      </c>
      <c r="CK452" s="4" t="s">
        <v>124</v>
      </c>
      <c r="CL452" s="4" t="s">
        <v>124</v>
      </c>
      <c r="CM452" s="4" t="s">
        <v>124</v>
      </c>
      <c r="CN452" s="4" t="s">
        <v>124</v>
      </c>
      <c r="CO452" s="4" t="s">
        <v>124</v>
      </c>
      <c r="CP452" s="4" t="s">
        <v>124</v>
      </c>
      <c r="CQ452" s="7">
        <v>0.77777799999999997</v>
      </c>
      <c r="CR452" s="7">
        <v>1.0161290000000001</v>
      </c>
      <c r="CS452" s="7">
        <v>50</v>
      </c>
      <c r="CT452" s="7">
        <v>50</v>
      </c>
      <c r="CU452" s="4" t="s">
        <v>124</v>
      </c>
      <c r="CV452" s="4" t="s">
        <v>124</v>
      </c>
      <c r="CW452" s="4" t="s">
        <v>124</v>
      </c>
      <c r="CX452" s="4" t="s">
        <v>124</v>
      </c>
      <c r="CY452" s="4" t="s">
        <v>124</v>
      </c>
      <c r="CZ452" s="4" t="s">
        <v>124</v>
      </c>
      <c r="DA452" s="7">
        <v>15.314097</v>
      </c>
      <c r="DB452" s="7">
        <v>17.400950000000002</v>
      </c>
      <c r="DC452" s="7">
        <v>16.332519999999999</v>
      </c>
      <c r="DD452" s="4" t="s">
        <v>124</v>
      </c>
      <c r="DE452" s="7">
        <v>0</v>
      </c>
      <c r="DF452" s="6"/>
      <c r="DG452" s="6"/>
      <c r="DH452" s="6"/>
      <c r="DI452" s="6"/>
      <c r="DJ452" s="7">
        <v>0</v>
      </c>
      <c r="DK452" s="7">
        <v>0</v>
      </c>
      <c r="DL452" s="7">
        <v>0</v>
      </c>
      <c r="DM452" s="7">
        <v>0</v>
      </c>
      <c r="DN452" s="7">
        <v>0</v>
      </c>
      <c r="DO452" s="7">
        <v>0</v>
      </c>
      <c r="DP452" s="6"/>
      <c r="DQ452" s="4" t="s">
        <v>125</v>
      </c>
    </row>
    <row r="453" spans="1:121" ht="20" customHeight="1" x14ac:dyDescent="0.15">
      <c r="A453" s="5">
        <v>2018</v>
      </c>
      <c r="B453" s="3" t="s">
        <v>196</v>
      </c>
      <c r="C453" s="4" t="str">
        <f t="shared" si="206"/>
        <v>0570011</v>
      </c>
      <c r="D453" s="4" t="s">
        <v>606</v>
      </c>
      <c r="E453" s="4" t="str">
        <f>"0575211"</f>
        <v>0575211</v>
      </c>
      <c r="F453" s="4" t="s">
        <v>327</v>
      </c>
      <c r="G453" s="7">
        <v>6</v>
      </c>
      <c r="H453" s="7">
        <v>8</v>
      </c>
      <c r="I453" s="6"/>
      <c r="J453" s="4" t="s">
        <v>330</v>
      </c>
      <c r="K453" s="7">
        <v>740.50006299999995</v>
      </c>
      <c r="L453" s="7">
        <v>900</v>
      </c>
      <c r="M453" s="7">
        <v>82.277784999999994</v>
      </c>
      <c r="N453" s="7">
        <v>2</v>
      </c>
      <c r="O453" s="7">
        <v>0</v>
      </c>
      <c r="P453" s="7">
        <v>85.669590999999997</v>
      </c>
      <c r="Q453" s="7">
        <v>50</v>
      </c>
      <c r="R453" s="7">
        <v>50</v>
      </c>
      <c r="S453" s="7">
        <v>72.659625000000005</v>
      </c>
      <c r="T453" s="7">
        <v>75</v>
      </c>
      <c r="U453" s="7">
        <v>48.439749999999997</v>
      </c>
      <c r="V453" s="7">
        <v>50</v>
      </c>
      <c r="W453" s="7">
        <v>82.734195999999997</v>
      </c>
      <c r="X453" s="7">
        <v>50</v>
      </c>
      <c r="Y453" s="7">
        <v>50</v>
      </c>
      <c r="Z453" s="7">
        <v>75</v>
      </c>
      <c r="AA453" s="7">
        <v>68.393145000000004</v>
      </c>
      <c r="AB453" s="7">
        <v>45.59543</v>
      </c>
      <c r="AC453" s="7">
        <v>50</v>
      </c>
      <c r="AD453" s="7">
        <v>76.599920999999995</v>
      </c>
      <c r="AE453" s="7">
        <v>50</v>
      </c>
      <c r="AF453" s="7">
        <v>50</v>
      </c>
      <c r="AG453" s="7">
        <v>64.775700000000001</v>
      </c>
      <c r="AH453" s="7">
        <v>75</v>
      </c>
      <c r="AI453" s="7">
        <v>43.183799999999998</v>
      </c>
      <c r="AJ453" s="7">
        <v>50</v>
      </c>
      <c r="AK453" s="7">
        <v>2.34</v>
      </c>
      <c r="AL453" s="7">
        <v>6.6</v>
      </c>
      <c r="AM453" s="7">
        <v>10.220000000000001</v>
      </c>
      <c r="AN453" s="7">
        <v>0.69467199999999996</v>
      </c>
      <c r="AO453" s="7">
        <v>69.467234000000005</v>
      </c>
      <c r="AP453" s="7">
        <v>100</v>
      </c>
      <c r="AQ453" s="7">
        <v>0.73013600000000001</v>
      </c>
      <c r="AR453" s="7">
        <v>73.013621000000001</v>
      </c>
      <c r="AS453" s="7">
        <v>100</v>
      </c>
      <c r="AT453" s="7">
        <v>0.57767400000000002</v>
      </c>
      <c r="AU453" s="7">
        <v>0.72258999999999995</v>
      </c>
      <c r="AV453" s="7">
        <v>57.767414000000002</v>
      </c>
      <c r="AW453" s="7">
        <v>100</v>
      </c>
      <c r="AX453" s="7">
        <v>0.57162299999999999</v>
      </c>
      <c r="AY453" s="7">
        <v>0.76795999999999998</v>
      </c>
      <c r="AZ453" s="7">
        <v>57.162345000000002</v>
      </c>
      <c r="BA453" s="7">
        <v>100</v>
      </c>
      <c r="BB453" s="4" t="s">
        <v>124</v>
      </c>
      <c r="BC453" s="4" t="s">
        <v>124</v>
      </c>
      <c r="BD453" s="4" t="s">
        <v>124</v>
      </c>
      <c r="BE453" s="4" t="s">
        <v>124</v>
      </c>
      <c r="BF453" s="4" t="s">
        <v>124</v>
      </c>
      <c r="BG453" s="4" t="s">
        <v>124</v>
      </c>
      <c r="BH453" s="7">
        <v>0</v>
      </c>
      <c r="BI453" s="7">
        <v>0.99881399999999998</v>
      </c>
      <c r="BJ453" s="7">
        <v>0.99521499999999996</v>
      </c>
      <c r="BK453" s="7">
        <v>1</v>
      </c>
      <c r="BL453" s="7">
        <v>0.99881399999999998</v>
      </c>
      <c r="BM453" s="7">
        <v>0.99521499999999996</v>
      </c>
      <c r="BN453" s="7">
        <v>1</v>
      </c>
      <c r="BO453" s="7">
        <v>0.99642900000000001</v>
      </c>
      <c r="BP453" s="7">
        <v>0.98630099999999998</v>
      </c>
      <c r="BQ453" s="7">
        <v>1</v>
      </c>
      <c r="BR453" s="7">
        <v>2.3725E-2</v>
      </c>
      <c r="BS453" s="7">
        <v>50</v>
      </c>
      <c r="BT453" s="7">
        <v>50</v>
      </c>
      <c r="BU453" s="7">
        <v>4.6783999999999999E-2</v>
      </c>
      <c r="BV453" s="7">
        <v>50</v>
      </c>
      <c r="BW453" s="7">
        <v>50</v>
      </c>
      <c r="BX453" s="4" t="s">
        <v>124</v>
      </c>
      <c r="BY453" s="4" t="s">
        <v>124</v>
      </c>
      <c r="BZ453" s="4" t="s">
        <v>124</v>
      </c>
      <c r="CA453" s="4" t="s">
        <v>124</v>
      </c>
      <c r="CB453" s="4" t="s">
        <v>124</v>
      </c>
      <c r="CC453" s="4" t="s">
        <v>124</v>
      </c>
      <c r="CD453" s="7">
        <v>0.99585100000000004</v>
      </c>
      <c r="CE453" s="7">
        <v>50</v>
      </c>
      <c r="CF453" s="7">
        <v>50</v>
      </c>
      <c r="CG453" s="4" t="s">
        <v>124</v>
      </c>
      <c r="CH453" s="4" t="s">
        <v>124</v>
      </c>
      <c r="CI453" s="4" t="s">
        <v>124</v>
      </c>
      <c r="CJ453" s="4" t="s">
        <v>124</v>
      </c>
      <c r="CK453" s="4" t="s">
        <v>124</v>
      </c>
      <c r="CL453" s="4" t="s">
        <v>124</v>
      </c>
      <c r="CM453" s="4" t="s">
        <v>124</v>
      </c>
      <c r="CN453" s="4" t="s">
        <v>124</v>
      </c>
      <c r="CO453" s="4" t="s">
        <v>124</v>
      </c>
      <c r="CP453" s="4" t="s">
        <v>124</v>
      </c>
      <c r="CQ453" s="7">
        <v>0.68805700000000003</v>
      </c>
      <c r="CR453" s="7">
        <v>0.980769</v>
      </c>
      <c r="CS453" s="7">
        <v>45.870469</v>
      </c>
      <c r="CT453" s="7">
        <v>50</v>
      </c>
      <c r="CU453" s="4" t="s">
        <v>124</v>
      </c>
      <c r="CV453" s="4" t="s">
        <v>124</v>
      </c>
      <c r="CW453" s="4" t="s">
        <v>124</v>
      </c>
      <c r="CX453" s="4" t="s">
        <v>124</v>
      </c>
      <c r="CY453" s="4" t="s">
        <v>124</v>
      </c>
      <c r="CZ453" s="4" t="s">
        <v>124</v>
      </c>
      <c r="DA453" s="7">
        <v>15.314097</v>
      </c>
      <c r="DB453" s="7">
        <v>17.400950000000002</v>
      </c>
      <c r="DC453" s="7">
        <v>16.332519999999999</v>
      </c>
      <c r="DD453" s="4" t="s">
        <v>124</v>
      </c>
      <c r="DE453" s="7">
        <v>0</v>
      </c>
      <c r="DF453" s="6"/>
      <c r="DG453" s="6"/>
      <c r="DH453" s="6"/>
      <c r="DI453" s="6"/>
      <c r="DJ453" s="7">
        <v>0</v>
      </c>
      <c r="DK453" s="7">
        <v>0</v>
      </c>
      <c r="DL453" s="7">
        <v>0</v>
      </c>
      <c r="DM453" s="7">
        <v>0</v>
      </c>
      <c r="DN453" s="7">
        <v>0</v>
      </c>
      <c r="DO453" s="7">
        <v>0</v>
      </c>
      <c r="DP453" s="6"/>
      <c r="DQ453" s="4" t="s">
        <v>125</v>
      </c>
    </row>
    <row r="454" spans="1:121" ht="20" customHeight="1" x14ac:dyDescent="0.15">
      <c r="A454" s="5">
        <v>2018</v>
      </c>
      <c r="B454" s="3" t="s">
        <v>196</v>
      </c>
      <c r="C454" s="4" t="str">
        <f t="shared" si="206"/>
        <v>0570011</v>
      </c>
      <c r="D454" s="4" t="s">
        <v>607</v>
      </c>
      <c r="E454" s="4" t="str">
        <f>"0570411"</f>
        <v>0570411</v>
      </c>
      <c r="F454" s="4" t="s">
        <v>327</v>
      </c>
      <c r="G454" s="4" t="s">
        <v>338</v>
      </c>
      <c r="H454" s="7">
        <v>5</v>
      </c>
      <c r="I454" s="6"/>
      <c r="J454" s="4" t="s">
        <v>330</v>
      </c>
      <c r="K454" s="7">
        <v>716.60707600000001</v>
      </c>
      <c r="L454" s="7">
        <v>850</v>
      </c>
      <c r="M454" s="7">
        <v>84.306714999999997</v>
      </c>
      <c r="N454" s="7">
        <v>2</v>
      </c>
      <c r="O454" s="7">
        <v>0</v>
      </c>
      <c r="P454" s="7">
        <v>78.500358000000006</v>
      </c>
      <c r="Q454" s="7">
        <v>50</v>
      </c>
      <c r="R454" s="7">
        <v>50</v>
      </c>
      <c r="S454" s="7">
        <v>65.164232999999996</v>
      </c>
      <c r="T454" s="7">
        <v>75</v>
      </c>
      <c r="U454" s="7">
        <v>43.442822</v>
      </c>
      <c r="V454" s="7">
        <v>50</v>
      </c>
      <c r="W454" s="7">
        <v>75.511521999999999</v>
      </c>
      <c r="X454" s="7">
        <v>50</v>
      </c>
      <c r="Y454" s="7">
        <v>50</v>
      </c>
      <c r="Z454" s="7">
        <v>75</v>
      </c>
      <c r="AA454" s="7">
        <v>62.374918999999998</v>
      </c>
      <c r="AB454" s="7">
        <v>41.583278999999997</v>
      </c>
      <c r="AC454" s="7">
        <v>50</v>
      </c>
      <c r="AD454" s="7">
        <v>73.565765999999996</v>
      </c>
      <c r="AE454" s="7">
        <v>49.043844</v>
      </c>
      <c r="AF454" s="7">
        <v>50</v>
      </c>
      <c r="AG454" s="7">
        <v>64.269634999999994</v>
      </c>
      <c r="AH454" s="7">
        <v>75</v>
      </c>
      <c r="AI454" s="7">
        <v>42.846423999999999</v>
      </c>
      <c r="AJ454" s="7">
        <v>50</v>
      </c>
      <c r="AK454" s="7">
        <v>9.83</v>
      </c>
      <c r="AL454" s="7">
        <v>12.62</v>
      </c>
      <c r="AM454" s="7">
        <v>10.73</v>
      </c>
      <c r="AN454" s="7">
        <v>0.77990199999999998</v>
      </c>
      <c r="AO454" s="7">
        <v>77.990206000000001</v>
      </c>
      <c r="AP454" s="7">
        <v>100</v>
      </c>
      <c r="AQ454" s="7">
        <v>0.80723100000000003</v>
      </c>
      <c r="AR454" s="7">
        <v>80.723063999999994</v>
      </c>
      <c r="AS454" s="7">
        <v>100</v>
      </c>
      <c r="AT454" s="7">
        <v>0.60962300000000003</v>
      </c>
      <c r="AU454" s="7">
        <v>0.84423000000000004</v>
      </c>
      <c r="AV454" s="7">
        <v>60.962274999999998</v>
      </c>
      <c r="AW454" s="7">
        <v>100</v>
      </c>
      <c r="AX454" s="7">
        <v>0.700152</v>
      </c>
      <c r="AY454" s="7">
        <v>0.84768299999999996</v>
      </c>
      <c r="AZ454" s="7">
        <v>70.015162000000004</v>
      </c>
      <c r="BA454" s="7">
        <v>100</v>
      </c>
      <c r="BB454" s="4" t="s">
        <v>124</v>
      </c>
      <c r="BC454" s="4" t="s">
        <v>124</v>
      </c>
      <c r="BD454" s="4" t="s">
        <v>124</v>
      </c>
      <c r="BE454" s="4" t="s">
        <v>124</v>
      </c>
      <c r="BF454" s="4" t="s">
        <v>124</v>
      </c>
      <c r="BG454" s="4" t="s">
        <v>124</v>
      </c>
      <c r="BH454" s="7">
        <v>0</v>
      </c>
      <c r="BI454" s="7">
        <v>0.99052099999999998</v>
      </c>
      <c r="BJ454" s="7">
        <v>0.96666700000000005</v>
      </c>
      <c r="BK454" s="7">
        <v>1</v>
      </c>
      <c r="BL454" s="7">
        <v>0.99052099999999998</v>
      </c>
      <c r="BM454" s="7">
        <v>0.96666700000000005</v>
      </c>
      <c r="BN454" s="7">
        <v>1</v>
      </c>
      <c r="BO454" s="7">
        <v>1</v>
      </c>
      <c r="BP454" s="7">
        <v>1</v>
      </c>
      <c r="BQ454" s="7">
        <v>1</v>
      </c>
      <c r="BR454" s="7">
        <v>1.4599000000000001E-2</v>
      </c>
      <c r="BS454" s="7">
        <v>50</v>
      </c>
      <c r="BT454" s="7">
        <v>50</v>
      </c>
      <c r="BU454" s="7">
        <v>1.1235999999999999E-2</v>
      </c>
      <c r="BV454" s="7">
        <v>50</v>
      </c>
      <c r="BW454" s="7">
        <v>50</v>
      </c>
      <c r="BX454" s="4" t="s">
        <v>124</v>
      </c>
      <c r="BY454" s="4" t="s">
        <v>124</v>
      </c>
      <c r="BZ454" s="4" t="s">
        <v>124</v>
      </c>
      <c r="CA454" s="4" t="s">
        <v>124</v>
      </c>
      <c r="CB454" s="4" t="s">
        <v>124</v>
      </c>
      <c r="CC454" s="4" t="s">
        <v>124</v>
      </c>
      <c r="CD454" s="4" t="s">
        <v>124</v>
      </c>
      <c r="CE454" s="4" t="s">
        <v>124</v>
      </c>
      <c r="CF454" s="4" t="s">
        <v>124</v>
      </c>
      <c r="CG454" s="4" t="s">
        <v>124</v>
      </c>
      <c r="CH454" s="4" t="s">
        <v>124</v>
      </c>
      <c r="CI454" s="4" t="s">
        <v>124</v>
      </c>
      <c r="CJ454" s="4" t="s">
        <v>124</v>
      </c>
      <c r="CK454" s="4" t="s">
        <v>124</v>
      </c>
      <c r="CL454" s="4" t="s">
        <v>124</v>
      </c>
      <c r="CM454" s="4" t="s">
        <v>124</v>
      </c>
      <c r="CN454" s="4" t="s">
        <v>124</v>
      </c>
      <c r="CO454" s="4" t="s">
        <v>124</v>
      </c>
      <c r="CP454" s="4" t="s">
        <v>124</v>
      </c>
      <c r="CQ454" s="7">
        <v>0.88333300000000003</v>
      </c>
      <c r="CR454" s="7">
        <v>1</v>
      </c>
      <c r="CS454" s="7">
        <v>50</v>
      </c>
      <c r="CT454" s="7">
        <v>50</v>
      </c>
      <c r="CU454" s="4" t="s">
        <v>124</v>
      </c>
      <c r="CV454" s="4" t="s">
        <v>124</v>
      </c>
      <c r="CW454" s="4" t="s">
        <v>124</v>
      </c>
      <c r="CX454" s="4" t="s">
        <v>124</v>
      </c>
      <c r="CY454" s="4" t="s">
        <v>124</v>
      </c>
      <c r="CZ454" s="4" t="s">
        <v>124</v>
      </c>
      <c r="DA454" s="7">
        <v>15.314097</v>
      </c>
      <c r="DB454" s="7">
        <v>17.400950000000002</v>
      </c>
      <c r="DC454" s="7">
        <v>16.332519999999999</v>
      </c>
      <c r="DD454" s="4" t="s">
        <v>124</v>
      </c>
      <c r="DE454" s="7">
        <v>0</v>
      </c>
      <c r="DF454" s="6"/>
      <c r="DG454" s="6"/>
      <c r="DH454" s="4" t="s">
        <v>331</v>
      </c>
      <c r="DI454" s="4" t="s">
        <v>500</v>
      </c>
      <c r="DJ454" s="7">
        <v>0</v>
      </c>
      <c r="DK454" s="7">
        <v>1</v>
      </c>
      <c r="DL454" s="7">
        <v>0</v>
      </c>
      <c r="DM454" s="7">
        <v>0</v>
      </c>
      <c r="DN454" s="7">
        <v>0</v>
      </c>
      <c r="DO454" s="7">
        <v>0</v>
      </c>
      <c r="DP454" s="6"/>
      <c r="DQ454" s="4" t="s">
        <v>125</v>
      </c>
    </row>
    <row r="455" spans="1:121" ht="20" customHeight="1" x14ac:dyDescent="0.15">
      <c r="A455" s="5">
        <v>2018</v>
      </c>
      <c r="B455" s="3" t="s">
        <v>196</v>
      </c>
      <c r="C455" s="4" t="str">
        <f t="shared" si="206"/>
        <v>0570011</v>
      </c>
      <c r="D455" s="4" t="s">
        <v>608</v>
      </c>
      <c r="E455" s="4" t="str">
        <f>"0576111"</f>
        <v>0576111</v>
      </c>
      <c r="F455" s="4" t="s">
        <v>327</v>
      </c>
      <c r="G455" s="7">
        <v>9</v>
      </c>
      <c r="H455" s="7">
        <v>12</v>
      </c>
      <c r="I455" s="6"/>
      <c r="J455" s="4" t="s">
        <v>330</v>
      </c>
      <c r="K455" s="7">
        <v>1375.5038360000001</v>
      </c>
      <c r="L455" s="7">
        <v>1550</v>
      </c>
      <c r="M455" s="7">
        <v>88.742182999999997</v>
      </c>
      <c r="N455" s="7">
        <v>2</v>
      </c>
      <c r="O455" s="7">
        <v>1</v>
      </c>
      <c r="P455" s="7">
        <v>69.866985999999997</v>
      </c>
      <c r="Q455" s="7">
        <v>139.733971</v>
      </c>
      <c r="R455" s="7">
        <v>150</v>
      </c>
      <c r="S455" s="7">
        <v>55.206656000000002</v>
      </c>
      <c r="T455" s="7">
        <v>75</v>
      </c>
      <c r="U455" s="7">
        <v>110.413312</v>
      </c>
      <c r="V455" s="7">
        <v>150</v>
      </c>
      <c r="W455" s="7">
        <v>68.553374000000005</v>
      </c>
      <c r="X455" s="7">
        <v>137.10674700000001</v>
      </c>
      <c r="Y455" s="7">
        <v>150</v>
      </c>
      <c r="Z455" s="7">
        <v>75</v>
      </c>
      <c r="AA455" s="7">
        <v>51.785024</v>
      </c>
      <c r="AB455" s="7">
        <v>103.570048</v>
      </c>
      <c r="AC455" s="7">
        <v>150</v>
      </c>
      <c r="AD455" s="7">
        <v>79.498320000000007</v>
      </c>
      <c r="AE455" s="7">
        <v>100</v>
      </c>
      <c r="AF455" s="7">
        <v>100</v>
      </c>
      <c r="AG455" s="7">
        <v>64.663065000000003</v>
      </c>
      <c r="AH455" s="7">
        <v>75</v>
      </c>
      <c r="AI455" s="7">
        <v>86.217420000000004</v>
      </c>
      <c r="AJ455" s="7">
        <v>100</v>
      </c>
      <c r="AK455" s="7">
        <v>19.79</v>
      </c>
      <c r="AL455" s="7">
        <v>23.21</v>
      </c>
      <c r="AM455" s="7">
        <v>10.33</v>
      </c>
      <c r="AN455" s="4" t="s">
        <v>124</v>
      </c>
      <c r="AO455" s="4" t="s">
        <v>124</v>
      </c>
      <c r="AP455" s="4" t="s">
        <v>124</v>
      </c>
      <c r="AQ455" s="4" t="s">
        <v>124</v>
      </c>
      <c r="AR455" s="4" t="s">
        <v>124</v>
      </c>
      <c r="AS455" s="4" t="s">
        <v>124</v>
      </c>
      <c r="AT455" s="4" t="s">
        <v>124</v>
      </c>
      <c r="AU455" s="4" t="s">
        <v>124</v>
      </c>
      <c r="AV455" s="4" t="s">
        <v>124</v>
      </c>
      <c r="AW455" s="4" t="s">
        <v>124</v>
      </c>
      <c r="AX455" s="4" t="s">
        <v>124</v>
      </c>
      <c r="AY455" s="4" t="s">
        <v>124</v>
      </c>
      <c r="AZ455" s="4" t="s">
        <v>124</v>
      </c>
      <c r="BA455" s="4" t="s">
        <v>124</v>
      </c>
      <c r="BB455" s="7">
        <v>0.59233400000000003</v>
      </c>
      <c r="BC455" s="7">
        <v>29.616720000000001</v>
      </c>
      <c r="BD455" s="7">
        <v>50</v>
      </c>
      <c r="BE455" s="7">
        <v>0.94556899999999999</v>
      </c>
      <c r="BF455" s="7">
        <v>47.278452999999999</v>
      </c>
      <c r="BG455" s="7">
        <v>50</v>
      </c>
      <c r="BH455" s="7">
        <v>0</v>
      </c>
      <c r="BI455" s="7">
        <v>0.98678399999999999</v>
      </c>
      <c r="BJ455" s="7">
        <v>0.98611099999999996</v>
      </c>
      <c r="BK455" s="7">
        <v>0.987097</v>
      </c>
      <c r="BL455" s="7">
        <v>0.98678399999999999</v>
      </c>
      <c r="BM455" s="7">
        <v>0.98611099999999996</v>
      </c>
      <c r="BN455" s="7">
        <v>0.987097</v>
      </c>
      <c r="BO455" s="7">
        <v>0.99120200000000003</v>
      </c>
      <c r="BP455" s="7">
        <v>0.98156699999999997</v>
      </c>
      <c r="BQ455" s="7">
        <v>0.995699</v>
      </c>
      <c r="BR455" s="7">
        <v>3.8574999999999998E-2</v>
      </c>
      <c r="BS455" s="7">
        <v>50</v>
      </c>
      <c r="BT455" s="7">
        <v>50</v>
      </c>
      <c r="BU455" s="7">
        <v>6.7164000000000001E-2</v>
      </c>
      <c r="BV455" s="7">
        <v>46.567163999999998</v>
      </c>
      <c r="BW455" s="7">
        <v>50</v>
      </c>
      <c r="BX455" s="7">
        <v>0.98365499999999995</v>
      </c>
      <c r="BY455" s="7">
        <v>50</v>
      </c>
      <c r="BZ455" s="7">
        <v>50</v>
      </c>
      <c r="CA455" s="7">
        <v>0.75037100000000001</v>
      </c>
      <c r="CB455" s="7">
        <v>50</v>
      </c>
      <c r="CC455" s="7">
        <v>50</v>
      </c>
      <c r="CD455" s="7">
        <v>0.95833299999999999</v>
      </c>
      <c r="CE455" s="7">
        <v>50</v>
      </c>
      <c r="CF455" s="7">
        <v>50</v>
      </c>
      <c r="CG455" s="7">
        <v>0.96528899999999995</v>
      </c>
      <c r="CH455" s="7">
        <v>100</v>
      </c>
      <c r="CI455" s="7">
        <v>100</v>
      </c>
      <c r="CJ455" s="7">
        <v>0</v>
      </c>
      <c r="CK455" s="7">
        <v>0.98816599999999999</v>
      </c>
      <c r="CL455" s="7">
        <v>100</v>
      </c>
      <c r="CM455" s="7">
        <v>100</v>
      </c>
      <c r="CN455" s="7">
        <v>0.84757099999999996</v>
      </c>
      <c r="CO455" s="7">
        <v>100</v>
      </c>
      <c r="CP455" s="7">
        <v>100</v>
      </c>
      <c r="CQ455" s="7">
        <v>0.84630000000000005</v>
      </c>
      <c r="CR455" s="7">
        <v>0.77386200000000005</v>
      </c>
      <c r="CS455" s="7">
        <v>25</v>
      </c>
      <c r="CT455" s="7">
        <v>50</v>
      </c>
      <c r="CU455" s="7">
        <v>0.65393100000000004</v>
      </c>
      <c r="CV455" s="7">
        <v>50</v>
      </c>
      <c r="CW455" s="7">
        <v>50</v>
      </c>
      <c r="CX455" s="7">
        <v>0.98816599999999999</v>
      </c>
      <c r="CY455" s="7">
        <v>0.94</v>
      </c>
      <c r="CZ455" s="7">
        <v>-4.8166E-2</v>
      </c>
      <c r="DA455" s="7">
        <v>15.314097</v>
      </c>
      <c r="DB455" s="7">
        <v>17.400950000000002</v>
      </c>
      <c r="DC455" s="7">
        <v>16.332519999999999</v>
      </c>
      <c r="DD455" s="7">
        <v>7.9891730000000001</v>
      </c>
      <c r="DE455" s="7">
        <v>1</v>
      </c>
      <c r="DF455" s="6"/>
      <c r="DG455" s="6"/>
      <c r="DH455" s="6"/>
      <c r="DI455" s="6"/>
      <c r="DJ455" s="7">
        <v>0</v>
      </c>
      <c r="DK455" s="7">
        <v>0</v>
      </c>
      <c r="DL455" s="7">
        <v>0</v>
      </c>
      <c r="DM455" s="7">
        <v>0</v>
      </c>
      <c r="DN455" s="7">
        <v>0</v>
      </c>
      <c r="DO455" s="7">
        <v>0</v>
      </c>
      <c r="DP455" s="6"/>
      <c r="DQ455" s="4" t="s">
        <v>125</v>
      </c>
    </row>
    <row r="456" spans="1:121" ht="20" customHeight="1" x14ac:dyDescent="0.15">
      <c r="A456" s="5">
        <v>2018</v>
      </c>
      <c r="B456" s="3" t="s">
        <v>196</v>
      </c>
      <c r="C456" s="4" t="str">
        <f t="shared" si="206"/>
        <v>0570011</v>
      </c>
      <c r="D456" s="4" t="s">
        <v>609</v>
      </c>
      <c r="E456" s="4" t="str">
        <f>"0570511"</f>
        <v>0570511</v>
      </c>
      <c r="F456" s="4" t="s">
        <v>327</v>
      </c>
      <c r="G456" s="4" t="s">
        <v>328</v>
      </c>
      <c r="H456" s="7">
        <v>5</v>
      </c>
      <c r="I456" s="4" t="s">
        <v>335</v>
      </c>
      <c r="J456" s="4" t="s">
        <v>330</v>
      </c>
      <c r="K456" s="7">
        <v>621.33698800000002</v>
      </c>
      <c r="L456" s="7">
        <v>850</v>
      </c>
      <c r="M456" s="7">
        <v>73.098468999999994</v>
      </c>
      <c r="N456" s="7">
        <v>3</v>
      </c>
      <c r="O456" s="7">
        <v>1</v>
      </c>
      <c r="P456" s="7">
        <v>66.360722999999993</v>
      </c>
      <c r="Q456" s="7">
        <v>44.240482</v>
      </c>
      <c r="R456" s="7">
        <v>50</v>
      </c>
      <c r="S456" s="7">
        <v>61.495846999999998</v>
      </c>
      <c r="T456" s="7">
        <v>75</v>
      </c>
      <c r="U456" s="7">
        <v>40.997231999999997</v>
      </c>
      <c r="V456" s="7">
        <v>50</v>
      </c>
      <c r="W456" s="7">
        <v>62.187396999999997</v>
      </c>
      <c r="X456" s="7">
        <v>41.458264</v>
      </c>
      <c r="Y456" s="7">
        <v>50</v>
      </c>
      <c r="Z456" s="7">
        <v>75</v>
      </c>
      <c r="AA456" s="7">
        <v>56.691332000000003</v>
      </c>
      <c r="AB456" s="7">
        <v>37.794221999999998</v>
      </c>
      <c r="AC456" s="7">
        <v>50</v>
      </c>
      <c r="AD456" s="7">
        <v>69.995412000000002</v>
      </c>
      <c r="AE456" s="7">
        <v>46.663608000000004</v>
      </c>
      <c r="AF456" s="7">
        <v>50</v>
      </c>
      <c r="AG456" s="7">
        <v>64.448184999999995</v>
      </c>
      <c r="AH456" s="4" t="s">
        <v>124</v>
      </c>
      <c r="AI456" s="7">
        <v>42.965457000000001</v>
      </c>
      <c r="AJ456" s="7">
        <v>50</v>
      </c>
      <c r="AK456" s="7">
        <v>13.5</v>
      </c>
      <c r="AL456" s="7">
        <v>18.3</v>
      </c>
      <c r="AM456" s="4" t="s">
        <v>124</v>
      </c>
      <c r="AN456" s="7">
        <v>0.65069999999999995</v>
      </c>
      <c r="AO456" s="7">
        <v>65.069953999999996</v>
      </c>
      <c r="AP456" s="7">
        <v>100</v>
      </c>
      <c r="AQ456" s="7">
        <v>0.55756899999999998</v>
      </c>
      <c r="AR456" s="7">
        <v>55.756874000000003</v>
      </c>
      <c r="AS456" s="7">
        <v>100</v>
      </c>
      <c r="AT456" s="7">
        <v>0.62004800000000004</v>
      </c>
      <c r="AU456" s="7">
        <v>0.71940099999999996</v>
      </c>
      <c r="AV456" s="7">
        <v>62.004812999999999</v>
      </c>
      <c r="AW456" s="7">
        <v>100</v>
      </c>
      <c r="AX456" s="7">
        <v>0.47506700000000002</v>
      </c>
      <c r="AY456" s="7">
        <v>0.73964300000000005</v>
      </c>
      <c r="AZ456" s="7">
        <v>47.506650999999998</v>
      </c>
      <c r="BA456" s="7">
        <v>100</v>
      </c>
      <c r="BB456" s="4" t="s">
        <v>124</v>
      </c>
      <c r="BC456" s="4" t="s">
        <v>124</v>
      </c>
      <c r="BD456" s="4" t="s">
        <v>124</v>
      </c>
      <c r="BE456" s="4" t="s">
        <v>124</v>
      </c>
      <c r="BF456" s="4" t="s">
        <v>124</v>
      </c>
      <c r="BG456" s="4" t="s">
        <v>124</v>
      </c>
      <c r="BH456" s="7">
        <v>0</v>
      </c>
      <c r="BI456" s="7">
        <v>1</v>
      </c>
      <c r="BJ456" s="7">
        <v>1</v>
      </c>
      <c r="BK456" s="7">
        <v>1</v>
      </c>
      <c r="BL456" s="7">
        <v>0.99382700000000002</v>
      </c>
      <c r="BM456" s="7">
        <v>0.99152499999999999</v>
      </c>
      <c r="BN456" s="7">
        <v>1</v>
      </c>
      <c r="BO456" s="7">
        <v>1</v>
      </c>
      <c r="BP456" s="7">
        <v>1</v>
      </c>
      <c r="BQ456" s="4" t="s">
        <v>124</v>
      </c>
      <c r="BR456" s="7">
        <v>4.5593000000000002E-2</v>
      </c>
      <c r="BS456" s="7">
        <v>50</v>
      </c>
      <c r="BT456" s="7">
        <v>50</v>
      </c>
      <c r="BU456" s="7">
        <v>4.8673000000000001E-2</v>
      </c>
      <c r="BV456" s="7">
        <v>50</v>
      </c>
      <c r="BW456" s="7">
        <v>50</v>
      </c>
      <c r="BX456" s="4" t="s">
        <v>124</v>
      </c>
      <c r="BY456" s="4" t="s">
        <v>124</v>
      </c>
      <c r="BZ456" s="4" t="s">
        <v>124</v>
      </c>
      <c r="CA456" s="4" t="s">
        <v>124</v>
      </c>
      <c r="CB456" s="4" t="s">
        <v>124</v>
      </c>
      <c r="CC456" s="4" t="s">
        <v>124</v>
      </c>
      <c r="CD456" s="4" t="s">
        <v>124</v>
      </c>
      <c r="CE456" s="4" t="s">
        <v>124</v>
      </c>
      <c r="CF456" s="4" t="s">
        <v>124</v>
      </c>
      <c r="CG456" s="4" t="s">
        <v>124</v>
      </c>
      <c r="CH456" s="4" t="s">
        <v>124</v>
      </c>
      <c r="CI456" s="4" t="s">
        <v>124</v>
      </c>
      <c r="CJ456" s="4" t="s">
        <v>124</v>
      </c>
      <c r="CK456" s="4" t="s">
        <v>124</v>
      </c>
      <c r="CL456" s="4" t="s">
        <v>124</v>
      </c>
      <c r="CM456" s="4" t="s">
        <v>124</v>
      </c>
      <c r="CN456" s="4" t="s">
        <v>124</v>
      </c>
      <c r="CO456" s="4" t="s">
        <v>124</v>
      </c>
      <c r="CP456" s="4" t="s">
        <v>124</v>
      </c>
      <c r="CQ456" s="7">
        <v>0.55319099999999999</v>
      </c>
      <c r="CR456" s="7">
        <v>1</v>
      </c>
      <c r="CS456" s="7">
        <v>36.879432999999999</v>
      </c>
      <c r="CT456" s="7">
        <v>50</v>
      </c>
      <c r="CU456" s="4" t="s">
        <v>124</v>
      </c>
      <c r="CV456" s="4" t="s">
        <v>124</v>
      </c>
      <c r="CW456" s="4" t="s">
        <v>124</v>
      </c>
      <c r="CX456" s="4" t="s">
        <v>124</v>
      </c>
      <c r="CY456" s="4" t="s">
        <v>124</v>
      </c>
      <c r="CZ456" s="4" t="s">
        <v>124</v>
      </c>
      <c r="DA456" s="7">
        <v>15.314097</v>
      </c>
      <c r="DB456" s="7">
        <v>17.400950000000002</v>
      </c>
      <c r="DC456" s="7">
        <v>16.332519999999999</v>
      </c>
      <c r="DD456" s="4" t="s">
        <v>124</v>
      </c>
      <c r="DE456" s="7">
        <v>1</v>
      </c>
      <c r="DF456" s="6"/>
      <c r="DG456" s="6"/>
      <c r="DH456" s="6"/>
      <c r="DI456" s="6"/>
      <c r="DJ456" s="7">
        <v>0</v>
      </c>
      <c r="DK456" s="7">
        <v>0</v>
      </c>
      <c r="DL456" s="7">
        <v>0</v>
      </c>
      <c r="DM456" s="7">
        <v>0</v>
      </c>
      <c r="DN456" s="7">
        <v>0</v>
      </c>
      <c r="DO456" s="7">
        <v>0</v>
      </c>
      <c r="DP456" s="6"/>
      <c r="DQ456" s="4" t="s">
        <v>125</v>
      </c>
    </row>
    <row r="457" spans="1:121" ht="20" customHeight="1" x14ac:dyDescent="0.15">
      <c r="A457" s="5">
        <v>2018</v>
      </c>
      <c r="B457" s="3" t="s">
        <v>196</v>
      </c>
      <c r="C457" s="4" t="str">
        <f t="shared" si="206"/>
        <v>0570011</v>
      </c>
      <c r="D457" s="4" t="s">
        <v>610</v>
      </c>
      <c r="E457" s="4" t="str">
        <f>"0571311"</f>
        <v>0571311</v>
      </c>
      <c r="F457" s="4" t="s">
        <v>327</v>
      </c>
      <c r="G457" s="4" t="s">
        <v>338</v>
      </c>
      <c r="H457" s="7">
        <v>5</v>
      </c>
      <c r="I457" s="6"/>
      <c r="J457" s="4" t="s">
        <v>330</v>
      </c>
      <c r="K457" s="7">
        <v>720.13649899999996</v>
      </c>
      <c r="L457" s="7">
        <v>850</v>
      </c>
      <c r="M457" s="7">
        <v>84.721941000000001</v>
      </c>
      <c r="N457" s="7">
        <v>2</v>
      </c>
      <c r="O457" s="7">
        <v>0</v>
      </c>
      <c r="P457" s="7">
        <v>83.728515000000002</v>
      </c>
      <c r="Q457" s="7">
        <v>50</v>
      </c>
      <c r="R457" s="7">
        <v>50</v>
      </c>
      <c r="S457" s="7">
        <v>73.502262999999999</v>
      </c>
      <c r="T457" s="7">
        <v>75</v>
      </c>
      <c r="U457" s="7">
        <v>49.001508000000001</v>
      </c>
      <c r="V457" s="7">
        <v>50</v>
      </c>
      <c r="W457" s="7">
        <v>82.630611000000002</v>
      </c>
      <c r="X457" s="7">
        <v>50</v>
      </c>
      <c r="Y457" s="7">
        <v>50</v>
      </c>
      <c r="Z457" s="7">
        <v>75</v>
      </c>
      <c r="AA457" s="7">
        <v>71.273505999999998</v>
      </c>
      <c r="AB457" s="7">
        <v>47.515670999999998</v>
      </c>
      <c r="AC457" s="7">
        <v>50</v>
      </c>
      <c r="AD457" s="7">
        <v>84.514230999999995</v>
      </c>
      <c r="AE457" s="7">
        <v>50</v>
      </c>
      <c r="AF457" s="7">
        <v>50</v>
      </c>
      <c r="AG457" s="7">
        <v>74.8</v>
      </c>
      <c r="AH457" s="7">
        <v>75</v>
      </c>
      <c r="AI457" s="7">
        <v>49.866667</v>
      </c>
      <c r="AJ457" s="7">
        <v>50</v>
      </c>
      <c r="AK457" s="7">
        <v>1.49</v>
      </c>
      <c r="AL457" s="7">
        <v>3.72</v>
      </c>
      <c r="AM457" s="7">
        <v>0.19</v>
      </c>
      <c r="AN457" s="7">
        <v>0.70491899999999996</v>
      </c>
      <c r="AO457" s="7">
        <v>70.491947999999994</v>
      </c>
      <c r="AP457" s="7">
        <v>100</v>
      </c>
      <c r="AQ457" s="7">
        <v>0.77133499999999999</v>
      </c>
      <c r="AR457" s="7">
        <v>77.133475000000004</v>
      </c>
      <c r="AS457" s="7">
        <v>100</v>
      </c>
      <c r="AT457" s="7">
        <v>0.64581</v>
      </c>
      <c r="AU457" s="7">
        <v>0.72355199999999997</v>
      </c>
      <c r="AV457" s="7">
        <v>64.581035999999997</v>
      </c>
      <c r="AW457" s="7">
        <v>100</v>
      </c>
      <c r="AX457" s="7">
        <v>0.61546199999999995</v>
      </c>
      <c r="AY457" s="7">
        <v>0.820469</v>
      </c>
      <c r="AZ457" s="7">
        <v>61.546194999999997</v>
      </c>
      <c r="BA457" s="7">
        <v>100</v>
      </c>
      <c r="BB457" s="4" t="s">
        <v>124</v>
      </c>
      <c r="BC457" s="4" t="s">
        <v>124</v>
      </c>
      <c r="BD457" s="4" t="s">
        <v>124</v>
      </c>
      <c r="BE457" s="4" t="s">
        <v>124</v>
      </c>
      <c r="BF457" s="4" t="s">
        <v>124</v>
      </c>
      <c r="BG457" s="4" t="s">
        <v>124</v>
      </c>
      <c r="BH457" s="7">
        <v>0</v>
      </c>
      <c r="BI457" s="7">
        <v>0.98958299999999999</v>
      </c>
      <c r="BJ457" s="7">
        <v>1</v>
      </c>
      <c r="BK457" s="7">
        <v>0.98601399999999995</v>
      </c>
      <c r="BL457" s="7">
        <v>0.98958299999999999</v>
      </c>
      <c r="BM457" s="7">
        <v>1</v>
      </c>
      <c r="BN457" s="7">
        <v>0.98601399999999995</v>
      </c>
      <c r="BO457" s="7">
        <v>1</v>
      </c>
      <c r="BP457" s="7">
        <v>1</v>
      </c>
      <c r="BQ457" s="7">
        <v>1</v>
      </c>
      <c r="BR457" s="7">
        <v>1.9126000000000001E-2</v>
      </c>
      <c r="BS457" s="7">
        <v>50</v>
      </c>
      <c r="BT457" s="7">
        <v>50</v>
      </c>
      <c r="BU457" s="7">
        <v>1.2500000000000001E-2</v>
      </c>
      <c r="BV457" s="7">
        <v>50</v>
      </c>
      <c r="BW457" s="7">
        <v>50</v>
      </c>
      <c r="BX457" s="4" t="s">
        <v>124</v>
      </c>
      <c r="BY457" s="4" t="s">
        <v>124</v>
      </c>
      <c r="BZ457" s="4" t="s">
        <v>124</v>
      </c>
      <c r="CA457" s="4" t="s">
        <v>124</v>
      </c>
      <c r="CB457" s="4" t="s">
        <v>124</v>
      </c>
      <c r="CC457" s="4" t="s">
        <v>124</v>
      </c>
      <c r="CD457" s="4" t="s">
        <v>124</v>
      </c>
      <c r="CE457" s="4" t="s">
        <v>124</v>
      </c>
      <c r="CF457" s="4" t="s">
        <v>124</v>
      </c>
      <c r="CG457" s="4" t="s">
        <v>124</v>
      </c>
      <c r="CH457" s="4" t="s">
        <v>124</v>
      </c>
      <c r="CI457" s="4" t="s">
        <v>124</v>
      </c>
      <c r="CJ457" s="4" t="s">
        <v>124</v>
      </c>
      <c r="CK457" s="4" t="s">
        <v>124</v>
      </c>
      <c r="CL457" s="4" t="s">
        <v>124</v>
      </c>
      <c r="CM457" s="4" t="s">
        <v>124</v>
      </c>
      <c r="CN457" s="4" t="s">
        <v>124</v>
      </c>
      <c r="CO457" s="4" t="s">
        <v>124</v>
      </c>
      <c r="CP457" s="4" t="s">
        <v>124</v>
      </c>
      <c r="CQ457" s="7">
        <v>0.87096799999999996</v>
      </c>
      <c r="CR457" s="7">
        <v>1</v>
      </c>
      <c r="CS457" s="7">
        <v>50</v>
      </c>
      <c r="CT457" s="7">
        <v>50</v>
      </c>
      <c r="CU457" s="4" t="s">
        <v>124</v>
      </c>
      <c r="CV457" s="4" t="s">
        <v>124</v>
      </c>
      <c r="CW457" s="4" t="s">
        <v>124</v>
      </c>
      <c r="CX457" s="4" t="s">
        <v>124</v>
      </c>
      <c r="CY457" s="4" t="s">
        <v>124</v>
      </c>
      <c r="CZ457" s="4" t="s">
        <v>124</v>
      </c>
      <c r="DA457" s="7">
        <v>15.314097</v>
      </c>
      <c r="DB457" s="7">
        <v>17.400950000000002</v>
      </c>
      <c r="DC457" s="7">
        <v>16.332519999999999</v>
      </c>
      <c r="DD457" s="4" t="s">
        <v>124</v>
      </c>
      <c r="DE457" s="7">
        <v>0</v>
      </c>
      <c r="DF457" s="6"/>
      <c r="DG457" s="6"/>
      <c r="DH457" s="6"/>
      <c r="DI457" s="6"/>
      <c r="DJ457" s="7">
        <v>0</v>
      </c>
      <c r="DK457" s="7">
        <v>0</v>
      </c>
      <c r="DL457" s="7">
        <v>0</v>
      </c>
      <c r="DM457" s="7">
        <v>0</v>
      </c>
      <c r="DN457" s="7">
        <v>0</v>
      </c>
      <c r="DO457" s="7">
        <v>0</v>
      </c>
      <c r="DP457" s="6"/>
      <c r="DQ457" s="4" t="s">
        <v>125</v>
      </c>
    </row>
    <row r="458" spans="1:121" ht="20" customHeight="1" x14ac:dyDescent="0.15">
      <c r="A458" s="5">
        <v>2018</v>
      </c>
      <c r="B458" s="3" t="s">
        <v>196</v>
      </c>
      <c r="C458" s="4" t="str">
        <f t="shared" si="206"/>
        <v>0570011</v>
      </c>
      <c r="D458" s="4" t="s">
        <v>611</v>
      </c>
      <c r="E458" s="4" t="str">
        <f>"0570311"</f>
        <v>0570311</v>
      </c>
      <c r="F458" s="4" t="s">
        <v>327</v>
      </c>
      <c r="G458" s="4" t="s">
        <v>338</v>
      </c>
      <c r="H458" s="7">
        <v>5</v>
      </c>
      <c r="I458" s="4" t="s">
        <v>329</v>
      </c>
      <c r="J458" s="4" t="s">
        <v>330</v>
      </c>
      <c r="K458" s="7">
        <v>792.63204900000005</v>
      </c>
      <c r="L458" s="7">
        <v>950</v>
      </c>
      <c r="M458" s="7">
        <v>83.434952999999993</v>
      </c>
      <c r="N458" s="7">
        <v>2</v>
      </c>
      <c r="O458" s="7">
        <v>0</v>
      </c>
      <c r="P458" s="7">
        <v>75.937314999999998</v>
      </c>
      <c r="Q458" s="7">
        <v>50</v>
      </c>
      <c r="R458" s="7">
        <v>50</v>
      </c>
      <c r="S458" s="7">
        <v>67.324366999999995</v>
      </c>
      <c r="T458" s="7">
        <v>75</v>
      </c>
      <c r="U458" s="7">
        <v>44.882911</v>
      </c>
      <c r="V458" s="7">
        <v>50</v>
      </c>
      <c r="W458" s="7">
        <v>71.560653000000002</v>
      </c>
      <c r="X458" s="7">
        <v>47.707101999999999</v>
      </c>
      <c r="Y458" s="7">
        <v>50</v>
      </c>
      <c r="Z458" s="7">
        <v>75</v>
      </c>
      <c r="AA458" s="7">
        <v>62.600526000000002</v>
      </c>
      <c r="AB458" s="7">
        <v>41.733683999999997</v>
      </c>
      <c r="AC458" s="7">
        <v>50</v>
      </c>
      <c r="AD458" s="7">
        <v>74.797321999999994</v>
      </c>
      <c r="AE458" s="7">
        <v>49.864880999999997</v>
      </c>
      <c r="AF458" s="7">
        <v>50</v>
      </c>
      <c r="AG458" s="7">
        <v>66.841099</v>
      </c>
      <c r="AH458" s="7">
        <v>75</v>
      </c>
      <c r="AI458" s="7">
        <v>44.560732999999999</v>
      </c>
      <c r="AJ458" s="7">
        <v>50</v>
      </c>
      <c r="AK458" s="7">
        <v>7.67</v>
      </c>
      <c r="AL458" s="7">
        <v>12.39</v>
      </c>
      <c r="AM458" s="7">
        <v>8.15</v>
      </c>
      <c r="AN458" s="7">
        <v>0.79127400000000003</v>
      </c>
      <c r="AO458" s="7">
        <v>79.127369000000002</v>
      </c>
      <c r="AP458" s="7">
        <v>100</v>
      </c>
      <c r="AQ458" s="7">
        <v>0.74692000000000003</v>
      </c>
      <c r="AR458" s="7">
        <v>74.692018000000004</v>
      </c>
      <c r="AS458" s="7">
        <v>100</v>
      </c>
      <c r="AT458" s="7">
        <v>0.70981300000000003</v>
      </c>
      <c r="AU458" s="7">
        <v>0.89649299999999998</v>
      </c>
      <c r="AV458" s="7">
        <v>70.981334000000004</v>
      </c>
      <c r="AW458" s="7">
        <v>100</v>
      </c>
      <c r="AX458" s="7">
        <v>0.69456899999999999</v>
      </c>
      <c r="AY458" s="7">
        <v>0.81454099999999996</v>
      </c>
      <c r="AZ458" s="7">
        <v>69.456891999999996</v>
      </c>
      <c r="BA458" s="7">
        <v>100</v>
      </c>
      <c r="BB458" s="7">
        <v>0.90616300000000005</v>
      </c>
      <c r="BC458" s="7">
        <v>45.308132000000001</v>
      </c>
      <c r="BD458" s="7">
        <v>50</v>
      </c>
      <c r="BE458" s="7">
        <v>0.79192099999999999</v>
      </c>
      <c r="BF458" s="7">
        <v>39.596026999999999</v>
      </c>
      <c r="BG458" s="7">
        <v>50</v>
      </c>
      <c r="BH458" s="7">
        <v>0</v>
      </c>
      <c r="BI458" s="7">
        <v>1</v>
      </c>
      <c r="BJ458" s="7">
        <v>1</v>
      </c>
      <c r="BK458" s="7">
        <v>1</v>
      </c>
      <c r="BL458" s="7">
        <v>0.99415200000000004</v>
      </c>
      <c r="BM458" s="7">
        <v>0.99038499999999996</v>
      </c>
      <c r="BN458" s="7">
        <v>1</v>
      </c>
      <c r="BO458" s="7">
        <v>1</v>
      </c>
      <c r="BP458" s="7">
        <v>1</v>
      </c>
      <c r="BQ458" s="7">
        <v>1</v>
      </c>
      <c r="BR458" s="7">
        <v>7.0513000000000006E-2</v>
      </c>
      <c r="BS458" s="7">
        <v>45.897435999999999</v>
      </c>
      <c r="BT458" s="7">
        <v>50</v>
      </c>
      <c r="BU458" s="7">
        <v>0.105882</v>
      </c>
      <c r="BV458" s="7">
        <v>38.823529000000001</v>
      </c>
      <c r="BW458" s="7">
        <v>50</v>
      </c>
      <c r="BX458" s="4" t="s">
        <v>124</v>
      </c>
      <c r="BY458" s="4" t="s">
        <v>124</v>
      </c>
      <c r="BZ458" s="4" t="s">
        <v>124</v>
      </c>
      <c r="CA458" s="4" t="s">
        <v>124</v>
      </c>
      <c r="CB458" s="4" t="s">
        <v>124</v>
      </c>
      <c r="CC458" s="4" t="s">
        <v>124</v>
      </c>
      <c r="CD458" s="4" t="s">
        <v>124</v>
      </c>
      <c r="CE458" s="4" t="s">
        <v>124</v>
      </c>
      <c r="CF458" s="4" t="s">
        <v>124</v>
      </c>
      <c r="CG458" s="4" t="s">
        <v>124</v>
      </c>
      <c r="CH458" s="4" t="s">
        <v>124</v>
      </c>
      <c r="CI458" s="4" t="s">
        <v>124</v>
      </c>
      <c r="CJ458" s="4" t="s">
        <v>124</v>
      </c>
      <c r="CK458" s="4" t="s">
        <v>124</v>
      </c>
      <c r="CL458" s="4" t="s">
        <v>124</v>
      </c>
      <c r="CM458" s="4" t="s">
        <v>124</v>
      </c>
      <c r="CN458" s="4" t="s">
        <v>124</v>
      </c>
      <c r="CO458" s="4" t="s">
        <v>124</v>
      </c>
      <c r="CP458" s="4" t="s">
        <v>124</v>
      </c>
      <c r="CQ458" s="7">
        <v>0.75409800000000005</v>
      </c>
      <c r="CR458" s="7">
        <v>1.016667</v>
      </c>
      <c r="CS458" s="7">
        <v>50</v>
      </c>
      <c r="CT458" s="7">
        <v>50</v>
      </c>
      <c r="CU458" s="4" t="s">
        <v>124</v>
      </c>
      <c r="CV458" s="4" t="s">
        <v>124</v>
      </c>
      <c r="CW458" s="4" t="s">
        <v>124</v>
      </c>
      <c r="CX458" s="4" t="s">
        <v>124</v>
      </c>
      <c r="CY458" s="4" t="s">
        <v>124</v>
      </c>
      <c r="CZ458" s="4" t="s">
        <v>124</v>
      </c>
      <c r="DA458" s="7">
        <v>15.314097</v>
      </c>
      <c r="DB458" s="7">
        <v>17.400950000000002</v>
      </c>
      <c r="DC458" s="7">
        <v>16.332519999999999</v>
      </c>
      <c r="DD458" s="4" t="s">
        <v>124</v>
      </c>
      <c r="DE458" s="7">
        <v>0</v>
      </c>
      <c r="DF458" s="6"/>
      <c r="DG458" s="6"/>
      <c r="DH458" s="4" t="s">
        <v>331</v>
      </c>
      <c r="DI458" s="4" t="s">
        <v>500</v>
      </c>
      <c r="DJ458" s="7">
        <v>0</v>
      </c>
      <c r="DK458" s="7">
        <v>1</v>
      </c>
      <c r="DL458" s="7">
        <v>0</v>
      </c>
      <c r="DM458" s="7">
        <v>0</v>
      </c>
      <c r="DN458" s="7">
        <v>0</v>
      </c>
      <c r="DO458" s="7">
        <v>0</v>
      </c>
      <c r="DP458" s="6"/>
      <c r="DQ458" s="4" t="s">
        <v>125</v>
      </c>
    </row>
    <row r="459" spans="1:121" ht="20" customHeight="1" x14ac:dyDescent="0.15">
      <c r="A459" s="5">
        <v>2018</v>
      </c>
      <c r="B459" s="3" t="s">
        <v>196</v>
      </c>
      <c r="C459" s="4" t="str">
        <f t="shared" si="206"/>
        <v>0570011</v>
      </c>
      <c r="D459" s="4" t="s">
        <v>612</v>
      </c>
      <c r="E459" s="4" t="str">
        <f>"0570611"</f>
        <v>0570611</v>
      </c>
      <c r="F459" s="4" t="s">
        <v>327</v>
      </c>
      <c r="G459" s="4" t="s">
        <v>328</v>
      </c>
      <c r="H459" s="7">
        <v>5</v>
      </c>
      <c r="I459" s="4" t="s">
        <v>335</v>
      </c>
      <c r="J459" s="4" t="s">
        <v>330</v>
      </c>
      <c r="K459" s="7">
        <v>744.09360000000004</v>
      </c>
      <c r="L459" s="7">
        <v>950</v>
      </c>
      <c r="M459" s="7">
        <v>78.325642000000002</v>
      </c>
      <c r="N459" s="7">
        <v>2</v>
      </c>
      <c r="O459" s="7">
        <v>0</v>
      </c>
      <c r="P459" s="7">
        <v>70.725333000000006</v>
      </c>
      <c r="Q459" s="7">
        <v>47.150221999999999</v>
      </c>
      <c r="R459" s="7">
        <v>50</v>
      </c>
      <c r="S459" s="7">
        <v>69.064265000000006</v>
      </c>
      <c r="T459" s="4" t="s">
        <v>124</v>
      </c>
      <c r="U459" s="7">
        <v>46.042842999999998</v>
      </c>
      <c r="V459" s="7">
        <v>50</v>
      </c>
      <c r="W459" s="7">
        <v>64.680875</v>
      </c>
      <c r="X459" s="7">
        <v>43.120583000000003</v>
      </c>
      <c r="Y459" s="7">
        <v>50</v>
      </c>
      <c r="Z459" s="4" t="s">
        <v>124</v>
      </c>
      <c r="AA459" s="7">
        <v>63.259988999999997</v>
      </c>
      <c r="AB459" s="7">
        <v>42.173326000000003</v>
      </c>
      <c r="AC459" s="7">
        <v>50</v>
      </c>
      <c r="AD459" s="7">
        <v>69.807692000000003</v>
      </c>
      <c r="AE459" s="7">
        <v>46.538462000000003</v>
      </c>
      <c r="AF459" s="7">
        <v>50</v>
      </c>
      <c r="AG459" s="7">
        <v>68.523296999999999</v>
      </c>
      <c r="AH459" s="4" t="s">
        <v>124</v>
      </c>
      <c r="AI459" s="7">
        <v>45.682198</v>
      </c>
      <c r="AJ459" s="7">
        <v>50</v>
      </c>
      <c r="AK459" s="4" t="s">
        <v>124</v>
      </c>
      <c r="AL459" s="4" t="s">
        <v>124</v>
      </c>
      <c r="AM459" s="4" t="s">
        <v>124</v>
      </c>
      <c r="AN459" s="7">
        <v>0.62271399999999999</v>
      </c>
      <c r="AO459" s="7">
        <v>62.271438000000003</v>
      </c>
      <c r="AP459" s="7">
        <v>100</v>
      </c>
      <c r="AQ459" s="7">
        <v>0.65529400000000004</v>
      </c>
      <c r="AR459" s="7">
        <v>65.529427999999996</v>
      </c>
      <c r="AS459" s="7">
        <v>100</v>
      </c>
      <c r="AT459" s="7">
        <v>0.60410399999999997</v>
      </c>
      <c r="AU459" s="4" t="s">
        <v>124</v>
      </c>
      <c r="AV459" s="7">
        <v>60.410362999999997</v>
      </c>
      <c r="AW459" s="7">
        <v>100</v>
      </c>
      <c r="AX459" s="7">
        <v>0.62226800000000004</v>
      </c>
      <c r="AY459" s="4" t="s">
        <v>124</v>
      </c>
      <c r="AZ459" s="7">
        <v>62.226804999999999</v>
      </c>
      <c r="BA459" s="7">
        <v>100</v>
      </c>
      <c r="BB459" s="7">
        <v>0.82981899999999997</v>
      </c>
      <c r="BC459" s="7">
        <v>41.490958999999997</v>
      </c>
      <c r="BD459" s="7">
        <v>50</v>
      </c>
      <c r="BE459" s="7">
        <v>0.67675799999999997</v>
      </c>
      <c r="BF459" s="7">
        <v>33.837924000000001</v>
      </c>
      <c r="BG459" s="7">
        <v>50</v>
      </c>
      <c r="BH459" s="7">
        <v>0</v>
      </c>
      <c r="BI459" s="7">
        <v>0.98581600000000003</v>
      </c>
      <c r="BJ459" s="7">
        <v>0.98360700000000001</v>
      </c>
      <c r="BK459" s="4" t="s">
        <v>124</v>
      </c>
      <c r="BL459" s="7">
        <v>0.98581600000000003</v>
      </c>
      <c r="BM459" s="7">
        <v>0.98360700000000001</v>
      </c>
      <c r="BN459" s="4" t="s">
        <v>124</v>
      </c>
      <c r="BO459" s="7">
        <v>1</v>
      </c>
      <c r="BP459" s="7">
        <v>1</v>
      </c>
      <c r="BQ459" s="4" t="s">
        <v>124</v>
      </c>
      <c r="BR459" s="7">
        <v>1.6598000000000002E-2</v>
      </c>
      <c r="BS459" s="7">
        <v>50</v>
      </c>
      <c r="BT459" s="7">
        <v>50</v>
      </c>
      <c r="BU459" s="7">
        <v>0.02</v>
      </c>
      <c r="BV459" s="7">
        <v>50</v>
      </c>
      <c r="BW459" s="7">
        <v>50</v>
      </c>
      <c r="BX459" s="4" t="s">
        <v>124</v>
      </c>
      <c r="BY459" s="4" t="s">
        <v>124</v>
      </c>
      <c r="BZ459" s="4" t="s">
        <v>124</v>
      </c>
      <c r="CA459" s="4" t="s">
        <v>124</v>
      </c>
      <c r="CB459" s="4" t="s">
        <v>124</v>
      </c>
      <c r="CC459" s="4" t="s">
        <v>124</v>
      </c>
      <c r="CD459" s="4" t="s">
        <v>124</v>
      </c>
      <c r="CE459" s="4" t="s">
        <v>124</v>
      </c>
      <c r="CF459" s="4" t="s">
        <v>124</v>
      </c>
      <c r="CG459" s="4" t="s">
        <v>124</v>
      </c>
      <c r="CH459" s="4" t="s">
        <v>124</v>
      </c>
      <c r="CI459" s="4" t="s">
        <v>124</v>
      </c>
      <c r="CJ459" s="4" t="s">
        <v>124</v>
      </c>
      <c r="CK459" s="4" t="s">
        <v>124</v>
      </c>
      <c r="CL459" s="4" t="s">
        <v>124</v>
      </c>
      <c r="CM459" s="4" t="s">
        <v>124</v>
      </c>
      <c r="CN459" s="4" t="s">
        <v>124</v>
      </c>
      <c r="CO459" s="4" t="s">
        <v>124</v>
      </c>
      <c r="CP459" s="4" t="s">
        <v>124</v>
      </c>
      <c r="CQ459" s="7">
        <v>0.71428599999999998</v>
      </c>
      <c r="CR459" s="7">
        <v>0.95454499999999998</v>
      </c>
      <c r="CS459" s="7">
        <v>47.619047999999999</v>
      </c>
      <c r="CT459" s="7">
        <v>50</v>
      </c>
      <c r="CU459" s="4" t="s">
        <v>124</v>
      </c>
      <c r="CV459" s="4" t="s">
        <v>124</v>
      </c>
      <c r="CW459" s="4" t="s">
        <v>124</v>
      </c>
      <c r="CX459" s="4" t="s">
        <v>124</v>
      </c>
      <c r="CY459" s="4" t="s">
        <v>124</v>
      </c>
      <c r="CZ459" s="4" t="s">
        <v>124</v>
      </c>
      <c r="DA459" s="7">
        <v>15.314097</v>
      </c>
      <c r="DB459" s="7">
        <v>17.400950000000002</v>
      </c>
      <c r="DC459" s="7">
        <v>16.332519999999999</v>
      </c>
      <c r="DD459" s="4" t="s">
        <v>124</v>
      </c>
      <c r="DE459" s="7">
        <v>0</v>
      </c>
      <c r="DF459" s="6"/>
      <c r="DG459" s="6"/>
      <c r="DH459" s="6"/>
      <c r="DI459" s="6"/>
      <c r="DJ459" s="7">
        <v>0</v>
      </c>
      <c r="DK459" s="7">
        <v>0</v>
      </c>
      <c r="DL459" s="7">
        <v>0</v>
      </c>
      <c r="DM459" s="7">
        <v>0</v>
      </c>
      <c r="DN459" s="7">
        <v>0</v>
      </c>
      <c r="DO459" s="7">
        <v>0</v>
      </c>
      <c r="DP459" s="6"/>
      <c r="DQ459" s="4" t="s">
        <v>125</v>
      </c>
    </row>
    <row r="460" spans="1:121" ht="20" customHeight="1" x14ac:dyDescent="0.15">
      <c r="A460" s="5">
        <v>2018</v>
      </c>
      <c r="B460" s="3" t="s">
        <v>196</v>
      </c>
      <c r="C460" s="4" t="str">
        <f t="shared" si="206"/>
        <v>0570011</v>
      </c>
      <c r="D460" s="4" t="s">
        <v>613</v>
      </c>
      <c r="E460" s="4" t="str">
        <f>"0570711"</f>
        <v>0570711</v>
      </c>
      <c r="F460" s="4" t="s">
        <v>327</v>
      </c>
      <c r="G460" s="4" t="s">
        <v>338</v>
      </c>
      <c r="H460" s="7">
        <v>5</v>
      </c>
      <c r="I460" s="6"/>
      <c r="J460" s="4" t="s">
        <v>330</v>
      </c>
      <c r="K460" s="7">
        <v>746.39474099999995</v>
      </c>
      <c r="L460" s="7">
        <v>800</v>
      </c>
      <c r="M460" s="7">
        <v>93.299342999999993</v>
      </c>
      <c r="N460" s="7">
        <v>1</v>
      </c>
      <c r="O460" s="7">
        <v>0</v>
      </c>
      <c r="P460" s="7">
        <v>87.479138000000006</v>
      </c>
      <c r="Q460" s="7">
        <v>50</v>
      </c>
      <c r="R460" s="7">
        <v>50</v>
      </c>
      <c r="S460" s="7">
        <v>76.484886000000003</v>
      </c>
      <c r="T460" s="7">
        <v>75</v>
      </c>
      <c r="U460" s="7">
        <v>50</v>
      </c>
      <c r="V460" s="7">
        <v>50</v>
      </c>
      <c r="W460" s="7">
        <v>86.480177999999995</v>
      </c>
      <c r="X460" s="7">
        <v>50</v>
      </c>
      <c r="Y460" s="7">
        <v>50</v>
      </c>
      <c r="Z460" s="7">
        <v>75</v>
      </c>
      <c r="AA460" s="7">
        <v>76.514021</v>
      </c>
      <c r="AB460" s="7">
        <v>50</v>
      </c>
      <c r="AC460" s="7">
        <v>50</v>
      </c>
      <c r="AD460" s="7">
        <v>86.225806000000006</v>
      </c>
      <c r="AE460" s="7">
        <v>50</v>
      </c>
      <c r="AF460" s="7">
        <v>50</v>
      </c>
      <c r="AG460" s="4" t="s">
        <v>124</v>
      </c>
      <c r="AH460" s="7">
        <v>75</v>
      </c>
      <c r="AI460" s="4" t="s">
        <v>124</v>
      </c>
      <c r="AJ460" s="4" t="s">
        <v>124</v>
      </c>
      <c r="AK460" s="7">
        <v>-1.48</v>
      </c>
      <c r="AL460" s="7">
        <v>-1.51</v>
      </c>
      <c r="AM460" s="4" t="s">
        <v>124</v>
      </c>
      <c r="AN460" s="7">
        <v>0.83658299999999997</v>
      </c>
      <c r="AO460" s="7">
        <v>83.658277999999996</v>
      </c>
      <c r="AP460" s="7">
        <v>100</v>
      </c>
      <c r="AQ460" s="7">
        <v>0.918929</v>
      </c>
      <c r="AR460" s="7">
        <v>91.892865</v>
      </c>
      <c r="AS460" s="7">
        <v>100</v>
      </c>
      <c r="AT460" s="7">
        <v>0.78712800000000005</v>
      </c>
      <c r="AU460" s="7">
        <v>0.84624200000000005</v>
      </c>
      <c r="AV460" s="7">
        <v>78.712828999999999</v>
      </c>
      <c r="AW460" s="7">
        <v>100</v>
      </c>
      <c r="AX460" s="7">
        <v>0.92888300000000001</v>
      </c>
      <c r="AY460" s="7">
        <v>0.91695300000000002</v>
      </c>
      <c r="AZ460" s="7">
        <v>92.888344000000004</v>
      </c>
      <c r="BA460" s="7">
        <v>100</v>
      </c>
      <c r="BB460" s="4" t="s">
        <v>124</v>
      </c>
      <c r="BC460" s="4" t="s">
        <v>124</v>
      </c>
      <c r="BD460" s="4" t="s">
        <v>124</v>
      </c>
      <c r="BE460" s="4" t="s">
        <v>124</v>
      </c>
      <c r="BF460" s="4" t="s">
        <v>124</v>
      </c>
      <c r="BG460" s="4" t="s">
        <v>124</v>
      </c>
      <c r="BH460" s="7">
        <v>0</v>
      </c>
      <c r="BI460" s="7">
        <v>1</v>
      </c>
      <c r="BJ460" s="7">
        <v>1</v>
      </c>
      <c r="BK460" s="7">
        <v>1</v>
      </c>
      <c r="BL460" s="7">
        <v>0.99601600000000001</v>
      </c>
      <c r="BM460" s="7">
        <v>1</v>
      </c>
      <c r="BN460" s="7">
        <v>0.994475</v>
      </c>
      <c r="BO460" s="7">
        <v>0.98666699999999996</v>
      </c>
      <c r="BP460" s="7">
        <v>1</v>
      </c>
      <c r="BQ460" s="7">
        <v>0.98181799999999997</v>
      </c>
      <c r="BR460" s="7">
        <v>1.2024E-2</v>
      </c>
      <c r="BS460" s="7">
        <v>50</v>
      </c>
      <c r="BT460" s="7">
        <v>50</v>
      </c>
      <c r="BU460" s="7">
        <v>3.0303E-2</v>
      </c>
      <c r="BV460" s="7">
        <v>50</v>
      </c>
      <c r="BW460" s="7">
        <v>50</v>
      </c>
      <c r="BX460" s="4" t="s">
        <v>124</v>
      </c>
      <c r="BY460" s="4" t="s">
        <v>124</v>
      </c>
      <c r="BZ460" s="4" t="s">
        <v>124</v>
      </c>
      <c r="CA460" s="4" t="s">
        <v>124</v>
      </c>
      <c r="CB460" s="4" t="s">
        <v>124</v>
      </c>
      <c r="CC460" s="4" t="s">
        <v>124</v>
      </c>
      <c r="CD460" s="4" t="s">
        <v>124</v>
      </c>
      <c r="CE460" s="4" t="s">
        <v>124</v>
      </c>
      <c r="CF460" s="4" t="s">
        <v>124</v>
      </c>
      <c r="CG460" s="4" t="s">
        <v>124</v>
      </c>
      <c r="CH460" s="4" t="s">
        <v>124</v>
      </c>
      <c r="CI460" s="4" t="s">
        <v>124</v>
      </c>
      <c r="CJ460" s="4" t="s">
        <v>124</v>
      </c>
      <c r="CK460" s="4" t="s">
        <v>124</v>
      </c>
      <c r="CL460" s="4" t="s">
        <v>124</v>
      </c>
      <c r="CM460" s="4" t="s">
        <v>124</v>
      </c>
      <c r="CN460" s="4" t="s">
        <v>124</v>
      </c>
      <c r="CO460" s="4" t="s">
        <v>124</v>
      </c>
      <c r="CP460" s="4" t="s">
        <v>124</v>
      </c>
      <c r="CQ460" s="7">
        <v>0.73863599999999996</v>
      </c>
      <c r="CR460" s="7">
        <v>1</v>
      </c>
      <c r="CS460" s="7">
        <v>49.242424</v>
      </c>
      <c r="CT460" s="7">
        <v>50</v>
      </c>
      <c r="CU460" s="4" t="s">
        <v>124</v>
      </c>
      <c r="CV460" s="4" t="s">
        <v>124</v>
      </c>
      <c r="CW460" s="4" t="s">
        <v>124</v>
      </c>
      <c r="CX460" s="4" t="s">
        <v>124</v>
      </c>
      <c r="CY460" s="4" t="s">
        <v>124</v>
      </c>
      <c r="CZ460" s="4" t="s">
        <v>124</v>
      </c>
      <c r="DA460" s="7">
        <v>15.314097</v>
      </c>
      <c r="DB460" s="7">
        <v>17.400950000000002</v>
      </c>
      <c r="DC460" s="7">
        <v>16.332519999999999</v>
      </c>
      <c r="DD460" s="4" t="s">
        <v>124</v>
      </c>
      <c r="DE460" s="7">
        <v>0</v>
      </c>
      <c r="DF460" s="6"/>
      <c r="DG460" s="6"/>
      <c r="DH460" s="4" t="s">
        <v>331</v>
      </c>
      <c r="DI460" s="4" t="s">
        <v>614</v>
      </c>
      <c r="DJ460" s="7">
        <v>1</v>
      </c>
      <c r="DK460" s="7">
        <v>1</v>
      </c>
      <c r="DL460" s="7">
        <v>1</v>
      </c>
      <c r="DM460" s="7">
        <v>1</v>
      </c>
      <c r="DN460" s="7">
        <v>1</v>
      </c>
      <c r="DO460" s="7">
        <v>0</v>
      </c>
      <c r="DP460" s="6"/>
      <c r="DQ460" s="4" t="s">
        <v>125</v>
      </c>
    </row>
    <row r="461" spans="1:121" ht="20" customHeight="1" x14ac:dyDescent="0.15">
      <c r="A461" s="5">
        <v>2018</v>
      </c>
      <c r="B461" s="3" t="s">
        <v>196</v>
      </c>
      <c r="C461" s="4" t="str">
        <f t="shared" si="206"/>
        <v>0570011</v>
      </c>
      <c r="D461" s="4" t="s">
        <v>615</v>
      </c>
      <c r="E461" s="4" t="str">
        <f>"0570811"</f>
        <v>0570811</v>
      </c>
      <c r="F461" s="4" t="s">
        <v>327</v>
      </c>
      <c r="G461" s="4" t="s">
        <v>328</v>
      </c>
      <c r="H461" s="7">
        <v>5</v>
      </c>
      <c r="I461" s="6"/>
      <c r="J461" s="4" t="s">
        <v>330</v>
      </c>
      <c r="K461" s="7">
        <v>536.62338099999999</v>
      </c>
      <c r="L461" s="7">
        <v>600</v>
      </c>
      <c r="M461" s="7">
        <v>89.43723</v>
      </c>
      <c r="N461" s="7">
        <v>1</v>
      </c>
      <c r="O461" s="7">
        <v>0</v>
      </c>
      <c r="P461" s="7">
        <v>85.482037000000005</v>
      </c>
      <c r="Q461" s="7">
        <v>50</v>
      </c>
      <c r="R461" s="7">
        <v>50</v>
      </c>
      <c r="S461" s="7">
        <v>66.859938999999997</v>
      </c>
      <c r="T461" s="7">
        <v>75</v>
      </c>
      <c r="U461" s="7">
        <v>44.573293</v>
      </c>
      <c r="V461" s="7">
        <v>50</v>
      </c>
      <c r="W461" s="7">
        <v>83.303683000000007</v>
      </c>
      <c r="X461" s="7">
        <v>50</v>
      </c>
      <c r="Y461" s="7">
        <v>50</v>
      </c>
      <c r="Z461" s="7">
        <v>75</v>
      </c>
      <c r="AA461" s="7">
        <v>65.575781000000006</v>
      </c>
      <c r="AB461" s="7">
        <v>43.717187000000003</v>
      </c>
      <c r="AC461" s="7">
        <v>50</v>
      </c>
      <c r="AD461" s="7">
        <v>81.553763000000004</v>
      </c>
      <c r="AE461" s="7">
        <v>50</v>
      </c>
      <c r="AF461" s="7">
        <v>50</v>
      </c>
      <c r="AG461" s="4" t="s">
        <v>124</v>
      </c>
      <c r="AH461" s="7">
        <v>75</v>
      </c>
      <c r="AI461" s="4" t="s">
        <v>124</v>
      </c>
      <c r="AJ461" s="4" t="s">
        <v>124</v>
      </c>
      <c r="AK461" s="7">
        <v>8.14</v>
      </c>
      <c r="AL461" s="7">
        <v>9.42</v>
      </c>
      <c r="AM461" s="4" t="s">
        <v>124</v>
      </c>
      <c r="AN461" s="7">
        <v>0.73233000000000004</v>
      </c>
      <c r="AO461" s="7">
        <v>73.232979</v>
      </c>
      <c r="AP461" s="7">
        <v>100</v>
      </c>
      <c r="AQ461" s="7">
        <v>0.78151599999999999</v>
      </c>
      <c r="AR461" s="7">
        <v>78.151565000000005</v>
      </c>
      <c r="AS461" s="7">
        <v>100</v>
      </c>
      <c r="AT461" s="4" t="s">
        <v>124</v>
      </c>
      <c r="AU461" s="7">
        <v>0.74791399999999997</v>
      </c>
      <c r="AV461" s="4" t="s">
        <v>124</v>
      </c>
      <c r="AW461" s="4" t="s">
        <v>124</v>
      </c>
      <c r="AX461" s="4" t="s">
        <v>124</v>
      </c>
      <c r="AY461" s="7">
        <v>0.77467200000000003</v>
      </c>
      <c r="AZ461" s="4" t="s">
        <v>124</v>
      </c>
      <c r="BA461" s="4" t="s">
        <v>124</v>
      </c>
      <c r="BB461" s="4" t="s">
        <v>124</v>
      </c>
      <c r="BC461" s="4" t="s">
        <v>124</v>
      </c>
      <c r="BD461" s="4" t="s">
        <v>124</v>
      </c>
      <c r="BE461" s="4" t="s">
        <v>124</v>
      </c>
      <c r="BF461" s="4" t="s">
        <v>124</v>
      </c>
      <c r="BG461" s="4" t="s">
        <v>124</v>
      </c>
      <c r="BH461" s="7">
        <v>0</v>
      </c>
      <c r="BI461" s="7">
        <v>0.99470899999999995</v>
      </c>
      <c r="BJ461" s="7">
        <v>1</v>
      </c>
      <c r="BK461" s="7">
        <v>0.993865</v>
      </c>
      <c r="BL461" s="7">
        <v>0.99470899999999995</v>
      </c>
      <c r="BM461" s="7">
        <v>1</v>
      </c>
      <c r="BN461" s="7">
        <v>0.993865</v>
      </c>
      <c r="BO461" s="7">
        <v>0.98412699999999997</v>
      </c>
      <c r="BP461" s="4" t="s">
        <v>124</v>
      </c>
      <c r="BQ461" s="7">
        <v>1</v>
      </c>
      <c r="BR461" s="7">
        <v>2.1277000000000001E-2</v>
      </c>
      <c r="BS461" s="7">
        <v>50</v>
      </c>
      <c r="BT461" s="7">
        <v>50</v>
      </c>
      <c r="BU461" s="7">
        <v>3.6364E-2</v>
      </c>
      <c r="BV461" s="7">
        <v>50</v>
      </c>
      <c r="BW461" s="7">
        <v>50</v>
      </c>
      <c r="BX461" s="4" t="s">
        <v>124</v>
      </c>
      <c r="BY461" s="4" t="s">
        <v>124</v>
      </c>
      <c r="BZ461" s="4" t="s">
        <v>124</v>
      </c>
      <c r="CA461" s="4" t="s">
        <v>124</v>
      </c>
      <c r="CB461" s="4" t="s">
        <v>124</v>
      </c>
      <c r="CC461" s="4" t="s">
        <v>124</v>
      </c>
      <c r="CD461" s="4" t="s">
        <v>124</v>
      </c>
      <c r="CE461" s="4" t="s">
        <v>124</v>
      </c>
      <c r="CF461" s="4" t="s">
        <v>124</v>
      </c>
      <c r="CG461" s="4" t="s">
        <v>124</v>
      </c>
      <c r="CH461" s="4" t="s">
        <v>124</v>
      </c>
      <c r="CI461" s="4" t="s">
        <v>124</v>
      </c>
      <c r="CJ461" s="4" t="s">
        <v>124</v>
      </c>
      <c r="CK461" s="4" t="s">
        <v>124</v>
      </c>
      <c r="CL461" s="4" t="s">
        <v>124</v>
      </c>
      <c r="CM461" s="4" t="s">
        <v>124</v>
      </c>
      <c r="CN461" s="4" t="s">
        <v>124</v>
      </c>
      <c r="CO461" s="4" t="s">
        <v>124</v>
      </c>
      <c r="CP461" s="4" t="s">
        <v>124</v>
      </c>
      <c r="CQ461" s="7">
        <v>0.70422499999999999</v>
      </c>
      <c r="CR461" s="7">
        <v>1</v>
      </c>
      <c r="CS461" s="7">
        <v>46.948357000000001</v>
      </c>
      <c r="CT461" s="7">
        <v>50</v>
      </c>
      <c r="CU461" s="4" t="s">
        <v>124</v>
      </c>
      <c r="CV461" s="4" t="s">
        <v>124</v>
      </c>
      <c r="CW461" s="4" t="s">
        <v>124</v>
      </c>
      <c r="CX461" s="4" t="s">
        <v>124</v>
      </c>
      <c r="CY461" s="4" t="s">
        <v>124</v>
      </c>
      <c r="CZ461" s="4" t="s">
        <v>124</v>
      </c>
      <c r="DA461" s="7">
        <v>15.314097</v>
      </c>
      <c r="DB461" s="7">
        <v>17.400950000000002</v>
      </c>
      <c r="DC461" s="7">
        <v>16.332519999999999</v>
      </c>
      <c r="DD461" s="4" t="s">
        <v>124</v>
      </c>
      <c r="DE461" s="7">
        <v>0</v>
      </c>
      <c r="DF461" s="6"/>
      <c r="DG461" s="6"/>
      <c r="DH461" s="4" t="s">
        <v>331</v>
      </c>
      <c r="DI461" s="4" t="s">
        <v>332</v>
      </c>
      <c r="DJ461" s="7">
        <v>1</v>
      </c>
      <c r="DK461" s="7">
        <v>0</v>
      </c>
      <c r="DL461" s="7">
        <v>0</v>
      </c>
      <c r="DM461" s="7">
        <v>0</v>
      </c>
      <c r="DN461" s="7">
        <v>0</v>
      </c>
      <c r="DO461" s="7">
        <v>0</v>
      </c>
      <c r="DP461" s="6"/>
      <c r="DQ461" s="4" t="s">
        <v>125</v>
      </c>
    </row>
    <row r="462" spans="1:121" ht="20" customHeight="1" x14ac:dyDescent="0.15">
      <c r="A462" s="5">
        <v>2018</v>
      </c>
      <c r="B462" s="3" t="s">
        <v>196</v>
      </c>
      <c r="C462" s="4" t="str">
        <f t="shared" si="206"/>
        <v>0570011</v>
      </c>
      <c r="D462" s="4" t="s">
        <v>616</v>
      </c>
      <c r="E462" s="4" t="str">
        <f>"0570911"</f>
        <v>0570911</v>
      </c>
      <c r="F462" s="4" t="s">
        <v>327</v>
      </c>
      <c r="G462" s="4" t="s">
        <v>328</v>
      </c>
      <c r="H462" s="7">
        <v>5</v>
      </c>
      <c r="I462" s="6"/>
      <c r="J462" s="4" t="s">
        <v>330</v>
      </c>
      <c r="K462" s="7">
        <v>650.19730600000003</v>
      </c>
      <c r="L462" s="7">
        <v>800</v>
      </c>
      <c r="M462" s="7">
        <v>81.274663000000004</v>
      </c>
      <c r="N462" s="7">
        <v>2</v>
      </c>
      <c r="O462" s="7">
        <v>0</v>
      </c>
      <c r="P462" s="7">
        <v>84.693717000000007</v>
      </c>
      <c r="Q462" s="7">
        <v>50</v>
      </c>
      <c r="R462" s="7">
        <v>50</v>
      </c>
      <c r="S462" s="7">
        <v>68.245705999999998</v>
      </c>
      <c r="T462" s="7">
        <v>75</v>
      </c>
      <c r="U462" s="7">
        <v>45.497138</v>
      </c>
      <c r="V462" s="7">
        <v>50</v>
      </c>
      <c r="W462" s="7">
        <v>82.608885999999998</v>
      </c>
      <c r="X462" s="7">
        <v>50</v>
      </c>
      <c r="Y462" s="7">
        <v>50</v>
      </c>
      <c r="Z462" s="7">
        <v>75</v>
      </c>
      <c r="AA462" s="7">
        <v>68.834525999999997</v>
      </c>
      <c r="AB462" s="7">
        <v>45.889684000000003</v>
      </c>
      <c r="AC462" s="7">
        <v>50</v>
      </c>
      <c r="AD462" s="7">
        <v>83.024866000000003</v>
      </c>
      <c r="AE462" s="7">
        <v>50</v>
      </c>
      <c r="AF462" s="7">
        <v>50</v>
      </c>
      <c r="AG462" s="4" t="s">
        <v>124</v>
      </c>
      <c r="AH462" s="7">
        <v>75</v>
      </c>
      <c r="AI462" s="4" t="s">
        <v>124</v>
      </c>
      <c r="AJ462" s="4" t="s">
        <v>124</v>
      </c>
      <c r="AK462" s="7">
        <v>6.75</v>
      </c>
      <c r="AL462" s="7">
        <v>6.16</v>
      </c>
      <c r="AM462" s="4" t="s">
        <v>124</v>
      </c>
      <c r="AN462" s="7">
        <v>0.66908999999999996</v>
      </c>
      <c r="AO462" s="7">
        <v>66.90898</v>
      </c>
      <c r="AP462" s="7">
        <v>100</v>
      </c>
      <c r="AQ462" s="7">
        <v>0.74981799999999998</v>
      </c>
      <c r="AR462" s="7">
        <v>74.981806000000006</v>
      </c>
      <c r="AS462" s="7">
        <v>100</v>
      </c>
      <c r="AT462" s="7">
        <v>0.53</v>
      </c>
      <c r="AU462" s="7">
        <v>0.69227099999999997</v>
      </c>
      <c r="AV462" s="7">
        <v>53.000041000000003</v>
      </c>
      <c r="AW462" s="7">
        <v>100</v>
      </c>
      <c r="AX462" s="7">
        <v>0.63919700000000002</v>
      </c>
      <c r="AY462" s="7">
        <v>0.76825500000000002</v>
      </c>
      <c r="AZ462" s="7">
        <v>63.919657000000001</v>
      </c>
      <c r="BA462" s="7">
        <v>100</v>
      </c>
      <c r="BB462" s="4" t="s">
        <v>124</v>
      </c>
      <c r="BC462" s="4" t="s">
        <v>124</v>
      </c>
      <c r="BD462" s="4" t="s">
        <v>124</v>
      </c>
      <c r="BE462" s="4" t="s">
        <v>124</v>
      </c>
      <c r="BF462" s="4" t="s">
        <v>124</v>
      </c>
      <c r="BG462" s="4" t="s">
        <v>124</v>
      </c>
      <c r="BH462" s="7">
        <v>0</v>
      </c>
      <c r="BI462" s="7">
        <v>0.99539200000000005</v>
      </c>
      <c r="BJ462" s="7">
        <v>0.97297299999999998</v>
      </c>
      <c r="BK462" s="7">
        <v>1</v>
      </c>
      <c r="BL462" s="7">
        <v>0.99539200000000005</v>
      </c>
      <c r="BM462" s="7">
        <v>0.97297299999999998</v>
      </c>
      <c r="BN462" s="7">
        <v>1</v>
      </c>
      <c r="BO462" s="7">
        <v>1</v>
      </c>
      <c r="BP462" s="4" t="s">
        <v>124</v>
      </c>
      <c r="BQ462" s="7">
        <v>1</v>
      </c>
      <c r="BR462" s="7">
        <v>3.4653000000000003E-2</v>
      </c>
      <c r="BS462" s="7">
        <v>50</v>
      </c>
      <c r="BT462" s="7">
        <v>50</v>
      </c>
      <c r="BU462" s="7">
        <v>3.3333000000000002E-2</v>
      </c>
      <c r="BV462" s="7">
        <v>50</v>
      </c>
      <c r="BW462" s="7">
        <v>50</v>
      </c>
      <c r="BX462" s="4" t="s">
        <v>124</v>
      </c>
      <c r="BY462" s="4" t="s">
        <v>124</v>
      </c>
      <c r="BZ462" s="4" t="s">
        <v>124</v>
      </c>
      <c r="CA462" s="4" t="s">
        <v>124</v>
      </c>
      <c r="CB462" s="4" t="s">
        <v>124</v>
      </c>
      <c r="CC462" s="4" t="s">
        <v>124</v>
      </c>
      <c r="CD462" s="4" t="s">
        <v>124</v>
      </c>
      <c r="CE462" s="4" t="s">
        <v>124</v>
      </c>
      <c r="CF462" s="4" t="s">
        <v>124</v>
      </c>
      <c r="CG462" s="4" t="s">
        <v>124</v>
      </c>
      <c r="CH462" s="4" t="s">
        <v>124</v>
      </c>
      <c r="CI462" s="4" t="s">
        <v>124</v>
      </c>
      <c r="CJ462" s="4" t="s">
        <v>124</v>
      </c>
      <c r="CK462" s="4" t="s">
        <v>124</v>
      </c>
      <c r="CL462" s="4" t="s">
        <v>124</v>
      </c>
      <c r="CM462" s="4" t="s">
        <v>124</v>
      </c>
      <c r="CN462" s="4" t="s">
        <v>124</v>
      </c>
      <c r="CO462" s="4" t="s">
        <v>124</v>
      </c>
      <c r="CP462" s="4" t="s">
        <v>124</v>
      </c>
      <c r="CQ462" s="7">
        <v>0.791045</v>
      </c>
      <c r="CR462" s="7">
        <v>1</v>
      </c>
      <c r="CS462" s="7">
        <v>50</v>
      </c>
      <c r="CT462" s="7">
        <v>50</v>
      </c>
      <c r="CU462" s="4" t="s">
        <v>124</v>
      </c>
      <c r="CV462" s="4" t="s">
        <v>124</v>
      </c>
      <c r="CW462" s="4" t="s">
        <v>124</v>
      </c>
      <c r="CX462" s="4" t="s">
        <v>124</v>
      </c>
      <c r="CY462" s="4" t="s">
        <v>124</v>
      </c>
      <c r="CZ462" s="4" t="s">
        <v>124</v>
      </c>
      <c r="DA462" s="7">
        <v>15.314097</v>
      </c>
      <c r="DB462" s="7">
        <v>17.400950000000002</v>
      </c>
      <c r="DC462" s="7">
        <v>16.332519999999999</v>
      </c>
      <c r="DD462" s="4" t="s">
        <v>124</v>
      </c>
      <c r="DE462" s="7">
        <v>0</v>
      </c>
      <c r="DF462" s="6"/>
      <c r="DG462" s="6"/>
      <c r="DH462" s="6"/>
      <c r="DI462" s="6"/>
      <c r="DJ462" s="7">
        <v>0</v>
      </c>
      <c r="DK462" s="7">
        <v>0</v>
      </c>
      <c r="DL462" s="7">
        <v>0</v>
      </c>
      <c r="DM462" s="7">
        <v>0</v>
      </c>
      <c r="DN462" s="7">
        <v>0</v>
      </c>
      <c r="DO462" s="7">
        <v>0</v>
      </c>
      <c r="DP462" s="6"/>
      <c r="DQ462" s="4" t="s">
        <v>125</v>
      </c>
    </row>
    <row r="463" spans="1:121" ht="20" customHeight="1" x14ac:dyDescent="0.15">
      <c r="A463" s="5">
        <v>2018</v>
      </c>
      <c r="B463" s="3" t="s">
        <v>196</v>
      </c>
      <c r="C463" s="4" t="str">
        <f t="shared" si="206"/>
        <v>0570011</v>
      </c>
      <c r="D463" s="4" t="s">
        <v>617</v>
      </c>
      <c r="E463" s="4" t="str">
        <f>"0571111"</f>
        <v>0571111</v>
      </c>
      <c r="F463" s="4" t="s">
        <v>327</v>
      </c>
      <c r="G463" s="4" t="s">
        <v>328</v>
      </c>
      <c r="H463" s="7">
        <v>5</v>
      </c>
      <c r="I463" s="6"/>
      <c r="J463" s="4" t="s">
        <v>330</v>
      </c>
      <c r="K463" s="7">
        <v>538.08287800000005</v>
      </c>
      <c r="L463" s="7">
        <v>600</v>
      </c>
      <c r="M463" s="7">
        <v>89.680480000000003</v>
      </c>
      <c r="N463" s="7">
        <v>1</v>
      </c>
      <c r="O463" s="7">
        <v>0</v>
      </c>
      <c r="P463" s="7">
        <v>82.705073999999996</v>
      </c>
      <c r="Q463" s="7">
        <v>50</v>
      </c>
      <c r="R463" s="7">
        <v>50</v>
      </c>
      <c r="S463" s="7">
        <v>69.153054999999995</v>
      </c>
      <c r="T463" s="7">
        <v>75</v>
      </c>
      <c r="U463" s="7">
        <v>46.102035999999998</v>
      </c>
      <c r="V463" s="7">
        <v>50</v>
      </c>
      <c r="W463" s="7">
        <v>85.045725000000004</v>
      </c>
      <c r="X463" s="7">
        <v>50</v>
      </c>
      <c r="Y463" s="7">
        <v>50</v>
      </c>
      <c r="Z463" s="7">
        <v>75</v>
      </c>
      <c r="AA463" s="7">
        <v>74.673581999999996</v>
      </c>
      <c r="AB463" s="7">
        <v>49.782387999999997</v>
      </c>
      <c r="AC463" s="7">
        <v>50</v>
      </c>
      <c r="AD463" s="7">
        <v>78.130291999999997</v>
      </c>
      <c r="AE463" s="7">
        <v>50</v>
      </c>
      <c r="AF463" s="7">
        <v>50</v>
      </c>
      <c r="AG463" s="4" t="s">
        <v>124</v>
      </c>
      <c r="AH463" s="7">
        <v>75</v>
      </c>
      <c r="AI463" s="4" t="s">
        <v>124</v>
      </c>
      <c r="AJ463" s="4" t="s">
        <v>124</v>
      </c>
      <c r="AK463" s="7">
        <v>5.84</v>
      </c>
      <c r="AL463" s="7">
        <v>0.32</v>
      </c>
      <c r="AM463" s="4" t="s">
        <v>124</v>
      </c>
      <c r="AN463" s="7">
        <v>0.65097400000000005</v>
      </c>
      <c r="AO463" s="7">
        <v>65.097367000000006</v>
      </c>
      <c r="AP463" s="7">
        <v>100</v>
      </c>
      <c r="AQ463" s="7">
        <v>0.92632999999999999</v>
      </c>
      <c r="AR463" s="7">
        <v>92.633000999999993</v>
      </c>
      <c r="AS463" s="7">
        <v>100</v>
      </c>
      <c r="AT463" s="4" t="s">
        <v>124</v>
      </c>
      <c r="AU463" s="7">
        <v>0.66543399999999997</v>
      </c>
      <c r="AV463" s="4" t="s">
        <v>124</v>
      </c>
      <c r="AW463" s="4" t="s">
        <v>124</v>
      </c>
      <c r="AX463" s="4" t="s">
        <v>124</v>
      </c>
      <c r="AY463" s="7">
        <v>0.92064999999999997</v>
      </c>
      <c r="AZ463" s="4" t="s">
        <v>124</v>
      </c>
      <c r="BA463" s="4" t="s">
        <v>124</v>
      </c>
      <c r="BB463" s="4" t="s">
        <v>124</v>
      </c>
      <c r="BC463" s="4" t="s">
        <v>124</v>
      </c>
      <c r="BD463" s="4" t="s">
        <v>124</v>
      </c>
      <c r="BE463" s="4" t="s">
        <v>124</v>
      </c>
      <c r="BF463" s="4" t="s">
        <v>124</v>
      </c>
      <c r="BG463" s="4" t="s">
        <v>124</v>
      </c>
      <c r="BH463" s="7">
        <v>0</v>
      </c>
      <c r="BI463" s="7">
        <v>0.99137900000000001</v>
      </c>
      <c r="BJ463" s="7">
        <v>1</v>
      </c>
      <c r="BK463" s="7">
        <v>0.98901099999999997</v>
      </c>
      <c r="BL463" s="7">
        <v>0.98275900000000005</v>
      </c>
      <c r="BM463" s="7">
        <v>1</v>
      </c>
      <c r="BN463" s="7">
        <v>0.97802199999999995</v>
      </c>
      <c r="BO463" s="7">
        <v>1</v>
      </c>
      <c r="BP463" s="4" t="s">
        <v>124</v>
      </c>
      <c r="BQ463" s="7">
        <v>1</v>
      </c>
      <c r="BR463" s="7">
        <v>4.9549999999999997E-2</v>
      </c>
      <c r="BS463" s="7">
        <v>50</v>
      </c>
      <c r="BT463" s="7">
        <v>50</v>
      </c>
      <c r="BU463" s="7">
        <v>0.12766</v>
      </c>
      <c r="BV463" s="7">
        <v>34.468085000000002</v>
      </c>
      <c r="BW463" s="7">
        <v>50</v>
      </c>
      <c r="BX463" s="4" t="s">
        <v>124</v>
      </c>
      <c r="BY463" s="4" t="s">
        <v>124</v>
      </c>
      <c r="BZ463" s="4" t="s">
        <v>124</v>
      </c>
      <c r="CA463" s="4" t="s">
        <v>124</v>
      </c>
      <c r="CB463" s="4" t="s">
        <v>124</v>
      </c>
      <c r="CC463" s="4" t="s">
        <v>124</v>
      </c>
      <c r="CD463" s="4" t="s">
        <v>124</v>
      </c>
      <c r="CE463" s="4" t="s">
        <v>124</v>
      </c>
      <c r="CF463" s="4" t="s">
        <v>124</v>
      </c>
      <c r="CG463" s="4" t="s">
        <v>124</v>
      </c>
      <c r="CH463" s="4" t="s">
        <v>124</v>
      </c>
      <c r="CI463" s="4" t="s">
        <v>124</v>
      </c>
      <c r="CJ463" s="4" t="s">
        <v>124</v>
      </c>
      <c r="CK463" s="4" t="s">
        <v>124</v>
      </c>
      <c r="CL463" s="4" t="s">
        <v>124</v>
      </c>
      <c r="CM463" s="4" t="s">
        <v>124</v>
      </c>
      <c r="CN463" s="4" t="s">
        <v>124</v>
      </c>
      <c r="CO463" s="4" t="s">
        <v>124</v>
      </c>
      <c r="CP463" s="4" t="s">
        <v>124</v>
      </c>
      <c r="CQ463" s="7">
        <v>0.8</v>
      </c>
      <c r="CR463" s="7">
        <v>1</v>
      </c>
      <c r="CS463" s="7">
        <v>50</v>
      </c>
      <c r="CT463" s="7">
        <v>50</v>
      </c>
      <c r="CU463" s="4" t="s">
        <v>124</v>
      </c>
      <c r="CV463" s="4" t="s">
        <v>124</v>
      </c>
      <c r="CW463" s="4" t="s">
        <v>124</v>
      </c>
      <c r="CX463" s="4" t="s">
        <v>124</v>
      </c>
      <c r="CY463" s="4" t="s">
        <v>124</v>
      </c>
      <c r="CZ463" s="4" t="s">
        <v>124</v>
      </c>
      <c r="DA463" s="7">
        <v>15.314097</v>
      </c>
      <c r="DB463" s="7">
        <v>17.400950000000002</v>
      </c>
      <c r="DC463" s="7">
        <v>16.332519999999999</v>
      </c>
      <c r="DD463" s="4" t="s">
        <v>124</v>
      </c>
      <c r="DE463" s="7">
        <v>0</v>
      </c>
      <c r="DF463" s="6"/>
      <c r="DG463" s="6"/>
      <c r="DH463" s="4" t="s">
        <v>331</v>
      </c>
      <c r="DI463" s="4" t="s">
        <v>545</v>
      </c>
      <c r="DJ463" s="7">
        <v>1</v>
      </c>
      <c r="DK463" s="7">
        <v>0</v>
      </c>
      <c r="DL463" s="7">
        <v>1</v>
      </c>
      <c r="DM463" s="7">
        <v>0</v>
      </c>
      <c r="DN463" s="7">
        <v>0</v>
      </c>
      <c r="DO463" s="7">
        <v>0</v>
      </c>
      <c r="DP463" s="6"/>
      <c r="DQ463" s="4" t="s">
        <v>125</v>
      </c>
    </row>
    <row r="464" spans="1:121" ht="20" customHeight="1" x14ac:dyDescent="0.15">
      <c r="A464" s="5">
        <v>2018</v>
      </c>
      <c r="B464" s="3" t="s">
        <v>196</v>
      </c>
      <c r="C464" s="4" t="str">
        <f t="shared" si="206"/>
        <v>0570011</v>
      </c>
      <c r="D464" s="4" t="s">
        <v>618</v>
      </c>
      <c r="E464" s="4" t="str">
        <f>"0571011"</f>
        <v>0571011</v>
      </c>
      <c r="F464" s="4" t="s">
        <v>327</v>
      </c>
      <c r="G464" s="4" t="s">
        <v>338</v>
      </c>
      <c r="H464" s="7">
        <v>5</v>
      </c>
      <c r="I464" s="6"/>
      <c r="J464" s="4" t="s">
        <v>330</v>
      </c>
      <c r="K464" s="7">
        <v>736.52008999999998</v>
      </c>
      <c r="L464" s="7">
        <v>800</v>
      </c>
      <c r="M464" s="7">
        <v>92.065010999999998</v>
      </c>
      <c r="N464" s="7">
        <v>1</v>
      </c>
      <c r="O464" s="7">
        <v>0</v>
      </c>
      <c r="P464" s="7">
        <v>90.334360000000004</v>
      </c>
      <c r="Q464" s="7">
        <v>50</v>
      </c>
      <c r="R464" s="7">
        <v>50</v>
      </c>
      <c r="S464" s="7">
        <v>80.881190000000004</v>
      </c>
      <c r="T464" s="7">
        <v>75</v>
      </c>
      <c r="U464" s="7">
        <v>50</v>
      </c>
      <c r="V464" s="7">
        <v>50</v>
      </c>
      <c r="W464" s="7">
        <v>87.849582999999996</v>
      </c>
      <c r="X464" s="7">
        <v>50</v>
      </c>
      <c r="Y464" s="7">
        <v>50</v>
      </c>
      <c r="Z464" s="7">
        <v>75</v>
      </c>
      <c r="AA464" s="7">
        <v>77.916331</v>
      </c>
      <c r="AB464" s="7">
        <v>50</v>
      </c>
      <c r="AC464" s="7">
        <v>50</v>
      </c>
      <c r="AD464" s="7">
        <v>87.883111999999997</v>
      </c>
      <c r="AE464" s="7">
        <v>50</v>
      </c>
      <c r="AF464" s="7">
        <v>50</v>
      </c>
      <c r="AG464" s="4" t="s">
        <v>124</v>
      </c>
      <c r="AH464" s="7">
        <v>75</v>
      </c>
      <c r="AI464" s="4" t="s">
        <v>124</v>
      </c>
      <c r="AJ464" s="4" t="s">
        <v>124</v>
      </c>
      <c r="AK464" s="7">
        <v>-5.88</v>
      </c>
      <c r="AL464" s="7">
        <v>-2.91</v>
      </c>
      <c r="AM464" s="4" t="s">
        <v>124</v>
      </c>
      <c r="AN464" s="7">
        <v>0.876776</v>
      </c>
      <c r="AO464" s="7">
        <v>87.677555999999996</v>
      </c>
      <c r="AP464" s="7">
        <v>100</v>
      </c>
      <c r="AQ464" s="7">
        <v>0.89231700000000003</v>
      </c>
      <c r="AR464" s="7">
        <v>89.231655000000003</v>
      </c>
      <c r="AS464" s="7">
        <v>100</v>
      </c>
      <c r="AT464" s="7">
        <v>0.77877099999999999</v>
      </c>
      <c r="AU464" s="7">
        <v>0.89185300000000001</v>
      </c>
      <c r="AV464" s="7">
        <v>77.877129999999994</v>
      </c>
      <c r="AW464" s="7">
        <v>100</v>
      </c>
      <c r="AX464" s="7">
        <v>0.86439600000000005</v>
      </c>
      <c r="AY464" s="7">
        <v>0.89661199999999996</v>
      </c>
      <c r="AZ464" s="7">
        <v>86.439629999999994</v>
      </c>
      <c r="BA464" s="7">
        <v>100</v>
      </c>
      <c r="BB464" s="4" t="s">
        <v>124</v>
      </c>
      <c r="BC464" s="4" t="s">
        <v>124</v>
      </c>
      <c r="BD464" s="4" t="s">
        <v>124</v>
      </c>
      <c r="BE464" s="4" t="s">
        <v>124</v>
      </c>
      <c r="BF464" s="4" t="s">
        <v>124</v>
      </c>
      <c r="BG464" s="4" t="s">
        <v>124</v>
      </c>
      <c r="BH464" s="7">
        <v>0</v>
      </c>
      <c r="BI464" s="7">
        <v>1</v>
      </c>
      <c r="BJ464" s="7">
        <v>1</v>
      </c>
      <c r="BK464" s="7">
        <v>1</v>
      </c>
      <c r="BL464" s="7">
        <v>1</v>
      </c>
      <c r="BM464" s="7">
        <v>1</v>
      </c>
      <c r="BN464" s="7">
        <v>1</v>
      </c>
      <c r="BO464" s="7">
        <v>1</v>
      </c>
      <c r="BP464" s="4" t="s">
        <v>124</v>
      </c>
      <c r="BQ464" s="7">
        <v>1</v>
      </c>
      <c r="BR464" s="7">
        <v>3.2854000000000001E-2</v>
      </c>
      <c r="BS464" s="7">
        <v>50</v>
      </c>
      <c r="BT464" s="7">
        <v>50</v>
      </c>
      <c r="BU464" s="7">
        <v>7.3528999999999997E-2</v>
      </c>
      <c r="BV464" s="7">
        <v>45.294117999999997</v>
      </c>
      <c r="BW464" s="7">
        <v>50</v>
      </c>
      <c r="BX464" s="4" t="s">
        <v>124</v>
      </c>
      <c r="BY464" s="4" t="s">
        <v>124</v>
      </c>
      <c r="BZ464" s="4" t="s">
        <v>124</v>
      </c>
      <c r="CA464" s="4" t="s">
        <v>124</v>
      </c>
      <c r="CB464" s="4" t="s">
        <v>124</v>
      </c>
      <c r="CC464" s="4" t="s">
        <v>124</v>
      </c>
      <c r="CD464" s="4" t="s">
        <v>124</v>
      </c>
      <c r="CE464" s="4" t="s">
        <v>124</v>
      </c>
      <c r="CF464" s="4" t="s">
        <v>124</v>
      </c>
      <c r="CG464" s="4" t="s">
        <v>124</v>
      </c>
      <c r="CH464" s="4" t="s">
        <v>124</v>
      </c>
      <c r="CI464" s="4" t="s">
        <v>124</v>
      </c>
      <c r="CJ464" s="4" t="s">
        <v>124</v>
      </c>
      <c r="CK464" s="4" t="s">
        <v>124</v>
      </c>
      <c r="CL464" s="4" t="s">
        <v>124</v>
      </c>
      <c r="CM464" s="4" t="s">
        <v>124</v>
      </c>
      <c r="CN464" s="4" t="s">
        <v>124</v>
      </c>
      <c r="CO464" s="4" t="s">
        <v>124</v>
      </c>
      <c r="CP464" s="4" t="s">
        <v>124</v>
      </c>
      <c r="CQ464" s="7">
        <v>0.89189200000000002</v>
      </c>
      <c r="CR464" s="7">
        <v>1</v>
      </c>
      <c r="CS464" s="7">
        <v>50</v>
      </c>
      <c r="CT464" s="7">
        <v>50</v>
      </c>
      <c r="CU464" s="4" t="s">
        <v>124</v>
      </c>
      <c r="CV464" s="4" t="s">
        <v>124</v>
      </c>
      <c r="CW464" s="4" t="s">
        <v>124</v>
      </c>
      <c r="CX464" s="4" t="s">
        <v>124</v>
      </c>
      <c r="CY464" s="4" t="s">
        <v>124</v>
      </c>
      <c r="CZ464" s="4" t="s">
        <v>124</v>
      </c>
      <c r="DA464" s="7">
        <v>15.314097</v>
      </c>
      <c r="DB464" s="7">
        <v>17.400950000000002</v>
      </c>
      <c r="DC464" s="7">
        <v>16.332519999999999</v>
      </c>
      <c r="DD464" s="4" t="s">
        <v>124</v>
      </c>
      <c r="DE464" s="7">
        <v>0</v>
      </c>
      <c r="DF464" s="6"/>
      <c r="DG464" s="6"/>
      <c r="DH464" s="4" t="s">
        <v>331</v>
      </c>
      <c r="DI464" s="4" t="s">
        <v>614</v>
      </c>
      <c r="DJ464" s="7">
        <v>1</v>
      </c>
      <c r="DK464" s="7">
        <v>1</v>
      </c>
      <c r="DL464" s="7">
        <v>1</v>
      </c>
      <c r="DM464" s="7">
        <v>1</v>
      </c>
      <c r="DN464" s="7">
        <v>1</v>
      </c>
      <c r="DO464" s="7">
        <v>0</v>
      </c>
      <c r="DP464" s="6"/>
      <c r="DQ464" s="4" t="s">
        <v>125</v>
      </c>
    </row>
    <row r="465" spans="1:121" ht="20" customHeight="1" x14ac:dyDescent="0.15">
      <c r="A465" s="5">
        <v>2018</v>
      </c>
      <c r="B465" s="3" t="s">
        <v>196</v>
      </c>
      <c r="C465" s="4" t="str">
        <f t="shared" si="206"/>
        <v>0570011</v>
      </c>
      <c r="D465" s="4" t="s">
        <v>619</v>
      </c>
      <c r="E465" s="4" t="str">
        <f>"0575311"</f>
        <v>0575311</v>
      </c>
      <c r="F465" s="4" t="s">
        <v>327</v>
      </c>
      <c r="G465" s="7">
        <v>6</v>
      </c>
      <c r="H465" s="7">
        <v>8</v>
      </c>
      <c r="I465" s="4" t="s">
        <v>329</v>
      </c>
      <c r="J465" s="4" t="s">
        <v>330</v>
      </c>
      <c r="K465" s="7">
        <v>789.15130699999997</v>
      </c>
      <c r="L465" s="7">
        <v>1000</v>
      </c>
      <c r="M465" s="7">
        <v>78.915131000000002</v>
      </c>
      <c r="N465" s="7">
        <v>2</v>
      </c>
      <c r="O465" s="7">
        <v>0</v>
      </c>
      <c r="P465" s="7">
        <v>77.492504999999994</v>
      </c>
      <c r="Q465" s="7">
        <v>50</v>
      </c>
      <c r="R465" s="7">
        <v>50</v>
      </c>
      <c r="S465" s="7">
        <v>68.383695000000003</v>
      </c>
      <c r="T465" s="7">
        <v>75</v>
      </c>
      <c r="U465" s="7">
        <v>45.589129999999997</v>
      </c>
      <c r="V465" s="7">
        <v>50</v>
      </c>
      <c r="W465" s="7">
        <v>71.387056000000001</v>
      </c>
      <c r="X465" s="7">
        <v>47.591371000000002</v>
      </c>
      <c r="Y465" s="7">
        <v>50</v>
      </c>
      <c r="Z465" s="7">
        <v>75</v>
      </c>
      <c r="AA465" s="7">
        <v>61.117561000000002</v>
      </c>
      <c r="AB465" s="7">
        <v>40.745041000000001</v>
      </c>
      <c r="AC465" s="7">
        <v>50</v>
      </c>
      <c r="AD465" s="7">
        <v>71.197390999999996</v>
      </c>
      <c r="AE465" s="7">
        <v>47.464927000000003</v>
      </c>
      <c r="AF465" s="7">
        <v>50</v>
      </c>
      <c r="AG465" s="7">
        <v>63.486378000000002</v>
      </c>
      <c r="AH465" s="7">
        <v>75</v>
      </c>
      <c r="AI465" s="7">
        <v>42.324252000000001</v>
      </c>
      <c r="AJ465" s="7">
        <v>50</v>
      </c>
      <c r="AK465" s="7">
        <v>6.61</v>
      </c>
      <c r="AL465" s="7">
        <v>13.88</v>
      </c>
      <c r="AM465" s="7">
        <v>11.51</v>
      </c>
      <c r="AN465" s="7">
        <v>0.66183000000000003</v>
      </c>
      <c r="AO465" s="7">
        <v>66.183002999999999</v>
      </c>
      <c r="AP465" s="7">
        <v>100</v>
      </c>
      <c r="AQ465" s="7">
        <v>0.72099899999999995</v>
      </c>
      <c r="AR465" s="7">
        <v>72.099911000000006</v>
      </c>
      <c r="AS465" s="7">
        <v>100</v>
      </c>
      <c r="AT465" s="7">
        <v>0.62051900000000004</v>
      </c>
      <c r="AU465" s="7">
        <v>0.70214399999999999</v>
      </c>
      <c r="AV465" s="7">
        <v>62.051867999999999</v>
      </c>
      <c r="AW465" s="7">
        <v>100</v>
      </c>
      <c r="AX465" s="7">
        <v>0.64334199999999997</v>
      </c>
      <c r="AY465" s="7">
        <v>0.79678199999999999</v>
      </c>
      <c r="AZ465" s="7">
        <v>64.334168000000005</v>
      </c>
      <c r="BA465" s="7">
        <v>100</v>
      </c>
      <c r="BB465" s="7">
        <v>0.706426</v>
      </c>
      <c r="BC465" s="7">
        <v>35.321275</v>
      </c>
      <c r="BD465" s="7">
        <v>50</v>
      </c>
      <c r="BE465" s="7">
        <v>0.67687399999999998</v>
      </c>
      <c r="BF465" s="7">
        <v>33.843685000000001</v>
      </c>
      <c r="BG465" s="7">
        <v>50</v>
      </c>
      <c r="BH465" s="7">
        <v>0</v>
      </c>
      <c r="BI465" s="7">
        <v>0.99372099999999997</v>
      </c>
      <c r="BJ465" s="7">
        <v>0.99382700000000002</v>
      </c>
      <c r="BK465" s="7">
        <v>0.99360999999999999</v>
      </c>
      <c r="BL465" s="7">
        <v>0.99058100000000004</v>
      </c>
      <c r="BM465" s="7">
        <v>0.98765400000000003</v>
      </c>
      <c r="BN465" s="7">
        <v>0.99360999999999999</v>
      </c>
      <c r="BO465" s="7">
        <v>1</v>
      </c>
      <c r="BP465" s="7">
        <v>1</v>
      </c>
      <c r="BQ465" s="7">
        <v>1</v>
      </c>
      <c r="BR465" s="7">
        <v>5.9748000000000002E-2</v>
      </c>
      <c r="BS465" s="7">
        <v>48.050314</v>
      </c>
      <c r="BT465" s="7">
        <v>50</v>
      </c>
      <c r="BU465" s="7">
        <v>7.3482000000000006E-2</v>
      </c>
      <c r="BV465" s="7">
        <v>45.303514</v>
      </c>
      <c r="BW465" s="7">
        <v>50</v>
      </c>
      <c r="BX465" s="4" t="s">
        <v>124</v>
      </c>
      <c r="BY465" s="4" t="s">
        <v>124</v>
      </c>
      <c r="BZ465" s="4" t="s">
        <v>124</v>
      </c>
      <c r="CA465" s="4" t="s">
        <v>124</v>
      </c>
      <c r="CB465" s="4" t="s">
        <v>124</v>
      </c>
      <c r="CC465" s="4" t="s">
        <v>124</v>
      </c>
      <c r="CD465" s="7">
        <v>0.96045199999999997</v>
      </c>
      <c r="CE465" s="7">
        <v>50</v>
      </c>
      <c r="CF465" s="7">
        <v>50</v>
      </c>
      <c r="CG465" s="4" t="s">
        <v>124</v>
      </c>
      <c r="CH465" s="4" t="s">
        <v>124</v>
      </c>
      <c r="CI465" s="4" t="s">
        <v>124</v>
      </c>
      <c r="CJ465" s="4" t="s">
        <v>124</v>
      </c>
      <c r="CK465" s="4" t="s">
        <v>124</v>
      </c>
      <c r="CL465" s="4" t="s">
        <v>124</v>
      </c>
      <c r="CM465" s="4" t="s">
        <v>124</v>
      </c>
      <c r="CN465" s="4" t="s">
        <v>124</v>
      </c>
      <c r="CO465" s="4" t="s">
        <v>124</v>
      </c>
      <c r="CP465" s="4" t="s">
        <v>124</v>
      </c>
      <c r="CQ465" s="7">
        <v>0.57373300000000005</v>
      </c>
      <c r="CR465" s="7">
        <v>0.99770099999999995</v>
      </c>
      <c r="CS465" s="7">
        <v>38.248848000000002</v>
      </c>
      <c r="CT465" s="7">
        <v>50</v>
      </c>
      <c r="CU465" s="4" t="s">
        <v>124</v>
      </c>
      <c r="CV465" s="4" t="s">
        <v>124</v>
      </c>
      <c r="CW465" s="4" t="s">
        <v>124</v>
      </c>
      <c r="CX465" s="4" t="s">
        <v>124</v>
      </c>
      <c r="CY465" s="4" t="s">
        <v>124</v>
      </c>
      <c r="CZ465" s="4" t="s">
        <v>124</v>
      </c>
      <c r="DA465" s="7">
        <v>15.314097</v>
      </c>
      <c r="DB465" s="7">
        <v>17.400950000000002</v>
      </c>
      <c r="DC465" s="7">
        <v>16.332519999999999</v>
      </c>
      <c r="DD465" s="4" t="s">
        <v>124</v>
      </c>
      <c r="DE465" s="7">
        <v>0</v>
      </c>
      <c r="DF465" s="6"/>
      <c r="DG465" s="6"/>
      <c r="DH465" s="6"/>
      <c r="DI465" s="6"/>
      <c r="DJ465" s="7">
        <v>0</v>
      </c>
      <c r="DK465" s="7">
        <v>0</v>
      </c>
      <c r="DL465" s="7">
        <v>0</v>
      </c>
      <c r="DM465" s="7">
        <v>0</v>
      </c>
      <c r="DN465" s="7">
        <v>0</v>
      </c>
      <c r="DO465" s="7">
        <v>0</v>
      </c>
      <c r="DP465" s="6"/>
      <c r="DQ465" s="4" t="s">
        <v>125</v>
      </c>
    </row>
    <row r="466" spans="1:121" ht="20" customHeight="1" x14ac:dyDescent="0.15">
      <c r="A466" s="5">
        <v>2018</v>
      </c>
      <c r="B466" s="3" t="s">
        <v>198</v>
      </c>
      <c r="C466" s="4" t="str">
        <f t="shared" si="73"/>
        <v>0580011</v>
      </c>
      <c r="D466" s="4" t="s">
        <v>620</v>
      </c>
      <c r="E466" s="4" t="str">
        <f>"0580111"</f>
        <v>0580111</v>
      </c>
      <c r="F466" s="4" t="s">
        <v>327</v>
      </c>
      <c r="G466" s="7">
        <v>7</v>
      </c>
      <c r="H466" s="7">
        <v>12</v>
      </c>
      <c r="I466" s="6"/>
      <c r="J466" s="4" t="s">
        <v>330</v>
      </c>
      <c r="K466" s="7">
        <v>0</v>
      </c>
      <c r="L466" s="7">
        <v>0</v>
      </c>
      <c r="M466" s="7">
        <v>0</v>
      </c>
      <c r="N466" s="4" t="s">
        <v>124</v>
      </c>
      <c r="O466" s="4" t="s">
        <v>124</v>
      </c>
      <c r="P466" s="4" t="s">
        <v>124</v>
      </c>
      <c r="Q466" s="4" t="s">
        <v>124</v>
      </c>
      <c r="R466" s="4" t="s">
        <v>124</v>
      </c>
      <c r="S466" s="4" t="s">
        <v>124</v>
      </c>
      <c r="T466" s="4" t="s">
        <v>124</v>
      </c>
      <c r="U466" s="4" t="s">
        <v>124</v>
      </c>
      <c r="V466" s="4" t="s">
        <v>124</v>
      </c>
      <c r="W466" s="4" t="s">
        <v>124</v>
      </c>
      <c r="X466" s="4" t="s">
        <v>124</v>
      </c>
      <c r="Y466" s="4" t="s">
        <v>124</v>
      </c>
      <c r="Z466" s="4" t="s">
        <v>124</v>
      </c>
      <c r="AA466" s="4" t="s">
        <v>124</v>
      </c>
      <c r="AB466" s="4" t="s">
        <v>124</v>
      </c>
      <c r="AC466" s="4" t="s">
        <v>124</v>
      </c>
      <c r="AD466" s="4" t="s">
        <v>124</v>
      </c>
      <c r="AE466" s="4" t="s">
        <v>124</v>
      </c>
      <c r="AF466" s="4" t="s">
        <v>124</v>
      </c>
      <c r="AG466" s="4" t="s">
        <v>124</v>
      </c>
      <c r="AH466" s="4" t="s">
        <v>124</v>
      </c>
      <c r="AI466" s="4" t="s">
        <v>124</v>
      </c>
      <c r="AJ466" s="4" t="s">
        <v>124</v>
      </c>
      <c r="AK466" s="4" t="s">
        <v>124</v>
      </c>
      <c r="AL466" s="4" t="s">
        <v>124</v>
      </c>
      <c r="AM466" s="4" t="s">
        <v>124</v>
      </c>
      <c r="AN466" s="4" t="s">
        <v>124</v>
      </c>
      <c r="AO466" s="4" t="s">
        <v>124</v>
      </c>
      <c r="AP466" s="4" t="s">
        <v>124</v>
      </c>
      <c r="AQ466" s="4" t="s">
        <v>124</v>
      </c>
      <c r="AR466" s="4" t="s">
        <v>124</v>
      </c>
      <c r="AS466" s="4" t="s">
        <v>124</v>
      </c>
      <c r="AT466" s="4" t="s">
        <v>124</v>
      </c>
      <c r="AU466" s="4" t="s">
        <v>124</v>
      </c>
      <c r="AV466" s="4" t="s">
        <v>124</v>
      </c>
      <c r="AW466" s="4" t="s">
        <v>124</v>
      </c>
      <c r="AX466" s="4" t="s">
        <v>124</v>
      </c>
      <c r="AY466" s="4" t="s">
        <v>124</v>
      </c>
      <c r="AZ466" s="4" t="s">
        <v>124</v>
      </c>
      <c r="BA466" s="4" t="s">
        <v>124</v>
      </c>
      <c r="BB466" s="4" t="s">
        <v>124</v>
      </c>
      <c r="BC466" s="4" t="s">
        <v>124</v>
      </c>
      <c r="BD466" s="4" t="s">
        <v>124</v>
      </c>
      <c r="BE466" s="4" t="s">
        <v>124</v>
      </c>
      <c r="BF466" s="4" t="s">
        <v>124</v>
      </c>
      <c r="BG466" s="4" t="s">
        <v>124</v>
      </c>
      <c r="BH466" s="7">
        <v>0</v>
      </c>
      <c r="BI466" s="4" t="s">
        <v>124</v>
      </c>
      <c r="BJ466" s="4" t="s">
        <v>124</v>
      </c>
      <c r="BK466" s="4" t="s">
        <v>124</v>
      </c>
      <c r="BL466" s="4" t="s">
        <v>124</v>
      </c>
      <c r="BM466" s="4" t="s">
        <v>124</v>
      </c>
      <c r="BN466" s="4" t="s">
        <v>124</v>
      </c>
      <c r="BO466" s="4" t="s">
        <v>124</v>
      </c>
      <c r="BP466" s="4" t="s">
        <v>124</v>
      </c>
      <c r="BQ466" s="4" t="s">
        <v>124</v>
      </c>
      <c r="BR466" s="4" t="s">
        <v>124</v>
      </c>
      <c r="BS466" s="4" t="s">
        <v>124</v>
      </c>
      <c r="BT466" s="4" t="s">
        <v>124</v>
      </c>
      <c r="BU466" s="4" t="s">
        <v>124</v>
      </c>
      <c r="BV466" s="4" t="s">
        <v>124</v>
      </c>
      <c r="BW466" s="4" t="s">
        <v>124</v>
      </c>
      <c r="BX466" s="4" t="s">
        <v>124</v>
      </c>
      <c r="BY466" s="4" t="s">
        <v>124</v>
      </c>
      <c r="BZ466" s="4" t="s">
        <v>124</v>
      </c>
      <c r="CA466" s="4" t="s">
        <v>124</v>
      </c>
      <c r="CB466" s="4" t="s">
        <v>124</v>
      </c>
      <c r="CC466" s="4" t="s">
        <v>124</v>
      </c>
      <c r="CD466" s="4" t="s">
        <v>124</v>
      </c>
      <c r="CE466" s="4" t="s">
        <v>124</v>
      </c>
      <c r="CF466" s="4" t="s">
        <v>124</v>
      </c>
      <c r="CG466" s="4" t="s">
        <v>124</v>
      </c>
      <c r="CH466" s="4" t="s">
        <v>124</v>
      </c>
      <c r="CI466" s="4" t="s">
        <v>124</v>
      </c>
      <c r="CJ466" s="4" t="s">
        <v>124</v>
      </c>
      <c r="CK466" s="4" t="s">
        <v>124</v>
      </c>
      <c r="CL466" s="4" t="s">
        <v>124</v>
      </c>
      <c r="CM466" s="4" t="s">
        <v>124</v>
      </c>
      <c r="CN466" s="4" t="s">
        <v>124</v>
      </c>
      <c r="CO466" s="4" t="s">
        <v>124</v>
      </c>
      <c r="CP466" s="4" t="s">
        <v>124</v>
      </c>
      <c r="CQ466" s="4" t="s">
        <v>124</v>
      </c>
      <c r="CR466" s="4" t="s">
        <v>124</v>
      </c>
      <c r="CS466" s="4" t="s">
        <v>124</v>
      </c>
      <c r="CT466" s="4" t="s">
        <v>124</v>
      </c>
      <c r="CU466" s="4" t="s">
        <v>124</v>
      </c>
      <c r="CV466" s="4" t="s">
        <v>124</v>
      </c>
      <c r="CW466" s="4" t="s">
        <v>124</v>
      </c>
      <c r="CX466" s="4" t="s">
        <v>124</v>
      </c>
      <c r="CY466" s="4" t="s">
        <v>124</v>
      </c>
      <c r="CZ466" s="4" t="s">
        <v>124</v>
      </c>
      <c r="DA466" s="4" t="s">
        <v>124</v>
      </c>
      <c r="DB466" s="4" t="s">
        <v>124</v>
      </c>
      <c r="DC466" s="4" t="s">
        <v>124</v>
      </c>
      <c r="DD466" s="4" t="s">
        <v>124</v>
      </c>
      <c r="DE466" s="4" t="s">
        <v>124</v>
      </c>
      <c r="DF466" s="6"/>
      <c r="DG466" s="6"/>
      <c r="DH466" s="6"/>
      <c r="DI466" s="6"/>
      <c r="DJ466" s="4" t="s">
        <v>124</v>
      </c>
      <c r="DK466" s="4" t="s">
        <v>124</v>
      </c>
      <c r="DL466" s="4" t="s">
        <v>124</v>
      </c>
      <c r="DM466" s="4" t="s">
        <v>124</v>
      </c>
      <c r="DN466" s="4" t="s">
        <v>124</v>
      </c>
      <c r="DO466" s="4" t="s">
        <v>124</v>
      </c>
      <c r="DP466" s="6"/>
      <c r="DQ466" s="4" t="s">
        <v>125</v>
      </c>
    </row>
    <row r="467" spans="1:121" ht="20" customHeight="1" x14ac:dyDescent="0.15">
      <c r="A467" s="5">
        <v>2018</v>
      </c>
      <c r="B467" s="3" t="s">
        <v>198</v>
      </c>
      <c r="C467" s="4" t="str">
        <f t="shared" ref="C467:C469" si="207">"0580011"</f>
        <v>0580011</v>
      </c>
      <c r="D467" s="4" t="s">
        <v>621</v>
      </c>
      <c r="E467" s="4" t="str">
        <f>"0580311"</f>
        <v>0580311</v>
      </c>
      <c r="F467" s="4" t="s">
        <v>327</v>
      </c>
      <c r="G467" s="4" t="s">
        <v>328</v>
      </c>
      <c r="H467" s="7">
        <v>4</v>
      </c>
      <c r="I467" s="4" t="s">
        <v>329</v>
      </c>
      <c r="J467" s="4" t="s">
        <v>330</v>
      </c>
      <c r="K467" s="7">
        <v>496.60823399999998</v>
      </c>
      <c r="L467" s="7">
        <v>750</v>
      </c>
      <c r="M467" s="7">
        <v>66.214431000000005</v>
      </c>
      <c r="N467" s="7">
        <v>3</v>
      </c>
      <c r="O467" s="7">
        <v>0</v>
      </c>
      <c r="P467" s="7">
        <v>67.993913000000006</v>
      </c>
      <c r="Q467" s="7">
        <v>45.329275000000003</v>
      </c>
      <c r="R467" s="7">
        <v>50</v>
      </c>
      <c r="S467" s="7">
        <v>62.143689999999999</v>
      </c>
      <c r="T467" s="7">
        <v>75</v>
      </c>
      <c r="U467" s="7">
        <v>41.429127000000001</v>
      </c>
      <c r="V467" s="7">
        <v>50</v>
      </c>
      <c r="W467" s="7">
        <v>66.017950999999996</v>
      </c>
      <c r="X467" s="7">
        <v>44.011966999999999</v>
      </c>
      <c r="Y467" s="7">
        <v>50</v>
      </c>
      <c r="Z467" s="7">
        <v>74.200372999999999</v>
      </c>
      <c r="AA467" s="7">
        <v>59.681187999999999</v>
      </c>
      <c r="AB467" s="7">
        <v>39.787458999999998</v>
      </c>
      <c r="AC467" s="7">
        <v>50</v>
      </c>
      <c r="AD467" s="4" t="s">
        <v>124</v>
      </c>
      <c r="AE467" s="4" t="s">
        <v>124</v>
      </c>
      <c r="AF467" s="4" t="s">
        <v>124</v>
      </c>
      <c r="AG467" s="4" t="s">
        <v>124</v>
      </c>
      <c r="AH467" s="4" t="s">
        <v>124</v>
      </c>
      <c r="AI467" s="4" t="s">
        <v>124</v>
      </c>
      <c r="AJ467" s="4" t="s">
        <v>124</v>
      </c>
      <c r="AK467" s="7">
        <v>12.85</v>
      </c>
      <c r="AL467" s="7">
        <v>14.51</v>
      </c>
      <c r="AM467" s="4" t="s">
        <v>124</v>
      </c>
      <c r="AN467" s="7">
        <v>0.46919100000000002</v>
      </c>
      <c r="AO467" s="7">
        <v>46.919057000000002</v>
      </c>
      <c r="AP467" s="7">
        <v>100</v>
      </c>
      <c r="AQ467" s="7">
        <v>0.57116599999999995</v>
      </c>
      <c r="AR467" s="7">
        <v>57.116639999999997</v>
      </c>
      <c r="AS467" s="7">
        <v>100</v>
      </c>
      <c r="AT467" s="7">
        <v>0.39901599999999998</v>
      </c>
      <c r="AU467" s="7">
        <v>0.542933</v>
      </c>
      <c r="AV467" s="7">
        <v>39.901598999999997</v>
      </c>
      <c r="AW467" s="7">
        <v>100</v>
      </c>
      <c r="AX467" s="7">
        <v>0.53137000000000001</v>
      </c>
      <c r="AY467" s="7">
        <v>0.61298600000000003</v>
      </c>
      <c r="AZ467" s="7">
        <v>53.137039000000001</v>
      </c>
      <c r="BA467" s="7">
        <v>100</v>
      </c>
      <c r="BB467" s="4" t="s">
        <v>124</v>
      </c>
      <c r="BC467" s="4" t="s">
        <v>124</v>
      </c>
      <c r="BD467" s="4" t="s">
        <v>124</v>
      </c>
      <c r="BE467" s="4" t="s">
        <v>124</v>
      </c>
      <c r="BF467" s="4" t="s">
        <v>124</v>
      </c>
      <c r="BG467" s="4" t="s">
        <v>124</v>
      </c>
      <c r="BH467" s="7">
        <v>0</v>
      </c>
      <c r="BI467" s="7">
        <v>0.99591799999999997</v>
      </c>
      <c r="BJ467" s="7">
        <v>0.99280599999999997</v>
      </c>
      <c r="BK467" s="7">
        <v>1</v>
      </c>
      <c r="BL467" s="7">
        <v>0.99591799999999997</v>
      </c>
      <c r="BM467" s="7">
        <v>0.99280599999999997</v>
      </c>
      <c r="BN467" s="7">
        <v>1</v>
      </c>
      <c r="BO467" s="4" t="s">
        <v>124</v>
      </c>
      <c r="BP467" s="4" t="s">
        <v>124</v>
      </c>
      <c r="BQ467" s="4" t="s">
        <v>124</v>
      </c>
      <c r="BR467" s="7">
        <v>7.1786000000000003E-2</v>
      </c>
      <c r="BS467" s="7">
        <v>45.642738000000001</v>
      </c>
      <c r="BT467" s="7">
        <v>50</v>
      </c>
      <c r="BU467" s="7">
        <v>8.3333000000000004E-2</v>
      </c>
      <c r="BV467" s="7">
        <v>43.333333000000003</v>
      </c>
      <c r="BW467" s="7">
        <v>50</v>
      </c>
      <c r="BX467" s="4" t="s">
        <v>124</v>
      </c>
      <c r="BY467" s="4" t="s">
        <v>124</v>
      </c>
      <c r="BZ467" s="4" t="s">
        <v>124</v>
      </c>
      <c r="CA467" s="4" t="s">
        <v>124</v>
      </c>
      <c r="CB467" s="4" t="s">
        <v>124</v>
      </c>
      <c r="CC467" s="4" t="s">
        <v>124</v>
      </c>
      <c r="CD467" s="4" t="s">
        <v>124</v>
      </c>
      <c r="CE467" s="4" t="s">
        <v>124</v>
      </c>
      <c r="CF467" s="4" t="s">
        <v>124</v>
      </c>
      <c r="CG467" s="4" t="s">
        <v>124</v>
      </c>
      <c r="CH467" s="4" t="s">
        <v>124</v>
      </c>
      <c r="CI467" s="4" t="s">
        <v>124</v>
      </c>
      <c r="CJ467" s="4" t="s">
        <v>124</v>
      </c>
      <c r="CK467" s="4" t="s">
        <v>124</v>
      </c>
      <c r="CL467" s="4" t="s">
        <v>124</v>
      </c>
      <c r="CM467" s="4" t="s">
        <v>124</v>
      </c>
      <c r="CN467" s="4" t="s">
        <v>124</v>
      </c>
      <c r="CO467" s="4" t="s">
        <v>124</v>
      </c>
      <c r="CP467" s="4" t="s">
        <v>124</v>
      </c>
      <c r="CQ467" s="7">
        <v>0.6</v>
      </c>
      <c r="CR467" s="7">
        <v>0.961538</v>
      </c>
      <c r="CS467" s="7">
        <v>40</v>
      </c>
      <c r="CT467" s="7">
        <v>50</v>
      </c>
      <c r="CU467" s="4" t="s">
        <v>124</v>
      </c>
      <c r="CV467" s="4" t="s">
        <v>124</v>
      </c>
      <c r="CW467" s="4" t="s">
        <v>124</v>
      </c>
      <c r="CX467" s="4" t="s">
        <v>124</v>
      </c>
      <c r="CY467" s="4" t="s">
        <v>124</v>
      </c>
      <c r="CZ467" s="4" t="s">
        <v>124</v>
      </c>
      <c r="DA467" s="7">
        <v>15.314097</v>
      </c>
      <c r="DB467" s="7">
        <v>17.400950000000002</v>
      </c>
      <c r="DC467" s="7">
        <v>16.332519999999999</v>
      </c>
      <c r="DD467" s="4" t="s">
        <v>124</v>
      </c>
      <c r="DE467" s="7">
        <v>0</v>
      </c>
      <c r="DF467" s="6"/>
      <c r="DG467" s="6"/>
      <c r="DH467" s="6"/>
      <c r="DI467" s="6"/>
      <c r="DJ467" s="7">
        <v>0</v>
      </c>
      <c r="DK467" s="7">
        <v>0</v>
      </c>
      <c r="DL467" s="7">
        <v>0</v>
      </c>
      <c r="DM467" s="7">
        <v>0</v>
      </c>
      <c r="DN467" s="7">
        <v>0</v>
      </c>
      <c r="DO467" s="7">
        <v>0</v>
      </c>
      <c r="DP467" s="6"/>
      <c r="DQ467" s="4" t="s">
        <v>125</v>
      </c>
    </row>
    <row r="468" spans="1:121" ht="20" customHeight="1" x14ac:dyDescent="0.15">
      <c r="A468" s="5">
        <v>2018</v>
      </c>
      <c r="B468" s="3" t="s">
        <v>198</v>
      </c>
      <c r="C468" s="4" t="str">
        <f t="shared" si="207"/>
        <v>0580011</v>
      </c>
      <c r="D468" s="4" t="s">
        <v>622</v>
      </c>
      <c r="E468" s="4" t="str">
        <f>"0586211"</f>
        <v>0586211</v>
      </c>
      <c r="F468" s="4" t="s">
        <v>327</v>
      </c>
      <c r="G468" s="7">
        <v>9</v>
      </c>
      <c r="H468" s="7">
        <v>12</v>
      </c>
      <c r="I468" s="4" t="s">
        <v>329</v>
      </c>
      <c r="J468" s="4" t="s">
        <v>330</v>
      </c>
      <c r="K468" s="7">
        <v>1072.006545</v>
      </c>
      <c r="L468" s="7">
        <v>1450</v>
      </c>
      <c r="M468" s="7">
        <v>73.931486000000007</v>
      </c>
      <c r="N468" s="7">
        <v>3</v>
      </c>
      <c r="O468" s="7">
        <v>0</v>
      </c>
      <c r="P468" s="7">
        <v>54.193333000000003</v>
      </c>
      <c r="Q468" s="7">
        <v>108.386667</v>
      </c>
      <c r="R468" s="7">
        <v>150</v>
      </c>
      <c r="S468" s="7">
        <v>47.014124000000002</v>
      </c>
      <c r="T468" s="7">
        <v>60.611111000000001</v>
      </c>
      <c r="U468" s="7">
        <v>94.028249000000002</v>
      </c>
      <c r="V468" s="7">
        <v>150</v>
      </c>
      <c r="W468" s="7">
        <v>48.981777999999998</v>
      </c>
      <c r="X468" s="7">
        <v>97.963555999999997</v>
      </c>
      <c r="Y468" s="7">
        <v>150</v>
      </c>
      <c r="Z468" s="7">
        <v>54.666666999999997</v>
      </c>
      <c r="AA468" s="7">
        <v>42.622411</v>
      </c>
      <c r="AB468" s="7">
        <v>85.244821000000002</v>
      </c>
      <c r="AC468" s="7">
        <v>150</v>
      </c>
      <c r="AD468" s="7">
        <v>57.467047999999998</v>
      </c>
      <c r="AE468" s="7">
        <v>76.622730000000004</v>
      </c>
      <c r="AF468" s="7">
        <v>100</v>
      </c>
      <c r="AG468" s="7">
        <v>50.333075999999998</v>
      </c>
      <c r="AH468" s="7">
        <v>63.628205000000001</v>
      </c>
      <c r="AI468" s="7">
        <v>67.110767999999993</v>
      </c>
      <c r="AJ468" s="7">
        <v>100</v>
      </c>
      <c r="AK468" s="7">
        <v>13.59</v>
      </c>
      <c r="AL468" s="7">
        <v>12.04</v>
      </c>
      <c r="AM468" s="7">
        <v>13.29</v>
      </c>
      <c r="AN468" s="4" t="s">
        <v>124</v>
      </c>
      <c r="AO468" s="4" t="s">
        <v>124</v>
      </c>
      <c r="AP468" s="4" t="s">
        <v>124</v>
      </c>
      <c r="AQ468" s="4" t="s">
        <v>124</v>
      </c>
      <c r="AR468" s="4" t="s">
        <v>124</v>
      </c>
      <c r="AS468" s="4" t="s">
        <v>124</v>
      </c>
      <c r="AT468" s="4" t="s">
        <v>124</v>
      </c>
      <c r="AU468" s="4" t="s">
        <v>124</v>
      </c>
      <c r="AV468" s="4" t="s">
        <v>124</v>
      </c>
      <c r="AW468" s="4" t="s">
        <v>124</v>
      </c>
      <c r="AX468" s="4" t="s">
        <v>124</v>
      </c>
      <c r="AY468" s="4" t="s">
        <v>124</v>
      </c>
      <c r="AZ468" s="4" t="s">
        <v>124</v>
      </c>
      <c r="BA468" s="4" t="s">
        <v>124</v>
      </c>
      <c r="BB468" s="4" t="s">
        <v>124</v>
      </c>
      <c r="BC468" s="4" t="s">
        <v>124</v>
      </c>
      <c r="BD468" s="4" t="s">
        <v>124</v>
      </c>
      <c r="BE468" s="4" t="s">
        <v>124</v>
      </c>
      <c r="BF468" s="4" t="s">
        <v>124</v>
      </c>
      <c r="BG468" s="4" t="s">
        <v>124</v>
      </c>
      <c r="BH468" s="7">
        <v>0</v>
      </c>
      <c r="BI468" s="7">
        <v>0.99218799999999996</v>
      </c>
      <c r="BJ468" s="7">
        <v>0.98387100000000005</v>
      </c>
      <c r="BK468" s="7">
        <v>1</v>
      </c>
      <c r="BL468" s="7">
        <v>0.99218799999999996</v>
      </c>
      <c r="BM468" s="7">
        <v>0.98387100000000005</v>
      </c>
      <c r="BN468" s="7">
        <v>1</v>
      </c>
      <c r="BO468" s="7">
        <v>0.98425200000000002</v>
      </c>
      <c r="BP468" s="7">
        <v>0.96721299999999999</v>
      </c>
      <c r="BQ468" s="7">
        <v>1</v>
      </c>
      <c r="BR468" s="7">
        <v>0.12670600000000001</v>
      </c>
      <c r="BS468" s="7">
        <v>34.658869000000003</v>
      </c>
      <c r="BT468" s="7">
        <v>50</v>
      </c>
      <c r="BU468" s="7">
        <v>0.18326700000000001</v>
      </c>
      <c r="BV468" s="7">
        <v>23.346613999999999</v>
      </c>
      <c r="BW468" s="7">
        <v>50</v>
      </c>
      <c r="BX468" s="7">
        <v>0.94736799999999999</v>
      </c>
      <c r="BY468" s="7">
        <v>50</v>
      </c>
      <c r="BZ468" s="7">
        <v>50</v>
      </c>
      <c r="CA468" s="7">
        <v>0.30364400000000002</v>
      </c>
      <c r="CB468" s="7">
        <v>20.242915</v>
      </c>
      <c r="CC468" s="7">
        <v>50</v>
      </c>
      <c r="CD468" s="7">
        <v>0.89583299999999999</v>
      </c>
      <c r="CE468" s="7">
        <v>47.650708999999999</v>
      </c>
      <c r="CF468" s="7">
        <v>50</v>
      </c>
      <c r="CG468" s="7">
        <v>0.90845100000000001</v>
      </c>
      <c r="CH468" s="7">
        <v>96.643692000000001</v>
      </c>
      <c r="CI468" s="7">
        <v>100</v>
      </c>
      <c r="CJ468" s="7">
        <v>1</v>
      </c>
      <c r="CK468" s="7">
        <v>0.85483900000000002</v>
      </c>
      <c r="CL468" s="7">
        <v>90.940287999999995</v>
      </c>
      <c r="CM468" s="7">
        <v>100</v>
      </c>
      <c r="CN468" s="7">
        <v>0.671875</v>
      </c>
      <c r="CO468" s="7">
        <v>89.583332999999996</v>
      </c>
      <c r="CP468" s="7">
        <v>100</v>
      </c>
      <c r="CQ468" s="7">
        <v>0.59375</v>
      </c>
      <c r="CR468" s="7">
        <v>0.97709900000000005</v>
      </c>
      <c r="CS468" s="7">
        <v>39.583333000000003</v>
      </c>
      <c r="CT468" s="7">
        <v>50</v>
      </c>
      <c r="CU468" s="7">
        <v>0.60623800000000005</v>
      </c>
      <c r="CV468" s="7">
        <v>50</v>
      </c>
      <c r="CW468" s="7">
        <v>50</v>
      </c>
      <c r="CX468" s="7">
        <v>0.85483900000000002</v>
      </c>
      <c r="CY468" s="7">
        <v>0.94</v>
      </c>
      <c r="CZ468" s="7">
        <v>8.5161000000000001E-2</v>
      </c>
      <c r="DA468" s="7">
        <v>15.314097</v>
      </c>
      <c r="DB468" s="7">
        <v>17.400950000000002</v>
      </c>
      <c r="DC468" s="7">
        <v>16.332519999999999</v>
      </c>
      <c r="DD468" s="7">
        <v>7.9891730000000001</v>
      </c>
      <c r="DE468" s="7">
        <v>1</v>
      </c>
      <c r="DF468" s="6"/>
      <c r="DG468" s="6"/>
      <c r="DH468" s="6"/>
      <c r="DI468" s="6"/>
      <c r="DJ468" s="7">
        <v>0</v>
      </c>
      <c r="DK468" s="7">
        <v>0</v>
      </c>
      <c r="DL468" s="7">
        <v>0</v>
      </c>
      <c r="DM468" s="7">
        <v>0</v>
      </c>
      <c r="DN468" s="7">
        <v>0</v>
      </c>
      <c r="DO468" s="7">
        <v>0</v>
      </c>
      <c r="DP468" s="6"/>
      <c r="DQ468" s="4" t="s">
        <v>125</v>
      </c>
    </row>
    <row r="469" spans="1:121" ht="20" customHeight="1" x14ac:dyDescent="0.15">
      <c r="A469" s="5">
        <v>2018</v>
      </c>
      <c r="B469" s="3" t="s">
        <v>198</v>
      </c>
      <c r="C469" s="4" t="str">
        <f t="shared" si="207"/>
        <v>0580011</v>
      </c>
      <c r="D469" s="4" t="s">
        <v>623</v>
      </c>
      <c r="E469" s="4" t="str">
        <f>"0585111"</f>
        <v>0585111</v>
      </c>
      <c r="F469" s="4" t="s">
        <v>327</v>
      </c>
      <c r="G469" s="7">
        <v>5</v>
      </c>
      <c r="H469" s="7">
        <v>8</v>
      </c>
      <c r="I469" s="4" t="s">
        <v>329</v>
      </c>
      <c r="J469" s="4" t="s">
        <v>330</v>
      </c>
      <c r="K469" s="7">
        <v>669.691688</v>
      </c>
      <c r="L469" s="7">
        <v>900</v>
      </c>
      <c r="M469" s="7">
        <v>74.410188000000005</v>
      </c>
      <c r="N469" s="7">
        <v>2</v>
      </c>
      <c r="O469" s="7">
        <v>0</v>
      </c>
      <c r="P469" s="7">
        <v>69.559555000000003</v>
      </c>
      <c r="Q469" s="7">
        <v>46.373036999999997</v>
      </c>
      <c r="R469" s="7">
        <v>50</v>
      </c>
      <c r="S469" s="7">
        <v>62.58343</v>
      </c>
      <c r="T469" s="7">
        <v>75</v>
      </c>
      <c r="U469" s="7">
        <v>41.722285999999997</v>
      </c>
      <c r="V469" s="7">
        <v>50</v>
      </c>
      <c r="W469" s="7">
        <v>68.433374000000001</v>
      </c>
      <c r="X469" s="7">
        <v>45.622250000000001</v>
      </c>
      <c r="Y469" s="7">
        <v>50</v>
      </c>
      <c r="Z469" s="7">
        <v>75</v>
      </c>
      <c r="AA469" s="7">
        <v>60.817926</v>
      </c>
      <c r="AB469" s="7">
        <v>40.545284000000002</v>
      </c>
      <c r="AC469" s="7">
        <v>50</v>
      </c>
      <c r="AD469" s="7">
        <v>69.548687000000001</v>
      </c>
      <c r="AE469" s="7">
        <v>46.365791999999999</v>
      </c>
      <c r="AF469" s="7">
        <v>50</v>
      </c>
      <c r="AG469" s="7">
        <v>60.864682000000002</v>
      </c>
      <c r="AH469" s="7">
        <v>75</v>
      </c>
      <c r="AI469" s="7">
        <v>40.576455000000003</v>
      </c>
      <c r="AJ469" s="7">
        <v>50</v>
      </c>
      <c r="AK469" s="7">
        <v>12.41</v>
      </c>
      <c r="AL469" s="7">
        <v>14.18</v>
      </c>
      <c r="AM469" s="7">
        <v>14.13</v>
      </c>
      <c r="AN469" s="7">
        <v>0.59665999999999997</v>
      </c>
      <c r="AO469" s="7">
        <v>59.666038999999998</v>
      </c>
      <c r="AP469" s="7">
        <v>100</v>
      </c>
      <c r="AQ469" s="7">
        <v>0.63847900000000002</v>
      </c>
      <c r="AR469" s="7">
        <v>63.847907999999997</v>
      </c>
      <c r="AS469" s="7">
        <v>100</v>
      </c>
      <c r="AT469" s="7">
        <v>0.59668699999999997</v>
      </c>
      <c r="AU469" s="7">
        <v>0.59663600000000006</v>
      </c>
      <c r="AV469" s="7">
        <v>59.668678999999997</v>
      </c>
      <c r="AW469" s="7">
        <v>100</v>
      </c>
      <c r="AX469" s="7">
        <v>0.64504499999999998</v>
      </c>
      <c r="AY469" s="7">
        <v>0.63231700000000002</v>
      </c>
      <c r="AZ469" s="7">
        <v>64.504507000000004</v>
      </c>
      <c r="BA469" s="7">
        <v>100</v>
      </c>
      <c r="BB469" s="4" t="s">
        <v>124</v>
      </c>
      <c r="BC469" s="4" t="s">
        <v>124</v>
      </c>
      <c r="BD469" s="4" t="s">
        <v>124</v>
      </c>
      <c r="BE469" s="4" t="s">
        <v>124</v>
      </c>
      <c r="BF469" s="4" t="s">
        <v>124</v>
      </c>
      <c r="BG469" s="4" t="s">
        <v>124</v>
      </c>
      <c r="BH469" s="7">
        <v>0</v>
      </c>
      <c r="BI469" s="7">
        <v>0.99256500000000003</v>
      </c>
      <c r="BJ469" s="7">
        <v>0.98884799999999995</v>
      </c>
      <c r="BK469" s="7">
        <v>0.99628300000000003</v>
      </c>
      <c r="BL469" s="7">
        <v>0.99256500000000003</v>
      </c>
      <c r="BM469" s="7">
        <v>0.98884799999999995</v>
      </c>
      <c r="BN469" s="7">
        <v>0.99628300000000003</v>
      </c>
      <c r="BO469" s="7">
        <v>0.992537</v>
      </c>
      <c r="BP469" s="7">
        <v>0.98657700000000004</v>
      </c>
      <c r="BQ469" s="7">
        <v>1</v>
      </c>
      <c r="BR469" s="7">
        <v>9.6834000000000003E-2</v>
      </c>
      <c r="BS469" s="7">
        <v>40.633147000000001</v>
      </c>
      <c r="BT469" s="7">
        <v>50</v>
      </c>
      <c r="BU469" s="7">
        <v>0.153558</v>
      </c>
      <c r="BV469" s="7">
        <v>29.28839</v>
      </c>
      <c r="BW469" s="7">
        <v>50</v>
      </c>
      <c r="BX469" s="4" t="s">
        <v>124</v>
      </c>
      <c r="BY469" s="4" t="s">
        <v>124</v>
      </c>
      <c r="BZ469" s="4" t="s">
        <v>124</v>
      </c>
      <c r="CA469" s="4" t="s">
        <v>124</v>
      </c>
      <c r="CB469" s="4" t="s">
        <v>124</v>
      </c>
      <c r="CC469" s="4" t="s">
        <v>124</v>
      </c>
      <c r="CD469" s="7">
        <v>0.94354800000000005</v>
      </c>
      <c r="CE469" s="7">
        <v>50</v>
      </c>
      <c r="CF469" s="7">
        <v>50</v>
      </c>
      <c r="CG469" s="4" t="s">
        <v>124</v>
      </c>
      <c r="CH469" s="4" t="s">
        <v>124</v>
      </c>
      <c r="CI469" s="4" t="s">
        <v>124</v>
      </c>
      <c r="CJ469" s="4" t="s">
        <v>124</v>
      </c>
      <c r="CK469" s="4" t="s">
        <v>124</v>
      </c>
      <c r="CL469" s="4" t="s">
        <v>124</v>
      </c>
      <c r="CM469" s="4" t="s">
        <v>124</v>
      </c>
      <c r="CN469" s="4" t="s">
        <v>124</v>
      </c>
      <c r="CO469" s="4" t="s">
        <v>124</v>
      </c>
      <c r="CP469" s="4" t="s">
        <v>124</v>
      </c>
      <c r="CQ469" s="7">
        <v>0.61316899999999996</v>
      </c>
      <c r="CR469" s="7">
        <v>0.97590399999999999</v>
      </c>
      <c r="CS469" s="7">
        <v>40.877915000000002</v>
      </c>
      <c r="CT469" s="7">
        <v>50</v>
      </c>
      <c r="CU469" s="4" t="s">
        <v>124</v>
      </c>
      <c r="CV469" s="4" t="s">
        <v>124</v>
      </c>
      <c r="CW469" s="4" t="s">
        <v>124</v>
      </c>
      <c r="CX469" s="4" t="s">
        <v>124</v>
      </c>
      <c r="CY469" s="4" t="s">
        <v>124</v>
      </c>
      <c r="CZ469" s="4" t="s">
        <v>124</v>
      </c>
      <c r="DA469" s="7">
        <v>15.314097</v>
      </c>
      <c r="DB469" s="7">
        <v>17.400950000000002</v>
      </c>
      <c r="DC469" s="7">
        <v>16.332519999999999</v>
      </c>
      <c r="DD469" s="4" t="s">
        <v>124</v>
      </c>
      <c r="DE469" s="7">
        <v>0</v>
      </c>
      <c r="DF469" s="6"/>
      <c r="DG469" s="6"/>
      <c r="DH469" s="6"/>
      <c r="DI469" s="6"/>
      <c r="DJ469" s="7">
        <v>0</v>
      </c>
      <c r="DK469" s="7">
        <v>0</v>
      </c>
      <c r="DL469" s="7">
        <v>0</v>
      </c>
      <c r="DM469" s="7">
        <v>0</v>
      </c>
      <c r="DN469" s="7">
        <v>0</v>
      </c>
      <c r="DO469" s="7">
        <v>0</v>
      </c>
      <c r="DP469" s="6"/>
      <c r="DQ469" s="4" t="s">
        <v>125</v>
      </c>
    </row>
    <row r="470" spans="1:121" ht="20" customHeight="1" x14ac:dyDescent="0.15">
      <c r="A470" s="5">
        <v>2018</v>
      </c>
      <c r="B470" s="3" t="s">
        <v>181</v>
      </c>
      <c r="C470" s="4" t="str">
        <f t="shared" si="56"/>
        <v>0590011</v>
      </c>
      <c r="D470" s="4" t="s">
        <v>624</v>
      </c>
      <c r="E470" s="4" t="str">
        <f>"0595311"</f>
        <v>0595311</v>
      </c>
      <c r="F470" s="4" t="s">
        <v>327</v>
      </c>
      <c r="G470" s="7">
        <v>6</v>
      </c>
      <c r="H470" s="7">
        <v>8</v>
      </c>
      <c r="I470" s="6"/>
      <c r="J470" s="4" t="s">
        <v>330</v>
      </c>
      <c r="K470" s="7">
        <v>609.44465300000002</v>
      </c>
      <c r="L470" s="7">
        <v>900</v>
      </c>
      <c r="M470" s="7">
        <v>67.716072999999994</v>
      </c>
      <c r="N470" s="7">
        <v>3</v>
      </c>
      <c r="O470" s="7">
        <v>1</v>
      </c>
      <c r="P470" s="7">
        <v>70.343879999999999</v>
      </c>
      <c r="Q470" s="7">
        <v>46.895919999999997</v>
      </c>
      <c r="R470" s="7">
        <v>50</v>
      </c>
      <c r="S470" s="7">
        <v>59.079979000000002</v>
      </c>
      <c r="T470" s="7">
        <v>75</v>
      </c>
      <c r="U470" s="7">
        <v>39.386653000000003</v>
      </c>
      <c r="V470" s="7">
        <v>50</v>
      </c>
      <c r="W470" s="7">
        <v>63.319206000000001</v>
      </c>
      <c r="X470" s="7">
        <v>42.212803999999998</v>
      </c>
      <c r="Y470" s="7">
        <v>50</v>
      </c>
      <c r="Z470" s="7">
        <v>73.592185999999998</v>
      </c>
      <c r="AA470" s="7">
        <v>52.201262999999997</v>
      </c>
      <c r="AB470" s="7">
        <v>34.800842000000003</v>
      </c>
      <c r="AC470" s="7">
        <v>50</v>
      </c>
      <c r="AD470" s="7">
        <v>62.746558</v>
      </c>
      <c r="AE470" s="7">
        <v>41.831038999999997</v>
      </c>
      <c r="AF470" s="7">
        <v>50</v>
      </c>
      <c r="AG470" s="7">
        <v>53.924126000000001</v>
      </c>
      <c r="AH470" s="7">
        <v>71.206423999999998</v>
      </c>
      <c r="AI470" s="7">
        <v>35.949416999999997</v>
      </c>
      <c r="AJ470" s="7">
        <v>50</v>
      </c>
      <c r="AK470" s="7">
        <v>15.92</v>
      </c>
      <c r="AL470" s="7">
        <v>21.39</v>
      </c>
      <c r="AM470" s="7">
        <v>17.28</v>
      </c>
      <c r="AN470" s="7">
        <v>0.49902099999999999</v>
      </c>
      <c r="AO470" s="7">
        <v>49.902107999999998</v>
      </c>
      <c r="AP470" s="7">
        <v>100</v>
      </c>
      <c r="AQ470" s="7">
        <v>0.55530000000000002</v>
      </c>
      <c r="AR470" s="7">
        <v>55.529972999999998</v>
      </c>
      <c r="AS470" s="7">
        <v>100</v>
      </c>
      <c r="AT470" s="7">
        <v>0.45436500000000002</v>
      </c>
      <c r="AU470" s="7">
        <v>0.53696100000000002</v>
      </c>
      <c r="AV470" s="7">
        <v>45.436506999999999</v>
      </c>
      <c r="AW470" s="7">
        <v>100</v>
      </c>
      <c r="AX470" s="7">
        <v>0.50410100000000002</v>
      </c>
      <c r="AY470" s="7">
        <v>0.59879800000000005</v>
      </c>
      <c r="AZ470" s="7">
        <v>50.410055</v>
      </c>
      <c r="BA470" s="7">
        <v>100</v>
      </c>
      <c r="BB470" s="4" t="s">
        <v>124</v>
      </c>
      <c r="BC470" s="4" t="s">
        <v>124</v>
      </c>
      <c r="BD470" s="4" t="s">
        <v>124</v>
      </c>
      <c r="BE470" s="4" t="s">
        <v>124</v>
      </c>
      <c r="BF470" s="4" t="s">
        <v>124</v>
      </c>
      <c r="BG470" s="4" t="s">
        <v>124</v>
      </c>
      <c r="BH470" s="7">
        <v>0</v>
      </c>
      <c r="BI470" s="7">
        <v>0.99796700000000005</v>
      </c>
      <c r="BJ470" s="7">
        <v>1</v>
      </c>
      <c r="BK470" s="7">
        <v>0.99603200000000003</v>
      </c>
      <c r="BL470" s="7">
        <v>0.99796700000000005</v>
      </c>
      <c r="BM470" s="7">
        <v>1</v>
      </c>
      <c r="BN470" s="7">
        <v>0.99603200000000003</v>
      </c>
      <c r="BO470" s="7">
        <v>0.99315100000000001</v>
      </c>
      <c r="BP470" s="7">
        <v>1</v>
      </c>
      <c r="BQ470" s="7">
        <v>0.98648599999999997</v>
      </c>
      <c r="BR470" s="7">
        <v>7.9268000000000005E-2</v>
      </c>
      <c r="BS470" s="7">
        <v>44.146341</v>
      </c>
      <c r="BT470" s="7">
        <v>50</v>
      </c>
      <c r="BU470" s="7">
        <v>0.10878699999999999</v>
      </c>
      <c r="BV470" s="7">
        <v>38.242677999999998</v>
      </c>
      <c r="BW470" s="7">
        <v>50</v>
      </c>
      <c r="BX470" s="4" t="s">
        <v>124</v>
      </c>
      <c r="BY470" s="4" t="s">
        <v>124</v>
      </c>
      <c r="BZ470" s="4" t="s">
        <v>124</v>
      </c>
      <c r="CA470" s="4" t="s">
        <v>124</v>
      </c>
      <c r="CB470" s="4" t="s">
        <v>124</v>
      </c>
      <c r="CC470" s="4" t="s">
        <v>124</v>
      </c>
      <c r="CD470" s="7">
        <v>0.97560999999999998</v>
      </c>
      <c r="CE470" s="7">
        <v>50</v>
      </c>
      <c r="CF470" s="7">
        <v>50</v>
      </c>
      <c r="CG470" s="4" t="s">
        <v>124</v>
      </c>
      <c r="CH470" s="4" t="s">
        <v>124</v>
      </c>
      <c r="CI470" s="4" t="s">
        <v>124</v>
      </c>
      <c r="CJ470" s="4" t="s">
        <v>124</v>
      </c>
      <c r="CK470" s="4" t="s">
        <v>124</v>
      </c>
      <c r="CL470" s="4" t="s">
        <v>124</v>
      </c>
      <c r="CM470" s="4" t="s">
        <v>124</v>
      </c>
      <c r="CN470" s="4" t="s">
        <v>124</v>
      </c>
      <c r="CO470" s="4" t="s">
        <v>124</v>
      </c>
      <c r="CP470" s="4" t="s">
        <v>124</v>
      </c>
      <c r="CQ470" s="7">
        <v>0.520505</v>
      </c>
      <c r="CR470" s="7">
        <v>0.95481899999999997</v>
      </c>
      <c r="CS470" s="7">
        <v>34.700315000000003</v>
      </c>
      <c r="CT470" s="7">
        <v>50</v>
      </c>
      <c r="CU470" s="4" t="s">
        <v>124</v>
      </c>
      <c r="CV470" s="4" t="s">
        <v>124</v>
      </c>
      <c r="CW470" s="4" t="s">
        <v>124</v>
      </c>
      <c r="CX470" s="4" t="s">
        <v>124</v>
      </c>
      <c r="CY470" s="4" t="s">
        <v>124</v>
      </c>
      <c r="CZ470" s="4" t="s">
        <v>124</v>
      </c>
      <c r="DA470" s="7">
        <v>15.314097</v>
      </c>
      <c r="DB470" s="7">
        <v>17.400950000000002</v>
      </c>
      <c r="DC470" s="7">
        <v>16.332519999999999</v>
      </c>
      <c r="DD470" s="4" t="s">
        <v>124</v>
      </c>
      <c r="DE470" s="7">
        <v>1</v>
      </c>
      <c r="DF470" s="6"/>
      <c r="DG470" s="6"/>
      <c r="DH470" s="6"/>
      <c r="DI470" s="6"/>
      <c r="DJ470" s="7">
        <v>0</v>
      </c>
      <c r="DK470" s="7">
        <v>0</v>
      </c>
      <c r="DL470" s="7">
        <v>0</v>
      </c>
      <c r="DM470" s="7">
        <v>0</v>
      </c>
      <c r="DN470" s="7">
        <v>0</v>
      </c>
      <c r="DO470" s="7">
        <v>0</v>
      </c>
      <c r="DP470" s="6"/>
      <c r="DQ470" s="4" t="s">
        <v>125</v>
      </c>
    </row>
    <row r="471" spans="1:121" ht="20" customHeight="1" x14ac:dyDescent="0.15">
      <c r="A471" s="5">
        <v>2018</v>
      </c>
      <c r="B471" s="3" t="s">
        <v>181</v>
      </c>
      <c r="C471" s="4" t="str">
        <f t="shared" ref="C471:C478" si="208">"0590011"</f>
        <v>0590011</v>
      </c>
      <c r="D471" s="4" t="s">
        <v>625</v>
      </c>
      <c r="E471" s="4" t="str">
        <f>"0592011"</f>
        <v>0592011</v>
      </c>
      <c r="F471" s="4" t="s">
        <v>327</v>
      </c>
      <c r="G471" s="4" t="s">
        <v>328</v>
      </c>
      <c r="H471" s="7">
        <v>5</v>
      </c>
      <c r="I471" s="4" t="s">
        <v>335</v>
      </c>
      <c r="J471" s="4" t="s">
        <v>330</v>
      </c>
      <c r="K471" s="7">
        <v>668.44656399999997</v>
      </c>
      <c r="L471" s="7">
        <v>950</v>
      </c>
      <c r="M471" s="7">
        <v>70.362796000000003</v>
      </c>
      <c r="N471" s="7">
        <v>2</v>
      </c>
      <c r="O471" s="7">
        <v>0</v>
      </c>
      <c r="P471" s="7">
        <v>71.510559999999998</v>
      </c>
      <c r="Q471" s="7">
        <v>47.673706000000003</v>
      </c>
      <c r="R471" s="7">
        <v>50</v>
      </c>
      <c r="S471" s="7">
        <v>66.403498999999996</v>
      </c>
      <c r="T471" s="7">
        <v>75</v>
      </c>
      <c r="U471" s="7">
        <v>44.268999000000001</v>
      </c>
      <c r="V471" s="7">
        <v>50</v>
      </c>
      <c r="W471" s="7">
        <v>62.928938000000002</v>
      </c>
      <c r="X471" s="7">
        <v>41.952624999999998</v>
      </c>
      <c r="Y471" s="7">
        <v>50</v>
      </c>
      <c r="Z471" s="7">
        <v>74.471943999999993</v>
      </c>
      <c r="AA471" s="7">
        <v>57.698512999999998</v>
      </c>
      <c r="AB471" s="7">
        <v>38.465674999999997</v>
      </c>
      <c r="AC471" s="7">
        <v>50</v>
      </c>
      <c r="AD471" s="7">
        <v>68.886823000000007</v>
      </c>
      <c r="AE471" s="7">
        <v>45.924548999999999</v>
      </c>
      <c r="AF471" s="7">
        <v>50</v>
      </c>
      <c r="AG471" s="7">
        <v>67.122281000000001</v>
      </c>
      <c r="AH471" s="4" t="s">
        <v>124</v>
      </c>
      <c r="AI471" s="7">
        <v>44.748187000000001</v>
      </c>
      <c r="AJ471" s="7">
        <v>50</v>
      </c>
      <c r="AK471" s="7">
        <v>8.59</v>
      </c>
      <c r="AL471" s="7">
        <v>16.77</v>
      </c>
      <c r="AM471" s="4" t="s">
        <v>124</v>
      </c>
      <c r="AN471" s="7">
        <v>0.67378700000000002</v>
      </c>
      <c r="AO471" s="7">
        <v>67.378742000000003</v>
      </c>
      <c r="AP471" s="7">
        <v>100</v>
      </c>
      <c r="AQ471" s="7">
        <v>0.61034200000000005</v>
      </c>
      <c r="AR471" s="7">
        <v>61.034165999999999</v>
      </c>
      <c r="AS471" s="7">
        <v>100</v>
      </c>
      <c r="AT471" s="7">
        <v>0.660327</v>
      </c>
      <c r="AU471" s="7">
        <v>0.70609200000000005</v>
      </c>
      <c r="AV471" s="7">
        <v>66.032713999999999</v>
      </c>
      <c r="AW471" s="7">
        <v>100</v>
      </c>
      <c r="AX471" s="7">
        <v>0.61353800000000003</v>
      </c>
      <c r="AY471" s="7">
        <v>0.60267000000000004</v>
      </c>
      <c r="AZ471" s="7">
        <v>61.353814</v>
      </c>
      <c r="BA471" s="7">
        <v>100</v>
      </c>
      <c r="BB471" s="7">
        <v>0.73030600000000001</v>
      </c>
      <c r="BC471" s="7">
        <v>36.515282999999997</v>
      </c>
      <c r="BD471" s="7">
        <v>50</v>
      </c>
      <c r="BE471" s="7">
        <v>0.57190399999999997</v>
      </c>
      <c r="BF471" s="7">
        <v>28.595175999999999</v>
      </c>
      <c r="BG471" s="7">
        <v>50</v>
      </c>
      <c r="BH471" s="7">
        <v>0</v>
      </c>
      <c r="BI471" s="7">
        <v>1</v>
      </c>
      <c r="BJ471" s="7">
        <v>1</v>
      </c>
      <c r="BK471" s="7">
        <v>1</v>
      </c>
      <c r="BL471" s="7">
        <v>1</v>
      </c>
      <c r="BM471" s="7">
        <v>1</v>
      </c>
      <c r="BN471" s="7">
        <v>1</v>
      </c>
      <c r="BO471" s="7">
        <v>1</v>
      </c>
      <c r="BP471" s="7">
        <v>1</v>
      </c>
      <c r="BQ471" s="4" t="s">
        <v>124</v>
      </c>
      <c r="BR471" s="7">
        <v>8.1840999999999997E-2</v>
      </c>
      <c r="BS471" s="7">
        <v>43.631714000000002</v>
      </c>
      <c r="BT471" s="7">
        <v>50</v>
      </c>
      <c r="BU471" s="7">
        <v>0.106061</v>
      </c>
      <c r="BV471" s="7">
        <v>38.787878999999997</v>
      </c>
      <c r="BW471" s="7">
        <v>50</v>
      </c>
      <c r="BX471" s="4" t="s">
        <v>124</v>
      </c>
      <c r="BY471" s="4" t="s">
        <v>124</v>
      </c>
      <c r="BZ471" s="4" t="s">
        <v>124</v>
      </c>
      <c r="CA471" s="4" t="s">
        <v>124</v>
      </c>
      <c r="CB471" s="4" t="s">
        <v>124</v>
      </c>
      <c r="CC471" s="4" t="s">
        <v>124</v>
      </c>
      <c r="CD471" s="4" t="s">
        <v>124</v>
      </c>
      <c r="CE471" s="4" t="s">
        <v>124</v>
      </c>
      <c r="CF471" s="4" t="s">
        <v>124</v>
      </c>
      <c r="CG471" s="4" t="s">
        <v>124</v>
      </c>
      <c r="CH471" s="4" t="s">
        <v>124</v>
      </c>
      <c r="CI471" s="4" t="s">
        <v>124</v>
      </c>
      <c r="CJ471" s="4" t="s">
        <v>124</v>
      </c>
      <c r="CK471" s="4" t="s">
        <v>124</v>
      </c>
      <c r="CL471" s="4" t="s">
        <v>124</v>
      </c>
      <c r="CM471" s="4" t="s">
        <v>124</v>
      </c>
      <c r="CN471" s="4" t="s">
        <v>124</v>
      </c>
      <c r="CO471" s="4" t="s">
        <v>124</v>
      </c>
      <c r="CP471" s="4" t="s">
        <v>124</v>
      </c>
      <c r="CQ471" s="7">
        <v>3.125E-2</v>
      </c>
      <c r="CR471" s="7">
        <v>0.98461500000000002</v>
      </c>
      <c r="CS471" s="7">
        <v>2.0833330000000001</v>
      </c>
      <c r="CT471" s="7">
        <v>50</v>
      </c>
      <c r="CU471" s="4" t="s">
        <v>124</v>
      </c>
      <c r="CV471" s="4" t="s">
        <v>124</v>
      </c>
      <c r="CW471" s="4" t="s">
        <v>124</v>
      </c>
      <c r="CX471" s="4" t="s">
        <v>124</v>
      </c>
      <c r="CY471" s="4" t="s">
        <v>124</v>
      </c>
      <c r="CZ471" s="4" t="s">
        <v>124</v>
      </c>
      <c r="DA471" s="7">
        <v>15.314097</v>
      </c>
      <c r="DB471" s="7">
        <v>17.400950000000002</v>
      </c>
      <c r="DC471" s="7">
        <v>16.332519999999999</v>
      </c>
      <c r="DD471" s="4" t="s">
        <v>124</v>
      </c>
      <c r="DE471" s="7">
        <v>0</v>
      </c>
      <c r="DF471" s="6"/>
      <c r="DG471" s="6"/>
      <c r="DH471" s="6"/>
      <c r="DI471" s="6"/>
      <c r="DJ471" s="7">
        <v>0</v>
      </c>
      <c r="DK471" s="7">
        <v>0</v>
      </c>
      <c r="DL471" s="7">
        <v>0</v>
      </c>
      <c r="DM471" s="7">
        <v>0</v>
      </c>
      <c r="DN471" s="7">
        <v>0</v>
      </c>
      <c r="DO471" s="7">
        <v>0</v>
      </c>
      <c r="DP471" s="6"/>
      <c r="DQ471" s="4" t="s">
        <v>125</v>
      </c>
    </row>
    <row r="472" spans="1:121" ht="20" customHeight="1" x14ac:dyDescent="0.15">
      <c r="A472" s="5">
        <v>2018</v>
      </c>
      <c r="B472" s="3" t="s">
        <v>181</v>
      </c>
      <c r="C472" s="4" t="str">
        <f t="shared" si="208"/>
        <v>0590011</v>
      </c>
      <c r="D472" s="4" t="s">
        <v>626</v>
      </c>
      <c r="E472" s="4" t="str">
        <f>"0591811"</f>
        <v>0591811</v>
      </c>
      <c r="F472" s="4" t="s">
        <v>327</v>
      </c>
      <c r="G472" s="4" t="s">
        <v>338</v>
      </c>
      <c r="H472" s="7">
        <v>5</v>
      </c>
      <c r="I472" s="6"/>
      <c r="J472" s="4" t="s">
        <v>330</v>
      </c>
      <c r="K472" s="7">
        <v>667.29891399999997</v>
      </c>
      <c r="L472" s="7">
        <v>850</v>
      </c>
      <c r="M472" s="7">
        <v>78.505754999999994</v>
      </c>
      <c r="N472" s="7">
        <v>2</v>
      </c>
      <c r="O472" s="7">
        <v>0</v>
      </c>
      <c r="P472" s="7">
        <v>71.091894999999994</v>
      </c>
      <c r="Q472" s="7">
        <v>47.394596999999997</v>
      </c>
      <c r="R472" s="7">
        <v>50</v>
      </c>
      <c r="S472" s="7">
        <v>65.007284999999996</v>
      </c>
      <c r="T472" s="7">
        <v>75</v>
      </c>
      <c r="U472" s="7">
        <v>43.338189999999997</v>
      </c>
      <c r="V472" s="7">
        <v>50</v>
      </c>
      <c r="W472" s="7">
        <v>67.224168000000006</v>
      </c>
      <c r="X472" s="7">
        <v>44.816111999999997</v>
      </c>
      <c r="Y472" s="7">
        <v>50</v>
      </c>
      <c r="Z472" s="7">
        <v>72.785038</v>
      </c>
      <c r="AA472" s="7">
        <v>61.994303000000002</v>
      </c>
      <c r="AB472" s="7">
        <v>41.329535</v>
      </c>
      <c r="AC472" s="7">
        <v>50</v>
      </c>
      <c r="AD472" s="7">
        <v>69.264516</v>
      </c>
      <c r="AE472" s="7">
        <v>46.176344</v>
      </c>
      <c r="AF472" s="7">
        <v>50</v>
      </c>
      <c r="AG472" s="7">
        <v>61.847073000000002</v>
      </c>
      <c r="AH472" s="7">
        <v>75</v>
      </c>
      <c r="AI472" s="7">
        <v>41.231382000000004</v>
      </c>
      <c r="AJ472" s="7">
        <v>50</v>
      </c>
      <c r="AK472" s="7">
        <v>9.99</v>
      </c>
      <c r="AL472" s="7">
        <v>10.79</v>
      </c>
      <c r="AM472" s="7">
        <v>13.15</v>
      </c>
      <c r="AN472" s="7">
        <v>0.61901700000000004</v>
      </c>
      <c r="AO472" s="7">
        <v>61.901704000000002</v>
      </c>
      <c r="AP472" s="7">
        <v>100</v>
      </c>
      <c r="AQ472" s="7">
        <v>0.79480099999999998</v>
      </c>
      <c r="AR472" s="7">
        <v>79.480115999999995</v>
      </c>
      <c r="AS472" s="7">
        <v>100</v>
      </c>
      <c r="AT472" s="7">
        <v>0.57312700000000005</v>
      </c>
      <c r="AU472" s="7">
        <v>0.67225000000000001</v>
      </c>
      <c r="AV472" s="7">
        <v>57.312658999999996</v>
      </c>
      <c r="AW472" s="7">
        <v>100</v>
      </c>
      <c r="AX472" s="7">
        <v>0.75657700000000006</v>
      </c>
      <c r="AY472" s="7">
        <v>0.83914100000000003</v>
      </c>
      <c r="AZ472" s="7">
        <v>75.657714999999996</v>
      </c>
      <c r="BA472" s="7">
        <v>100</v>
      </c>
      <c r="BB472" s="4" t="s">
        <v>124</v>
      </c>
      <c r="BC472" s="4" t="s">
        <v>124</v>
      </c>
      <c r="BD472" s="4" t="s">
        <v>124</v>
      </c>
      <c r="BE472" s="4" t="s">
        <v>124</v>
      </c>
      <c r="BF472" s="4" t="s">
        <v>124</v>
      </c>
      <c r="BG472" s="4" t="s">
        <v>124</v>
      </c>
      <c r="BH472" s="7">
        <v>0</v>
      </c>
      <c r="BI472" s="7">
        <v>0.99434999999999996</v>
      </c>
      <c r="BJ472" s="7">
        <v>1</v>
      </c>
      <c r="BK472" s="7">
        <v>0.98795200000000005</v>
      </c>
      <c r="BL472" s="7">
        <v>0.99434999999999996</v>
      </c>
      <c r="BM472" s="7">
        <v>1</v>
      </c>
      <c r="BN472" s="7">
        <v>0.98795200000000005</v>
      </c>
      <c r="BO472" s="7">
        <v>0.98305100000000001</v>
      </c>
      <c r="BP472" s="7">
        <v>1</v>
      </c>
      <c r="BQ472" s="7">
        <v>0.96774199999999999</v>
      </c>
      <c r="BR472" s="7">
        <v>8.3095000000000002E-2</v>
      </c>
      <c r="BS472" s="7">
        <v>43.381089000000003</v>
      </c>
      <c r="BT472" s="7">
        <v>50</v>
      </c>
      <c r="BU472" s="7">
        <v>9.7560999999999995E-2</v>
      </c>
      <c r="BV472" s="7">
        <v>40.487805000000002</v>
      </c>
      <c r="BW472" s="7">
        <v>50</v>
      </c>
      <c r="BX472" s="4" t="s">
        <v>124</v>
      </c>
      <c r="BY472" s="4" t="s">
        <v>124</v>
      </c>
      <c r="BZ472" s="4" t="s">
        <v>124</v>
      </c>
      <c r="CA472" s="4" t="s">
        <v>124</v>
      </c>
      <c r="CB472" s="4" t="s">
        <v>124</v>
      </c>
      <c r="CC472" s="4" t="s">
        <v>124</v>
      </c>
      <c r="CD472" s="4" t="s">
        <v>124</v>
      </c>
      <c r="CE472" s="4" t="s">
        <v>124</v>
      </c>
      <c r="CF472" s="4" t="s">
        <v>124</v>
      </c>
      <c r="CG472" s="4" t="s">
        <v>124</v>
      </c>
      <c r="CH472" s="4" t="s">
        <v>124</v>
      </c>
      <c r="CI472" s="4" t="s">
        <v>124</v>
      </c>
      <c r="CJ472" s="4" t="s">
        <v>124</v>
      </c>
      <c r="CK472" s="4" t="s">
        <v>124</v>
      </c>
      <c r="CL472" s="4" t="s">
        <v>124</v>
      </c>
      <c r="CM472" s="4" t="s">
        <v>124</v>
      </c>
      <c r="CN472" s="4" t="s">
        <v>124</v>
      </c>
      <c r="CO472" s="4" t="s">
        <v>124</v>
      </c>
      <c r="CP472" s="4" t="s">
        <v>124</v>
      </c>
      <c r="CQ472" s="7">
        <v>0.671875</v>
      </c>
      <c r="CR472" s="7">
        <v>1</v>
      </c>
      <c r="CS472" s="7">
        <v>44.791666999999997</v>
      </c>
      <c r="CT472" s="7">
        <v>50</v>
      </c>
      <c r="CU472" s="4" t="s">
        <v>124</v>
      </c>
      <c r="CV472" s="4" t="s">
        <v>124</v>
      </c>
      <c r="CW472" s="4" t="s">
        <v>124</v>
      </c>
      <c r="CX472" s="4" t="s">
        <v>124</v>
      </c>
      <c r="CY472" s="4" t="s">
        <v>124</v>
      </c>
      <c r="CZ472" s="4" t="s">
        <v>124</v>
      </c>
      <c r="DA472" s="7">
        <v>15.314097</v>
      </c>
      <c r="DB472" s="7">
        <v>17.400950000000002</v>
      </c>
      <c r="DC472" s="7">
        <v>16.332519999999999</v>
      </c>
      <c r="DD472" s="4" t="s">
        <v>124</v>
      </c>
      <c r="DE472" s="7">
        <v>0</v>
      </c>
      <c r="DF472" s="6"/>
      <c r="DG472" s="6"/>
      <c r="DH472" s="6"/>
      <c r="DI472" s="6"/>
      <c r="DJ472" s="7">
        <v>0</v>
      </c>
      <c r="DK472" s="7">
        <v>0</v>
      </c>
      <c r="DL472" s="7">
        <v>0</v>
      </c>
      <c r="DM472" s="7">
        <v>0</v>
      </c>
      <c r="DN472" s="7">
        <v>0</v>
      </c>
      <c r="DO472" s="7">
        <v>0</v>
      </c>
      <c r="DP472" s="6"/>
      <c r="DQ472" s="4" t="s">
        <v>125</v>
      </c>
    </row>
    <row r="473" spans="1:121" ht="20" customHeight="1" x14ac:dyDescent="0.15">
      <c r="A473" s="5">
        <v>2018</v>
      </c>
      <c r="B473" s="3" t="s">
        <v>181</v>
      </c>
      <c r="C473" s="4" t="str">
        <f t="shared" si="208"/>
        <v>0590011</v>
      </c>
      <c r="D473" s="4" t="s">
        <v>627</v>
      </c>
      <c r="E473" s="4" t="str">
        <f>"0590311"</f>
        <v>0590311</v>
      </c>
      <c r="F473" s="4" t="s">
        <v>327</v>
      </c>
      <c r="G473" s="4" t="s">
        <v>328</v>
      </c>
      <c r="H473" s="7">
        <v>5</v>
      </c>
      <c r="I473" s="4" t="s">
        <v>335</v>
      </c>
      <c r="J473" s="4" t="s">
        <v>330</v>
      </c>
      <c r="K473" s="7">
        <v>689.78230299999996</v>
      </c>
      <c r="L473" s="7">
        <v>850</v>
      </c>
      <c r="M473" s="7">
        <v>81.150858999999997</v>
      </c>
      <c r="N473" s="7">
        <v>2</v>
      </c>
      <c r="O473" s="7">
        <v>0</v>
      </c>
      <c r="P473" s="7">
        <v>66.227692000000005</v>
      </c>
      <c r="Q473" s="7">
        <v>44.151795</v>
      </c>
      <c r="R473" s="7">
        <v>50</v>
      </c>
      <c r="S473" s="7">
        <v>64.026425000000003</v>
      </c>
      <c r="T473" s="4" t="s">
        <v>124</v>
      </c>
      <c r="U473" s="7">
        <v>42.684283000000001</v>
      </c>
      <c r="V473" s="7">
        <v>50</v>
      </c>
      <c r="W473" s="7">
        <v>64.696727999999993</v>
      </c>
      <c r="X473" s="7">
        <v>43.131152</v>
      </c>
      <c r="Y473" s="7">
        <v>50</v>
      </c>
      <c r="Z473" s="4" t="s">
        <v>124</v>
      </c>
      <c r="AA473" s="7">
        <v>63.316361999999998</v>
      </c>
      <c r="AB473" s="7">
        <v>42.210908000000003</v>
      </c>
      <c r="AC473" s="7">
        <v>50</v>
      </c>
      <c r="AD473" s="7">
        <v>67.119713000000004</v>
      </c>
      <c r="AE473" s="7">
        <v>44.746476000000001</v>
      </c>
      <c r="AF473" s="7">
        <v>50</v>
      </c>
      <c r="AG473" s="7">
        <v>65.495756</v>
      </c>
      <c r="AH473" s="4" t="s">
        <v>124</v>
      </c>
      <c r="AI473" s="7">
        <v>43.663837000000001</v>
      </c>
      <c r="AJ473" s="7">
        <v>50</v>
      </c>
      <c r="AK473" s="4" t="s">
        <v>124</v>
      </c>
      <c r="AL473" s="4" t="s">
        <v>124</v>
      </c>
      <c r="AM473" s="4" t="s">
        <v>124</v>
      </c>
      <c r="AN473" s="7">
        <v>0.80194500000000002</v>
      </c>
      <c r="AO473" s="7">
        <v>80.194535999999999</v>
      </c>
      <c r="AP473" s="7">
        <v>100</v>
      </c>
      <c r="AQ473" s="7">
        <v>0.83054499999999998</v>
      </c>
      <c r="AR473" s="7">
        <v>83.054531999999995</v>
      </c>
      <c r="AS473" s="7">
        <v>100</v>
      </c>
      <c r="AT473" s="7">
        <v>0.77656000000000003</v>
      </c>
      <c r="AU473" s="4" t="s">
        <v>124</v>
      </c>
      <c r="AV473" s="7">
        <v>77.656031999999996</v>
      </c>
      <c r="AW473" s="7">
        <v>100</v>
      </c>
      <c r="AX473" s="7">
        <v>0.81775600000000004</v>
      </c>
      <c r="AY473" s="4" t="s">
        <v>124</v>
      </c>
      <c r="AZ473" s="7">
        <v>81.775569000000004</v>
      </c>
      <c r="BA473" s="7">
        <v>100</v>
      </c>
      <c r="BB473" s="4" t="s">
        <v>124</v>
      </c>
      <c r="BC473" s="4" t="s">
        <v>124</v>
      </c>
      <c r="BD473" s="4" t="s">
        <v>124</v>
      </c>
      <c r="BE473" s="4" t="s">
        <v>124</v>
      </c>
      <c r="BF473" s="4" t="s">
        <v>124</v>
      </c>
      <c r="BG473" s="4" t="s">
        <v>124</v>
      </c>
      <c r="BH473" s="7">
        <v>0</v>
      </c>
      <c r="BI473" s="7">
        <v>1</v>
      </c>
      <c r="BJ473" s="7">
        <v>1</v>
      </c>
      <c r="BK473" s="4" t="s">
        <v>124</v>
      </c>
      <c r="BL473" s="7">
        <v>1</v>
      </c>
      <c r="BM473" s="7">
        <v>1</v>
      </c>
      <c r="BN473" s="4" t="s">
        <v>124</v>
      </c>
      <c r="BO473" s="7">
        <v>1</v>
      </c>
      <c r="BP473" s="7">
        <v>1</v>
      </c>
      <c r="BQ473" s="4" t="s">
        <v>124</v>
      </c>
      <c r="BR473" s="7">
        <v>0.14433000000000001</v>
      </c>
      <c r="BS473" s="7">
        <v>31.134021000000001</v>
      </c>
      <c r="BT473" s="7">
        <v>50</v>
      </c>
      <c r="BU473" s="7">
        <v>0.148594</v>
      </c>
      <c r="BV473" s="7">
        <v>30.281123999999998</v>
      </c>
      <c r="BW473" s="7">
        <v>50</v>
      </c>
      <c r="BX473" s="4" t="s">
        <v>124</v>
      </c>
      <c r="BY473" s="4" t="s">
        <v>124</v>
      </c>
      <c r="BZ473" s="4" t="s">
        <v>124</v>
      </c>
      <c r="CA473" s="4" t="s">
        <v>124</v>
      </c>
      <c r="CB473" s="4" t="s">
        <v>124</v>
      </c>
      <c r="CC473" s="4" t="s">
        <v>124</v>
      </c>
      <c r="CD473" s="4" t="s">
        <v>124</v>
      </c>
      <c r="CE473" s="4" t="s">
        <v>124</v>
      </c>
      <c r="CF473" s="4" t="s">
        <v>124</v>
      </c>
      <c r="CG473" s="4" t="s">
        <v>124</v>
      </c>
      <c r="CH473" s="4" t="s">
        <v>124</v>
      </c>
      <c r="CI473" s="4" t="s">
        <v>124</v>
      </c>
      <c r="CJ473" s="4" t="s">
        <v>124</v>
      </c>
      <c r="CK473" s="4" t="s">
        <v>124</v>
      </c>
      <c r="CL473" s="4" t="s">
        <v>124</v>
      </c>
      <c r="CM473" s="4" t="s">
        <v>124</v>
      </c>
      <c r="CN473" s="4" t="s">
        <v>124</v>
      </c>
      <c r="CO473" s="4" t="s">
        <v>124</v>
      </c>
      <c r="CP473" s="4" t="s">
        <v>124</v>
      </c>
      <c r="CQ473" s="7">
        <v>0.67647100000000004</v>
      </c>
      <c r="CR473" s="7">
        <v>0.91891900000000004</v>
      </c>
      <c r="CS473" s="7">
        <v>45.098039</v>
      </c>
      <c r="CT473" s="7">
        <v>50</v>
      </c>
      <c r="CU473" s="4" t="s">
        <v>124</v>
      </c>
      <c r="CV473" s="4" t="s">
        <v>124</v>
      </c>
      <c r="CW473" s="4" t="s">
        <v>124</v>
      </c>
      <c r="CX473" s="4" t="s">
        <v>124</v>
      </c>
      <c r="CY473" s="4" t="s">
        <v>124</v>
      </c>
      <c r="CZ473" s="4" t="s">
        <v>124</v>
      </c>
      <c r="DA473" s="7">
        <v>15.314097</v>
      </c>
      <c r="DB473" s="7">
        <v>17.400950000000002</v>
      </c>
      <c r="DC473" s="7">
        <v>16.332519999999999</v>
      </c>
      <c r="DD473" s="4" t="s">
        <v>124</v>
      </c>
      <c r="DE473" s="7">
        <v>0</v>
      </c>
      <c r="DF473" s="6"/>
      <c r="DG473" s="6"/>
      <c r="DH473" s="4" t="s">
        <v>331</v>
      </c>
      <c r="DI473" s="4" t="s">
        <v>628</v>
      </c>
      <c r="DJ473" s="7">
        <v>0</v>
      </c>
      <c r="DK473" s="7">
        <v>1</v>
      </c>
      <c r="DL473" s="7">
        <v>0</v>
      </c>
      <c r="DM473" s="7">
        <v>1</v>
      </c>
      <c r="DN473" s="7">
        <v>1</v>
      </c>
      <c r="DO473" s="7">
        <v>0</v>
      </c>
      <c r="DP473" s="6"/>
      <c r="DQ473" s="4" t="s">
        <v>125</v>
      </c>
    </row>
    <row r="474" spans="1:121" ht="20" customHeight="1" x14ac:dyDescent="0.15">
      <c r="A474" s="5">
        <v>2018</v>
      </c>
      <c r="B474" s="3" t="s">
        <v>181</v>
      </c>
      <c r="C474" s="4" t="str">
        <f t="shared" si="208"/>
        <v>0590011</v>
      </c>
      <c r="D474" s="4" t="s">
        <v>629</v>
      </c>
      <c r="E474" s="4" t="str">
        <f>"0591711"</f>
        <v>0591711</v>
      </c>
      <c r="F474" s="4" t="s">
        <v>327</v>
      </c>
      <c r="G474" s="4" t="s">
        <v>328</v>
      </c>
      <c r="H474" s="7">
        <v>5</v>
      </c>
      <c r="I474" s="6"/>
      <c r="J474" s="4" t="s">
        <v>330</v>
      </c>
      <c r="K474" s="7">
        <v>635.07901500000003</v>
      </c>
      <c r="L474" s="7">
        <v>800</v>
      </c>
      <c r="M474" s="7">
        <v>79.384877000000003</v>
      </c>
      <c r="N474" s="7">
        <v>2</v>
      </c>
      <c r="O474" s="7">
        <v>0</v>
      </c>
      <c r="P474" s="7">
        <v>68.201554000000002</v>
      </c>
      <c r="Q474" s="7">
        <v>45.467703</v>
      </c>
      <c r="R474" s="7">
        <v>50</v>
      </c>
      <c r="S474" s="7">
        <v>64.066320000000005</v>
      </c>
      <c r="T474" s="7">
        <v>75</v>
      </c>
      <c r="U474" s="7">
        <v>42.710880000000003</v>
      </c>
      <c r="V474" s="7">
        <v>50</v>
      </c>
      <c r="W474" s="7">
        <v>68.541217000000003</v>
      </c>
      <c r="X474" s="7">
        <v>45.694144999999999</v>
      </c>
      <c r="Y474" s="7">
        <v>50</v>
      </c>
      <c r="Z474" s="7">
        <v>75</v>
      </c>
      <c r="AA474" s="7">
        <v>65.169010999999998</v>
      </c>
      <c r="AB474" s="7">
        <v>43.446007000000002</v>
      </c>
      <c r="AC474" s="7">
        <v>50</v>
      </c>
      <c r="AD474" s="7">
        <v>68.180199999999999</v>
      </c>
      <c r="AE474" s="7">
        <v>45.453467000000003</v>
      </c>
      <c r="AF474" s="7">
        <v>50</v>
      </c>
      <c r="AG474" s="4" t="s">
        <v>124</v>
      </c>
      <c r="AH474" s="4" t="s">
        <v>124</v>
      </c>
      <c r="AI474" s="4" t="s">
        <v>124</v>
      </c>
      <c r="AJ474" s="4" t="s">
        <v>124</v>
      </c>
      <c r="AK474" s="7">
        <v>10.93</v>
      </c>
      <c r="AL474" s="7">
        <v>9.83</v>
      </c>
      <c r="AM474" s="4" t="s">
        <v>124</v>
      </c>
      <c r="AN474" s="7">
        <v>0.73292599999999997</v>
      </c>
      <c r="AO474" s="7">
        <v>73.292584000000005</v>
      </c>
      <c r="AP474" s="7">
        <v>100</v>
      </c>
      <c r="AQ474" s="7">
        <v>0.92249400000000004</v>
      </c>
      <c r="AR474" s="7">
        <v>92.249352999999999</v>
      </c>
      <c r="AS474" s="7">
        <v>100</v>
      </c>
      <c r="AT474" s="7">
        <v>0.71076799999999996</v>
      </c>
      <c r="AU474" s="7">
        <v>0.77925599999999995</v>
      </c>
      <c r="AV474" s="7">
        <v>71.076774</v>
      </c>
      <c r="AW474" s="7">
        <v>100</v>
      </c>
      <c r="AX474" s="7">
        <v>0.905663</v>
      </c>
      <c r="AY474" s="7">
        <v>0.95768500000000001</v>
      </c>
      <c r="AZ474" s="7">
        <v>90.566297000000006</v>
      </c>
      <c r="BA474" s="7">
        <v>100</v>
      </c>
      <c r="BB474" s="4" t="s">
        <v>124</v>
      </c>
      <c r="BC474" s="4" t="s">
        <v>124</v>
      </c>
      <c r="BD474" s="4" t="s">
        <v>124</v>
      </c>
      <c r="BE474" s="4" t="s">
        <v>124</v>
      </c>
      <c r="BF474" s="4" t="s">
        <v>124</v>
      </c>
      <c r="BG474" s="4" t="s">
        <v>124</v>
      </c>
      <c r="BH474" s="7">
        <v>0</v>
      </c>
      <c r="BI474" s="7">
        <v>1</v>
      </c>
      <c r="BJ474" s="7">
        <v>1</v>
      </c>
      <c r="BK474" s="7">
        <v>1</v>
      </c>
      <c r="BL474" s="7">
        <v>1</v>
      </c>
      <c r="BM474" s="7">
        <v>1</v>
      </c>
      <c r="BN474" s="7">
        <v>1</v>
      </c>
      <c r="BO474" s="7">
        <v>1</v>
      </c>
      <c r="BP474" s="7">
        <v>1</v>
      </c>
      <c r="BQ474" s="4" t="s">
        <v>124</v>
      </c>
      <c r="BR474" s="7">
        <v>0.13398699999999999</v>
      </c>
      <c r="BS474" s="7">
        <v>33.202613999999997</v>
      </c>
      <c r="BT474" s="7">
        <v>50</v>
      </c>
      <c r="BU474" s="7">
        <v>0.15151500000000001</v>
      </c>
      <c r="BV474" s="7">
        <v>29.69697</v>
      </c>
      <c r="BW474" s="7">
        <v>50</v>
      </c>
      <c r="BX474" s="4" t="s">
        <v>124</v>
      </c>
      <c r="BY474" s="4" t="s">
        <v>124</v>
      </c>
      <c r="BZ474" s="4" t="s">
        <v>124</v>
      </c>
      <c r="CA474" s="4" t="s">
        <v>124</v>
      </c>
      <c r="CB474" s="4" t="s">
        <v>124</v>
      </c>
      <c r="CC474" s="4" t="s">
        <v>124</v>
      </c>
      <c r="CD474" s="4" t="s">
        <v>124</v>
      </c>
      <c r="CE474" s="4" t="s">
        <v>124</v>
      </c>
      <c r="CF474" s="4" t="s">
        <v>124</v>
      </c>
      <c r="CG474" s="4" t="s">
        <v>124</v>
      </c>
      <c r="CH474" s="4" t="s">
        <v>124</v>
      </c>
      <c r="CI474" s="4" t="s">
        <v>124</v>
      </c>
      <c r="CJ474" s="4" t="s">
        <v>124</v>
      </c>
      <c r="CK474" s="4" t="s">
        <v>124</v>
      </c>
      <c r="CL474" s="4" t="s">
        <v>124</v>
      </c>
      <c r="CM474" s="4" t="s">
        <v>124</v>
      </c>
      <c r="CN474" s="4" t="s">
        <v>124</v>
      </c>
      <c r="CO474" s="4" t="s">
        <v>124</v>
      </c>
      <c r="CP474" s="4" t="s">
        <v>124</v>
      </c>
      <c r="CQ474" s="7">
        <v>0.33333299999999999</v>
      </c>
      <c r="CR474" s="7">
        <v>0.96</v>
      </c>
      <c r="CS474" s="7">
        <v>22.222221999999999</v>
      </c>
      <c r="CT474" s="7">
        <v>50</v>
      </c>
      <c r="CU474" s="4" t="s">
        <v>124</v>
      </c>
      <c r="CV474" s="4" t="s">
        <v>124</v>
      </c>
      <c r="CW474" s="4" t="s">
        <v>124</v>
      </c>
      <c r="CX474" s="4" t="s">
        <v>124</v>
      </c>
      <c r="CY474" s="4" t="s">
        <v>124</v>
      </c>
      <c r="CZ474" s="4" t="s">
        <v>124</v>
      </c>
      <c r="DA474" s="7">
        <v>15.314097</v>
      </c>
      <c r="DB474" s="7">
        <v>17.400950000000002</v>
      </c>
      <c r="DC474" s="7">
        <v>16.332519999999999</v>
      </c>
      <c r="DD474" s="4" t="s">
        <v>124</v>
      </c>
      <c r="DE474" s="7">
        <v>0</v>
      </c>
      <c r="DF474" s="6"/>
      <c r="DG474" s="6"/>
      <c r="DH474" s="4" t="s">
        <v>331</v>
      </c>
      <c r="DI474" s="4" t="s">
        <v>452</v>
      </c>
      <c r="DJ474" s="7">
        <v>0</v>
      </c>
      <c r="DK474" s="7">
        <v>0</v>
      </c>
      <c r="DL474" s="7">
        <v>1</v>
      </c>
      <c r="DM474" s="7">
        <v>0</v>
      </c>
      <c r="DN474" s="7">
        <v>1</v>
      </c>
      <c r="DO474" s="7">
        <v>0</v>
      </c>
      <c r="DP474" s="6"/>
      <c r="DQ474" s="4" t="s">
        <v>125</v>
      </c>
    </row>
    <row r="475" spans="1:121" ht="20" customHeight="1" x14ac:dyDescent="0.15">
      <c r="A475" s="5">
        <v>2018</v>
      </c>
      <c r="B475" s="3" t="s">
        <v>181</v>
      </c>
      <c r="C475" s="4" t="str">
        <f t="shared" si="208"/>
        <v>0590011</v>
      </c>
      <c r="D475" s="4" t="s">
        <v>630</v>
      </c>
      <c r="E475" s="4" t="str">
        <f>"0591911"</f>
        <v>0591911</v>
      </c>
      <c r="F475" s="4" t="s">
        <v>327</v>
      </c>
      <c r="G475" s="4" t="s">
        <v>338</v>
      </c>
      <c r="H475" s="7">
        <v>5</v>
      </c>
      <c r="I475" s="6"/>
      <c r="J475" s="4" t="s">
        <v>330</v>
      </c>
      <c r="K475" s="7">
        <v>714.91930600000001</v>
      </c>
      <c r="L475" s="7">
        <v>850</v>
      </c>
      <c r="M475" s="7">
        <v>84.108153999999999</v>
      </c>
      <c r="N475" s="7">
        <v>2</v>
      </c>
      <c r="O475" s="7">
        <v>0</v>
      </c>
      <c r="P475" s="7">
        <v>80.499139</v>
      </c>
      <c r="Q475" s="7">
        <v>50</v>
      </c>
      <c r="R475" s="7">
        <v>50</v>
      </c>
      <c r="S475" s="7">
        <v>74.991759000000002</v>
      </c>
      <c r="T475" s="7">
        <v>75</v>
      </c>
      <c r="U475" s="7">
        <v>49.994506000000001</v>
      </c>
      <c r="V475" s="7">
        <v>50</v>
      </c>
      <c r="W475" s="7">
        <v>71.274739999999994</v>
      </c>
      <c r="X475" s="7">
        <v>47.516492999999997</v>
      </c>
      <c r="Y475" s="7">
        <v>50</v>
      </c>
      <c r="Z475" s="7">
        <v>73.754131000000001</v>
      </c>
      <c r="AA475" s="7">
        <v>66.705575999999994</v>
      </c>
      <c r="AB475" s="7">
        <v>44.470384000000003</v>
      </c>
      <c r="AC475" s="7">
        <v>50</v>
      </c>
      <c r="AD475" s="7">
        <v>81.096773999999996</v>
      </c>
      <c r="AE475" s="7">
        <v>50</v>
      </c>
      <c r="AF475" s="7">
        <v>50</v>
      </c>
      <c r="AG475" s="7">
        <v>73.451612999999995</v>
      </c>
      <c r="AH475" s="7">
        <v>75</v>
      </c>
      <c r="AI475" s="7">
        <v>48.967742000000001</v>
      </c>
      <c r="AJ475" s="7">
        <v>50</v>
      </c>
      <c r="AK475" s="7">
        <v>0</v>
      </c>
      <c r="AL475" s="7">
        <v>7.04</v>
      </c>
      <c r="AM475" s="7">
        <v>1.54</v>
      </c>
      <c r="AN475" s="7">
        <v>0.72473699999999996</v>
      </c>
      <c r="AO475" s="7">
        <v>72.473714000000001</v>
      </c>
      <c r="AP475" s="7">
        <v>100</v>
      </c>
      <c r="AQ475" s="7">
        <v>0.67599699999999996</v>
      </c>
      <c r="AR475" s="7">
        <v>67.599699999999999</v>
      </c>
      <c r="AS475" s="7">
        <v>100</v>
      </c>
      <c r="AT475" s="7">
        <v>0.655976</v>
      </c>
      <c r="AU475" s="7">
        <v>0.75793200000000005</v>
      </c>
      <c r="AV475" s="7">
        <v>65.597566</v>
      </c>
      <c r="AW475" s="7">
        <v>100</v>
      </c>
      <c r="AX475" s="7">
        <v>0.73778100000000002</v>
      </c>
      <c r="AY475" s="7">
        <v>0.64617000000000002</v>
      </c>
      <c r="AZ475" s="7">
        <v>73.778056000000007</v>
      </c>
      <c r="BA475" s="7">
        <v>100</v>
      </c>
      <c r="BB475" s="4" t="s">
        <v>124</v>
      </c>
      <c r="BC475" s="4" t="s">
        <v>124</v>
      </c>
      <c r="BD475" s="4" t="s">
        <v>124</v>
      </c>
      <c r="BE475" s="4" t="s">
        <v>124</v>
      </c>
      <c r="BF475" s="4" t="s">
        <v>124</v>
      </c>
      <c r="BG475" s="4" t="s">
        <v>124</v>
      </c>
      <c r="BH475" s="7">
        <v>0</v>
      </c>
      <c r="BI475" s="7">
        <v>1</v>
      </c>
      <c r="BJ475" s="7">
        <v>1</v>
      </c>
      <c r="BK475" s="7">
        <v>1</v>
      </c>
      <c r="BL475" s="7">
        <v>1</v>
      </c>
      <c r="BM475" s="7">
        <v>1</v>
      </c>
      <c r="BN475" s="7">
        <v>1</v>
      </c>
      <c r="BO475" s="7">
        <v>1</v>
      </c>
      <c r="BP475" s="7">
        <v>1</v>
      </c>
      <c r="BQ475" s="7">
        <v>1</v>
      </c>
      <c r="BR475" s="7">
        <v>2.9484E-2</v>
      </c>
      <c r="BS475" s="7">
        <v>50</v>
      </c>
      <c r="BT475" s="7">
        <v>50</v>
      </c>
      <c r="BU475" s="7">
        <v>5.6250000000000001E-2</v>
      </c>
      <c r="BV475" s="7">
        <v>48.75</v>
      </c>
      <c r="BW475" s="7">
        <v>50</v>
      </c>
      <c r="BX475" s="4" t="s">
        <v>124</v>
      </c>
      <c r="BY475" s="4" t="s">
        <v>124</v>
      </c>
      <c r="BZ475" s="4" t="s">
        <v>124</v>
      </c>
      <c r="CA475" s="4" t="s">
        <v>124</v>
      </c>
      <c r="CB475" s="4" t="s">
        <v>124</v>
      </c>
      <c r="CC475" s="4" t="s">
        <v>124</v>
      </c>
      <c r="CD475" s="4" t="s">
        <v>124</v>
      </c>
      <c r="CE475" s="4" t="s">
        <v>124</v>
      </c>
      <c r="CF475" s="4" t="s">
        <v>124</v>
      </c>
      <c r="CG475" s="4" t="s">
        <v>124</v>
      </c>
      <c r="CH475" s="4" t="s">
        <v>124</v>
      </c>
      <c r="CI475" s="4" t="s">
        <v>124</v>
      </c>
      <c r="CJ475" s="4" t="s">
        <v>124</v>
      </c>
      <c r="CK475" s="4" t="s">
        <v>124</v>
      </c>
      <c r="CL475" s="4" t="s">
        <v>124</v>
      </c>
      <c r="CM475" s="4" t="s">
        <v>124</v>
      </c>
      <c r="CN475" s="4" t="s">
        <v>124</v>
      </c>
      <c r="CO475" s="4" t="s">
        <v>124</v>
      </c>
      <c r="CP475" s="4" t="s">
        <v>124</v>
      </c>
      <c r="CQ475" s="7">
        <v>0.68656700000000004</v>
      </c>
      <c r="CR475" s="7">
        <v>1.0151520000000001</v>
      </c>
      <c r="CS475" s="7">
        <v>45.771144</v>
      </c>
      <c r="CT475" s="7">
        <v>50</v>
      </c>
      <c r="CU475" s="4" t="s">
        <v>124</v>
      </c>
      <c r="CV475" s="4" t="s">
        <v>124</v>
      </c>
      <c r="CW475" s="4" t="s">
        <v>124</v>
      </c>
      <c r="CX475" s="4" t="s">
        <v>124</v>
      </c>
      <c r="CY475" s="4" t="s">
        <v>124</v>
      </c>
      <c r="CZ475" s="4" t="s">
        <v>124</v>
      </c>
      <c r="DA475" s="7">
        <v>15.314097</v>
      </c>
      <c r="DB475" s="7">
        <v>17.400950000000002</v>
      </c>
      <c r="DC475" s="7">
        <v>16.332519999999999</v>
      </c>
      <c r="DD475" s="4" t="s">
        <v>124</v>
      </c>
      <c r="DE475" s="7">
        <v>0</v>
      </c>
      <c r="DF475" s="6"/>
      <c r="DG475" s="6"/>
      <c r="DH475" s="6"/>
      <c r="DI475" s="6"/>
      <c r="DJ475" s="7">
        <v>0</v>
      </c>
      <c r="DK475" s="7">
        <v>0</v>
      </c>
      <c r="DL475" s="7">
        <v>0</v>
      </c>
      <c r="DM475" s="7">
        <v>0</v>
      </c>
      <c r="DN475" s="7">
        <v>0</v>
      </c>
      <c r="DO475" s="7">
        <v>0</v>
      </c>
      <c r="DP475" s="6"/>
      <c r="DQ475" s="4" t="s">
        <v>125</v>
      </c>
    </row>
    <row r="476" spans="1:121" ht="20" customHeight="1" x14ac:dyDescent="0.15">
      <c r="A476" s="5">
        <v>2018</v>
      </c>
      <c r="B476" s="3" t="s">
        <v>181</v>
      </c>
      <c r="C476" s="4" t="str">
        <f t="shared" si="208"/>
        <v>0590011</v>
      </c>
      <c r="D476" s="4" t="s">
        <v>631</v>
      </c>
      <c r="E476" s="4" t="str">
        <f>"0596111"</f>
        <v>0596111</v>
      </c>
      <c r="F476" s="4" t="s">
        <v>327</v>
      </c>
      <c r="G476" s="7">
        <v>9</v>
      </c>
      <c r="H476" s="7">
        <v>12</v>
      </c>
      <c r="I476" s="6"/>
      <c r="J476" s="4" t="s">
        <v>330</v>
      </c>
      <c r="K476" s="7">
        <v>1081.8678930000001</v>
      </c>
      <c r="L476" s="7">
        <v>1450</v>
      </c>
      <c r="M476" s="7">
        <v>74.611579000000006</v>
      </c>
      <c r="N476" s="7">
        <v>3</v>
      </c>
      <c r="O476" s="7">
        <v>1</v>
      </c>
      <c r="P476" s="7">
        <v>58.385497999999998</v>
      </c>
      <c r="Q476" s="7">
        <v>116.770996</v>
      </c>
      <c r="R476" s="7">
        <v>150</v>
      </c>
      <c r="S476" s="7">
        <v>49.448537999999999</v>
      </c>
      <c r="T476" s="7">
        <v>65.580507999999995</v>
      </c>
      <c r="U476" s="7">
        <v>98.897075999999998</v>
      </c>
      <c r="V476" s="7">
        <v>150</v>
      </c>
      <c r="W476" s="7">
        <v>55.553730000000002</v>
      </c>
      <c r="X476" s="7">
        <v>111.10746</v>
      </c>
      <c r="Y476" s="7">
        <v>150</v>
      </c>
      <c r="Z476" s="7">
        <v>62.131355999999997</v>
      </c>
      <c r="AA476" s="7">
        <v>47.383626</v>
      </c>
      <c r="AB476" s="7">
        <v>94.767251000000002</v>
      </c>
      <c r="AC476" s="7">
        <v>150</v>
      </c>
      <c r="AD476" s="7">
        <v>60.702401999999999</v>
      </c>
      <c r="AE476" s="7">
        <v>80.936536000000004</v>
      </c>
      <c r="AF476" s="7">
        <v>100</v>
      </c>
      <c r="AG476" s="7">
        <v>51.262191000000001</v>
      </c>
      <c r="AH476" s="7">
        <v>68.318034999999995</v>
      </c>
      <c r="AI476" s="7">
        <v>68.349587999999997</v>
      </c>
      <c r="AJ476" s="7">
        <v>100</v>
      </c>
      <c r="AK476" s="7">
        <v>16.13</v>
      </c>
      <c r="AL476" s="7">
        <v>14.74</v>
      </c>
      <c r="AM476" s="7">
        <v>17.05</v>
      </c>
      <c r="AN476" s="4" t="s">
        <v>124</v>
      </c>
      <c r="AO476" s="4" t="s">
        <v>124</v>
      </c>
      <c r="AP476" s="4" t="s">
        <v>124</v>
      </c>
      <c r="AQ476" s="4" t="s">
        <v>124</v>
      </c>
      <c r="AR476" s="4" t="s">
        <v>124</v>
      </c>
      <c r="AS476" s="4" t="s">
        <v>124</v>
      </c>
      <c r="AT476" s="4" t="s">
        <v>124</v>
      </c>
      <c r="AU476" s="4" t="s">
        <v>124</v>
      </c>
      <c r="AV476" s="4" t="s">
        <v>124</v>
      </c>
      <c r="AW476" s="4" t="s">
        <v>124</v>
      </c>
      <c r="AX476" s="4" t="s">
        <v>124</v>
      </c>
      <c r="AY476" s="4" t="s">
        <v>124</v>
      </c>
      <c r="AZ476" s="4" t="s">
        <v>124</v>
      </c>
      <c r="BA476" s="4" t="s">
        <v>124</v>
      </c>
      <c r="BB476" s="4" t="s">
        <v>124</v>
      </c>
      <c r="BC476" s="4" t="s">
        <v>124</v>
      </c>
      <c r="BD476" s="4" t="s">
        <v>124</v>
      </c>
      <c r="BE476" s="4" t="s">
        <v>124</v>
      </c>
      <c r="BF476" s="4" t="s">
        <v>124</v>
      </c>
      <c r="BG476" s="4" t="s">
        <v>124</v>
      </c>
      <c r="BH476" s="7">
        <v>1</v>
      </c>
      <c r="BI476" s="7">
        <v>0.95670999999999995</v>
      </c>
      <c r="BJ476" s="7">
        <v>0.93577999999999995</v>
      </c>
      <c r="BK476" s="7">
        <v>0.97541</v>
      </c>
      <c r="BL476" s="7">
        <v>0.95670999999999995</v>
      </c>
      <c r="BM476" s="7">
        <v>0.93577999999999995</v>
      </c>
      <c r="BN476" s="7">
        <v>0.97541</v>
      </c>
      <c r="BO476" s="7">
        <v>0.95299100000000003</v>
      </c>
      <c r="BP476" s="7">
        <v>0.92792799999999998</v>
      </c>
      <c r="BQ476" s="7">
        <v>0.97560999999999998</v>
      </c>
      <c r="BR476" s="7">
        <v>0.20561699999999999</v>
      </c>
      <c r="BS476" s="7">
        <v>18.876629999999999</v>
      </c>
      <c r="BT476" s="7">
        <v>50</v>
      </c>
      <c r="BU476" s="7">
        <v>0.303093</v>
      </c>
      <c r="BV476" s="7">
        <v>0</v>
      </c>
      <c r="BW476" s="7">
        <v>50</v>
      </c>
      <c r="BX476" s="7">
        <v>0.77777799999999997</v>
      </c>
      <c r="BY476" s="7">
        <v>50</v>
      </c>
      <c r="BZ476" s="7">
        <v>50</v>
      </c>
      <c r="CA476" s="7">
        <v>0.43415599999999999</v>
      </c>
      <c r="CB476" s="7">
        <v>28.943759</v>
      </c>
      <c r="CC476" s="7">
        <v>50</v>
      </c>
      <c r="CD476" s="7">
        <v>0.940299</v>
      </c>
      <c r="CE476" s="7">
        <v>50</v>
      </c>
      <c r="CF476" s="7">
        <v>50</v>
      </c>
      <c r="CG476" s="7">
        <v>0.88844599999999996</v>
      </c>
      <c r="CH476" s="7">
        <v>94.515555000000006</v>
      </c>
      <c r="CI476" s="7">
        <v>100</v>
      </c>
      <c r="CJ476" s="7">
        <v>0</v>
      </c>
      <c r="CK476" s="7">
        <v>0.87313399999999997</v>
      </c>
      <c r="CL476" s="7">
        <v>92.886630999999994</v>
      </c>
      <c r="CM476" s="7">
        <v>100</v>
      </c>
      <c r="CN476" s="7">
        <v>0.68161400000000005</v>
      </c>
      <c r="CO476" s="7">
        <v>90.881912999999997</v>
      </c>
      <c r="CP476" s="7">
        <v>100</v>
      </c>
      <c r="CQ476" s="7">
        <v>0.52401699999999996</v>
      </c>
      <c r="CR476" s="7">
        <v>0.94238699999999997</v>
      </c>
      <c r="CS476" s="7">
        <v>34.934497999999998</v>
      </c>
      <c r="CT476" s="7">
        <v>50</v>
      </c>
      <c r="CU476" s="7">
        <v>0.613842</v>
      </c>
      <c r="CV476" s="7">
        <v>50</v>
      </c>
      <c r="CW476" s="7">
        <v>50</v>
      </c>
      <c r="CX476" s="7">
        <v>0.87313399999999997</v>
      </c>
      <c r="CY476" s="7">
        <v>0.94</v>
      </c>
      <c r="CZ476" s="7">
        <v>6.6865999999999995E-2</v>
      </c>
      <c r="DA476" s="7">
        <v>15.314097</v>
      </c>
      <c r="DB476" s="7">
        <v>17.400950000000002</v>
      </c>
      <c r="DC476" s="7">
        <v>16.332519999999999</v>
      </c>
      <c r="DD476" s="7">
        <v>7.9891730000000001</v>
      </c>
      <c r="DE476" s="7">
        <v>1</v>
      </c>
      <c r="DF476" s="6"/>
      <c r="DG476" s="6"/>
      <c r="DH476" s="6"/>
      <c r="DI476" s="6"/>
      <c r="DJ476" s="7">
        <v>0</v>
      </c>
      <c r="DK476" s="7">
        <v>0</v>
      </c>
      <c r="DL476" s="7">
        <v>0</v>
      </c>
      <c r="DM476" s="7">
        <v>0</v>
      </c>
      <c r="DN476" s="7">
        <v>0</v>
      </c>
      <c r="DO476" s="7">
        <v>0</v>
      </c>
      <c r="DP476" s="6"/>
      <c r="DQ476" s="4" t="s">
        <v>125</v>
      </c>
    </row>
    <row r="477" spans="1:121" ht="20" customHeight="1" x14ac:dyDescent="0.15">
      <c r="A477" s="5">
        <v>2018</v>
      </c>
      <c r="B477" s="3" t="s">
        <v>181</v>
      </c>
      <c r="C477" s="4" t="str">
        <f t="shared" si="208"/>
        <v>0590011</v>
      </c>
      <c r="D477" s="4" t="s">
        <v>632</v>
      </c>
      <c r="E477" s="4" t="str">
        <f>"0590111"</f>
        <v>0590111</v>
      </c>
      <c r="F477" s="4" t="s">
        <v>327</v>
      </c>
      <c r="G477" s="4" t="s">
        <v>328</v>
      </c>
      <c r="H477" s="7">
        <v>5</v>
      </c>
      <c r="I477" s="6"/>
      <c r="J477" s="4" t="s">
        <v>330</v>
      </c>
      <c r="K477" s="7">
        <v>671.42194199999994</v>
      </c>
      <c r="L477" s="7">
        <v>850</v>
      </c>
      <c r="M477" s="7">
        <v>78.990817000000007</v>
      </c>
      <c r="N477" s="7">
        <v>3</v>
      </c>
      <c r="O477" s="7">
        <v>1</v>
      </c>
      <c r="P477" s="7">
        <v>73.615014000000002</v>
      </c>
      <c r="Q477" s="7">
        <v>49.076675999999999</v>
      </c>
      <c r="R477" s="7">
        <v>50</v>
      </c>
      <c r="S477" s="7">
        <v>64.233050000000006</v>
      </c>
      <c r="T477" s="7">
        <v>75</v>
      </c>
      <c r="U477" s="7">
        <v>42.822032999999998</v>
      </c>
      <c r="V477" s="7">
        <v>50</v>
      </c>
      <c r="W477" s="7">
        <v>70.617422000000005</v>
      </c>
      <c r="X477" s="7">
        <v>47.078280999999997</v>
      </c>
      <c r="Y477" s="7">
        <v>50</v>
      </c>
      <c r="Z477" s="7">
        <v>75</v>
      </c>
      <c r="AA477" s="7">
        <v>63.674035000000003</v>
      </c>
      <c r="AB477" s="7">
        <v>42.449356000000002</v>
      </c>
      <c r="AC477" s="7">
        <v>50</v>
      </c>
      <c r="AD477" s="7">
        <v>70.166953000000007</v>
      </c>
      <c r="AE477" s="7">
        <v>46.777968000000001</v>
      </c>
      <c r="AF477" s="7">
        <v>50</v>
      </c>
      <c r="AG477" s="7">
        <v>56.843952000000002</v>
      </c>
      <c r="AH477" s="7">
        <v>75</v>
      </c>
      <c r="AI477" s="7">
        <v>37.895968000000003</v>
      </c>
      <c r="AJ477" s="7">
        <v>50</v>
      </c>
      <c r="AK477" s="7">
        <v>10.76</v>
      </c>
      <c r="AL477" s="7">
        <v>11.32</v>
      </c>
      <c r="AM477" s="7">
        <v>18.149999999999999</v>
      </c>
      <c r="AN477" s="7">
        <v>0.64307300000000001</v>
      </c>
      <c r="AO477" s="7">
        <v>64.307337000000004</v>
      </c>
      <c r="AP477" s="7">
        <v>100</v>
      </c>
      <c r="AQ477" s="7">
        <v>0.72634200000000004</v>
      </c>
      <c r="AR477" s="7">
        <v>72.634231999999997</v>
      </c>
      <c r="AS477" s="7">
        <v>100</v>
      </c>
      <c r="AT477" s="7">
        <v>0.61904099999999995</v>
      </c>
      <c r="AU477" s="7">
        <v>0.65943600000000002</v>
      </c>
      <c r="AV477" s="7">
        <v>61.904125999999998</v>
      </c>
      <c r="AW477" s="7">
        <v>100</v>
      </c>
      <c r="AX477" s="7">
        <v>0.70783799999999997</v>
      </c>
      <c r="AY477" s="7">
        <v>0.73894099999999996</v>
      </c>
      <c r="AZ477" s="7">
        <v>70.783827000000002</v>
      </c>
      <c r="BA477" s="7">
        <v>100</v>
      </c>
      <c r="BB477" s="4" t="s">
        <v>124</v>
      </c>
      <c r="BC477" s="4" t="s">
        <v>124</v>
      </c>
      <c r="BD477" s="4" t="s">
        <v>124</v>
      </c>
      <c r="BE477" s="4" t="s">
        <v>124</v>
      </c>
      <c r="BF477" s="4" t="s">
        <v>124</v>
      </c>
      <c r="BG477" s="4" t="s">
        <v>124</v>
      </c>
      <c r="BH477" s="7">
        <v>0</v>
      </c>
      <c r="BI477" s="7">
        <v>0.99259299999999995</v>
      </c>
      <c r="BJ477" s="7">
        <v>0.98461500000000002</v>
      </c>
      <c r="BK477" s="7">
        <v>1</v>
      </c>
      <c r="BL477" s="7">
        <v>0.99259299999999995</v>
      </c>
      <c r="BM477" s="7">
        <v>0.98461500000000002</v>
      </c>
      <c r="BN477" s="7">
        <v>1</v>
      </c>
      <c r="BO477" s="7">
        <v>0.98</v>
      </c>
      <c r="BP477" s="7">
        <v>0.95652199999999998</v>
      </c>
      <c r="BQ477" s="7">
        <v>1</v>
      </c>
      <c r="BR477" s="7">
        <v>3.252E-2</v>
      </c>
      <c r="BS477" s="7">
        <v>50</v>
      </c>
      <c r="BT477" s="7">
        <v>50</v>
      </c>
      <c r="BU477" s="7">
        <v>6.2016000000000002E-2</v>
      </c>
      <c r="BV477" s="7">
        <v>47.596899000000001</v>
      </c>
      <c r="BW477" s="7">
        <v>50</v>
      </c>
      <c r="BX477" s="4" t="s">
        <v>124</v>
      </c>
      <c r="BY477" s="4" t="s">
        <v>124</v>
      </c>
      <c r="BZ477" s="4" t="s">
        <v>124</v>
      </c>
      <c r="CA477" s="4" t="s">
        <v>124</v>
      </c>
      <c r="CB477" s="4" t="s">
        <v>124</v>
      </c>
      <c r="CC477" s="4" t="s">
        <v>124</v>
      </c>
      <c r="CD477" s="4" t="s">
        <v>124</v>
      </c>
      <c r="CE477" s="4" t="s">
        <v>124</v>
      </c>
      <c r="CF477" s="4" t="s">
        <v>124</v>
      </c>
      <c r="CG477" s="4" t="s">
        <v>124</v>
      </c>
      <c r="CH477" s="4" t="s">
        <v>124</v>
      </c>
      <c r="CI477" s="4" t="s">
        <v>124</v>
      </c>
      <c r="CJ477" s="4" t="s">
        <v>124</v>
      </c>
      <c r="CK477" s="4" t="s">
        <v>124</v>
      </c>
      <c r="CL477" s="4" t="s">
        <v>124</v>
      </c>
      <c r="CM477" s="4" t="s">
        <v>124</v>
      </c>
      <c r="CN477" s="4" t="s">
        <v>124</v>
      </c>
      <c r="CO477" s="4" t="s">
        <v>124</v>
      </c>
      <c r="CP477" s="4" t="s">
        <v>124</v>
      </c>
      <c r="CQ477" s="7">
        <v>0.57142899999999996</v>
      </c>
      <c r="CR477" s="7">
        <v>0.95454499999999998</v>
      </c>
      <c r="CS477" s="7">
        <v>38.095238000000002</v>
      </c>
      <c r="CT477" s="7">
        <v>50</v>
      </c>
      <c r="CU477" s="4" t="s">
        <v>124</v>
      </c>
      <c r="CV477" s="4" t="s">
        <v>124</v>
      </c>
      <c r="CW477" s="4" t="s">
        <v>124</v>
      </c>
      <c r="CX477" s="4" t="s">
        <v>124</v>
      </c>
      <c r="CY477" s="4" t="s">
        <v>124</v>
      </c>
      <c r="CZ477" s="4" t="s">
        <v>124</v>
      </c>
      <c r="DA477" s="7">
        <v>15.314097</v>
      </c>
      <c r="DB477" s="7">
        <v>17.400950000000002</v>
      </c>
      <c r="DC477" s="7">
        <v>16.332519999999999</v>
      </c>
      <c r="DD477" s="4" t="s">
        <v>124</v>
      </c>
      <c r="DE477" s="7">
        <v>1</v>
      </c>
      <c r="DF477" s="6"/>
      <c r="DG477" s="6"/>
      <c r="DH477" s="6"/>
      <c r="DI477" s="6"/>
      <c r="DJ477" s="7">
        <v>0</v>
      </c>
      <c r="DK477" s="7">
        <v>0</v>
      </c>
      <c r="DL477" s="7">
        <v>0</v>
      </c>
      <c r="DM477" s="7">
        <v>0</v>
      </c>
      <c r="DN477" s="7">
        <v>0</v>
      </c>
      <c r="DO477" s="7">
        <v>0</v>
      </c>
      <c r="DP477" s="6"/>
      <c r="DQ477" s="4" t="s">
        <v>125</v>
      </c>
    </row>
    <row r="478" spans="1:121" ht="20" customHeight="1" x14ac:dyDescent="0.15">
      <c r="A478" s="5">
        <v>2018</v>
      </c>
      <c r="B478" s="3" t="s">
        <v>181</v>
      </c>
      <c r="C478" s="4" t="str">
        <f t="shared" si="208"/>
        <v>0590011</v>
      </c>
      <c r="D478" s="4" t="s">
        <v>633</v>
      </c>
      <c r="E478" s="4" t="str">
        <f>"0595211"</f>
        <v>0595211</v>
      </c>
      <c r="F478" s="4" t="s">
        <v>327</v>
      </c>
      <c r="G478" s="7">
        <v>6</v>
      </c>
      <c r="H478" s="7">
        <v>8</v>
      </c>
      <c r="I478" s="4" t="s">
        <v>335</v>
      </c>
      <c r="J478" s="4" t="s">
        <v>330</v>
      </c>
      <c r="K478" s="7">
        <v>677.31947100000002</v>
      </c>
      <c r="L478" s="7">
        <v>900</v>
      </c>
      <c r="M478" s="7">
        <v>75.257718999999994</v>
      </c>
      <c r="N478" s="7">
        <v>2</v>
      </c>
      <c r="O478" s="7">
        <v>0</v>
      </c>
      <c r="P478" s="7">
        <v>65.829835000000003</v>
      </c>
      <c r="Q478" s="7">
        <v>43.886557000000003</v>
      </c>
      <c r="R478" s="7">
        <v>50</v>
      </c>
      <c r="S478" s="7">
        <v>60.972306000000003</v>
      </c>
      <c r="T478" s="7">
        <v>74.561089999999993</v>
      </c>
      <c r="U478" s="7">
        <v>40.648204</v>
      </c>
      <c r="V478" s="7">
        <v>50</v>
      </c>
      <c r="W478" s="7">
        <v>61.933326000000001</v>
      </c>
      <c r="X478" s="7">
        <v>41.288884000000003</v>
      </c>
      <c r="Y478" s="7">
        <v>50</v>
      </c>
      <c r="Z478" s="7">
        <v>72.391329999999996</v>
      </c>
      <c r="AA478" s="7">
        <v>56.110962000000001</v>
      </c>
      <c r="AB478" s="7">
        <v>37.407308</v>
      </c>
      <c r="AC478" s="7">
        <v>50</v>
      </c>
      <c r="AD478" s="7">
        <v>65.123063999999999</v>
      </c>
      <c r="AE478" s="7">
        <v>43.415376000000002</v>
      </c>
      <c r="AF478" s="7">
        <v>50</v>
      </c>
      <c r="AG478" s="7">
        <v>62.016215000000003</v>
      </c>
      <c r="AH478" s="7">
        <v>71.791421</v>
      </c>
      <c r="AI478" s="7">
        <v>41.344143000000003</v>
      </c>
      <c r="AJ478" s="7">
        <v>50</v>
      </c>
      <c r="AK478" s="7">
        <v>13.58</v>
      </c>
      <c r="AL478" s="7">
        <v>16.28</v>
      </c>
      <c r="AM478" s="7">
        <v>9.77</v>
      </c>
      <c r="AN478" s="7">
        <v>0.63252799999999998</v>
      </c>
      <c r="AO478" s="7">
        <v>63.252842999999999</v>
      </c>
      <c r="AP478" s="7">
        <v>100</v>
      </c>
      <c r="AQ478" s="7">
        <v>0.79500899999999997</v>
      </c>
      <c r="AR478" s="7">
        <v>79.500924999999995</v>
      </c>
      <c r="AS478" s="7">
        <v>100</v>
      </c>
      <c r="AT478" s="7">
        <v>0.61487000000000003</v>
      </c>
      <c r="AU478" s="7">
        <v>0.66334400000000004</v>
      </c>
      <c r="AV478" s="7">
        <v>61.487017000000002</v>
      </c>
      <c r="AW478" s="7">
        <v>100</v>
      </c>
      <c r="AX478" s="7">
        <v>0.76859900000000003</v>
      </c>
      <c r="AY478" s="7">
        <v>0.84122799999999998</v>
      </c>
      <c r="AZ478" s="7">
        <v>76.859857000000005</v>
      </c>
      <c r="BA478" s="7">
        <v>100</v>
      </c>
      <c r="BB478" s="4" t="s">
        <v>124</v>
      </c>
      <c r="BC478" s="4" t="s">
        <v>124</v>
      </c>
      <c r="BD478" s="4" t="s">
        <v>124</v>
      </c>
      <c r="BE478" s="4" t="s">
        <v>124</v>
      </c>
      <c r="BF478" s="4" t="s">
        <v>124</v>
      </c>
      <c r="BG478" s="4" t="s">
        <v>124</v>
      </c>
      <c r="BH478" s="7">
        <v>0</v>
      </c>
      <c r="BI478" s="7">
        <v>0.99582499999999996</v>
      </c>
      <c r="BJ478" s="7">
        <v>0.99367099999999997</v>
      </c>
      <c r="BK478" s="7">
        <v>1</v>
      </c>
      <c r="BL478" s="7">
        <v>0.99578900000000004</v>
      </c>
      <c r="BM478" s="7">
        <v>0.99360999999999999</v>
      </c>
      <c r="BN478" s="7">
        <v>1</v>
      </c>
      <c r="BO478" s="7">
        <v>0.99280599999999997</v>
      </c>
      <c r="BP478" s="7">
        <v>0.98969099999999999</v>
      </c>
      <c r="BQ478" s="7">
        <v>1</v>
      </c>
      <c r="BR478" s="7">
        <v>0.124736</v>
      </c>
      <c r="BS478" s="7">
        <v>35.052854000000004</v>
      </c>
      <c r="BT478" s="7">
        <v>50</v>
      </c>
      <c r="BU478" s="7">
        <v>0.16286600000000001</v>
      </c>
      <c r="BV478" s="7">
        <v>27.42671</v>
      </c>
      <c r="BW478" s="7">
        <v>50</v>
      </c>
      <c r="BX478" s="4" t="s">
        <v>124</v>
      </c>
      <c r="BY478" s="4" t="s">
        <v>124</v>
      </c>
      <c r="BZ478" s="4" t="s">
        <v>124</v>
      </c>
      <c r="CA478" s="4" t="s">
        <v>124</v>
      </c>
      <c r="CB478" s="4" t="s">
        <v>124</v>
      </c>
      <c r="CC478" s="4" t="s">
        <v>124</v>
      </c>
      <c r="CD478" s="7">
        <v>0.94957999999999998</v>
      </c>
      <c r="CE478" s="7">
        <v>50</v>
      </c>
      <c r="CF478" s="7">
        <v>50</v>
      </c>
      <c r="CG478" s="4" t="s">
        <v>124</v>
      </c>
      <c r="CH478" s="4" t="s">
        <v>124</v>
      </c>
      <c r="CI478" s="4" t="s">
        <v>124</v>
      </c>
      <c r="CJ478" s="4" t="s">
        <v>124</v>
      </c>
      <c r="CK478" s="4" t="s">
        <v>124</v>
      </c>
      <c r="CL478" s="4" t="s">
        <v>124</v>
      </c>
      <c r="CM478" s="4" t="s">
        <v>124</v>
      </c>
      <c r="CN478" s="4" t="s">
        <v>124</v>
      </c>
      <c r="CO478" s="4" t="s">
        <v>124</v>
      </c>
      <c r="CP478" s="4" t="s">
        <v>124</v>
      </c>
      <c r="CQ478" s="7">
        <v>0.53623200000000004</v>
      </c>
      <c r="CR478" s="7">
        <v>0.92</v>
      </c>
      <c r="CS478" s="7">
        <v>35.748792000000002</v>
      </c>
      <c r="CT478" s="7">
        <v>50</v>
      </c>
      <c r="CU478" s="4" t="s">
        <v>124</v>
      </c>
      <c r="CV478" s="4" t="s">
        <v>124</v>
      </c>
      <c r="CW478" s="4" t="s">
        <v>124</v>
      </c>
      <c r="CX478" s="4" t="s">
        <v>124</v>
      </c>
      <c r="CY478" s="4" t="s">
        <v>124</v>
      </c>
      <c r="CZ478" s="4" t="s">
        <v>124</v>
      </c>
      <c r="DA478" s="7">
        <v>15.314097</v>
      </c>
      <c r="DB478" s="7">
        <v>17.400950000000002</v>
      </c>
      <c r="DC478" s="7">
        <v>16.332519999999999</v>
      </c>
      <c r="DD478" s="4" t="s">
        <v>124</v>
      </c>
      <c r="DE478" s="7">
        <v>0</v>
      </c>
      <c r="DF478" s="6"/>
      <c r="DG478" s="6"/>
      <c r="DH478" s="6"/>
      <c r="DI478" s="6"/>
      <c r="DJ478" s="7">
        <v>0</v>
      </c>
      <c r="DK478" s="7">
        <v>0</v>
      </c>
      <c r="DL478" s="7">
        <v>0</v>
      </c>
      <c r="DM478" s="7">
        <v>0</v>
      </c>
      <c r="DN478" s="7">
        <v>0</v>
      </c>
      <c r="DO478" s="7">
        <v>0</v>
      </c>
      <c r="DP478" s="6"/>
      <c r="DQ478" s="4" t="s">
        <v>125</v>
      </c>
    </row>
    <row r="479" spans="1:121" ht="20" customHeight="1" x14ac:dyDescent="0.15">
      <c r="A479" s="5">
        <v>2018</v>
      </c>
      <c r="B479" s="3" t="s">
        <v>296</v>
      </c>
      <c r="C479" s="4" t="str">
        <f t="shared" si="168"/>
        <v>0600011</v>
      </c>
      <c r="D479" s="4" t="s">
        <v>634</v>
      </c>
      <c r="E479" s="4" t="str">
        <f>"0600711"</f>
        <v>0600711</v>
      </c>
      <c r="F479" s="4" t="s">
        <v>327</v>
      </c>
      <c r="G479" s="7">
        <v>5</v>
      </c>
      <c r="H479" s="7">
        <v>6</v>
      </c>
      <c r="I479" s="6"/>
      <c r="J479" s="4" t="s">
        <v>330</v>
      </c>
      <c r="K479" s="7">
        <v>689.34498499999995</v>
      </c>
      <c r="L479" s="7">
        <v>850</v>
      </c>
      <c r="M479" s="7">
        <v>81.099410000000006</v>
      </c>
      <c r="N479" s="7">
        <v>2</v>
      </c>
      <c r="O479" s="7">
        <v>0</v>
      </c>
      <c r="P479" s="7">
        <v>82.366894000000002</v>
      </c>
      <c r="Q479" s="7">
        <v>50</v>
      </c>
      <c r="R479" s="7">
        <v>50</v>
      </c>
      <c r="S479" s="7">
        <v>67.655885999999995</v>
      </c>
      <c r="T479" s="7">
        <v>75</v>
      </c>
      <c r="U479" s="7">
        <v>45.103923999999999</v>
      </c>
      <c r="V479" s="7">
        <v>50</v>
      </c>
      <c r="W479" s="7">
        <v>80.587537999999995</v>
      </c>
      <c r="X479" s="7">
        <v>50</v>
      </c>
      <c r="Y479" s="7">
        <v>50</v>
      </c>
      <c r="Z479" s="7">
        <v>75</v>
      </c>
      <c r="AA479" s="7">
        <v>65.480080000000001</v>
      </c>
      <c r="AB479" s="7">
        <v>43.653387000000002</v>
      </c>
      <c r="AC479" s="7">
        <v>50</v>
      </c>
      <c r="AD479" s="7">
        <v>79.303130999999993</v>
      </c>
      <c r="AE479" s="7">
        <v>50</v>
      </c>
      <c r="AF479" s="7">
        <v>50</v>
      </c>
      <c r="AG479" s="7">
        <v>66.719838999999993</v>
      </c>
      <c r="AH479" s="7">
        <v>75</v>
      </c>
      <c r="AI479" s="7">
        <v>44.479892</v>
      </c>
      <c r="AJ479" s="7">
        <v>50</v>
      </c>
      <c r="AK479" s="7">
        <v>7.34</v>
      </c>
      <c r="AL479" s="7">
        <v>9.51</v>
      </c>
      <c r="AM479" s="7">
        <v>8.2799999999999994</v>
      </c>
      <c r="AN479" s="7">
        <v>0.70177900000000004</v>
      </c>
      <c r="AO479" s="7">
        <v>70.177949999999996</v>
      </c>
      <c r="AP479" s="7">
        <v>100</v>
      </c>
      <c r="AQ479" s="7">
        <v>0.77141000000000004</v>
      </c>
      <c r="AR479" s="7">
        <v>77.140985000000001</v>
      </c>
      <c r="AS479" s="7">
        <v>100</v>
      </c>
      <c r="AT479" s="7">
        <v>0.58462599999999998</v>
      </c>
      <c r="AU479" s="7">
        <v>0.73456999999999995</v>
      </c>
      <c r="AV479" s="7">
        <v>58.462567999999997</v>
      </c>
      <c r="AW479" s="7">
        <v>100</v>
      </c>
      <c r="AX479" s="7">
        <v>0.63659600000000005</v>
      </c>
      <c r="AY479" s="7">
        <v>0.80924600000000002</v>
      </c>
      <c r="AZ479" s="7">
        <v>63.659612000000003</v>
      </c>
      <c r="BA479" s="7">
        <v>100</v>
      </c>
      <c r="BB479" s="4" t="s">
        <v>124</v>
      </c>
      <c r="BC479" s="4" t="s">
        <v>124</v>
      </c>
      <c r="BD479" s="4" t="s">
        <v>124</v>
      </c>
      <c r="BE479" s="4" t="s">
        <v>124</v>
      </c>
      <c r="BF479" s="4" t="s">
        <v>124</v>
      </c>
      <c r="BG479" s="4" t="s">
        <v>124</v>
      </c>
      <c r="BH479" s="7">
        <v>0</v>
      </c>
      <c r="BI479" s="7">
        <v>1</v>
      </c>
      <c r="BJ479" s="7">
        <v>1</v>
      </c>
      <c r="BK479" s="7">
        <v>1</v>
      </c>
      <c r="BL479" s="7">
        <v>1</v>
      </c>
      <c r="BM479" s="7">
        <v>1</v>
      </c>
      <c r="BN479" s="7">
        <v>1</v>
      </c>
      <c r="BO479" s="7">
        <v>1</v>
      </c>
      <c r="BP479" s="7">
        <v>1</v>
      </c>
      <c r="BQ479" s="7">
        <v>1</v>
      </c>
      <c r="BR479" s="7">
        <v>4.6464999999999999E-2</v>
      </c>
      <c r="BS479" s="7">
        <v>50</v>
      </c>
      <c r="BT479" s="7">
        <v>50</v>
      </c>
      <c r="BU479" s="7">
        <v>0.11666700000000001</v>
      </c>
      <c r="BV479" s="7">
        <v>36.666666999999997</v>
      </c>
      <c r="BW479" s="7">
        <v>50</v>
      </c>
      <c r="BX479" s="4" t="s">
        <v>124</v>
      </c>
      <c r="BY479" s="4" t="s">
        <v>124</v>
      </c>
      <c r="BZ479" s="4" t="s">
        <v>124</v>
      </c>
      <c r="CA479" s="4" t="s">
        <v>124</v>
      </c>
      <c r="CB479" s="4" t="s">
        <v>124</v>
      </c>
      <c r="CC479" s="4" t="s">
        <v>124</v>
      </c>
      <c r="CD479" s="4" t="s">
        <v>124</v>
      </c>
      <c r="CE479" s="4" t="s">
        <v>124</v>
      </c>
      <c r="CF479" s="4" t="s">
        <v>124</v>
      </c>
      <c r="CG479" s="4" t="s">
        <v>124</v>
      </c>
      <c r="CH479" s="4" t="s">
        <v>124</v>
      </c>
      <c r="CI479" s="4" t="s">
        <v>124</v>
      </c>
      <c r="CJ479" s="4" t="s">
        <v>124</v>
      </c>
      <c r="CK479" s="4" t="s">
        <v>124</v>
      </c>
      <c r="CL479" s="4" t="s">
        <v>124</v>
      </c>
      <c r="CM479" s="4" t="s">
        <v>124</v>
      </c>
      <c r="CN479" s="4" t="s">
        <v>124</v>
      </c>
      <c r="CO479" s="4" t="s">
        <v>124</v>
      </c>
      <c r="CP479" s="4" t="s">
        <v>124</v>
      </c>
      <c r="CQ479" s="7">
        <v>0.76136400000000004</v>
      </c>
      <c r="CR479" s="7">
        <v>0.97416999999999998</v>
      </c>
      <c r="CS479" s="7">
        <v>50</v>
      </c>
      <c r="CT479" s="7">
        <v>50</v>
      </c>
      <c r="CU479" s="4" t="s">
        <v>124</v>
      </c>
      <c r="CV479" s="4" t="s">
        <v>124</v>
      </c>
      <c r="CW479" s="4" t="s">
        <v>124</v>
      </c>
      <c r="CX479" s="4" t="s">
        <v>124</v>
      </c>
      <c r="CY479" s="4" t="s">
        <v>124</v>
      </c>
      <c r="CZ479" s="4" t="s">
        <v>124</v>
      </c>
      <c r="DA479" s="7">
        <v>15.314097</v>
      </c>
      <c r="DB479" s="7">
        <v>17.400950000000002</v>
      </c>
      <c r="DC479" s="7">
        <v>16.332519999999999</v>
      </c>
      <c r="DD479" s="4" t="s">
        <v>124</v>
      </c>
      <c r="DE479" s="7">
        <v>0</v>
      </c>
      <c r="DF479" s="6"/>
      <c r="DG479" s="6"/>
      <c r="DH479" s="6"/>
      <c r="DI479" s="6"/>
      <c r="DJ479" s="7">
        <v>0</v>
      </c>
      <c r="DK479" s="7">
        <v>0</v>
      </c>
      <c r="DL479" s="7">
        <v>0</v>
      </c>
      <c r="DM479" s="7">
        <v>0</v>
      </c>
      <c r="DN479" s="7">
        <v>0</v>
      </c>
      <c r="DO479" s="7">
        <v>0</v>
      </c>
      <c r="DP479" s="6"/>
      <c r="DQ479" s="4" t="s">
        <v>125</v>
      </c>
    </row>
    <row r="480" spans="1:121" ht="20" customHeight="1" x14ac:dyDescent="0.15">
      <c r="A480" s="5">
        <v>2018</v>
      </c>
      <c r="B480" s="3" t="s">
        <v>296</v>
      </c>
      <c r="C480" s="4" t="str">
        <f t="shared" ref="C480:C485" si="209">"0600011"</f>
        <v>0600011</v>
      </c>
      <c r="D480" s="4" t="s">
        <v>635</v>
      </c>
      <c r="E480" s="4" t="str">
        <f>"0600611"</f>
        <v>0600611</v>
      </c>
      <c r="F480" s="4" t="s">
        <v>327</v>
      </c>
      <c r="G480" s="4" t="s">
        <v>338</v>
      </c>
      <c r="H480" s="7">
        <v>4</v>
      </c>
      <c r="I480" s="4" t="s">
        <v>329</v>
      </c>
      <c r="J480" s="4" t="s">
        <v>330</v>
      </c>
      <c r="K480" s="7">
        <v>560.66551100000004</v>
      </c>
      <c r="L480" s="7">
        <v>750</v>
      </c>
      <c r="M480" s="7">
        <v>74.755401000000006</v>
      </c>
      <c r="N480" s="7">
        <v>2</v>
      </c>
      <c r="O480" s="7">
        <v>0</v>
      </c>
      <c r="P480" s="7">
        <v>81.558107000000007</v>
      </c>
      <c r="Q480" s="7">
        <v>50</v>
      </c>
      <c r="R480" s="7">
        <v>50</v>
      </c>
      <c r="S480" s="7">
        <v>69.302038999999994</v>
      </c>
      <c r="T480" s="7">
        <v>75</v>
      </c>
      <c r="U480" s="7">
        <v>46.201360000000001</v>
      </c>
      <c r="V480" s="7">
        <v>50</v>
      </c>
      <c r="W480" s="7">
        <v>77.014887000000002</v>
      </c>
      <c r="X480" s="7">
        <v>50</v>
      </c>
      <c r="Y480" s="7">
        <v>50</v>
      </c>
      <c r="Z480" s="7">
        <v>75</v>
      </c>
      <c r="AA480" s="7">
        <v>67.829447000000002</v>
      </c>
      <c r="AB480" s="7">
        <v>45.219631</v>
      </c>
      <c r="AC480" s="7">
        <v>50</v>
      </c>
      <c r="AD480" s="4" t="s">
        <v>124</v>
      </c>
      <c r="AE480" s="4" t="s">
        <v>124</v>
      </c>
      <c r="AF480" s="4" t="s">
        <v>124</v>
      </c>
      <c r="AG480" s="4" t="s">
        <v>124</v>
      </c>
      <c r="AH480" s="4" t="s">
        <v>124</v>
      </c>
      <c r="AI480" s="4" t="s">
        <v>124</v>
      </c>
      <c r="AJ480" s="4" t="s">
        <v>124</v>
      </c>
      <c r="AK480" s="7">
        <v>5.69</v>
      </c>
      <c r="AL480" s="7">
        <v>7.17</v>
      </c>
      <c r="AM480" s="4" t="s">
        <v>124</v>
      </c>
      <c r="AN480" s="7">
        <v>0.65424899999999997</v>
      </c>
      <c r="AO480" s="7">
        <v>65.424856000000005</v>
      </c>
      <c r="AP480" s="7">
        <v>100</v>
      </c>
      <c r="AQ480" s="7">
        <v>0.57766899999999999</v>
      </c>
      <c r="AR480" s="7">
        <v>57.766905999999999</v>
      </c>
      <c r="AS480" s="7">
        <v>100</v>
      </c>
      <c r="AT480" s="7">
        <v>0.45335500000000001</v>
      </c>
      <c r="AU480" s="7">
        <v>0.74799899999999997</v>
      </c>
      <c r="AV480" s="7">
        <v>45.335451999999997</v>
      </c>
      <c r="AW480" s="7">
        <v>100</v>
      </c>
      <c r="AX480" s="7">
        <v>0.50717299999999998</v>
      </c>
      <c r="AY480" s="7">
        <v>0.61056699999999997</v>
      </c>
      <c r="AZ480" s="7">
        <v>50.717306999999998</v>
      </c>
      <c r="BA480" s="7">
        <v>100</v>
      </c>
      <c r="BB480" s="4" t="s">
        <v>124</v>
      </c>
      <c r="BC480" s="4" t="s">
        <v>124</v>
      </c>
      <c r="BD480" s="4" t="s">
        <v>124</v>
      </c>
      <c r="BE480" s="4" t="s">
        <v>124</v>
      </c>
      <c r="BF480" s="4" t="s">
        <v>124</v>
      </c>
      <c r="BG480" s="4" t="s">
        <v>124</v>
      </c>
      <c r="BH480" s="7">
        <v>0</v>
      </c>
      <c r="BI480" s="7">
        <v>1</v>
      </c>
      <c r="BJ480" s="7">
        <v>1</v>
      </c>
      <c r="BK480" s="7">
        <v>1</v>
      </c>
      <c r="BL480" s="7">
        <v>1</v>
      </c>
      <c r="BM480" s="7">
        <v>1</v>
      </c>
      <c r="BN480" s="7">
        <v>1</v>
      </c>
      <c r="BO480" s="4" t="s">
        <v>124</v>
      </c>
      <c r="BP480" s="4" t="s">
        <v>124</v>
      </c>
      <c r="BQ480" s="4" t="s">
        <v>124</v>
      </c>
      <c r="BR480" s="7">
        <v>1.5209E-2</v>
      </c>
      <c r="BS480" s="7">
        <v>50</v>
      </c>
      <c r="BT480" s="7">
        <v>50</v>
      </c>
      <c r="BU480" s="7">
        <v>2.7397000000000001E-2</v>
      </c>
      <c r="BV480" s="7">
        <v>50</v>
      </c>
      <c r="BW480" s="7">
        <v>50</v>
      </c>
      <c r="BX480" s="4" t="s">
        <v>124</v>
      </c>
      <c r="BY480" s="4" t="s">
        <v>124</v>
      </c>
      <c r="BZ480" s="4" t="s">
        <v>124</v>
      </c>
      <c r="CA480" s="4" t="s">
        <v>124</v>
      </c>
      <c r="CB480" s="4" t="s">
        <v>124</v>
      </c>
      <c r="CC480" s="4" t="s">
        <v>124</v>
      </c>
      <c r="CD480" s="4" t="s">
        <v>124</v>
      </c>
      <c r="CE480" s="4" t="s">
        <v>124</v>
      </c>
      <c r="CF480" s="4" t="s">
        <v>124</v>
      </c>
      <c r="CG480" s="4" t="s">
        <v>124</v>
      </c>
      <c r="CH480" s="4" t="s">
        <v>124</v>
      </c>
      <c r="CI480" s="4" t="s">
        <v>124</v>
      </c>
      <c r="CJ480" s="4" t="s">
        <v>124</v>
      </c>
      <c r="CK480" s="4" t="s">
        <v>124</v>
      </c>
      <c r="CL480" s="4" t="s">
        <v>124</v>
      </c>
      <c r="CM480" s="4" t="s">
        <v>124</v>
      </c>
      <c r="CN480" s="4" t="s">
        <v>124</v>
      </c>
      <c r="CO480" s="4" t="s">
        <v>124</v>
      </c>
      <c r="CP480" s="4" t="s">
        <v>124</v>
      </c>
      <c r="CQ480" s="7">
        <v>0.82352899999999996</v>
      </c>
      <c r="CR480" s="7">
        <v>1</v>
      </c>
      <c r="CS480" s="7">
        <v>50</v>
      </c>
      <c r="CT480" s="7">
        <v>50</v>
      </c>
      <c r="CU480" s="4" t="s">
        <v>124</v>
      </c>
      <c r="CV480" s="4" t="s">
        <v>124</v>
      </c>
      <c r="CW480" s="4" t="s">
        <v>124</v>
      </c>
      <c r="CX480" s="4" t="s">
        <v>124</v>
      </c>
      <c r="CY480" s="4" t="s">
        <v>124</v>
      </c>
      <c r="CZ480" s="4" t="s">
        <v>124</v>
      </c>
      <c r="DA480" s="7">
        <v>15.314097</v>
      </c>
      <c r="DB480" s="7">
        <v>17.400950000000002</v>
      </c>
      <c r="DC480" s="7">
        <v>16.332519999999999</v>
      </c>
      <c r="DD480" s="4" t="s">
        <v>124</v>
      </c>
      <c r="DE480" s="7">
        <v>0</v>
      </c>
      <c r="DF480" s="6"/>
      <c r="DG480" s="6"/>
      <c r="DH480" s="6"/>
      <c r="DI480" s="6"/>
      <c r="DJ480" s="7">
        <v>0</v>
      </c>
      <c r="DK480" s="7">
        <v>0</v>
      </c>
      <c r="DL480" s="7">
        <v>0</v>
      </c>
      <c r="DM480" s="7">
        <v>0</v>
      </c>
      <c r="DN480" s="7">
        <v>0</v>
      </c>
      <c r="DO480" s="7">
        <v>0</v>
      </c>
      <c r="DP480" s="6"/>
      <c r="DQ480" s="4" t="s">
        <v>125</v>
      </c>
    </row>
    <row r="481" spans="1:121" ht="20" customHeight="1" x14ac:dyDescent="0.15">
      <c r="A481" s="5">
        <v>2018</v>
      </c>
      <c r="B481" s="3" t="s">
        <v>296</v>
      </c>
      <c r="C481" s="4" t="str">
        <f t="shared" si="209"/>
        <v>0600011</v>
      </c>
      <c r="D481" s="4" t="s">
        <v>636</v>
      </c>
      <c r="E481" s="4" t="str">
        <f>"0600411"</f>
        <v>0600411</v>
      </c>
      <c r="F481" s="4" t="s">
        <v>327</v>
      </c>
      <c r="G481" s="4" t="s">
        <v>338</v>
      </c>
      <c r="H481" s="7">
        <v>4</v>
      </c>
      <c r="I481" s="6"/>
      <c r="J481" s="4" t="s">
        <v>330</v>
      </c>
      <c r="K481" s="7">
        <v>479.74611700000003</v>
      </c>
      <c r="L481" s="7">
        <v>550</v>
      </c>
      <c r="M481" s="7">
        <v>87.226567000000003</v>
      </c>
      <c r="N481" s="7">
        <v>1</v>
      </c>
      <c r="O481" s="7">
        <v>0</v>
      </c>
      <c r="P481" s="7">
        <v>84.612353999999996</v>
      </c>
      <c r="Q481" s="7">
        <v>50</v>
      </c>
      <c r="R481" s="7">
        <v>50</v>
      </c>
      <c r="S481" s="7">
        <v>70.453755000000001</v>
      </c>
      <c r="T481" s="7">
        <v>75</v>
      </c>
      <c r="U481" s="7">
        <v>46.969169999999998</v>
      </c>
      <c r="V481" s="7">
        <v>50</v>
      </c>
      <c r="W481" s="7">
        <v>80.629008999999996</v>
      </c>
      <c r="X481" s="7">
        <v>50</v>
      </c>
      <c r="Y481" s="7">
        <v>50</v>
      </c>
      <c r="Z481" s="7">
        <v>75</v>
      </c>
      <c r="AA481" s="7">
        <v>61.732714999999999</v>
      </c>
      <c r="AB481" s="7">
        <v>41.155143000000002</v>
      </c>
      <c r="AC481" s="7">
        <v>50</v>
      </c>
      <c r="AD481" s="4" t="s">
        <v>124</v>
      </c>
      <c r="AE481" s="4" t="s">
        <v>124</v>
      </c>
      <c r="AF481" s="4" t="s">
        <v>124</v>
      </c>
      <c r="AG481" s="4" t="s">
        <v>124</v>
      </c>
      <c r="AH481" s="4" t="s">
        <v>124</v>
      </c>
      <c r="AI481" s="4" t="s">
        <v>124</v>
      </c>
      <c r="AJ481" s="4" t="s">
        <v>124</v>
      </c>
      <c r="AK481" s="7">
        <v>4.54</v>
      </c>
      <c r="AL481" s="7">
        <v>13.26</v>
      </c>
      <c r="AM481" s="4" t="s">
        <v>124</v>
      </c>
      <c r="AN481" s="7">
        <v>0.67685200000000001</v>
      </c>
      <c r="AO481" s="7">
        <v>67.685213000000005</v>
      </c>
      <c r="AP481" s="7">
        <v>100</v>
      </c>
      <c r="AQ481" s="7">
        <v>0.73936599999999997</v>
      </c>
      <c r="AR481" s="7">
        <v>73.936591000000007</v>
      </c>
      <c r="AS481" s="7">
        <v>100</v>
      </c>
      <c r="AT481" s="4" t="s">
        <v>124</v>
      </c>
      <c r="AU481" s="7">
        <v>0.72041299999999997</v>
      </c>
      <c r="AV481" s="4" t="s">
        <v>124</v>
      </c>
      <c r="AW481" s="4" t="s">
        <v>124</v>
      </c>
      <c r="AX481" s="4" t="s">
        <v>124</v>
      </c>
      <c r="AY481" s="7">
        <v>0.74689499999999998</v>
      </c>
      <c r="AZ481" s="4" t="s">
        <v>124</v>
      </c>
      <c r="BA481" s="4" t="s">
        <v>124</v>
      </c>
      <c r="BB481" s="4" t="s">
        <v>124</v>
      </c>
      <c r="BC481" s="4" t="s">
        <v>124</v>
      </c>
      <c r="BD481" s="4" t="s">
        <v>124</v>
      </c>
      <c r="BE481" s="4" t="s">
        <v>124</v>
      </c>
      <c r="BF481" s="4" t="s">
        <v>124</v>
      </c>
      <c r="BG481" s="4" t="s">
        <v>124</v>
      </c>
      <c r="BH481" s="7">
        <v>0</v>
      </c>
      <c r="BI481" s="7">
        <v>1</v>
      </c>
      <c r="BJ481" s="7">
        <v>1</v>
      </c>
      <c r="BK481" s="7">
        <v>1</v>
      </c>
      <c r="BL481" s="7">
        <v>1</v>
      </c>
      <c r="BM481" s="7">
        <v>1</v>
      </c>
      <c r="BN481" s="7">
        <v>1</v>
      </c>
      <c r="BO481" s="4" t="s">
        <v>124</v>
      </c>
      <c r="BP481" s="4" t="s">
        <v>124</v>
      </c>
      <c r="BQ481" s="4" t="s">
        <v>124</v>
      </c>
      <c r="BR481" s="7">
        <v>2.3904000000000002E-2</v>
      </c>
      <c r="BS481" s="7">
        <v>50</v>
      </c>
      <c r="BT481" s="7">
        <v>50</v>
      </c>
      <c r="BU481" s="7">
        <v>3.2786999999999997E-2</v>
      </c>
      <c r="BV481" s="7">
        <v>50</v>
      </c>
      <c r="BW481" s="7">
        <v>50</v>
      </c>
      <c r="BX481" s="4" t="s">
        <v>124</v>
      </c>
      <c r="BY481" s="4" t="s">
        <v>124</v>
      </c>
      <c r="BZ481" s="4" t="s">
        <v>124</v>
      </c>
      <c r="CA481" s="4" t="s">
        <v>124</v>
      </c>
      <c r="CB481" s="4" t="s">
        <v>124</v>
      </c>
      <c r="CC481" s="4" t="s">
        <v>124</v>
      </c>
      <c r="CD481" s="4" t="s">
        <v>124</v>
      </c>
      <c r="CE481" s="4" t="s">
        <v>124</v>
      </c>
      <c r="CF481" s="4" t="s">
        <v>124</v>
      </c>
      <c r="CG481" s="4" t="s">
        <v>124</v>
      </c>
      <c r="CH481" s="4" t="s">
        <v>124</v>
      </c>
      <c r="CI481" s="4" t="s">
        <v>124</v>
      </c>
      <c r="CJ481" s="4" t="s">
        <v>124</v>
      </c>
      <c r="CK481" s="4" t="s">
        <v>124</v>
      </c>
      <c r="CL481" s="4" t="s">
        <v>124</v>
      </c>
      <c r="CM481" s="4" t="s">
        <v>124</v>
      </c>
      <c r="CN481" s="4" t="s">
        <v>124</v>
      </c>
      <c r="CO481" s="4" t="s">
        <v>124</v>
      </c>
      <c r="CP481" s="4" t="s">
        <v>124</v>
      </c>
      <c r="CQ481" s="7">
        <v>0.97916700000000001</v>
      </c>
      <c r="CR481" s="7">
        <v>1</v>
      </c>
      <c r="CS481" s="7">
        <v>50</v>
      </c>
      <c r="CT481" s="7">
        <v>50</v>
      </c>
      <c r="CU481" s="4" t="s">
        <v>124</v>
      </c>
      <c r="CV481" s="4" t="s">
        <v>124</v>
      </c>
      <c r="CW481" s="4" t="s">
        <v>124</v>
      </c>
      <c r="CX481" s="4" t="s">
        <v>124</v>
      </c>
      <c r="CY481" s="4" t="s">
        <v>124</v>
      </c>
      <c r="CZ481" s="4" t="s">
        <v>124</v>
      </c>
      <c r="DA481" s="7">
        <v>15.314097</v>
      </c>
      <c r="DB481" s="7">
        <v>17.400950000000002</v>
      </c>
      <c r="DC481" s="7">
        <v>16.332519999999999</v>
      </c>
      <c r="DD481" s="4" t="s">
        <v>124</v>
      </c>
      <c r="DE481" s="7">
        <v>0</v>
      </c>
      <c r="DF481" s="6"/>
      <c r="DG481" s="6"/>
      <c r="DH481" s="4" t="s">
        <v>331</v>
      </c>
      <c r="DI481" s="4" t="s">
        <v>332</v>
      </c>
      <c r="DJ481" s="7">
        <v>1</v>
      </c>
      <c r="DK481" s="7">
        <v>0</v>
      </c>
      <c r="DL481" s="7">
        <v>0</v>
      </c>
      <c r="DM481" s="7">
        <v>0</v>
      </c>
      <c r="DN481" s="7">
        <v>0</v>
      </c>
      <c r="DO481" s="7">
        <v>0</v>
      </c>
      <c r="DP481" s="6"/>
      <c r="DQ481" s="4" t="s">
        <v>125</v>
      </c>
    </row>
    <row r="482" spans="1:121" ht="20" customHeight="1" x14ac:dyDescent="0.15">
      <c r="A482" s="5">
        <v>2018</v>
      </c>
      <c r="B482" s="3" t="s">
        <v>296</v>
      </c>
      <c r="C482" s="4" t="str">
        <f t="shared" si="209"/>
        <v>0600011</v>
      </c>
      <c r="D482" s="4" t="s">
        <v>637</v>
      </c>
      <c r="E482" s="4" t="str">
        <f>"0605111"</f>
        <v>0605111</v>
      </c>
      <c r="F482" s="4" t="s">
        <v>327</v>
      </c>
      <c r="G482" s="7">
        <v>7</v>
      </c>
      <c r="H482" s="7">
        <v>8</v>
      </c>
      <c r="I482" s="6"/>
      <c r="J482" s="4" t="s">
        <v>330</v>
      </c>
      <c r="K482" s="7">
        <v>720.09605299999998</v>
      </c>
      <c r="L482" s="7">
        <v>900</v>
      </c>
      <c r="M482" s="7">
        <v>80.010672999999997</v>
      </c>
      <c r="N482" s="7">
        <v>2</v>
      </c>
      <c r="O482" s="7">
        <v>0</v>
      </c>
      <c r="P482" s="7">
        <v>80.994292999999999</v>
      </c>
      <c r="Q482" s="7">
        <v>50</v>
      </c>
      <c r="R482" s="7">
        <v>50</v>
      </c>
      <c r="S482" s="7">
        <v>64.285295000000005</v>
      </c>
      <c r="T482" s="7">
        <v>75</v>
      </c>
      <c r="U482" s="7">
        <v>42.856864000000002</v>
      </c>
      <c r="V482" s="7">
        <v>50</v>
      </c>
      <c r="W482" s="7">
        <v>79.354382000000001</v>
      </c>
      <c r="X482" s="7">
        <v>50</v>
      </c>
      <c r="Y482" s="7">
        <v>50</v>
      </c>
      <c r="Z482" s="7">
        <v>75</v>
      </c>
      <c r="AA482" s="7">
        <v>62.724122000000001</v>
      </c>
      <c r="AB482" s="7">
        <v>41.816080999999997</v>
      </c>
      <c r="AC482" s="7">
        <v>50</v>
      </c>
      <c r="AD482" s="7">
        <v>76.915413999999998</v>
      </c>
      <c r="AE482" s="7">
        <v>50</v>
      </c>
      <c r="AF482" s="7">
        <v>50</v>
      </c>
      <c r="AG482" s="7">
        <v>62.070846000000003</v>
      </c>
      <c r="AH482" s="7">
        <v>75</v>
      </c>
      <c r="AI482" s="7">
        <v>41.380564</v>
      </c>
      <c r="AJ482" s="7">
        <v>50</v>
      </c>
      <c r="AK482" s="7">
        <v>10.71</v>
      </c>
      <c r="AL482" s="7">
        <v>12.27</v>
      </c>
      <c r="AM482" s="7">
        <v>12.92</v>
      </c>
      <c r="AN482" s="7">
        <v>0.61595999999999995</v>
      </c>
      <c r="AO482" s="7">
        <v>61.595965999999997</v>
      </c>
      <c r="AP482" s="7">
        <v>100</v>
      </c>
      <c r="AQ482" s="7">
        <v>0.75296099999999999</v>
      </c>
      <c r="AR482" s="7">
        <v>75.296128999999993</v>
      </c>
      <c r="AS482" s="7">
        <v>100</v>
      </c>
      <c r="AT482" s="7">
        <v>0.48313200000000001</v>
      </c>
      <c r="AU482" s="7">
        <v>0.646953</v>
      </c>
      <c r="AV482" s="7">
        <v>48.313175999999999</v>
      </c>
      <c r="AW482" s="7">
        <v>100</v>
      </c>
      <c r="AX482" s="7">
        <v>0.69195099999999998</v>
      </c>
      <c r="AY482" s="7">
        <v>0.76719700000000002</v>
      </c>
      <c r="AZ482" s="7">
        <v>69.195137000000003</v>
      </c>
      <c r="BA482" s="7">
        <v>100</v>
      </c>
      <c r="BB482" s="4" t="s">
        <v>124</v>
      </c>
      <c r="BC482" s="4" t="s">
        <v>124</v>
      </c>
      <c r="BD482" s="4" t="s">
        <v>124</v>
      </c>
      <c r="BE482" s="4" t="s">
        <v>124</v>
      </c>
      <c r="BF482" s="4" t="s">
        <v>124</v>
      </c>
      <c r="BG482" s="4" t="s">
        <v>124</v>
      </c>
      <c r="BH482" s="7">
        <v>0</v>
      </c>
      <c r="BI482" s="7">
        <v>1</v>
      </c>
      <c r="BJ482" s="7">
        <v>1</v>
      </c>
      <c r="BK482" s="7">
        <v>1</v>
      </c>
      <c r="BL482" s="7">
        <v>1</v>
      </c>
      <c r="BM482" s="7">
        <v>1</v>
      </c>
      <c r="BN482" s="7">
        <v>1</v>
      </c>
      <c r="BO482" s="7">
        <v>1</v>
      </c>
      <c r="BP482" s="7">
        <v>1</v>
      </c>
      <c r="BQ482" s="7">
        <v>1</v>
      </c>
      <c r="BR482" s="7">
        <v>4.4905E-2</v>
      </c>
      <c r="BS482" s="7">
        <v>50</v>
      </c>
      <c r="BT482" s="7">
        <v>50</v>
      </c>
      <c r="BU482" s="7">
        <v>8.6957000000000007E-2</v>
      </c>
      <c r="BV482" s="7">
        <v>42.608696000000002</v>
      </c>
      <c r="BW482" s="7">
        <v>50</v>
      </c>
      <c r="BX482" s="4" t="s">
        <v>124</v>
      </c>
      <c r="BY482" s="4" t="s">
        <v>124</v>
      </c>
      <c r="BZ482" s="4" t="s">
        <v>124</v>
      </c>
      <c r="CA482" s="4" t="s">
        <v>124</v>
      </c>
      <c r="CB482" s="4" t="s">
        <v>124</v>
      </c>
      <c r="CC482" s="4" t="s">
        <v>124</v>
      </c>
      <c r="CD482" s="7">
        <v>0.94274800000000003</v>
      </c>
      <c r="CE482" s="7">
        <v>50</v>
      </c>
      <c r="CF482" s="7">
        <v>50</v>
      </c>
      <c r="CG482" s="4" t="s">
        <v>124</v>
      </c>
      <c r="CH482" s="4" t="s">
        <v>124</v>
      </c>
      <c r="CI482" s="4" t="s">
        <v>124</v>
      </c>
      <c r="CJ482" s="4" t="s">
        <v>124</v>
      </c>
      <c r="CK482" s="4" t="s">
        <v>124</v>
      </c>
      <c r="CL482" s="4" t="s">
        <v>124</v>
      </c>
      <c r="CM482" s="4" t="s">
        <v>124</v>
      </c>
      <c r="CN482" s="4" t="s">
        <v>124</v>
      </c>
      <c r="CO482" s="4" t="s">
        <v>124</v>
      </c>
      <c r="CP482" s="4" t="s">
        <v>124</v>
      </c>
      <c r="CQ482" s="7">
        <v>0.70550199999999996</v>
      </c>
      <c r="CR482" s="7">
        <v>1.006515</v>
      </c>
      <c r="CS482" s="7">
        <v>47.033441000000003</v>
      </c>
      <c r="CT482" s="7">
        <v>50</v>
      </c>
      <c r="CU482" s="4" t="s">
        <v>124</v>
      </c>
      <c r="CV482" s="4" t="s">
        <v>124</v>
      </c>
      <c r="CW482" s="4" t="s">
        <v>124</v>
      </c>
      <c r="CX482" s="4" t="s">
        <v>124</v>
      </c>
      <c r="CY482" s="4" t="s">
        <v>124</v>
      </c>
      <c r="CZ482" s="4" t="s">
        <v>124</v>
      </c>
      <c r="DA482" s="7">
        <v>15.314097</v>
      </c>
      <c r="DB482" s="7">
        <v>17.400950000000002</v>
      </c>
      <c r="DC482" s="7">
        <v>16.332519999999999</v>
      </c>
      <c r="DD482" s="4" t="s">
        <v>124</v>
      </c>
      <c r="DE482" s="7">
        <v>0</v>
      </c>
      <c r="DF482" s="6"/>
      <c r="DG482" s="6"/>
      <c r="DH482" s="6"/>
      <c r="DI482" s="6"/>
      <c r="DJ482" s="7">
        <v>0</v>
      </c>
      <c r="DK482" s="7">
        <v>0</v>
      </c>
      <c r="DL482" s="7">
        <v>0</v>
      </c>
      <c r="DM482" s="7">
        <v>0</v>
      </c>
      <c r="DN482" s="7">
        <v>0</v>
      </c>
      <c r="DO482" s="7">
        <v>0</v>
      </c>
      <c r="DP482" s="6"/>
      <c r="DQ482" s="4" t="s">
        <v>125</v>
      </c>
    </row>
    <row r="483" spans="1:121" ht="20" customHeight="1" x14ac:dyDescent="0.15">
      <c r="A483" s="5">
        <v>2018</v>
      </c>
      <c r="B483" s="3" t="s">
        <v>296</v>
      </c>
      <c r="C483" s="4" t="str">
        <f t="shared" si="209"/>
        <v>0600011</v>
      </c>
      <c r="D483" s="4" t="s">
        <v>638</v>
      </c>
      <c r="E483" s="4" t="str">
        <f>"0606111"</f>
        <v>0606111</v>
      </c>
      <c r="F483" s="4" t="s">
        <v>327</v>
      </c>
      <c r="G483" s="7">
        <v>9</v>
      </c>
      <c r="H483" s="7">
        <v>12</v>
      </c>
      <c r="I483" s="6"/>
      <c r="J483" s="4" t="s">
        <v>330</v>
      </c>
      <c r="K483" s="7">
        <v>1282.918408</v>
      </c>
      <c r="L483" s="7">
        <v>1450</v>
      </c>
      <c r="M483" s="7">
        <v>88.477131999999997</v>
      </c>
      <c r="N483" s="7">
        <v>2</v>
      </c>
      <c r="O483" s="7">
        <v>1</v>
      </c>
      <c r="P483" s="7">
        <v>69.074786000000003</v>
      </c>
      <c r="Q483" s="7">
        <v>138.149573</v>
      </c>
      <c r="R483" s="7">
        <v>150</v>
      </c>
      <c r="S483" s="7">
        <v>56.445326000000001</v>
      </c>
      <c r="T483" s="7">
        <v>72.642750000000007</v>
      </c>
      <c r="U483" s="7">
        <v>112.890653</v>
      </c>
      <c r="V483" s="7">
        <v>150</v>
      </c>
      <c r="W483" s="7">
        <v>68.713674999999995</v>
      </c>
      <c r="X483" s="7">
        <v>137.42734999999999</v>
      </c>
      <c r="Y483" s="7">
        <v>150</v>
      </c>
      <c r="Z483" s="7">
        <v>72.593423000000001</v>
      </c>
      <c r="AA483" s="7">
        <v>54.980600000000003</v>
      </c>
      <c r="AB483" s="7">
        <v>109.96119899999999</v>
      </c>
      <c r="AC483" s="7">
        <v>150</v>
      </c>
      <c r="AD483" s="7">
        <v>73.468603000000002</v>
      </c>
      <c r="AE483" s="7">
        <v>97.958136999999994</v>
      </c>
      <c r="AF483" s="7">
        <v>100</v>
      </c>
      <c r="AG483" s="7">
        <v>62.766004000000002</v>
      </c>
      <c r="AH483" s="7">
        <v>75</v>
      </c>
      <c r="AI483" s="7">
        <v>83.688005000000004</v>
      </c>
      <c r="AJ483" s="7">
        <v>100</v>
      </c>
      <c r="AK483" s="7">
        <v>16.190000000000001</v>
      </c>
      <c r="AL483" s="7">
        <v>17.61</v>
      </c>
      <c r="AM483" s="7">
        <v>12.23</v>
      </c>
      <c r="AN483" s="4" t="s">
        <v>124</v>
      </c>
      <c r="AO483" s="4" t="s">
        <v>124</v>
      </c>
      <c r="AP483" s="4" t="s">
        <v>124</v>
      </c>
      <c r="AQ483" s="4" t="s">
        <v>124</v>
      </c>
      <c r="AR483" s="4" t="s">
        <v>124</v>
      </c>
      <c r="AS483" s="4" t="s">
        <v>124</v>
      </c>
      <c r="AT483" s="4" t="s">
        <v>124</v>
      </c>
      <c r="AU483" s="4" t="s">
        <v>124</v>
      </c>
      <c r="AV483" s="4" t="s">
        <v>124</v>
      </c>
      <c r="AW483" s="4" t="s">
        <v>124</v>
      </c>
      <c r="AX483" s="4" t="s">
        <v>124</v>
      </c>
      <c r="AY483" s="4" t="s">
        <v>124</v>
      </c>
      <c r="AZ483" s="4" t="s">
        <v>124</v>
      </c>
      <c r="BA483" s="4" t="s">
        <v>124</v>
      </c>
      <c r="BB483" s="4" t="s">
        <v>124</v>
      </c>
      <c r="BC483" s="4" t="s">
        <v>124</v>
      </c>
      <c r="BD483" s="4" t="s">
        <v>124</v>
      </c>
      <c r="BE483" s="4" t="s">
        <v>124</v>
      </c>
      <c r="BF483" s="4" t="s">
        <v>124</v>
      </c>
      <c r="BG483" s="4" t="s">
        <v>124</v>
      </c>
      <c r="BH483" s="7">
        <v>0</v>
      </c>
      <c r="BI483" s="7">
        <v>1</v>
      </c>
      <c r="BJ483" s="7">
        <v>1</v>
      </c>
      <c r="BK483" s="7">
        <v>1</v>
      </c>
      <c r="BL483" s="7">
        <v>1</v>
      </c>
      <c r="BM483" s="7">
        <v>1</v>
      </c>
      <c r="BN483" s="7">
        <v>1</v>
      </c>
      <c r="BO483" s="7">
        <v>1</v>
      </c>
      <c r="BP483" s="7">
        <v>1</v>
      </c>
      <c r="BQ483" s="7">
        <v>1</v>
      </c>
      <c r="BR483" s="7">
        <v>9.8449999999999996E-2</v>
      </c>
      <c r="BS483" s="7">
        <v>40.309936</v>
      </c>
      <c r="BT483" s="7">
        <v>50</v>
      </c>
      <c r="BU483" s="7">
        <v>0.15789500000000001</v>
      </c>
      <c r="BV483" s="7">
        <v>28.421053000000001</v>
      </c>
      <c r="BW483" s="7">
        <v>50</v>
      </c>
      <c r="BX483" s="7">
        <v>0.63423399999999996</v>
      </c>
      <c r="BY483" s="7">
        <v>42.282282000000002</v>
      </c>
      <c r="BZ483" s="7">
        <v>50</v>
      </c>
      <c r="CA483" s="7">
        <v>0.700901</v>
      </c>
      <c r="CB483" s="7">
        <v>46.726726999999997</v>
      </c>
      <c r="CC483" s="7">
        <v>50</v>
      </c>
      <c r="CD483" s="7">
        <v>0.94982100000000003</v>
      </c>
      <c r="CE483" s="7">
        <v>50</v>
      </c>
      <c r="CF483" s="7">
        <v>50</v>
      </c>
      <c r="CG483" s="7">
        <v>0.98281799999999997</v>
      </c>
      <c r="CH483" s="7">
        <v>100</v>
      </c>
      <c r="CI483" s="7">
        <v>100</v>
      </c>
      <c r="CJ483" s="7">
        <v>0</v>
      </c>
      <c r="CK483" s="7">
        <v>0.92307700000000004</v>
      </c>
      <c r="CL483" s="7">
        <v>98.199673000000004</v>
      </c>
      <c r="CM483" s="7">
        <v>100</v>
      </c>
      <c r="CN483" s="7">
        <v>0.79863499999999998</v>
      </c>
      <c r="CO483" s="7">
        <v>100</v>
      </c>
      <c r="CP483" s="7">
        <v>100</v>
      </c>
      <c r="CQ483" s="7">
        <v>0.70355699999999999</v>
      </c>
      <c r="CR483" s="7">
        <v>0.94403000000000004</v>
      </c>
      <c r="CS483" s="7">
        <v>46.903821000000001</v>
      </c>
      <c r="CT483" s="7">
        <v>50</v>
      </c>
      <c r="CU483" s="7">
        <v>0.70009100000000002</v>
      </c>
      <c r="CV483" s="7">
        <v>50</v>
      </c>
      <c r="CW483" s="7">
        <v>50</v>
      </c>
      <c r="CX483" s="7">
        <v>0.92307700000000004</v>
      </c>
      <c r="CY483" s="7">
        <v>0.94</v>
      </c>
      <c r="CZ483" s="7">
        <v>1.6923000000000001E-2</v>
      </c>
      <c r="DA483" s="7">
        <v>15.314097</v>
      </c>
      <c r="DB483" s="7">
        <v>17.400950000000002</v>
      </c>
      <c r="DC483" s="7">
        <v>16.332519999999999</v>
      </c>
      <c r="DD483" s="7">
        <v>7.9891730000000001</v>
      </c>
      <c r="DE483" s="7">
        <v>1</v>
      </c>
      <c r="DF483" s="6"/>
      <c r="DG483" s="6"/>
      <c r="DH483" s="6"/>
      <c r="DI483" s="6"/>
      <c r="DJ483" s="7">
        <v>0</v>
      </c>
      <c r="DK483" s="7">
        <v>0</v>
      </c>
      <c r="DL483" s="7">
        <v>0</v>
      </c>
      <c r="DM483" s="7">
        <v>0</v>
      </c>
      <c r="DN483" s="7">
        <v>0</v>
      </c>
      <c r="DO483" s="7">
        <v>0</v>
      </c>
      <c r="DP483" s="6"/>
      <c r="DQ483" s="4" t="s">
        <v>125</v>
      </c>
    </row>
    <row r="484" spans="1:121" ht="20" customHeight="1" x14ac:dyDescent="0.15">
      <c r="A484" s="5">
        <v>2018</v>
      </c>
      <c r="B484" s="3" t="s">
        <v>296</v>
      </c>
      <c r="C484" s="4" t="str">
        <f>"0600011"</f>
        <v>0600011</v>
      </c>
      <c r="D484" s="4" t="s">
        <v>639</v>
      </c>
      <c r="E484" s="4" t="str">
        <f>"0600211"</f>
        <v>0600211</v>
      </c>
      <c r="F484" s="4" t="s">
        <v>327</v>
      </c>
      <c r="G484" s="4" t="s">
        <v>328</v>
      </c>
      <c r="H484" s="7">
        <v>4</v>
      </c>
      <c r="I484" s="6"/>
      <c r="J484" s="4" t="s">
        <v>330</v>
      </c>
      <c r="K484" s="7">
        <v>495.83485899999999</v>
      </c>
      <c r="L484" s="7">
        <v>550</v>
      </c>
      <c r="M484" s="7">
        <v>90.151792999999998</v>
      </c>
      <c r="N484" s="7">
        <v>1</v>
      </c>
      <c r="O484" s="7">
        <v>0</v>
      </c>
      <c r="P484" s="7">
        <v>84.605765000000005</v>
      </c>
      <c r="Q484" s="7">
        <v>50</v>
      </c>
      <c r="R484" s="7">
        <v>50</v>
      </c>
      <c r="S484" s="7">
        <v>69.050224999999998</v>
      </c>
      <c r="T484" s="7">
        <v>75</v>
      </c>
      <c r="U484" s="7">
        <v>46.033482999999997</v>
      </c>
      <c r="V484" s="7">
        <v>50</v>
      </c>
      <c r="W484" s="7">
        <v>84.637153999999995</v>
      </c>
      <c r="X484" s="7">
        <v>50</v>
      </c>
      <c r="Y484" s="7">
        <v>50</v>
      </c>
      <c r="Z484" s="7">
        <v>75</v>
      </c>
      <c r="AA484" s="7">
        <v>69.812048000000004</v>
      </c>
      <c r="AB484" s="7">
        <v>46.541364999999999</v>
      </c>
      <c r="AC484" s="7">
        <v>50</v>
      </c>
      <c r="AD484" s="4" t="s">
        <v>124</v>
      </c>
      <c r="AE484" s="4" t="s">
        <v>124</v>
      </c>
      <c r="AF484" s="4" t="s">
        <v>124</v>
      </c>
      <c r="AG484" s="4" t="s">
        <v>124</v>
      </c>
      <c r="AH484" s="4" t="s">
        <v>124</v>
      </c>
      <c r="AI484" s="4" t="s">
        <v>124</v>
      </c>
      <c r="AJ484" s="4" t="s">
        <v>124</v>
      </c>
      <c r="AK484" s="7">
        <v>5.94</v>
      </c>
      <c r="AL484" s="7">
        <v>5.18</v>
      </c>
      <c r="AM484" s="4" t="s">
        <v>124</v>
      </c>
      <c r="AN484" s="7">
        <v>0.77292700000000003</v>
      </c>
      <c r="AO484" s="7">
        <v>77.292719000000005</v>
      </c>
      <c r="AP484" s="7">
        <v>100</v>
      </c>
      <c r="AQ484" s="7">
        <v>0.81653600000000004</v>
      </c>
      <c r="AR484" s="7">
        <v>81.653565999999998</v>
      </c>
      <c r="AS484" s="7">
        <v>100</v>
      </c>
      <c r="AT484" s="4" t="s">
        <v>124</v>
      </c>
      <c r="AU484" s="7">
        <v>0.78809899999999999</v>
      </c>
      <c r="AV484" s="4" t="s">
        <v>124</v>
      </c>
      <c r="AW484" s="4" t="s">
        <v>124</v>
      </c>
      <c r="AX484" s="4" t="s">
        <v>124</v>
      </c>
      <c r="AY484" s="7">
        <v>0.80766199999999999</v>
      </c>
      <c r="AZ484" s="4" t="s">
        <v>124</v>
      </c>
      <c r="BA484" s="4" t="s">
        <v>124</v>
      </c>
      <c r="BB484" s="4" t="s">
        <v>124</v>
      </c>
      <c r="BC484" s="4" t="s">
        <v>124</v>
      </c>
      <c r="BD484" s="4" t="s">
        <v>124</v>
      </c>
      <c r="BE484" s="4" t="s">
        <v>124</v>
      </c>
      <c r="BF484" s="4" t="s">
        <v>124</v>
      </c>
      <c r="BG484" s="4" t="s">
        <v>124</v>
      </c>
      <c r="BH484" s="7">
        <v>0</v>
      </c>
      <c r="BI484" s="7">
        <v>1</v>
      </c>
      <c r="BJ484" s="7">
        <v>1</v>
      </c>
      <c r="BK484" s="7">
        <v>1</v>
      </c>
      <c r="BL484" s="7">
        <v>1</v>
      </c>
      <c r="BM484" s="7">
        <v>1</v>
      </c>
      <c r="BN484" s="7">
        <v>1</v>
      </c>
      <c r="BO484" s="4" t="s">
        <v>124</v>
      </c>
      <c r="BP484" s="4" t="s">
        <v>124</v>
      </c>
      <c r="BQ484" s="4" t="s">
        <v>124</v>
      </c>
      <c r="BR484" s="7">
        <v>2.1277000000000001E-2</v>
      </c>
      <c r="BS484" s="7">
        <v>50</v>
      </c>
      <c r="BT484" s="7">
        <v>50</v>
      </c>
      <c r="BU484" s="7">
        <v>7.8431000000000001E-2</v>
      </c>
      <c r="BV484" s="7">
        <v>44.313724999999998</v>
      </c>
      <c r="BW484" s="7">
        <v>50</v>
      </c>
      <c r="BX484" s="4" t="s">
        <v>124</v>
      </c>
      <c r="BY484" s="4" t="s">
        <v>124</v>
      </c>
      <c r="BZ484" s="4" t="s">
        <v>124</v>
      </c>
      <c r="CA484" s="4" t="s">
        <v>124</v>
      </c>
      <c r="CB484" s="4" t="s">
        <v>124</v>
      </c>
      <c r="CC484" s="4" t="s">
        <v>124</v>
      </c>
      <c r="CD484" s="4" t="s">
        <v>124</v>
      </c>
      <c r="CE484" s="4" t="s">
        <v>124</v>
      </c>
      <c r="CF484" s="4" t="s">
        <v>124</v>
      </c>
      <c r="CG484" s="4" t="s">
        <v>124</v>
      </c>
      <c r="CH484" s="4" t="s">
        <v>124</v>
      </c>
      <c r="CI484" s="4" t="s">
        <v>124</v>
      </c>
      <c r="CJ484" s="4" t="s">
        <v>124</v>
      </c>
      <c r="CK484" s="4" t="s">
        <v>124</v>
      </c>
      <c r="CL484" s="4" t="s">
        <v>124</v>
      </c>
      <c r="CM484" s="4" t="s">
        <v>124</v>
      </c>
      <c r="CN484" s="4" t="s">
        <v>124</v>
      </c>
      <c r="CO484" s="4" t="s">
        <v>124</v>
      </c>
      <c r="CP484" s="4" t="s">
        <v>124</v>
      </c>
      <c r="CQ484" s="7">
        <v>0.87931000000000004</v>
      </c>
      <c r="CR484" s="7">
        <v>0.96666700000000005</v>
      </c>
      <c r="CS484" s="7">
        <v>50</v>
      </c>
      <c r="CT484" s="7">
        <v>50</v>
      </c>
      <c r="CU484" s="4" t="s">
        <v>124</v>
      </c>
      <c r="CV484" s="4" t="s">
        <v>124</v>
      </c>
      <c r="CW484" s="4" t="s">
        <v>124</v>
      </c>
      <c r="CX484" s="4" t="s">
        <v>124</v>
      </c>
      <c r="CY484" s="4" t="s">
        <v>124</v>
      </c>
      <c r="CZ484" s="4" t="s">
        <v>124</v>
      </c>
      <c r="DA484" s="7">
        <v>15.314097</v>
      </c>
      <c r="DB484" s="7">
        <v>17.400950000000002</v>
      </c>
      <c r="DC484" s="7">
        <v>16.332519999999999</v>
      </c>
      <c r="DD484" s="4" t="s">
        <v>124</v>
      </c>
      <c r="DE484" s="7">
        <v>0</v>
      </c>
      <c r="DF484" s="6"/>
      <c r="DG484" s="6"/>
      <c r="DH484" s="4" t="s">
        <v>331</v>
      </c>
      <c r="DI484" s="4" t="s">
        <v>332</v>
      </c>
      <c r="DJ484" s="7">
        <v>1</v>
      </c>
      <c r="DK484" s="7">
        <v>0</v>
      </c>
      <c r="DL484" s="7">
        <v>0</v>
      </c>
      <c r="DM484" s="7">
        <v>0</v>
      </c>
      <c r="DN484" s="7">
        <v>0</v>
      </c>
      <c r="DO484" s="7">
        <v>0</v>
      </c>
      <c r="DP484" s="6"/>
      <c r="DQ484" s="4" t="s">
        <v>125</v>
      </c>
    </row>
    <row r="485" spans="1:121" ht="20" customHeight="1" x14ac:dyDescent="0.15">
      <c r="A485" s="5">
        <v>2018</v>
      </c>
      <c r="B485" s="3" t="s">
        <v>296</v>
      </c>
      <c r="C485" s="4" t="str">
        <f t="shared" si="209"/>
        <v>0600011</v>
      </c>
      <c r="D485" s="4" t="s">
        <v>640</v>
      </c>
      <c r="E485" s="4" t="str">
        <f>"0600311"</f>
        <v>0600311</v>
      </c>
      <c r="F485" s="4" t="s">
        <v>327</v>
      </c>
      <c r="G485" s="4" t="s">
        <v>338</v>
      </c>
      <c r="H485" s="7">
        <v>4</v>
      </c>
      <c r="I485" s="4" t="s">
        <v>329</v>
      </c>
      <c r="J485" s="4" t="s">
        <v>330</v>
      </c>
      <c r="K485" s="7">
        <v>663.80098999999996</v>
      </c>
      <c r="L485" s="7">
        <v>750</v>
      </c>
      <c r="M485" s="7">
        <v>88.506799000000001</v>
      </c>
      <c r="N485" s="7">
        <v>1</v>
      </c>
      <c r="O485" s="7">
        <v>0</v>
      </c>
      <c r="P485" s="7">
        <v>80.417242000000002</v>
      </c>
      <c r="Q485" s="7">
        <v>50</v>
      </c>
      <c r="R485" s="7">
        <v>50</v>
      </c>
      <c r="S485" s="7">
        <v>68.953091999999998</v>
      </c>
      <c r="T485" s="7">
        <v>75</v>
      </c>
      <c r="U485" s="7">
        <v>45.968727999999999</v>
      </c>
      <c r="V485" s="7">
        <v>50</v>
      </c>
      <c r="W485" s="7">
        <v>76.178393</v>
      </c>
      <c r="X485" s="7">
        <v>50</v>
      </c>
      <c r="Y485" s="7">
        <v>50</v>
      </c>
      <c r="Z485" s="7">
        <v>75</v>
      </c>
      <c r="AA485" s="7">
        <v>63.830157999999997</v>
      </c>
      <c r="AB485" s="7">
        <v>42.553438999999997</v>
      </c>
      <c r="AC485" s="7">
        <v>50</v>
      </c>
      <c r="AD485" s="4" t="s">
        <v>124</v>
      </c>
      <c r="AE485" s="4" t="s">
        <v>124</v>
      </c>
      <c r="AF485" s="4" t="s">
        <v>124</v>
      </c>
      <c r="AG485" s="4" t="s">
        <v>124</v>
      </c>
      <c r="AH485" s="4" t="s">
        <v>124</v>
      </c>
      <c r="AI485" s="4" t="s">
        <v>124</v>
      </c>
      <c r="AJ485" s="4" t="s">
        <v>124</v>
      </c>
      <c r="AK485" s="7">
        <v>6.04</v>
      </c>
      <c r="AL485" s="7">
        <v>11.16</v>
      </c>
      <c r="AM485" s="4" t="s">
        <v>124</v>
      </c>
      <c r="AN485" s="7">
        <v>0.766876</v>
      </c>
      <c r="AO485" s="7">
        <v>76.687641999999997</v>
      </c>
      <c r="AP485" s="7">
        <v>100</v>
      </c>
      <c r="AQ485" s="7">
        <v>0.88058099999999995</v>
      </c>
      <c r="AR485" s="7">
        <v>88.058059999999998</v>
      </c>
      <c r="AS485" s="7">
        <v>100</v>
      </c>
      <c r="AT485" s="7">
        <v>0.71495799999999998</v>
      </c>
      <c r="AU485" s="7">
        <v>0.79616299999999995</v>
      </c>
      <c r="AV485" s="7">
        <v>71.495844000000005</v>
      </c>
      <c r="AW485" s="7">
        <v>100</v>
      </c>
      <c r="AX485" s="7">
        <v>0.89163899999999996</v>
      </c>
      <c r="AY485" s="7">
        <v>0.87434299999999998</v>
      </c>
      <c r="AZ485" s="7">
        <v>89.16386</v>
      </c>
      <c r="BA485" s="7">
        <v>100</v>
      </c>
      <c r="BB485" s="4" t="s">
        <v>124</v>
      </c>
      <c r="BC485" s="4" t="s">
        <v>124</v>
      </c>
      <c r="BD485" s="4" t="s">
        <v>124</v>
      </c>
      <c r="BE485" s="4" t="s">
        <v>124</v>
      </c>
      <c r="BF485" s="4" t="s">
        <v>124</v>
      </c>
      <c r="BG485" s="4" t="s">
        <v>124</v>
      </c>
      <c r="BH485" s="7">
        <v>0</v>
      </c>
      <c r="BI485" s="7">
        <v>1</v>
      </c>
      <c r="BJ485" s="7">
        <v>1</v>
      </c>
      <c r="BK485" s="7">
        <v>1</v>
      </c>
      <c r="BL485" s="7">
        <v>1</v>
      </c>
      <c r="BM485" s="7">
        <v>1</v>
      </c>
      <c r="BN485" s="7">
        <v>1</v>
      </c>
      <c r="BO485" s="4" t="s">
        <v>124</v>
      </c>
      <c r="BP485" s="4" t="s">
        <v>124</v>
      </c>
      <c r="BQ485" s="4" t="s">
        <v>124</v>
      </c>
      <c r="BR485" s="7">
        <v>3.4483E-2</v>
      </c>
      <c r="BS485" s="7">
        <v>50</v>
      </c>
      <c r="BT485" s="7">
        <v>50</v>
      </c>
      <c r="BU485" s="7">
        <v>5.0632999999999997E-2</v>
      </c>
      <c r="BV485" s="7">
        <v>49.873418000000001</v>
      </c>
      <c r="BW485" s="7">
        <v>50</v>
      </c>
      <c r="BX485" s="4" t="s">
        <v>124</v>
      </c>
      <c r="BY485" s="4" t="s">
        <v>124</v>
      </c>
      <c r="BZ485" s="4" t="s">
        <v>124</v>
      </c>
      <c r="CA485" s="4" t="s">
        <v>124</v>
      </c>
      <c r="CB485" s="4" t="s">
        <v>124</v>
      </c>
      <c r="CC485" s="4" t="s">
        <v>124</v>
      </c>
      <c r="CD485" s="4" t="s">
        <v>124</v>
      </c>
      <c r="CE485" s="4" t="s">
        <v>124</v>
      </c>
      <c r="CF485" s="4" t="s">
        <v>124</v>
      </c>
      <c r="CG485" s="4" t="s">
        <v>124</v>
      </c>
      <c r="CH485" s="4" t="s">
        <v>124</v>
      </c>
      <c r="CI485" s="4" t="s">
        <v>124</v>
      </c>
      <c r="CJ485" s="4" t="s">
        <v>124</v>
      </c>
      <c r="CK485" s="4" t="s">
        <v>124</v>
      </c>
      <c r="CL485" s="4" t="s">
        <v>124</v>
      </c>
      <c r="CM485" s="4" t="s">
        <v>124</v>
      </c>
      <c r="CN485" s="4" t="s">
        <v>124</v>
      </c>
      <c r="CO485" s="4" t="s">
        <v>124</v>
      </c>
      <c r="CP485" s="4" t="s">
        <v>124</v>
      </c>
      <c r="CQ485" s="7">
        <v>0.76190500000000005</v>
      </c>
      <c r="CR485" s="7">
        <v>0.96923099999999995</v>
      </c>
      <c r="CS485" s="7">
        <v>50</v>
      </c>
      <c r="CT485" s="7">
        <v>50</v>
      </c>
      <c r="CU485" s="4" t="s">
        <v>124</v>
      </c>
      <c r="CV485" s="4" t="s">
        <v>124</v>
      </c>
      <c r="CW485" s="4" t="s">
        <v>124</v>
      </c>
      <c r="CX485" s="4" t="s">
        <v>124</v>
      </c>
      <c r="CY485" s="4" t="s">
        <v>124</v>
      </c>
      <c r="CZ485" s="4" t="s">
        <v>124</v>
      </c>
      <c r="DA485" s="7">
        <v>15.314097</v>
      </c>
      <c r="DB485" s="7">
        <v>17.400950000000002</v>
      </c>
      <c r="DC485" s="7">
        <v>16.332519999999999</v>
      </c>
      <c r="DD485" s="4" t="s">
        <v>124</v>
      </c>
      <c r="DE485" s="7">
        <v>0</v>
      </c>
      <c r="DF485" s="6"/>
      <c r="DG485" s="6"/>
      <c r="DH485" s="4" t="s">
        <v>331</v>
      </c>
      <c r="DI485" s="4" t="s">
        <v>641</v>
      </c>
      <c r="DJ485" s="7">
        <v>1</v>
      </c>
      <c r="DK485" s="7">
        <v>0</v>
      </c>
      <c r="DL485" s="7">
        <v>1</v>
      </c>
      <c r="DM485" s="7">
        <v>1</v>
      </c>
      <c r="DN485" s="7">
        <v>1</v>
      </c>
      <c r="DO485" s="7">
        <v>0</v>
      </c>
      <c r="DP485" s="6"/>
      <c r="DQ485" s="4" t="s">
        <v>125</v>
      </c>
    </row>
    <row r="486" spans="1:121" ht="20" customHeight="1" x14ac:dyDescent="0.15">
      <c r="A486" s="5">
        <v>2018</v>
      </c>
      <c r="B486" s="3" t="s">
        <v>284</v>
      </c>
      <c r="C486" s="4" t="str">
        <f t="shared" si="156"/>
        <v>0620011</v>
      </c>
      <c r="D486" s="4" t="s">
        <v>642</v>
      </c>
      <c r="E486" s="4" t="str">
        <f>"0621211"</f>
        <v>0621211</v>
      </c>
      <c r="F486" s="4" t="s">
        <v>327</v>
      </c>
      <c r="G486" s="4" t="s">
        <v>338</v>
      </c>
      <c r="H486" s="7">
        <v>6</v>
      </c>
      <c r="I486" s="6"/>
      <c r="J486" s="4" t="s">
        <v>330</v>
      </c>
      <c r="K486" s="7">
        <v>640.85297000000003</v>
      </c>
      <c r="L486" s="7">
        <v>950</v>
      </c>
      <c r="M486" s="7">
        <v>67.458207000000002</v>
      </c>
      <c r="N486" s="7">
        <v>3</v>
      </c>
      <c r="O486" s="7">
        <v>0</v>
      </c>
      <c r="P486" s="7">
        <v>73.307080999999997</v>
      </c>
      <c r="Q486" s="7">
        <v>48.871386999999999</v>
      </c>
      <c r="R486" s="7">
        <v>50</v>
      </c>
      <c r="S486" s="7">
        <v>62.316521999999999</v>
      </c>
      <c r="T486" s="7">
        <v>75</v>
      </c>
      <c r="U486" s="7">
        <v>41.544347999999999</v>
      </c>
      <c r="V486" s="7">
        <v>50</v>
      </c>
      <c r="W486" s="7">
        <v>74.564560999999998</v>
      </c>
      <c r="X486" s="7">
        <v>49.709707999999999</v>
      </c>
      <c r="Y486" s="7">
        <v>50</v>
      </c>
      <c r="Z486" s="7">
        <v>75</v>
      </c>
      <c r="AA486" s="7">
        <v>61.221348999999996</v>
      </c>
      <c r="AB486" s="7">
        <v>40.814231999999997</v>
      </c>
      <c r="AC486" s="7">
        <v>50</v>
      </c>
      <c r="AD486" s="7">
        <v>72.952921000000003</v>
      </c>
      <c r="AE486" s="7">
        <v>48.635280000000002</v>
      </c>
      <c r="AF486" s="7">
        <v>50</v>
      </c>
      <c r="AG486" s="7">
        <v>62.338065</v>
      </c>
      <c r="AH486" s="7">
        <v>75</v>
      </c>
      <c r="AI486" s="7">
        <v>41.558709999999998</v>
      </c>
      <c r="AJ486" s="7">
        <v>50</v>
      </c>
      <c r="AK486" s="7">
        <v>12.68</v>
      </c>
      <c r="AL486" s="7">
        <v>13.77</v>
      </c>
      <c r="AM486" s="7">
        <v>12.66</v>
      </c>
      <c r="AN486" s="7">
        <v>0.54039000000000004</v>
      </c>
      <c r="AO486" s="7">
        <v>54.038957000000003</v>
      </c>
      <c r="AP486" s="7">
        <v>100</v>
      </c>
      <c r="AQ486" s="7">
        <v>0.72933000000000003</v>
      </c>
      <c r="AR486" s="7">
        <v>72.933030000000002</v>
      </c>
      <c r="AS486" s="7">
        <v>100</v>
      </c>
      <c r="AT486" s="7">
        <v>0.42529299999999998</v>
      </c>
      <c r="AU486" s="7">
        <v>0.59641</v>
      </c>
      <c r="AV486" s="7">
        <v>42.529290000000003</v>
      </c>
      <c r="AW486" s="7">
        <v>100</v>
      </c>
      <c r="AX486" s="7">
        <v>0.57644600000000001</v>
      </c>
      <c r="AY486" s="7">
        <v>0.80239000000000005</v>
      </c>
      <c r="AZ486" s="7">
        <v>57.644556999999999</v>
      </c>
      <c r="BA486" s="7">
        <v>100</v>
      </c>
      <c r="BB486" s="7">
        <v>0.67690700000000004</v>
      </c>
      <c r="BC486" s="7">
        <v>33.845360999999997</v>
      </c>
      <c r="BD486" s="7">
        <v>50</v>
      </c>
      <c r="BE486" s="7">
        <v>0.41987600000000003</v>
      </c>
      <c r="BF486" s="7">
        <v>20.99381</v>
      </c>
      <c r="BG486" s="7">
        <v>50</v>
      </c>
      <c r="BH486" s="7">
        <v>0</v>
      </c>
      <c r="BI486" s="7">
        <v>0.98425200000000002</v>
      </c>
      <c r="BJ486" s="7">
        <v>0.97590399999999999</v>
      </c>
      <c r="BK486" s="7">
        <v>0.98830399999999996</v>
      </c>
      <c r="BL486" s="7">
        <v>0.98425200000000002</v>
      </c>
      <c r="BM486" s="7">
        <v>0.97590399999999999</v>
      </c>
      <c r="BN486" s="7">
        <v>0.98830399999999996</v>
      </c>
      <c r="BO486" s="7">
        <v>1</v>
      </c>
      <c r="BP486" s="7">
        <v>1</v>
      </c>
      <c r="BQ486" s="7">
        <v>1</v>
      </c>
      <c r="BR486" s="7">
        <v>7.3459999999999998E-2</v>
      </c>
      <c r="BS486" s="7">
        <v>45.308056999999998</v>
      </c>
      <c r="BT486" s="7">
        <v>50</v>
      </c>
      <c r="BU486" s="7">
        <v>0.147059</v>
      </c>
      <c r="BV486" s="7">
        <v>30.588235000000001</v>
      </c>
      <c r="BW486" s="7">
        <v>50</v>
      </c>
      <c r="BX486" s="4" t="s">
        <v>124</v>
      </c>
      <c r="BY486" s="4" t="s">
        <v>124</v>
      </c>
      <c r="BZ486" s="4" t="s">
        <v>124</v>
      </c>
      <c r="CA486" s="4" t="s">
        <v>124</v>
      </c>
      <c r="CB486" s="4" t="s">
        <v>124</v>
      </c>
      <c r="CC486" s="4" t="s">
        <v>124</v>
      </c>
      <c r="CD486" s="4" t="s">
        <v>124</v>
      </c>
      <c r="CE486" s="4" t="s">
        <v>124</v>
      </c>
      <c r="CF486" s="4" t="s">
        <v>124</v>
      </c>
      <c r="CG486" s="4" t="s">
        <v>124</v>
      </c>
      <c r="CH486" s="4" t="s">
        <v>124</v>
      </c>
      <c r="CI486" s="4" t="s">
        <v>124</v>
      </c>
      <c r="CJ486" s="4" t="s">
        <v>124</v>
      </c>
      <c r="CK486" s="4" t="s">
        <v>124</v>
      </c>
      <c r="CL486" s="4" t="s">
        <v>124</v>
      </c>
      <c r="CM486" s="4" t="s">
        <v>124</v>
      </c>
      <c r="CN486" s="4" t="s">
        <v>124</v>
      </c>
      <c r="CO486" s="4" t="s">
        <v>124</v>
      </c>
      <c r="CP486" s="4" t="s">
        <v>124</v>
      </c>
      <c r="CQ486" s="7">
        <v>0.17757000000000001</v>
      </c>
      <c r="CR486" s="7">
        <v>0.97272700000000001</v>
      </c>
      <c r="CS486" s="7">
        <v>11.838006</v>
      </c>
      <c r="CT486" s="7">
        <v>50</v>
      </c>
      <c r="CU486" s="4" t="s">
        <v>124</v>
      </c>
      <c r="CV486" s="4" t="s">
        <v>124</v>
      </c>
      <c r="CW486" s="4" t="s">
        <v>124</v>
      </c>
      <c r="CX486" s="4" t="s">
        <v>124</v>
      </c>
      <c r="CY486" s="4" t="s">
        <v>124</v>
      </c>
      <c r="CZ486" s="4" t="s">
        <v>124</v>
      </c>
      <c r="DA486" s="7">
        <v>15.314097</v>
      </c>
      <c r="DB486" s="7">
        <v>17.400950000000002</v>
      </c>
      <c r="DC486" s="7">
        <v>16.332519999999999</v>
      </c>
      <c r="DD486" s="4" t="s">
        <v>124</v>
      </c>
      <c r="DE486" s="7">
        <v>0</v>
      </c>
      <c r="DF486" s="6"/>
      <c r="DG486" s="6"/>
      <c r="DH486" s="6"/>
      <c r="DI486" s="6"/>
      <c r="DJ486" s="7">
        <v>0</v>
      </c>
      <c r="DK486" s="7">
        <v>0</v>
      </c>
      <c r="DL486" s="7">
        <v>0</v>
      </c>
      <c r="DM486" s="7">
        <v>0</v>
      </c>
      <c r="DN486" s="7">
        <v>0</v>
      </c>
      <c r="DO486" s="7">
        <v>0</v>
      </c>
      <c r="DP486" s="6"/>
      <c r="DQ486" s="4" t="s">
        <v>125</v>
      </c>
    </row>
    <row r="487" spans="1:121" ht="20" customHeight="1" x14ac:dyDescent="0.15">
      <c r="A487" s="5">
        <v>2018</v>
      </c>
      <c r="B487" s="3" t="s">
        <v>284</v>
      </c>
      <c r="C487" s="4" t="str">
        <f t="shared" ref="C487:C495" si="210">"0620011"</f>
        <v>0620011</v>
      </c>
      <c r="D487" s="4" t="s">
        <v>643</v>
      </c>
      <c r="E487" s="4" t="str">
        <f>"0620211"</f>
        <v>0620211</v>
      </c>
      <c r="F487" s="4" t="s">
        <v>327</v>
      </c>
      <c r="G487" s="4" t="s">
        <v>328</v>
      </c>
      <c r="H487" s="7">
        <v>6</v>
      </c>
      <c r="I487" s="4" t="s">
        <v>335</v>
      </c>
      <c r="J487" s="4" t="s">
        <v>330</v>
      </c>
      <c r="K487" s="7">
        <v>602.95689600000003</v>
      </c>
      <c r="L487" s="7">
        <v>950</v>
      </c>
      <c r="M487" s="7">
        <v>63.469147</v>
      </c>
      <c r="N487" s="7">
        <v>3</v>
      </c>
      <c r="O487" s="7">
        <v>0</v>
      </c>
      <c r="P487" s="7">
        <v>58.236784999999998</v>
      </c>
      <c r="Q487" s="7">
        <v>38.824522999999999</v>
      </c>
      <c r="R487" s="7">
        <v>50</v>
      </c>
      <c r="S487" s="7">
        <v>57.590707999999999</v>
      </c>
      <c r="T487" s="4" t="s">
        <v>124</v>
      </c>
      <c r="U487" s="7">
        <v>38.393805</v>
      </c>
      <c r="V487" s="7">
        <v>50</v>
      </c>
      <c r="W487" s="7">
        <v>52.791100999999998</v>
      </c>
      <c r="X487" s="7">
        <v>35.194066999999997</v>
      </c>
      <c r="Y487" s="7">
        <v>50</v>
      </c>
      <c r="Z487" s="4" t="s">
        <v>124</v>
      </c>
      <c r="AA487" s="7">
        <v>51.913573</v>
      </c>
      <c r="AB487" s="7">
        <v>34.609048999999999</v>
      </c>
      <c r="AC487" s="7">
        <v>50</v>
      </c>
      <c r="AD487" s="7">
        <v>55.967742000000001</v>
      </c>
      <c r="AE487" s="7">
        <v>37.311827999999998</v>
      </c>
      <c r="AF487" s="7">
        <v>50</v>
      </c>
      <c r="AG487" s="7">
        <v>54.308998000000003</v>
      </c>
      <c r="AH487" s="4" t="s">
        <v>124</v>
      </c>
      <c r="AI487" s="7">
        <v>36.205998999999998</v>
      </c>
      <c r="AJ487" s="7">
        <v>50</v>
      </c>
      <c r="AK487" s="4" t="s">
        <v>124</v>
      </c>
      <c r="AL487" s="4" t="s">
        <v>124</v>
      </c>
      <c r="AM487" s="4" t="s">
        <v>124</v>
      </c>
      <c r="AN487" s="7">
        <v>0.53949400000000003</v>
      </c>
      <c r="AO487" s="7">
        <v>53.949370000000002</v>
      </c>
      <c r="AP487" s="7">
        <v>100</v>
      </c>
      <c r="AQ487" s="7">
        <v>0.58826800000000001</v>
      </c>
      <c r="AR487" s="7">
        <v>58.826777999999997</v>
      </c>
      <c r="AS487" s="7">
        <v>100</v>
      </c>
      <c r="AT487" s="7">
        <v>0.53692300000000004</v>
      </c>
      <c r="AU487" s="4" t="s">
        <v>124</v>
      </c>
      <c r="AV487" s="7">
        <v>53.692315999999998</v>
      </c>
      <c r="AW487" s="7">
        <v>100</v>
      </c>
      <c r="AX487" s="7">
        <v>0.589727</v>
      </c>
      <c r="AY487" s="4" t="s">
        <v>124</v>
      </c>
      <c r="AZ487" s="7">
        <v>58.972718</v>
      </c>
      <c r="BA487" s="7">
        <v>100</v>
      </c>
      <c r="BB487" s="7">
        <v>0.511656</v>
      </c>
      <c r="BC487" s="7">
        <v>25.582816000000001</v>
      </c>
      <c r="BD487" s="7">
        <v>50</v>
      </c>
      <c r="BE487" s="7">
        <v>0.59037700000000004</v>
      </c>
      <c r="BF487" s="7">
        <v>29.518833000000001</v>
      </c>
      <c r="BG487" s="7">
        <v>50</v>
      </c>
      <c r="BH487" s="7">
        <v>0</v>
      </c>
      <c r="BI487" s="7">
        <v>0.98750000000000004</v>
      </c>
      <c r="BJ487" s="7">
        <v>0.98581600000000003</v>
      </c>
      <c r="BK487" s="4" t="s">
        <v>124</v>
      </c>
      <c r="BL487" s="7">
        <v>0.98750000000000004</v>
      </c>
      <c r="BM487" s="7">
        <v>0.98581600000000003</v>
      </c>
      <c r="BN487" s="4" t="s">
        <v>124</v>
      </c>
      <c r="BO487" s="7">
        <v>1</v>
      </c>
      <c r="BP487" s="7">
        <v>1</v>
      </c>
      <c r="BQ487" s="4" t="s">
        <v>124</v>
      </c>
      <c r="BR487" s="7">
        <v>0.108949</v>
      </c>
      <c r="BS487" s="7">
        <v>38.210116999999997</v>
      </c>
      <c r="BT487" s="7">
        <v>50</v>
      </c>
      <c r="BU487" s="7">
        <v>0.11415500000000001</v>
      </c>
      <c r="BV487" s="7">
        <v>37.168950000000002</v>
      </c>
      <c r="BW487" s="7">
        <v>50</v>
      </c>
      <c r="BX487" s="4" t="s">
        <v>124</v>
      </c>
      <c r="BY487" s="4" t="s">
        <v>124</v>
      </c>
      <c r="BZ487" s="4" t="s">
        <v>124</v>
      </c>
      <c r="CA487" s="4" t="s">
        <v>124</v>
      </c>
      <c r="CB487" s="4" t="s">
        <v>124</v>
      </c>
      <c r="CC487" s="4" t="s">
        <v>124</v>
      </c>
      <c r="CD487" s="4" t="s">
        <v>124</v>
      </c>
      <c r="CE487" s="4" t="s">
        <v>124</v>
      </c>
      <c r="CF487" s="4" t="s">
        <v>124</v>
      </c>
      <c r="CG487" s="4" t="s">
        <v>124</v>
      </c>
      <c r="CH487" s="4" t="s">
        <v>124</v>
      </c>
      <c r="CI487" s="4" t="s">
        <v>124</v>
      </c>
      <c r="CJ487" s="4" t="s">
        <v>124</v>
      </c>
      <c r="CK487" s="4" t="s">
        <v>124</v>
      </c>
      <c r="CL487" s="4" t="s">
        <v>124</v>
      </c>
      <c r="CM487" s="4" t="s">
        <v>124</v>
      </c>
      <c r="CN487" s="4" t="s">
        <v>124</v>
      </c>
      <c r="CO487" s="4" t="s">
        <v>124</v>
      </c>
      <c r="CP487" s="4" t="s">
        <v>124</v>
      </c>
      <c r="CQ487" s="7">
        <v>0.39743600000000001</v>
      </c>
      <c r="CR487" s="7">
        <v>0.96296300000000001</v>
      </c>
      <c r="CS487" s="7">
        <v>26.495726000000001</v>
      </c>
      <c r="CT487" s="7">
        <v>50</v>
      </c>
      <c r="CU487" s="4" t="s">
        <v>124</v>
      </c>
      <c r="CV487" s="4" t="s">
        <v>124</v>
      </c>
      <c r="CW487" s="4" t="s">
        <v>124</v>
      </c>
      <c r="CX487" s="4" t="s">
        <v>124</v>
      </c>
      <c r="CY487" s="4" t="s">
        <v>124</v>
      </c>
      <c r="CZ487" s="4" t="s">
        <v>124</v>
      </c>
      <c r="DA487" s="7">
        <v>15.314097</v>
      </c>
      <c r="DB487" s="7">
        <v>17.400950000000002</v>
      </c>
      <c r="DC487" s="7">
        <v>16.332519999999999</v>
      </c>
      <c r="DD487" s="4" t="s">
        <v>124</v>
      </c>
      <c r="DE487" s="7">
        <v>0</v>
      </c>
      <c r="DF487" s="6"/>
      <c r="DG487" s="6"/>
      <c r="DH487" s="6"/>
      <c r="DI487" s="6"/>
      <c r="DJ487" s="7">
        <v>0</v>
      </c>
      <c r="DK487" s="7">
        <v>0</v>
      </c>
      <c r="DL487" s="7">
        <v>0</v>
      </c>
      <c r="DM487" s="7">
        <v>0</v>
      </c>
      <c r="DN487" s="7">
        <v>0</v>
      </c>
      <c r="DO487" s="7">
        <v>0</v>
      </c>
      <c r="DP487" s="6"/>
      <c r="DQ487" s="4" t="s">
        <v>125</v>
      </c>
    </row>
    <row r="488" spans="1:121" ht="20" customHeight="1" x14ac:dyDescent="0.15">
      <c r="A488" s="5">
        <v>2018</v>
      </c>
      <c r="B488" s="3" t="s">
        <v>284</v>
      </c>
      <c r="C488" s="4" t="str">
        <f t="shared" si="210"/>
        <v>0620011</v>
      </c>
      <c r="D488" s="4" t="s">
        <v>644</v>
      </c>
      <c r="E488" s="4" t="str">
        <f>"0620311"</f>
        <v>0620311</v>
      </c>
      <c r="F488" s="4" t="s">
        <v>327</v>
      </c>
      <c r="G488" s="4" t="s">
        <v>328</v>
      </c>
      <c r="H488" s="7">
        <v>6</v>
      </c>
      <c r="I488" s="4" t="s">
        <v>335</v>
      </c>
      <c r="J488" s="4" t="s">
        <v>330</v>
      </c>
      <c r="K488" s="7">
        <v>545.03676099999996</v>
      </c>
      <c r="L488" s="7">
        <v>850</v>
      </c>
      <c r="M488" s="7">
        <v>64.121972</v>
      </c>
      <c r="N488" s="7">
        <v>3</v>
      </c>
      <c r="O488" s="7">
        <v>0</v>
      </c>
      <c r="P488" s="7">
        <v>66.234550999999996</v>
      </c>
      <c r="Q488" s="7">
        <v>44.156367000000003</v>
      </c>
      <c r="R488" s="7">
        <v>50</v>
      </c>
      <c r="S488" s="7">
        <v>60.148721999999999</v>
      </c>
      <c r="T488" s="7">
        <v>75</v>
      </c>
      <c r="U488" s="7">
        <v>40.099148</v>
      </c>
      <c r="V488" s="7">
        <v>50</v>
      </c>
      <c r="W488" s="7">
        <v>58.146022000000002</v>
      </c>
      <c r="X488" s="7">
        <v>38.764015000000001</v>
      </c>
      <c r="Y488" s="7">
        <v>50</v>
      </c>
      <c r="Z488" s="7">
        <v>66.879148000000001</v>
      </c>
      <c r="AA488" s="7">
        <v>53.130960000000002</v>
      </c>
      <c r="AB488" s="7">
        <v>35.420639999999999</v>
      </c>
      <c r="AC488" s="7">
        <v>50</v>
      </c>
      <c r="AD488" s="7">
        <v>56.626344000000003</v>
      </c>
      <c r="AE488" s="7">
        <v>37.750895999999997</v>
      </c>
      <c r="AF488" s="7">
        <v>50</v>
      </c>
      <c r="AG488" s="7">
        <v>50.142380000000003</v>
      </c>
      <c r="AH488" s="4" t="s">
        <v>124</v>
      </c>
      <c r="AI488" s="7">
        <v>33.428254000000003</v>
      </c>
      <c r="AJ488" s="7">
        <v>50</v>
      </c>
      <c r="AK488" s="7">
        <v>14.85</v>
      </c>
      <c r="AL488" s="7">
        <v>13.74</v>
      </c>
      <c r="AM488" s="4" t="s">
        <v>124</v>
      </c>
      <c r="AN488" s="7">
        <v>0.62116099999999996</v>
      </c>
      <c r="AO488" s="7">
        <v>62.116097000000003</v>
      </c>
      <c r="AP488" s="7">
        <v>100</v>
      </c>
      <c r="AQ488" s="7">
        <v>0.51127299999999998</v>
      </c>
      <c r="AR488" s="7">
        <v>51.127288</v>
      </c>
      <c r="AS488" s="7">
        <v>100</v>
      </c>
      <c r="AT488" s="7">
        <v>0.54658200000000001</v>
      </c>
      <c r="AU488" s="7">
        <v>0.73016000000000003</v>
      </c>
      <c r="AV488" s="7">
        <v>54.658239000000002</v>
      </c>
      <c r="AW488" s="7">
        <v>100</v>
      </c>
      <c r="AX488" s="7">
        <v>0.43673699999999999</v>
      </c>
      <c r="AY488" s="7">
        <v>0.62021000000000004</v>
      </c>
      <c r="AZ488" s="7">
        <v>43.673701999999999</v>
      </c>
      <c r="BA488" s="7">
        <v>100</v>
      </c>
      <c r="BB488" s="4" t="s">
        <v>124</v>
      </c>
      <c r="BC488" s="4" t="s">
        <v>124</v>
      </c>
      <c r="BD488" s="4" t="s">
        <v>124</v>
      </c>
      <c r="BE488" s="4" t="s">
        <v>124</v>
      </c>
      <c r="BF488" s="4" t="s">
        <v>124</v>
      </c>
      <c r="BG488" s="4" t="s">
        <v>124</v>
      </c>
      <c r="BH488" s="7">
        <v>0</v>
      </c>
      <c r="BI488" s="7">
        <v>0.98830399999999996</v>
      </c>
      <c r="BJ488" s="7">
        <v>0.98148100000000005</v>
      </c>
      <c r="BK488" s="7">
        <v>1</v>
      </c>
      <c r="BL488" s="7">
        <v>0.98830399999999996</v>
      </c>
      <c r="BM488" s="7">
        <v>0.98148100000000005</v>
      </c>
      <c r="BN488" s="7">
        <v>1</v>
      </c>
      <c r="BO488" s="7">
        <v>0.981132</v>
      </c>
      <c r="BP488" s="7">
        <v>0.96875</v>
      </c>
      <c r="BQ488" s="7">
        <v>1</v>
      </c>
      <c r="BR488" s="7">
        <v>7.7519000000000005E-2</v>
      </c>
      <c r="BS488" s="7">
        <v>44.496124000000002</v>
      </c>
      <c r="BT488" s="7">
        <v>50</v>
      </c>
      <c r="BU488" s="7">
        <v>9.4936999999999994E-2</v>
      </c>
      <c r="BV488" s="7">
        <v>41.012658000000002</v>
      </c>
      <c r="BW488" s="7">
        <v>50</v>
      </c>
      <c r="BX488" s="4" t="s">
        <v>124</v>
      </c>
      <c r="BY488" s="4" t="s">
        <v>124</v>
      </c>
      <c r="BZ488" s="4" t="s">
        <v>124</v>
      </c>
      <c r="CA488" s="4" t="s">
        <v>124</v>
      </c>
      <c r="CB488" s="4" t="s">
        <v>124</v>
      </c>
      <c r="CC488" s="4" t="s">
        <v>124</v>
      </c>
      <c r="CD488" s="4" t="s">
        <v>124</v>
      </c>
      <c r="CE488" s="4" t="s">
        <v>124</v>
      </c>
      <c r="CF488" s="4" t="s">
        <v>124</v>
      </c>
      <c r="CG488" s="4" t="s">
        <v>124</v>
      </c>
      <c r="CH488" s="4" t="s">
        <v>124</v>
      </c>
      <c r="CI488" s="4" t="s">
        <v>124</v>
      </c>
      <c r="CJ488" s="4" t="s">
        <v>124</v>
      </c>
      <c r="CK488" s="4" t="s">
        <v>124</v>
      </c>
      <c r="CL488" s="4" t="s">
        <v>124</v>
      </c>
      <c r="CM488" s="4" t="s">
        <v>124</v>
      </c>
      <c r="CN488" s="4" t="s">
        <v>124</v>
      </c>
      <c r="CO488" s="4" t="s">
        <v>124</v>
      </c>
      <c r="CP488" s="4" t="s">
        <v>124</v>
      </c>
      <c r="CQ488" s="7">
        <v>0.27500000000000002</v>
      </c>
      <c r="CR488" s="7">
        <v>0.90909099999999998</v>
      </c>
      <c r="CS488" s="7">
        <v>18.333333</v>
      </c>
      <c r="CT488" s="7">
        <v>50</v>
      </c>
      <c r="CU488" s="4" t="s">
        <v>124</v>
      </c>
      <c r="CV488" s="4" t="s">
        <v>124</v>
      </c>
      <c r="CW488" s="4" t="s">
        <v>124</v>
      </c>
      <c r="CX488" s="4" t="s">
        <v>124</v>
      </c>
      <c r="CY488" s="4" t="s">
        <v>124</v>
      </c>
      <c r="CZ488" s="4" t="s">
        <v>124</v>
      </c>
      <c r="DA488" s="7">
        <v>15.314097</v>
      </c>
      <c r="DB488" s="7">
        <v>17.400950000000002</v>
      </c>
      <c r="DC488" s="7">
        <v>16.332519999999999</v>
      </c>
      <c r="DD488" s="4" t="s">
        <v>124</v>
      </c>
      <c r="DE488" s="7">
        <v>0</v>
      </c>
      <c r="DF488" s="6"/>
      <c r="DG488" s="6"/>
      <c r="DH488" s="6"/>
      <c r="DI488" s="6"/>
      <c r="DJ488" s="7">
        <v>0</v>
      </c>
      <c r="DK488" s="7">
        <v>0</v>
      </c>
      <c r="DL488" s="7">
        <v>0</v>
      </c>
      <c r="DM488" s="7">
        <v>0</v>
      </c>
      <c r="DN488" s="7">
        <v>0</v>
      </c>
      <c r="DO488" s="7">
        <v>0</v>
      </c>
      <c r="DP488" s="6"/>
      <c r="DQ488" s="4" t="s">
        <v>125</v>
      </c>
    </row>
    <row r="489" spans="1:121" ht="20" customHeight="1" x14ac:dyDescent="0.15">
      <c r="A489" s="5">
        <v>2018</v>
      </c>
      <c r="B489" s="3" t="s">
        <v>284</v>
      </c>
      <c r="C489" s="4" t="str">
        <f t="shared" si="210"/>
        <v>0620011</v>
      </c>
      <c r="D489" s="4" t="s">
        <v>645</v>
      </c>
      <c r="E489" s="4" t="str">
        <f>"0626111"</f>
        <v>0626111</v>
      </c>
      <c r="F489" s="4" t="s">
        <v>327</v>
      </c>
      <c r="G489" s="7">
        <v>9</v>
      </c>
      <c r="H489" s="7">
        <v>12</v>
      </c>
      <c r="I489" s="6"/>
      <c r="J489" s="4" t="s">
        <v>330</v>
      </c>
      <c r="K489" s="7">
        <v>1098.9231560000001</v>
      </c>
      <c r="L489" s="7">
        <v>1550</v>
      </c>
      <c r="M489" s="7">
        <v>70.898268000000002</v>
      </c>
      <c r="N489" s="7">
        <v>2</v>
      </c>
      <c r="O489" s="7">
        <v>0</v>
      </c>
      <c r="P489" s="7">
        <v>55.831111</v>
      </c>
      <c r="Q489" s="7">
        <v>111.662222</v>
      </c>
      <c r="R489" s="7">
        <v>150</v>
      </c>
      <c r="S489" s="7">
        <v>48.605525</v>
      </c>
      <c r="T489" s="7">
        <v>63.394736999999999</v>
      </c>
      <c r="U489" s="7">
        <v>97.211049000000003</v>
      </c>
      <c r="V489" s="7">
        <v>150</v>
      </c>
      <c r="W489" s="7">
        <v>51.368254</v>
      </c>
      <c r="X489" s="7">
        <v>102.736508</v>
      </c>
      <c r="Y489" s="7">
        <v>150</v>
      </c>
      <c r="Z489" s="7">
        <v>58.698830000000001</v>
      </c>
      <c r="AA489" s="7">
        <v>44.365301000000002</v>
      </c>
      <c r="AB489" s="7">
        <v>88.730602000000005</v>
      </c>
      <c r="AC489" s="7">
        <v>150</v>
      </c>
      <c r="AD489" s="7">
        <v>50.446024999999999</v>
      </c>
      <c r="AE489" s="7">
        <v>67.261367000000007</v>
      </c>
      <c r="AF489" s="7">
        <v>100</v>
      </c>
      <c r="AG489" s="7">
        <v>43.999659999999999</v>
      </c>
      <c r="AH489" s="7">
        <v>57.078702</v>
      </c>
      <c r="AI489" s="7">
        <v>58.666213999999997</v>
      </c>
      <c r="AJ489" s="7">
        <v>100</v>
      </c>
      <c r="AK489" s="7">
        <v>14.78</v>
      </c>
      <c r="AL489" s="7">
        <v>14.33</v>
      </c>
      <c r="AM489" s="7">
        <v>13.07</v>
      </c>
      <c r="AN489" s="4" t="s">
        <v>124</v>
      </c>
      <c r="AO489" s="4" t="s">
        <v>124</v>
      </c>
      <c r="AP489" s="4" t="s">
        <v>124</v>
      </c>
      <c r="AQ489" s="4" t="s">
        <v>124</v>
      </c>
      <c r="AR489" s="4" t="s">
        <v>124</v>
      </c>
      <c r="AS489" s="4" t="s">
        <v>124</v>
      </c>
      <c r="AT489" s="4" t="s">
        <v>124</v>
      </c>
      <c r="AU489" s="4" t="s">
        <v>124</v>
      </c>
      <c r="AV489" s="4" t="s">
        <v>124</v>
      </c>
      <c r="AW489" s="4" t="s">
        <v>124</v>
      </c>
      <c r="AX489" s="4" t="s">
        <v>124</v>
      </c>
      <c r="AY489" s="4" t="s">
        <v>124</v>
      </c>
      <c r="AZ489" s="4" t="s">
        <v>124</v>
      </c>
      <c r="BA489" s="4" t="s">
        <v>124</v>
      </c>
      <c r="BB489" s="7">
        <v>0.62083999999999995</v>
      </c>
      <c r="BC489" s="7">
        <v>31.042012</v>
      </c>
      <c r="BD489" s="7">
        <v>50</v>
      </c>
      <c r="BE489" s="7">
        <v>0.62729599999999996</v>
      </c>
      <c r="BF489" s="7">
        <v>31.364791</v>
      </c>
      <c r="BG489" s="7">
        <v>50</v>
      </c>
      <c r="BH489" s="7">
        <v>0</v>
      </c>
      <c r="BI489" s="7">
        <v>0.98369600000000001</v>
      </c>
      <c r="BJ489" s="7">
        <v>0.98429299999999997</v>
      </c>
      <c r="BK489" s="7">
        <v>0.98305100000000001</v>
      </c>
      <c r="BL489" s="7">
        <v>0.98369600000000001</v>
      </c>
      <c r="BM489" s="7">
        <v>0.98429299999999997</v>
      </c>
      <c r="BN489" s="7">
        <v>0.98305100000000001</v>
      </c>
      <c r="BO489" s="7">
        <v>0.98378399999999999</v>
      </c>
      <c r="BP489" s="7">
        <v>0.97395799999999999</v>
      </c>
      <c r="BQ489" s="7">
        <v>0.99438199999999999</v>
      </c>
      <c r="BR489" s="7">
        <v>0.18374299999999999</v>
      </c>
      <c r="BS489" s="7">
        <v>23.251366000000001</v>
      </c>
      <c r="BT489" s="7">
        <v>50</v>
      </c>
      <c r="BU489" s="7">
        <v>0.25565900000000003</v>
      </c>
      <c r="BV489" s="7">
        <v>8.8681760000000001</v>
      </c>
      <c r="BW489" s="7">
        <v>50</v>
      </c>
      <c r="BX489" s="7">
        <v>0.78976500000000005</v>
      </c>
      <c r="BY489" s="7">
        <v>50</v>
      </c>
      <c r="BZ489" s="7">
        <v>50</v>
      </c>
      <c r="CA489" s="7">
        <v>0.34301500000000001</v>
      </c>
      <c r="CB489" s="7">
        <v>22.867681000000001</v>
      </c>
      <c r="CC489" s="7">
        <v>50</v>
      </c>
      <c r="CD489" s="7">
        <v>0.89973599999999998</v>
      </c>
      <c r="CE489" s="7">
        <v>47.858305999999999</v>
      </c>
      <c r="CF489" s="7">
        <v>50</v>
      </c>
      <c r="CG489" s="7">
        <v>0.91919200000000001</v>
      </c>
      <c r="CH489" s="7">
        <v>97.786373999999995</v>
      </c>
      <c r="CI489" s="7">
        <v>100</v>
      </c>
      <c r="CJ489" s="7">
        <v>0</v>
      </c>
      <c r="CK489" s="7">
        <v>0.90566000000000002</v>
      </c>
      <c r="CL489" s="7">
        <v>96.346849000000006</v>
      </c>
      <c r="CM489" s="7">
        <v>100</v>
      </c>
      <c r="CN489" s="7">
        <v>0.78191500000000003</v>
      </c>
      <c r="CO489" s="7">
        <v>100</v>
      </c>
      <c r="CP489" s="7">
        <v>100</v>
      </c>
      <c r="CQ489" s="7">
        <v>0.39808900000000003</v>
      </c>
      <c r="CR489" s="7">
        <v>0.86027399999999998</v>
      </c>
      <c r="CS489" s="7">
        <v>13.269639</v>
      </c>
      <c r="CT489" s="7">
        <v>50</v>
      </c>
      <c r="CU489" s="7">
        <v>0.61270500000000006</v>
      </c>
      <c r="CV489" s="7">
        <v>50</v>
      </c>
      <c r="CW489" s="7">
        <v>50</v>
      </c>
      <c r="CX489" s="7">
        <v>0.90566000000000002</v>
      </c>
      <c r="CY489" s="7">
        <v>0.94</v>
      </c>
      <c r="CZ489" s="7">
        <v>3.4340000000000002E-2</v>
      </c>
      <c r="DA489" s="7">
        <v>15.314097</v>
      </c>
      <c r="DB489" s="7">
        <v>17.400950000000002</v>
      </c>
      <c r="DC489" s="7">
        <v>16.332519999999999</v>
      </c>
      <c r="DD489" s="7">
        <v>7.9891730000000001</v>
      </c>
      <c r="DE489" s="7">
        <v>0</v>
      </c>
      <c r="DF489" s="6"/>
      <c r="DG489" s="6"/>
      <c r="DH489" s="6"/>
      <c r="DI489" s="6"/>
      <c r="DJ489" s="7">
        <v>0</v>
      </c>
      <c r="DK489" s="7">
        <v>0</v>
      </c>
      <c r="DL489" s="7">
        <v>0</v>
      </c>
      <c r="DM489" s="7">
        <v>0</v>
      </c>
      <c r="DN489" s="7">
        <v>0</v>
      </c>
      <c r="DO489" s="7">
        <v>0</v>
      </c>
      <c r="DP489" s="6"/>
      <c r="DQ489" s="4" t="s">
        <v>125</v>
      </c>
    </row>
    <row r="490" spans="1:121" ht="20" customHeight="1" x14ac:dyDescent="0.15">
      <c r="A490" s="5">
        <v>2018</v>
      </c>
      <c r="B490" s="3" t="s">
        <v>284</v>
      </c>
      <c r="C490" s="4" t="str">
        <f t="shared" si="210"/>
        <v>0620011</v>
      </c>
      <c r="D490" s="4" t="s">
        <v>646</v>
      </c>
      <c r="E490" s="4" t="str">
        <f>"0625211"</f>
        <v>0625211</v>
      </c>
      <c r="F490" s="4" t="s">
        <v>327</v>
      </c>
      <c r="G490" s="7">
        <v>7</v>
      </c>
      <c r="H490" s="7">
        <v>8</v>
      </c>
      <c r="I490" s="6"/>
      <c r="J490" s="4" t="s">
        <v>330</v>
      </c>
      <c r="K490" s="7">
        <v>580.43479400000001</v>
      </c>
      <c r="L490" s="7">
        <v>1000</v>
      </c>
      <c r="M490" s="7">
        <v>58.043478999999998</v>
      </c>
      <c r="N490" s="7">
        <v>4</v>
      </c>
      <c r="O490" s="7">
        <v>1</v>
      </c>
      <c r="P490" s="7">
        <v>61.959294</v>
      </c>
      <c r="Q490" s="7">
        <v>41.306196</v>
      </c>
      <c r="R490" s="7">
        <v>50</v>
      </c>
      <c r="S490" s="7">
        <v>52.358854999999998</v>
      </c>
      <c r="T490" s="7">
        <v>73.356738000000007</v>
      </c>
      <c r="U490" s="7">
        <v>34.905903000000002</v>
      </c>
      <c r="V490" s="7">
        <v>50</v>
      </c>
      <c r="W490" s="7">
        <v>59.393616999999999</v>
      </c>
      <c r="X490" s="7">
        <v>39.595745000000001</v>
      </c>
      <c r="Y490" s="7">
        <v>50</v>
      </c>
      <c r="Z490" s="7">
        <v>70.494591999999997</v>
      </c>
      <c r="AA490" s="7">
        <v>50.042904</v>
      </c>
      <c r="AB490" s="7">
        <v>33.361936</v>
      </c>
      <c r="AC490" s="7">
        <v>50</v>
      </c>
      <c r="AD490" s="7">
        <v>56.276676999999999</v>
      </c>
      <c r="AE490" s="7">
        <v>37.517785000000003</v>
      </c>
      <c r="AF490" s="7">
        <v>50</v>
      </c>
      <c r="AG490" s="7">
        <v>48.940938000000003</v>
      </c>
      <c r="AH490" s="7">
        <v>65.006207000000003</v>
      </c>
      <c r="AI490" s="7">
        <v>32.627291999999997</v>
      </c>
      <c r="AJ490" s="7">
        <v>50</v>
      </c>
      <c r="AK490" s="7">
        <v>20.99</v>
      </c>
      <c r="AL490" s="7">
        <v>20.45</v>
      </c>
      <c r="AM490" s="7">
        <v>16.059999999999999</v>
      </c>
      <c r="AN490" s="7">
        <v>0.45479900000000001</v>
      </c>
      <c r="AO490" s="7">
        <v>45.479852000000001</v>
      </c>
      <c r="AP490" s="7">
        <v>100</v>
      </c>
      <c r="AQ490" s="7">
        <v>0.547072</v>
      </c>
      <c r="AR490" s="7">
        <v>54.707161999999997</v>
      </c>
      <c r="AS490" s="7">
        <v>100</v>
      </c>
      <c r="AT490" s="7">
        <v>0.41306599999999999</v>
      </c>
      <c r="AU490" s="7">
        <v>0.49980000000000002</v>
      </c>
      <c r="AV490" s="7">
        <v>41.306583000000003</v>
      </c>
      <c r="AW490" s="7">
        <v>100</v>
      </c>
      <c r="AX490" s="7">
        <v>0.51130799999999998</v>
      </c>
      <c r="AY490" s="7">
        <v>0.58535599999999999</v>
      </c>
      <c r="AZ490" s="7">
        <v>51.130813000000003</v>
      </c>
      <c r="BA490" s="7">
        <v>100</v>
      </c>
      <c r="BB490" s="7">
        <v>0.72011999999999998</v>
      </c>
      <c r="BC490" s="7">
        <v>36.005983999999998</v>
      </c>
      <c r="BD490" s="7">
        <v>50</v>
      </c>
      <c r="BE490" s="7">
        <v>0.41064099999999998</v>
      </c>
      <c r="BF490" s="7">
        <v>20.532050000000002</v>
      </c>
      <c r="BG490" s="7">
        <v>50</v>
      </c>
      <c r="BH490" s="7">
        <v>1</v>
      </c>
      <c r="BI490" s="7">
        <v>0.97052400000000005</v>
      </c>
      <c r="BJ490" s="7">
        <v>0.96498099999999998</v>
      </c>
      <c r="BK490" s="7">
        <v>0.97761200000000004</v>
      </c>
      <c r="BL490" s="7">
        <v>0.97052400000000005</v>
      </c>
      <c r="BM490" s="7">
        <v>0.96498099999999998</v>
      </c>
      <c r="BN490" s="7">
        <v>0.97761200000000004</v>
      </c>
      <c r="BO490" s="7">
        <v>0.94769899999999996</v>
      </c>
      <c r="BP490" s="7">
        <v>0.940299</v>
      </c>
      <c r="BQ490" s="7">
        <v>0.95714299999999997</v>
      </c>
      <c r="BR490" s="7">
        <v>0.15628400000000001</v>
      </c>
      <c r="BS490" s="7">
        <v>28.743169000000002</v>
      </c>
      <c r="BT490" s="7">
        <v>50</v>
      </c>
      <c r="BU490" s="7">
        <v>0.225352</v>
      </c>
      <c r="BV490" s="7">
        <v>14.929577</v>
      </c>
      <c r="BW490" s="7">
        <v>50</v>
      </c>
      <c r="BX490" s="4" t="s">
        <v>124</v>
      </c>
      <c r="BY490" s="4" t="s">
        <v>124</v>
      </c>
      <c r="BZ490" s="4" t="s">
        <v>124</v>
      </c>
      <c r="CA490" s="4" t="s">
        <v>124</v>
      </c>
      <c r="CB490" s="4" t="s">
        <v>124</v>
      </c>
      <c r="CC490" s="4" t="s">
        <v>124</v>
      </c>
      <c r="CD490" s="7">
        <v>0.910053</v>
      </c>
      <c r="CE490" s="7">
        <v>48.407069999999997</v>
      </c>
      <c r="CF490" s="7">
        <v>50</v>
      </c>
      <c r="CG490" s="4" t="s">
        <v>124</v>
      </c>
      <c r="CH490" s="4" t="s">
        <v>124</v>
      </c>
      <c r="CI490" s="4" t="s">
        <v>124</v>
      </c>
      <c r="CJ490" s="4" t="s">
        <v>124</v>
      </c>
      <c r="CK490" s="4" t="s">
        <v>124</v>
      </c>
      <c r="CL490" s="4" t="s">
        <v>124</v>
      </c>
      <c r="CM490" s="4" t="s">
        <v>124</v>
      </c>
      <c r="CN490" s="4" t="s">
        <v>124</v>
      </c>
      <c r="CO490" s="4" t="s">
        <v>124</v>
      </c>
      <c r="CP490" s="4" t="s">
        <v>124</v>
      </c>
      <c r="CQ490" s="7">
        <v>0.29816500000000001</v>
      </c>
      <c r="CR490" s="7">
        <v>0.91404600000000003</v>
      </c>
      <c r="CS490" s="7">
        <v>19.877676000000001</v>
      </c>
      <c r="CT490" s="7">
        <v>50</v>
      </c>
      <c r="CU490" s="4" t="s">
        <v>124</v>
      </c>
      <c r="CV490" s="4" t="s">
        <v>124</v>
      </c>
      <c r="CW490" s="4" t="s">
        <v>124</v>
      </c>
      <c r="CX490" s="4" t="s">
        <v>124</v>
      </c>
      <c r="CY490" s="4" t="s">
        <v>124</v>
      </c>
      <c r="CZ490" s="4" t="s">
        <v>124</v>
      </c>
      <c r="DA490" s="7">
        <v>15.314097</v>
      </c>
      <c r="DB490" s="7">
        <v>17.400950000000002</v>
      </c>
      <c r="DC490" s="7">
        <v>16.332519999999999</v>
      </c>
      <c r="DD490" s="4" t="s">
        <v>124</v>
      </c>
      <c r="DE490" s="7">
        <v>1</v>
      </c>
      <c r="DF490" s="4" t="s">
        <v>384</v>
      </c>
      <c r="DG490" s="4" t="s">
        <v>647</v>
      </c>
      <c r="DH490" s="6"/>
      <c r="DI490" s="6"/>
      <c r="DJ490" s="7">
        <v>0</v>
      </c>
      <c r="DK490" s="7">
        <v>0</v>
      </c>
      <c r="DL490" s="7">
        <v>0</v>
      </c>
      <c r="DM490" s="7">
        <v>0</v>
      </c>
      <c r="DN490" s="7">
        <v>0</v>
      </c>
      <c r="DO490" s="7">
        <v>0</v>
      </c>
      <c r="DP490" s="6"/>
      <c r="DQ490" s="4" t="s">
        <v>125</v>
      </c>
    </row>
    <row r="491" spans="1:121" ht="20" customHeight="1" x14ac:dyDescent="0.15">
      <c r="A491" s="5">
        <v>2018</v>
      </c>
      <c r="B491" s="3" t="s">
        <v>284</v>
      </c>
      <c r="C491" s="4" t="str">
        <f t="shared" si="210"/>
        <v>0620011</v>
      </c>
      <c r="D491" s="4" t="s">
        <v>648</v>
      </c>
      <c r="E491" s="4" t="str">
        <f>"0620411"</f>
        <v>0620411</v>
      </c>
      <c r="F491" s="4" t="s">
        <v>327</v>
      </c>
      <c r="G491" s="4" t="s">
        <v>328</v>
      </c>
      <c r="H491" s="7">
        <v>6</v>
      </c>
      <c r="I491" s="4" t="s">
        <v>335</v>
      </c>
      <c r="J491" s="4" t="s">
        <v>330</v>
      </c>
      <c r="K491" s="7">
        <v>585.48288100000002</v>
      </c>
      <c r="L491" s="7">
        <v>950</v>
      </c>
      <c r="M491" s="7">
        <v>61.629776999999997</v>
      </c>
      <c r="N491" s="7">
        <v>3</v>
      </c>
      <c r="O491" s="7">
        <v>0</v>
      </c>
      <c r="P491" s="7">
        <v>62.476886999999998</v>
      </c>
      <c r="Q491" s="7">
        <v>41.651257999999999</v>
      </c>
      <c r="R491" s="7">
        <v>50</v>
      </c>
      <c r="S491" s="7">
        <v>61.207897000000003</v>
      </c>
      <c r="T491" s="7">
        <v>67.195943</v>
      </c>
      <c r="U491" s="7">
        <v>40.805264999999999</v>
      </c>
      <c r="V491" s="7">
        <v>50</v>
      </c>
      <c r="W491" s="7">
        <v>58.546073999999997</v>
      </c>
      <c r="X491" s="7">
        <v>39.030715999999998</v>
      </c>
      <c r="Y491" s="7">
        <v>50</v>
      </c>
      <c r="Z491" s="7">
        <v>64.819644999999994</v>
      </c>
      <c r="AA491" s="7">
        <v>56.859062999999999</v>
      </c>
      <c r="AB491" s="7">
        <v>37.906041999999999</v>
      </c>
      <c r="AC491" s="7">
        <v>50</v>
      </c>
      <c r="AD491" s="7">
        <v>55.283870999999998</v>
      </c>
      <c r="AE491" s="7">
        <v>36.855913999999999</v>
      </c>
      <c r="AF491" s="7">
        <v>50</v>
      </c>
      <c r="AG491" s="7">
        <v>52.540601000000002</v>
      </c>
      <c r="AH491" s="4" t="s">
        <v>124</v>
      </c>
      <c r="AI491" s="7">
        <v>35.027067000000002</v>
      </c>
      <c r="AJ491" s="7">
        <v>50</v>
      </c>
      <c r="AK491" s="7">
        <v>5.98</v>
      </c>
      <c r="AL491" s="7">
        <v>7.96</v>
      </c>
      <c r="AM491" s="4" t="s">
        <v>124</v>
      </c>
      <c r="AN491" s="7">
        <v>0.50872499999999998</v>
      </c>
      <c r="AO491" s="7">
        <v>50.872478000000001</v>
      </c>
      <c r="AP491" s="7">
        <v>100</v>
      </c>
      <c r="AQ491" s="7">
        <v>0.56621500000000002</v>
      </c>
      <c r="AR491" s="7">
        <v>56.621471</v>
      </c>
      <c r="AS491" s="7">
        <v>100</v>
      </c>
      <c r="AT491" s="7">
        <v>0.53260600000000002</v>
      </c>
      <c r="AU491" s="7">
        <v>0.42115900000000001</v>
      </c>
      <c r="AV491" s="7">
        <v>53.260648000000003</v>
      </c>
      <c r="AW491" s="7">
        <v>100</v>
      </c>
      <c r="AX491" s="7">
        <v>0.58784499999999995</v>
      </c>
      <c r="AY491" s="7">
        <v>0.48690499999999998</v>
      </c>
      <c r="AZ491" s="7">
        <v>58.784475</v>
      </c>
      <c r="BA491" s="7">
        <v>100</v>
      </c>
      <c r="BB491" s="7">
        <v>0.66403999999999996</v>
      </c>
      <c r="BC491" s="7">
        <v>33.201985999999998</v>
      </c>
      <c r="BD491" s="7">
        <v>50</v>
      </c>
      <c r="BE491" s="7">
        <v>0.52946000000000004</v>
      </c>
      <c r="BF491" s="7">
        <v>26.473022</v>
      </c>
      <c r="BG491" s="7">
        <v>50</v>
      </c>
      <c r="BH491" s="7">
        <v>0</v>
      </c>
      <c r="BI491" s="7">
        <v>1</v>
      </c>
      <c r="BJ491" s="7">
        <v>1</v>
      </c>
      <c r="BK491" s="7">
        <v>1</v>
      </c>
      <c r="BL491" s="7">
        <v>1</v>
      </c>
      <c r="BM491" s="7">
        <v>1</v>
      </c>
      <c r="BN491" s="7">
        <v>1</v>
      </c>
      <c r="BO491" s="7">
        <v>1</v>
      </c>
      <c r="BP491" s="7">
        <v>1</v>
      </c>
      <c r="BQ491" s="4" t="s">
        <v>124</v>
      </c>
      <c r="BR491" s="7">
        <v>0.17832200000000001</v>
      </c>
      <c r="BS491" s="7">
        <v>24.335664000000001</v>
      </c>
      <c r="BT491" s="7">
        <v>50</v>
      </c>
      <c r="BU491" s="7">
        <v>0.20175399999999999</v>
      </c>
      <c r="BV491" s="7">
        <v>19.649122999999999</v>
      </c>
      <c r="BW491" s="7">
        <v>50</v>
      </c>
      <c r="BX491" s="4" t="s">
        <v>124</v>
      </c>
      <c r="BY491" s="4" t="s">
        <v>124</v>
      </c>
      <c r="BZ491" s="4" t="s">
        <v>124</v>
      </c>
      <c r="CA491" s="4" t="s">
        <v>124</v>
      </c>
      <c r="CB491" s="4" t="s">
        <v>124</v>
      </c>
      <c r="CC491" s="4" t="s">
        <v>124</v>
      </c>
      <c r="CD491" s="4" t="s">
        <v>124</v>
      </c>
      <c r="CE491" s="4" t="s">
        <v>124</v>
      </c>
      <c r="CF491" s="4" t="s">
        <v>124</v>
      </c>
      <c r="CG491" s="4" t="s">
        <v>124</v>
      </c>
      <c r="CH491" s="4" t="s">
        <v>124</v>
      </c>
      <c r="CI491" s="4" t="s">
        <v>124</v>
      </c>
      <c r="CJ491" s="4" t="s">
        <v>124</v>
      </c>
      <c r="CK491" s="4" t="s">
        <v>124</v>
      </c>
      <c r="CL491" s="4" t="s">
        <v>124</v>
      </c>
      <c r="CM491" s="4" t="s">
        <v>124</v>
      </c>
      <c r="CN491" s="4" t="s">
        <v>124</v>
      </c>
      <c r="CO491" s="4" t="s">
        <v>124</v>
      </c>
      <c r="CP491" s="4" t="s">
        <v>124</v>
      </c>
      <c r="CQ491" s="7">
        <v>0.46511599999999997</v>
      </c>
      <c r="CR491" s="7">
        <v>1.0238100000000001</v>
      </c>
      <c r="CS491" s="7">
        <v>31.007752</v>
      </c>
      <c r="CT491" s="7">
        <v>50</v>
      </c>
      <c r="CU491" s="4" t="s">
        <v>124</v>
      </c>
      <c r="CV491" s="4" t="s">
        <v>124</v>
      </c>
      <c r="CW491" s="4" t="s">
        <v>124</v>
      </c>
      <c r="CX491" s="4" t="s">
        <v>124</v>
      </c>
      <c r="CY491" s="4" t="s">
        <v>124</v>
      </c>
      <c r="CZ491" s="4" t="s">
        <v>124</v>
      </c>
      <c r="DA491" s="7">
        <v>15.314097</v>
      </c>
      <c r="DB491" s="7">
        <v>17.400950000000002</v>
      </c>
      <c r="DC491" s="7">
        <v>16.332519999999999</v>
      </c>
      <c r="DD491" s="4" t="s">
        <v>124</v>
      </c>
      <c r="DE491" s="7">
        <v>0</v>
      </c>
      <c r="DF491" s="6"/>
      <c r="DG491" s="6"/>
      <c r="DH491" s="6"/>
      <c r="DI491" s="6"/>
      <c r="DJ491" s="7">
        <v>0</v>
      </c>
      <c r="DK491" s="7">
        <v>0</v>
      </c>
      <c r="DL491" s="7">
        <v>0</v>
      </c>
      <c r="DM491" s="7">
        <v>0</v>
      </c>
      <c r="DN491" s="7">
        <v>0</v>
      </c>
      <c r="DO491" s="7">
        <v>0</v>
      </c>
      <c r="DP491" s="6"/>
      <c r="DQ491" s="4" t="s">
        <v>125</v>
      </c>
    </row>
    <row r="492" spans="1:121" ht="20" customHeight="1" x14ac:dyDescent="0.15">
      <c r="A492" s="5">
        <v>2018</v>
      </c>
      <c r="B492" s="3" t="s">
        <v>284</v>
      </c>
      <c r="C492" s="4" t="str">
        <f t="shared" si="210"/>
        <v>0620011</v>
      </c>
      <c r="D492" s="4" t="s">
        <v>649</v>
      </c>
      <c r="E492" s="4" t="str">
        <f>"0621111"</f>
        <v>0621111</v>
      </c>
      <c r="F492" s="4" t="s">
        <v>327</v>
      </c>
      <c r="G492" s="4" t="s">
        <v>338</v>
      </c>
      <c r="H492" s="7">
        <v>6</v>
      </c>
      <c r="I492" s="4" t="s">
        <v>335</v>
      </c>
      <c r="J492" s="4" t="s">
        <v>330</v>
      </c>
      <c r="K492" s="7">
        <v>617.70390399999997</v>
      </c>
      <c r="L492" s="7">
        <v>950</v>
      </c>
      <c r="M492" s="7">
        <v>65.021463999999995</v>
      </c>
      <c r="N492" s="7">
        <v>3</v>
      </c>
      <c r="O492" s="7">
        <v>1</v>
      </c>
      <c r="P492" s="7">
        <v>66.535758000000001</v>
      </c>
      <c r="Q492" s="7">
        <v>44.357171999999998</v>
      </c>
      <c r="R492" s="7">
        <v>50</v>
      </c>
      <c r="S492" s="7">
        <v>60.568337999999997</v>
      </c>
      <c r="T492" s="7">
        <v>75</v>
      </c>
      <c r="U492" s="7">
        <v>40.378892</v>
      </c>
      <c r="V492" s="7">
        <v>50</v>
      </c>
      <c r="W492" s="7">
        <v>62.858963000000003</v>
      </c>
      <c r="X492" s="7">
        <v>41.905974999999998</v>
      </c>
      <c r="Y492" s="7">
        <v>50</v>
      </c>
      <c r="Z492" s="7">
        <v>75</v>
      </c>
      <c r="AA492" s="7">
        <v>56.821184000000002</v>
      </c>
      <c r="AB492" s="7">
        <v>37.880789</v>
      </c>
      <c r="AC492" s="7">
        <v>50</v>
      </c>
      <c r="AD492" s="7">
        <v>64.281834000000003</v>
      </c>
      <c r="AE492" s="7">
        <v>42.854556000000002</v>
      </c>
      <c r="AF492" s="7">
        <v>50</v>
      </c>
      <c r="AG492" s="7">
        <v>57.868279999999999</v>
      </c>
      <c r="AH492" s="4" t="s">
        <v>124</v>
      </c>
      <c r="AI492" s="7">
        <v>38.578853000000002</v>
      </c>
      <c r="AJ492" s="7">
        <v>50</v>
      </c>
      <c r="AK492" s="7">
        <v>14.43</v>
      </c>
      <c r="AL492" s="7">
        <v>18.170000000000002</v>
      </c>
      <c r="AM492" s="4" t="s">
        <v>124</v>
      </c>
      <c r="AN492" s="7">
        <v>0.52268000000000003</v>
      </c>
      <c r="AO492" s="7">
        <v>52.267966999999999</v>
      </c>
      <c r="AP492" s="7">
        <v>100</v>
      </c>
      <c r="AQ492" s="7">
        <v>0.75454600000000005</v>
      </c>
      <c r="AR492" s="7">
        <v>75.454559000000003</v>
      </c>
      <c r="AS492" s="7">
        <v>100</v>
      </c>
      <c r="AT492" s="7">
        <v>0.46493499999999999</v>
      </c>
      <c r="AU492" s="7">
        <v>0.63817000000000002</v>
      </c>
      <c r="AV492" s="7">
        <v>46.493471</v>
      </c>
      <c r="AW492" s="7">
        <v>100</v>
      </c>
      <c r="AX492" s="7">
        <v>0.72685299999999997</v>
      </c>
      <c r="AY492" s="7">
        <v>0.80993099999999996</v>
      </c>
      <c r="AZ492" s="7">
        <v>72.685271999999998</v>
      </c>
      <c r="BA492" s="7">
        <v>100</v>
      </c>
      <c r="BB492" s="7">
        <v>0.40060000000000001</v>
      </c>
      <c r="BC492" s="7">
        <v>20.030002</v>
      </c>
      <c r="BD492" s="7">
        <v>50</v>
      </c>
      <c r="BE492" s="7">
        <v>0.33508500000000002</v>
      </c>
      <c r="BF492" s="7">
        <v>16.754239999999999</v>
      </c>
      <c r="BG492" s="7">
        <v>50</v>
      </c>
      <c r="BH492" s="7">
        <v>0</v>
      </c>
      <c r="BI492" s="7">
        <v>0.99468100000000004</v>
      </c>
      <c r="BJ492" s="7">
        <v>0.99230799999999997</v>
      </c>
      <c r="BK492" s="7">
        <v>1</v>
      </c>
      <c r="BL492" s="7">
        <v>0.99468100000000004</v>
      </c>
      <c r="BM492" s="7">
        <v>0.99230799999999997</v>
      </c>
      <c r="BN492" s="7">
        <v>1</v>
      </c>
      <c r="BO492" s="7">
        <v>1</v>
      </c>
      <c r="BP492" s="7">
        <v>1</v>
      </c>
      <c r="BQ492" s="4" t="s">
        <v>124</v>
      </c>
      <c r="BR492" s="7">
        <v>0.111111</v>
      </c>
      <c r="BS492" s="7">
        <v>37.777777999999998</v>
      </c>
      <c r="BT492" s="7">
        <v>50</v>
      </c>
      <c r="BU492" s="7">
        <v>0.14077700000000001</v>
      </c>
      <c r="BV492" s="7">
        <v>31.844660000000001</v>
      </c>
      <c r="BW492" s="7">
        <v>50</v>
      </c>
      <c r="BX492" s="4" t="s">
        <v>124</v>
      </c>
      <c r="BY492" s="4" t="s">
        <v>124</v>
      </c>
      <c r="BZ492" s="4" t="s">
        <v>124</v>
      </c>
      <c r="CA492" s="4" t="s">
        <v>124</v>
      </c>
      <c r="CB492" s="4" t="s">
        <v>124</v>
      </c>
      <c r="CC492" s="4" t="s">
        <v>124</v>
      </c>
      <c r="CD492" s="4" t="s">
        <v>124</v>
      </c>
      <c r="CE492" s="4" t="s">
        <v>124</v>
      </c>
      <c r="CF492" s="4" t="s">
        <v>124</v>
      </c>
      <c r="CG492" s="4" t="s">
        <v>124</v>
      </c>
      <c r="CH492" s="4" t="s">
        <v>124</v>
      </c>
      <c r="CI492" s="4" t="s">
        <v>124</v>
      </c>
      <c r="CJ492" s="4" t="s">
        <v>124</v>
      </c>
      <c r="CK492" s="4" t="s">
        <v>124</v>
      </c>
      <c r="CL492" s="4" t="s">
        <v>124</v>
      </c>
      <c r="CM492" s="4" t="s">
        <v>124</v>
      </c>
      <c r="CN492" s="4" t="s">
        <v>124</v>
      </c>
      <c r="CO492" s="4" t="s">
        <v>124</v>
      </c>
      <c r="CP492" s="4" t="s">
        <v>124</v>
      </c>
      <c r="CQ492" s="7">
        <v>0.27659600000000001</v>
      </c>
      <c r="CR492" s="7">
        <v>0.94949499999999998</v>
      </c>
      <c r="CS492" s="7">
        <v>18.439716000000001</v>
      </c>
      <c r="CT492" s="7">
        <v>50</v>
      </c>
      <c r="CU492" s="4" t="s">
        <v>124</v>
      </c>
      <c r="CV492" s="4" t="s">
        <v>124</v>
      </c>
      <c r="CW492" s="4" t="s">
        <v>124</v>
      </c>
      <c r="CX492" s="4" t="s">
        <v>124</v>
      </c>
      <c r="CY492" s="4" t="s">
        <v>124</v>
      </c>
      <c r="CZ492" s="4" t="s">
        <v>124</v>
      </c>
      <c r="DA492" s="7">
        <v>15.314097</v>
      </c>
      <c r="DB492" s="7">
        <v>17.400950000000002</v>
      </c>
      <c r="DC492" s="7">
        <v>16.332519999999999</v>
      </c>
      <c r="DD492" s="4" t="s">
        <v>124</v>
      </c>
      <c r="DE492" s="7">
        <v>1</v>
      </c>
      <c r="DF492" s="6"/>
      <c r="DG492" s="6"/>
      <c r="DH492" s="6"/>
      <c r="DI492" s="6"/>
      <c r="DJ492" s="7">
        <v>0</v>
      </c>
      <c r="DK492" s="7">
        <v>0</v>
      </c>
      <c r="DL492" s="7">
        <v>0</v>
      </c>
      <c r="DM492" s="7">
        <v>0</v>
      </c>
      <c r="DN492" s="7">
        <v>0</v>
      </c>
      <c r="DO492" s="7">
        <v>0</v>
      </c>
      <c r="DP492" s="6"/>
      <c r="DQ492" s="4" t="s">
        <v>125</v>
      </c>
    </row>
    <row r="493" spans="1:121" ht="20" customHeight="1" x14ac:dyDescent="0.15">
      <c r="A493" s="5">
        <v>2018</v>
      </c>
      <c r="B493" s="3" t="s">
        <v>284</v>
      </c>
      <c r="C493" s="4" t="str">
        <f>"0620011"</f>
        <v>0620011</v>
      </c>
      <c r="D493" s="4" t="s">
        <v>650</v>
      </c>
      <c r="E493" s="4" t="str">
        <f>"0620111"</f>
        <v>0620111</v>
      </c>
      <c r="F493" s="4" t="s">
        <v>327</v>
      </c>
      <c r="G493" s="4" t="s">
        <v>338</v>
      </c>
      <c r="H493" s="7">
        <v>6</v>
      </c>
      <c r="I493" s="4" t="s">
        <v>335</v>
      </c>
      <c r="J493" s="4" t="s">
        <v>330</v>
      </c>
      <c r="K493" s="7">
        <v>683.93923800000005</v>
      </c>
      <c r="L493" s="7">
        <v>950</v>
      </c>
      <c r="M493" s="7">
        <v>71.993604000000005</v>
      </c>
      <c r="N493" s="7">
        <v>2</v>
      </c>
      <c r="O493" s="7">
        <v>0</v>
      </c>
      <c r="P493" s="7">
        <v>70.337941000000001</v>
      </c>
      <c r="Q493" s="7">
        <v>46.891959999999997</v>
      </c>
      <c r="R493" s="7">
        <v>50</v>
      </c>
      <c r="S493" s="7">
        <v>67.760192000000004</v>
      </c>
      <c r="T493" s="7">
        <v>75</v>
      </c>
      <c r="U493" s="7">
        <v>45.173462000000001</v>
      </c>
      <c r="V493" s="7">
        <v>50</v>
      </c>
      <c r="W493" s="7">
        <v>68.094048999999998</v>
      </c>
      <c r="X493" s="7">
        <v>45.396033000000003</v>
      </c>
      <c r="Y493" s="7">
        <v>50</v>
      </c>
      <c r="Z493" s="7">
        <v>75</v>
      </c>
      <c r="AA493" s="7">
        <v>65.568781000000001</v>
      </c>
      <c r="AB493" s="7">
        <v>43.712521000000002</v>
      </c>
      <c r="AC493" s="7">
        <v>50</v>
      </c>
      <c r="AD493" s="7">
        <v>63.087874999999997</v>
      </c>
      <c r="AE493" s="7">
        <v>42.058584000000003</v>
      </c>
      <c r="AF493" s="7">
        <v>50</v>
      </c>
      <c r="AG493" s="7">
        <v>61.209676999999999</v>
      </c>
      <c r="AH493" s="4" t="s">
        <v>124</v>
      </c>
      <c r="AI493" s="7">
        <v>40.806452</v>
      </c>
      <c r="AJ493" s="7">
        <v>50</v>
      </c>
      <c r="AK493" s="7">
        <v>7.23</v>
      </c>
      <c r="AL493" s="7">
        <v>9.43</v>
      </c>
      <c r="AM493" s="4" t="s">
        <v>124</v>
      </c>
      <c r="AN493" s="7">
        <v>0.663933</v>
      </c>
      <c r="AO493" s="7">
        <v>66.393297000000004</v>
      </c>
      <c r="AP493" s="7">
        <v>100</v>
      </c>
      <c r="AQ493" s="7">
        <v>0.81734499999999999</v>
      </c>
      <c r="AR493" s="7">
        <v>81.734528999999995</v>
      </c>
      <c r="AS493" s="7">
        <v>100</v>
      </c>
      <c r="AT493" s="7">
        <v>0.63158199999999998</v>
      </c>
      <c r="AU493" s="7">
        <v>0.76218399999999997</v>
      </c>
      <c r="AV493" s="7">
        <v>63.158216000000003</v>
      </c>
      <c r="AW493" s="7">
        <v>100</v>
      </c>
      <c r="AX493" s="7">
        <v>0.80030500000000004</v>
      </c>
      <c r="AY493" s="7">
        <v>0.86909599999999998</v>
      </c>
      <c r="AZ493" s="7">
        <v>80.030525999999995</v>
      </c>
      <c r="BA493" s="7">
        <v>100</v>
      </c>
      <c r="BB493" s="7">
        <v>0.69121699999999997</v>
      </c>
      <c r="BC493" s="7">
        <v>34.560873000000001</v>
      </c>
      <c r="BD493" s="7">
        <v>50</v>
      </c>
      <c r="BE493" s="7">
        <v>0.73131000000000002</v>
      </c>
      <c r="BF493" s="7">
        <v>36.565479000000003</v>
      </c>
      <c r="BG493" s="7">
        <v>50</v>
      </c>
      <c r="BH493" s="7">
        <v>0</v>
      </c>
      <c r="BI493" s="7">
        <v>0.98136599999999996</v>
      </c>
      <c r="BJ493" s="7">
        <v>0.98412699999999997</v>
      </c>
      <c r="BK493" s="7">
        <v>0.97142899999999999</v>
      </c>
      <c r="BL493" s="7">
        <v>0.98148100000000005</v>
      </c>
      <c r="BM493" s="7">
        <v>0.98425200000000002</v>
      </c>
      <c r="BN493" s="7">
        <v>0.97142899999999999</v>
      </c>
      <c r="BO493" s="7">
        <v>0.97142899999999999</v>
      </c>
      <c r="BP493" s="7">
        <v>0.961538</v>
      </c>
      <c r="BQ493" s="4" t="s">
        <v>124</v>
      </c>
      <c r="BR493" s="7">
        <v>0.18543000000000001</v>
      </c>
      <c r="BS493" s="7">
        <v>22.913906999999998</v>
      </c>
      <c r="BT493" s="7">
        <v>50</v>
      </c>
      <c r="BU493" s="7">
        <v>0.21238899999999999</v>
      </c>
      <c r="BV493" s="7">
        <v>17.522124000000002</v>
      </c>
      <c r="BW493" s="7">
        <v>50</v>
      </c>
      <c r="BX493" s="4" t="s">
        <v>124</v>
      </c>
      <c r="BY493" s="4" t="s">
        <v>124</v>
      </c>
      <c r="BZ493" s="4" t="s">
        <v>124</v>
      </c>
      <c r="CA493" s="4" t="s">
        <v>124</v>
      </c>
      <c r="CB493" s="4" t="s">
        <v>124</v>
      </c>
      <c r="CC493" s="4" t="s">
        <v>124</v>
      </c>
      <c r="CD493" s="4" t="s">
        <v>124</v>
      </c>
      <c r="CE493" s="4" t="s">
        <v>124</v>
      </c>
      <c r="CF493" s="4" t="s">
        <v>124</v>
      </c>
      <c r="CG493" s="4" t="s">
        <v>124</v>
      </c>
      <c r="CH493" s="4" t="s">
        <v>124</v>
      </c>
      <c r="CI493" s="4" t="s">
        <v>124</v>
      </c>
      <c r="CJ493" s="4" t="s">
        <v>124</v>
      </c>
      <c r="CK493" s="4" t="s">
        <v>124</v>
      </c>
      <c r="CL493" s="4" t="s">
        <v>124</v>
      </c>
      <c r="CM493" s="4" t="s">
        <v>124</v>
      </c>
      <c r="CN493" s="4" t="s">
        <v>124</v>
      </c>
      <c r="CO493" s="4" t="s">
        <v>124</v>
      </c>
      <c r="CP493" s="4" t="s">
        <v>124</v>
      </c>
      <c r="CQ493" s="7">
        <v>0.25531900000000002</v>
      </c>
      <c r="CR493" s="7">
        <v>0.97916700000000001</v>
      </c>
      <c r="CS493" s="7">
        <v>17.021277000000001</v>
      </c>
      <c r="CT493" s="7">
        <v>50</v>
      </c>
      <c r="CU493" s="4" t="s">
        <v>124</v>
      </c>
      <c r="CV493" s="4" t="s">
        <v>124</v>
      </c>
      <c r="CW493" s="4" t="s">
        <v>124</v>
      </c>
      <c r="CX493" s="4" t="s">
        <v>124</v>
      </c>
      <c r="CY493" s="4" t="s">
        <v>124</v>
      </c>
      <c r="CZ493" s="4" t="s">
        <v>124</v>
      </c>
      <c r="DA493" s="7">
        <v>15.314097</v>
      </c>
      <c r="DB493" s="7">
        <v>17.400950000000002</v>
      </c>
      <c r="DC493" s="7">
        <v>16.332519999999999</v>
      </c>
      <c r="DD493" s="4" t="s">
        <v>124</v>
      </c>
      <c r="DE493" s="7">
        <v>0</v>
      </c>
      <c r="DF493" s="6"/>
      <c r="DG493" s="6"/>
      <c r="DH493" s="6"/>
      <c r="DI493" s="6"/>
      <c r="DJ493" s="7">
        <v>0</v>
      </c>
      <c r="DK493" s="7">
        <v>0</v>
      </c>
      <c r="DL493" s="7">
        <v>0</v>
      </c>
      <c r="DM493" s="7">
        <v>0</v>
      </c>
      <c r="DN493" s="7">
        <v>0</v>
      </c>
      <c r="DO493" s="7">
        <v>0</v>
      </c>
      <c r="DP493" s="6"/>
      <c r="DQ493" s="4" t="s">
        <v>125</v>
      </c>
    </row>
    <row r="494" spans="1:121" ht="20" customHeight="1" x14ac:dyDescent="0.15">
      <c r="A494" s="5">
        <v>2018</v>
      </c>
      <c r="B494" s="3" t="s">
        <v>284</v>
      </c>
      <c r="C494" s="4" t="str">
        <f t="shared" si="210"/>
        <v>0620011</v>
      </c>
      <c r="D494" s="4" t="s">
        <v>651</v>
      </c>
      <c r="E494" s="4" t="str">
        <f>"0621011"</f>
        <v>0621011</v>
      </c>
      <c r="F494" s="4" t="s">
        <v>327</v>
      </c>
      <c r="G494" s="4" t="s">
        <v>338</v>
      </c>
      <c r="H494" s="7">
        <v>6</v>
      </c>
      <c r="I494" s="6"/>
      <c r="J494" s="4" t="s">
        <v>330</v>
      </c>
      <c r="K494" s="7">
        <v>661.28782000000001</v>
      </c>
      <c r="L494" s="7">
        <v>850</v>
      </c>
      <c r="M494" s="7">
        <v>77.798567000000006</v>
      </c>
      <c r="N494" s="7">
        <v>3</v>
      </c>
      <c r="O494" s="7">
        <v>0</v>
      </c>
      <c r="P494" s="7">
        <v>80.398938000000001</v>
      </c>
      <c r="Q494" s="7">
        <v>50</v>
      </c>
      <c r="R494" s="7">
        <v>50</v>
      </c>
      <c r="S494" s="7">
        <v>67.863776999999999</v>
      </c>
      <c r="T494" s="7">
        <v>75</v>
      </c>
      <c r="U494" s="7">
        <v>45.242517999999997</v>
      </c>
      <c r="V494" s="7">
        <v>50</v>
      </c>
      <c r="W494" s="7">
        <v>77.801137999999995</v>
      </c>
      <c r="X494" s="7">
        <v>50</v>
      </c>
      <c r="Y494" s="7">
        <v>50</v>
      </c>
      <c r="Z494" s="7">
        <v>75</v>
      </c>
      <c r="AA494" s="7">
        <v>66.180475999999999</v>
      </c>
      <c r="AB494" s="7">
        <v>44.120317999999997</v>
      </c>
      <c r="AC494" s="7">
        <v>50</v>
      </c>
      <c r="AD494" s="7">
        <v>77.368753999999996</v>
      </c>
      <c r="AE494" s="7">
        <v>50</v>
      </c>
      <c r="AF494" s="7">
        <v>50</v>
      </c>
      <c r="AG494" s="7">
        <v>65.396773999999994</v>
      </c>
      <c r="AH494" s="7">
        <v>75</v>
      </c>
      <c r="AI494" s="7">
        <v>43.597848999999997</v>
      </c>
      <c r="AJ494" s="7">
        <v>50</v>
      </c>
      <c r="AK494" s="7">
        <v>7.13</v>
      </c>
      <c r="AL494" s="7">
        <v>8.81</v>
      </c>
      <c r="AM494" s="7">
        <v>9.6</v>
      </c>
      <c r="AN494" s="7">
        <v>0.58860900000000005</v>
      </c>
      <c r="AO494" s="7">
        <v>58.860892999999997</v>
      </c>
      <c r="AP494" s="7">
        <v>100</v>
      </c>
      <c r="AQ494" s="7">
        <v>0.68951899999999999</v>
      </c>
      <c r="AR494" s="7">
        <v>68.951887999999997</v>
      </c>
      <c r="AS494" s="7">
        <v>100</v>
      </c>
      <c r="AT494" s="7">
        <v>0.56801500000000005</v>
      </c>
      <c r="AU494" s="7">
        <v>0.60081300000000004</v>
      </c>
      <c r="AV494" s="7">
        <v>56.80153</v>
      </c>
      <c r="AW494" s="7">
        <v>100</v>
      </c>
      <c r="AX494" s="7">
        <v>0.69485600000000003</v>
      </c>
      <c r="AY494" s="7">
        <v>0.68635599999999997</v>
      </c>
      <c r="AZ494" s="7">
        <v>69.485626999999994</v>
      </c>
      <c r="BA494" s="7">
        <v>100</v>
      </c>
      <c r="BB494" s="4" t="s">
        <v>124</v>
      </c>
      <c r="BC494" s="4" t="s">
        <v>124</v>
      </c>
      <c r="BD494" s="4" t="s">
        <v>124</v>
      </c>
      <c r="BE494" s="4" t="s">
        <v>124</v>
      </c>
      <c r="BF494" s="4" t="s">
        <v>124</v>
      </c>
      <c r="BG494" s="4" t="s">
        <v>124</v>
      </c>
      <c r="BH494" s="7">
        <v>1</v>
      </c>
      <c r="BI494" s="7">
        <v>0.98046900000000003</v>
      </c>
      <c r="BJ494" s="7">
        <v>0.97916700000000001</v>
      </c>
      <c r="BK494" s="7">
        <v>0.98124999999999996</v>
      </c>
      <c r="BL494" s="7">
        <v>0.98046900000000003</v>
      </c>
      <c r="BM494" s="7">
        <v>0.97916700000000001</v>
      </c>
      <c r="BN494" s="7">
        <v>0.98124999999999996</v>
      </c>
      <c r="BO494" s="7">
        <v>0.92982500000000001</v>
      </c>
      <c r="BP494" s="7">
        <v>0.91666700000000001</v>
      </c>
      <c r="BQ494" s="7">
        <v>0.93939399999999995</v>
      </c>
      <c r="BR494" s="7">
        <v>9.7284999999999996E-2</v>
      </c>
      <c r="BS494" s="7">
        <v>40.542985999999999</v>
      </c>
      <c r="BT494" s="7">
        <v>50</v>
      </c>
      <c r="BU494" s="7">
        <v>0.131579</v>
      </c>
      <c r="BV494" s="7">
        <v>33.684210999999998</v>
      </c>
      <c r="BW494" s="7">
        <v>50</v>
      </c>
      <c r="BX494" s="4" t="s">
        <v>124</v>
      </c>
      <c r="BY494" s="4" t="s">
        <v>124</v>
      </c>
      <c r="BZ494" s="4" t="s">
        <v>124</v>
      </c>
      <c r="CA494" s="4" t="s">
        <v>124</v>
      </c>
      <c r="CB494" s="4" t="s">
        <v>124</v>
      </c>
      <c r="CC494" s="4" t="s">
        <v>124</v>
      </c>
      <c r="CD494" s="4" t="s">
        <v>124</v>
      </c>
      <c r="CE494" s="4" t="s">
        <v>124</v>
      </c>
      <c r="CF494" s="4" t="s">
        <v>124</v>
      </c>
      <c r="CG494" s="4" t="s">
        <v>124</v>
      </c>
      <c r="CH494" s="4" t="s">
        <v>124</v>
      </c>
      <c r="CI494" s="4" t="s">
        <v>124</v>
      </c>
      <c r="CJ494" s="4" t="s">
        <v>124</v>
      </c>
      <c r="CK494" s="4" t="s">
        <v>124</v>
      </c>
      <c r="CL494" s="4" t="s">
        <v>124</v>
      </c>
      <c r="CM494" s="4" t="s">
        <v>124</v>
      </c>
      <c r="CN494" s="4" t="s">
        <v>124</v>
      </c>
      <c r="CO494" s="4" t="s">
        <v>124</v>
      </c>
      <c r="CP494" s="4" t="s">
        <v>124</v>
      </c>
      <c r="CQ494" s="7">
        <v>0.89843799999999996</v>
      </c>
      <c r="CR494" s="7">
        <v>0.96969700000000003</v>
      </c>
      <c r="CS494" s="7">
        <v>50</v>
      </c>
      <c r="CT494" s="7">
        <v>50</v>
      </c>
      <c r="CU494" s="4" t="s">
        <v>124</v>
      </c>
      <c r="CV494" s="4" t="s">
        <v>124</v>
      </c>
      <c r="CW494" s="4" t="s">
        <v>124</v>
      </c>
      <c r="CX494" s="4" t="s">
        <v>124</v>
      </c>
      <c r="CY494" s="4" t="s">
        <v>124</v>
      </c>
      <c r="CZ494" s="4" t="s">
        <v>124</v>
      </c>
      <c r="DA494" s="7">
        <v>15.314097</v>
      </c>
      <c r="DB494" s="7">
        <v>17.400950000000002</v>
      </c>
      <c r="DC494" s="7">
        <v>16.332519999999999</v>
      </c>
      <c r="DD494" s="4" t="s">
        <v>124</v>
      </c>
      <c r="DE494" s="7">
        <v>1</v>
      </c>
      <c r="DF494" s="6"/>
      <c r="DG494" s="6"/>
      <c r="DH494" s="6"/>
      <c r="DI494" s="6"/>
      <c r="DJ494" s="7">
        <v>0</v>
      </c>
      <c r="DK494" s="7">
        <v>0</v>
      </c>
      <c r="DL494" s="7">
        <v>0</v>
      </c>
      <c r="DM494" s="7">
        <v>0</v>
      </c>
      <c r="DN494" s="7">
        <v>0</v>
      </c>
      <c r="DO494" s="7">
        <v>0</v>
      </c>
      <c r="DP494" s="6"/>
      <c r="DQ494" s="4" t="s">
        <v>125</v>
      </c>
    </row>
    <row r="495" spans="1:121" ht="20" customHeight="1" x14ac:dyDescent="0.15">
      <c r="A495" s="5">
        <v>2018</v>
      </c>
      <c r="B495" s="3" t="s">
        <v>284</v>
      </c>
      <c r="C495" s="4" t="str">
        <f t="shared" si="210"/>
        <v>0620011</v>
      </c>
      <c r="D495" s="4" t="s">
        <v>652</v>
      </c>
      <c r="E495" s="4" t="str">
        <f>"0621411"</f>
        <v>0621411</v>
      </c>
      <c r="F495" s="4" t="s">
        <v>327</v>
      </c>
      <c r="G495" s="4" t="s">
        <v>338</v>
      </c>
      <c r="H495" s="7">
        <v>6</v>
      </c>
      <c r="I495" s="6"/>
      <c r="J495" s="4" t="s">
        <v>330</v>
      </c>
      <c r="K495" s="7">
        <v>579.25775499999997</v>
      </c>
      <c r="L495" s="7">
        <v>800</v>
      </c>
      <c r="M495" s="7">
        <v>72.407218999999998</v>
      </c>
      <c r="N495" s="7">
        <v>2</v>
      </c>
      <c r="O495" s="7">
        <v>0</v>
      </c>
      <c r="P495" s="7">
        <v>75.645263999999997</v>
      </c>
      <c r="Q495" s="7">
        <v>50</v>
      </c>
      <c r="R495" s="7">
        <v>50</v>
      </c>
      <c r="S495" s="7">
        <v>61.011057000000001</v>
      </c>
      <c r="T495" s="7">
        <v>75</v>
      </c>
      <c r="U495" s="7">
        <v>40.674038000000003</v>
      </c>
      <c r="V495" s="7">
        <v>50</v>
      </c>
      <c r="W495" s="7">
        <v>74.844274999999996</v>
      </c>
      <c r="X495" s="7">
        <v>49.896183000000001</v>
      </c>
      <c r="Y495" s="7">
        <v>50</v>
      </c>
      <c r="Z495" s="7">
        <v>75</v>
      </c>
      <c r="AA495" s="7">
        <v>59.104135999999997</v>
      </c>
      <c r="AB495" s="7">
        <v>39.402757000000001</v>
      </c>
      <c r="AC495" s="7">
        <v>50</v>
      </c>
      <c r="AD495" s="7">
        <v>71.263490000000004</v>
      </c>
      <c r="AE495" s="7">
        <v>47.508992999999997</v>
      </c>
      <c r="AF495" s="7">
        <v>50</v>
      </c>
      <c r="AG495" s="4" t="s">
        <v>124</v>
      </c>
      <c r="AH495" s="7">
        <v>75</v>
      </c>
      <c r="AI495" s="4" t="s">
        <v>124</v>
      </c>
      <c r="AJ495" s="4" t="s">
        <v>124</v>
      </c>
      <c r="AK495" s="7">
        <v>13.98</v>
      </c>
      <c r="AL495" s="7">
        <v>15.89</v>
      </c>
      <c r="AM495" s="4" t="s">
        <v>124</v>
      </c>
      <c r="AN495" s="7">
        <v>0.57508599999999999</v>
      </c>
      <c r="AO495" s="7">
        <v>57.508626</v>
      </c>
      <c r="AP495" s="7">
        <v>100</v>
      </c>
      <c r="AQ495" s="7">
        <v>0.72861699999999996</v>
      </c>
      <c r="AR495" s="7">
        <v>72.861712999999995</v>
      </c>
      <c r="AS495" s="7">
        <v>100</v>
      </c>
      <c r="AT495" s="7">
        <v>0.45778200000000002</v>
      </c>
      <c r="AU495" s="7">
        <v>0.61958100000000005</v>
      </c>
      <c r="AV495" s="7">
        <v>45.778205999999997</v>
      </c>
      <c r="AW495" s="7">
        <v>100</v>
      </c>
      <c r="AX495" s="7">
        <v>0.56441799999999998</v>
      </c>
      <c r="AY495" s="7">
        <v>0.79090000000000005</v>
      </c>
      <c r="AZ495" s="7">
        <v>56.441805000000002</v>
      </c>
      <c r="BA495" s="7">
        <v>100</v>
      </c>
      <c r="BB495" s="4" t="s">
        <v>124</v>
      </c>
      <c r="BC495" s="4" t="s">
        <v>124</v>
      </c>
      <c r="BD495" s="4" t="s">
        <v>124</v>
      </c>
      <c r="BE495" s="4" t="s">
        <v>124</v>
      </c>
      <c r="BF495" s="4" t="s">
        <v>124</v>
      </c>
      <c r="BG495" s="4" t="s">
        <v>124</v>
      </c>
      <c r="BH495" s="7">
        <v>0</v>
      </c>
      <c r="BI495" s="7">
        <v>0.99543400000000004</v>
      </c>
      <c r="BJ495" s="7">
        <v>0.98550700000000002</v>
      </c>
      <c r="BK495" s="7">
        <v>1</v>
      </c>
      <c r="BL495" s="7">
        <v>0.99543400000000004</v>
      </c>
      <c r="BM495" s="7">
        <v>0.98550700000000002</v>
      </c>
      <c r="BN495" s="7">
        <v>1</v>
      </c>
      <c r="BO495" s="7">
        <v>1</v>
      </c>
      <c r="BP495" s="4" t="s">
        <v>124</v>
      </c>
      <c r="BQ495" s="7">
        <v>1</v>
      </c>
      <c r="BR495" s="7">
        <v>5.1723999999999999E-2</v>
      </c>
      <c r="BS495" s="7">
        <v>49.655172</v>
      </c>
      <c r="BT495" s="7">
        <v>50</v>
      </c>
      <c r="BU495" s="7">
        <v>0.12037</v>
      </c>
      <c r="BV495" s="7">
        <v>35.925925999999997</v>
      </c>
      <c r="BW495" s="7">
        <v>50</v>
      </c>
      <c r="BX495" s="4" t="s">
        <v>124</v>
      </c>
      <c r="BY495" s="4" t="s">
        <v>124</v>
      </c>
      <c r="BZ495" s="4" t="s">
        <v>124</v>
      </c>
      <c r="CA495" s="4" t="s">
        <v>124</v>
      </c>
      <c r="CB495" s="4" t="s">
        <v>124</v>
      </c>
      <c r="CC495" s="4" t="s">
        <v>124</v>
      </c>
      <c r="CD495" s="4" t="s">
        <v>124</v>
      </c>
      <c r="CE495" s="4" t="s">
        <v>124</v>
      </c>
      <c r="CF495" s="4" t="s">
        <v>124</v>
      </c>
      <c r="CG495" s="4" t="s">
        <v>124</v>
      </c>
      <c r="CH495" s="4" t="s">
        <v>124</v>
      </c>
      <c r="CI495" s="4" t="s">
        <v>124</v>
      </c>
      <c r="CJ495" s="4" t="s">
        <v>124</v>
      </c>
      <c r="CK495" s="4" t="s">
        <v>124</v>
      </c>
      <c r="CL495" s="4" t="s">
        <v>124</v>
      </c>
      <c r="CM495" s="4" t="s">
        <v>124</v>
      </c>
      <c r="CN495" s="4" t="s">
        <v>124</v>
      </c>
      <c r="CO495" s="4" t="s">
        <v>124</v>
      </c>
      <c r="CP495" s="4" t="s">
        <v>124</v>
      </c>
      <c r="CQ495" s="7">
        <v>0.50406499999999999</v>
      </c>
      <c r="CR495" s="7">
        <v>1.0336129999999999</v>
      </c>
      <c r="CS495" s="7">
        <v>33.604336000000004</v>
      </c>
      <c r="CT495" s="7">
        <v>50</v>
      </c>
      <c r="CU495" s="4" t="s">
        <v>124</v>
      </c>
      <c r="CV495" s="4" t="s">
        <v>124</v>
      </c>
      <c r="CW495" s="4" t="s">
        <v>124</v>
      </c>
      <c r="CX495" s="4" t="s">
        <v>124</v>
      </c>
      <c r="CY495" s="4" t="s">
        <v>124</v>
      </c>
      <c r="CZ495" s="4" t="s">
        <v>124</v>
      </c>
      <c r="DA495" s="7">
        <v>15.314097</v>
      </c>
      <c r="DB495" s="7">
        <v>17.400950000000002</v>
      </c>
      <c r="DC495" s="7">
        <v>16.332519999999999</v>
      </c>
      <c r="DD495" s="4" t="s">
        <v>124</v>
      </c>
      <c r="DE495" s="7">
        <v>0</v>
      </c>
      <c r="DF495" s="6"/>
      <c r="DG495" s="6"/>
      <c r="DH495" s="6"/>
      <c r="DI495" s="6"/>
      <c r="DJ495" s="7">
        <v>0</v>
      </c>
      <c r="DK495" s="7">
        <v>0</v>
      </c>
      <c r="DL495" s="7">
        <v>0</v>
      </c>
      <c r="DM495" s="7">
        <v>0</v>
      </c>
      <c r="DN495" s="7">
        <v>0</v>
      </c>
      <c r="DO495" s="7">
        <v>0</v>
      </c>
      <c r="DP495" s="6"/>
      <c r="DQ495" s="4" t="s">
        <v>125</v>
      </c>
    </row>
    <row r="496" spans="1:121" ht="20" customHeight="1" x14ac:dyDescent="0.15">
      <c r="A496" s="5">
        <v>2018</v>
      </c>
      <c r="B496" s="3" t="s">
        <v>285</v>
      </c>
      <c r="C496" s="4" t="str">
        <f t="shared" si="157"/>
        <v>0630011</v>
      </c>
      <c r="D496" s="4" t="s">
        <v>653</v>
      </c>
      <c r="E496" s="4" t="str">
        <f>"0630111"</f>
        <v>0630111</v>
      </c>
      <c r="F496" s="4" t="s">
        <v>327</v>
      </c>
      <c r="G496" s="4" t="s">
        <v>328</v>
      </c>
      <c r="H496" s="7">
        <v>6</v>
      </c>
      <c r="I496" s="4" t="s">
        <v>329</v>
      </c>
      <c r="J496" s="4" t="s">
        <v>330</v>
      </c>
      <c r="K496" s="7">
        <v>407.75715700000001</v>
      </c>
      <c r="L496" s="7">
        <v>550</v>
      </c>
      <c r="M496" s="7">
        <v>74.137664999999998</v>
      </c>
      <c r="N496" s="7">
        <v>2</v>
      </c>
      <c r="O496" s="7">
        <v>0</v>
      </c>
      <c r="P496" s="7">
        <v>70.220408000000006</v>
      </c>
      <c r="Q496" s="7">
        <v>46.813605000000003</v>
      </c>
      <c r="R496" s="7">
        <v>50</v>
      </c>
      <c r="S496" s="7">
        <v>62.535428000000003</v>
      </c>
      <c r="T496" s="7">
        <v>75</v>
      </c>
      <c r="U496" s="7">
        <v>41.690285000000003</v>
      </c>
      <c r="V496" s="7">
        <v>50</v>
      </c>
      <c r="W496" s="7">
        <v>65.945099999999996</v>
      </c>
      <c r="X496" s="7">
        <v>43.9634</v>
      </c>
      <c r="Y496" s="7">
        <v>50</v>
      </c>
      <c r="Z496" s="7">
        <v>71.644001000000003</v>
      </c>
      <c r="AA496" s="7">
        <v>58.821474000000002</v>
      </c>
      <c r="AB496" s="7">
        <v>39.214315999999997</v>
      </c>
      <c r="AC496" s="7">
        <v>50</v>
      </c>
      <c r="AD496" s="4" t="s">
        <v>124</v>
      </c>
      <c r="AE496" s="4" t="s">
        <v>124</v>
      </c>
      <c r="AF496" s="4" t="s">
        <v>124</v>
      </c>
      <c r="AG496" s="4" t="s">
        <v>124</v>
      </c>
      <c r="AH496" s="4" t="s">
        <v>124</v>
      </c>
      <c r="AI496" s="4" t="s">
        <v>124</v>
      </c>
      <c r="AJ496" s="4" t="s">
        <v>124</v>
      </c>
      <c r="AK496" s="7">
        <v>12.46</v>
      </c>
      <c r="AL496" s="7">
        <v>12.82</v>
      </c>
      <c r="AM496" s="4" t="s">
        <v>124</v>
      </c>
      <c r="AN496" s="7">
        <v>0.60131400000000002</v>
      </c>
      <c r="AO496" s="7">
        <v>60.131445999999997</v>
      </c>
      <c r="AP496" s="7">
        <v>100</v>
      </c>
      <c r="AQ496" s="7">
        <v>0.74486699999999995</v>
      </c>
      <c r="AR496" s="7">
        <v>74.486673999999994</v>
      </c>
      <c r="AS496" s="7">
        <v>100</v>
      </c>
      <c r="AT496" s="4" t="s">
        <v>124</v>
      </c>
      <c r="AU496" s="4" t="s">
        <v>124</v>
      </c>
      <c r="AV496" s="4" t="s">
        <v>124</v>
      </c>
      <c r="AW496" s="4" t="s">
        <v>124</v>
      </c>
      <c r="AX496" s="4" t="s">
        <v>124</v>
      </c>
      <c r="AY496" s="4" t="s">
        <v>124</v>
      </c>
      <c r="AZ496" s="4" t="s">
        <v>124</v>
      </c>
      <c r="BA496" s="4" t="s">
        <v>124</v>
      </c>
      <c r="BB496" s="4" t="s">
        <v>124</v>
      </c>
      <c r="BC496" s="4" t="s">
        <v>124</v>
      </c>
      <c r="BD496" s="4" t="s">
        <v>124</v>
      </c>
      <c r="BE496" s="4" t="s">
        <v>124</v>
      </c>
      <c r="BF496" s="4" t="s">
        <v>124</v>
      </c>
      <c r="BG496" s="4" t="s">
        <v>124</v>
      </c>
      <c r="BH496" s="7">
        <v>0</v>
      </c>
      <c r="BI496" s="7">
        <v>0.97916700000000001</v>
      </c>
      <c r="BJ496" s="7">
        <v>0.95652199999999998</v>
      </c>
      <c r="BK496" s="7">
        <v>1</v>
      </c>
      <c r="BL496" s="7">
        <v>0.97916700000000001</v>
      </c>
      <c r="BM496" s="7">
        <v>0.95652199999999998</v>
      </c>
      <c r="BN496" s="7">
        <v>1</v>
      </c>
      <c r="BO496" s="4" t="s">
        <v>124</v>
      </c>
      <c r="BP496" s="4" t="s">
        <v>124</v>
      </c>
      <c r="BQ496" s="4" t="s">
        <v>124</v>
      </c>
      <c r="BR496" s="7">
        <v>6.4935000000000007E-2</v>
      </c>
      <c r="BS496" s="7">
        <v>47.012987000000003</v>
      </c>
      <c r="BT496" s="7">
        <v>50</v>
      </c>
      <c r="BU496" s="7">
        <v>0.13888900000000001</v>
      </c>
      <c r="BV496" s="7">
        <v>32.222222000000002</v>
      </c>
      <c r="BW496" s="7">
        <v>50</v>
      </c>
      <c r="BX496" s="4" t="s">
        <v>124</v>
      </c>
      <c r="BY496" s="4" t="s">
        <v>124</v>
      </c>
      <c r="BZ496" s="4" t="s">
        <v>124</v>
      </c>
      <c r="CA496" s="4" t="s">
        <v>124</v>
      </c>
      <c r="CB496" s="4" t="s">
        <v>124</v>
      </c>
      <c r="CC496" s="4" t="s">
        <v>124</v>
      </c>
      <c r="CD496" s="4" t="s">
        <v>124</v>
      </c>
      <c r="CE496" s="4" t="s">
        <v>124</v>
      </c>
      <c r="CF496" s="4" t="s">
        <v>124</v>
      </c>
      <c r="CG496" s="4" t="s">
        <v>124</v>
      </c>
      <c r="CH496" s="4" t="s">
        <v>124</v>
      </c>
      <c r="CI496" s="4" t="s">
        <v>124</v>
      </c>
      <c r="CJ496" s="4" t="s">
        <v>124</v>
      </c>
      <c r="CK496" s="4" t="s">
        <v>124</v>
      </c>
      <c r="CL496" s="4" t="s">
        <v>124</v>
      </c>
      <c r="CM496" s="4" t="s">
        <v>124</v>
      </c>
      <c r="CN496" s="4" t="s">
        <v>124</v>
      </c>
      <c r="CO496" s="4" t="s">
        <v>124</v>
      </c>
      <c r="CP496" s="4" t="s">
        <v>124</v>
      </c>
      <c r="CQ496" s="7">
        <v>0.33333299999999999</v>
      </c>
      <c r="CR496" s="7">
        <v>0.96</v>
      </c>
      <c r="CS496" s="7">
        <v>22.222221999999999</v>
      </c>
      <c r="CT496" s="7">
        <v>50</v>
      </c>
      <c r="CU496" s="4" t="s">
        <v>124</v>
      </c>
      <c r="CV496" s="4" t="s">
        <v>124</v>
      </c>
      <c r="CW496" s="4" t="s">
        <v>124</v>
      </c>
      <c r="CX496" s="4" t="s">
        <v>124</v>
      </c>
      <c r="CY496" s="4" t="s">
        <v>124</v>
      </c>
      <c r="CZ496" s="4" t="s">
        <v>124</v>
      </c>
      <c r="DA496" s="7">
        <v>15.314097</v>
      </c>
      <c r="DB496" s="7">
        <v>17.400950000000002</v>
      </c>
      <c r="DC496" s="7">
        <v>16.332519999999999</v>
      </c>
      <c r="DD496" s="4" t="s">
        <v>124</v>
      </c>
      <c r="DE496" s="7">
        <v>0</v>
      </c>
      <c r="DF496" s="6"/>
      <c r="DG496" s="6"/>
      <c r="DH496" s="6"/>
      <c r="DI496" s="6"/>
      <c r="DJ496" s="7">
        <v>0</v>
      </c>
      <c r="DK496" s="7">
        <v>0</v>
      </c>
      <c r="DL496" s="7">
        <v>0</v>
      </c>
      <c r="DM496" s="7">
        <v>0</v>
      </c>
      <c r="DN496" s="7">
        <v>0</v>
      </c>
      <c r="DO496" s="7">
        <v>0</v>
      </c>
      <c r="DP496" s="6"/>
      <c r="DQ496" s="4" t="s">
        <v>125</v>
      </c>
    </row>
    <row r="497" spans="1:121" ht="20" customHeight="1" x14ac:dyDescent="0.15">
      <c r="A497" s="5">
        <v>2018</v>
      </c>
      <c r="B497" s="3" t="s">
        <v>286</v>
      </c>
      <c r="C497" s="4" t="str">
        <f t="shared" si="158"/>
        <v>0640011</v>
      </c>
      <c r="D497" s="4" t="s">
        <v>654</v>
      </c>
      <c r="E497" s="4" t="str">
        <f>"0642811"</f>
        <v>0642811</v>
      </c>
      <c r="F497" s="4" t="s">
        <v>327</v>
      </c>
      <c r="G497" s="4" t="s">
        <v>328</v>
      </c>
      <c r="H497" s="7">
        <v>4</v>
      </c>
      <c r="I497" s="4" t="s">
        <v>335</v>
      </c>
      <c r="J497" s="4" t="s">
        <v>330</v>
      </c>
      <c r="K497" s="7">
        <v>545.09141599999998</v>
      </c>
      <c r="L497" s="7">
        <v>850</v>
      </c>
      <c r="M497" s="7">
        <v>64.128401999999994</v>
      </c>
      <c r="N497" s="7">
        <v>3</v>
      </c>
      <c r="O497" s="7">
        <v>1</v>
      </c>
      <c r="P497" s="7">
        <v>63.119754999999998</v>
      </c>
      <c r="Q497" s="7">
        <v>42.079836999999998</v>
      </c>
      <c r="R497" s="7">
        <v>50</v>
      </c>
      <c r="S497" s="7">
        <v>60.153753999999999</v>
      </c>
      <c r="T497" s="7">
        <v>74.736592999999999</v>
      </c>
      <c r="U497" s="7">
        <v>40.102502999999999</v>
      </c>
      <c r="V497" s="7">
        <v>50</v>
      </c>
      <c r="W497" s="7">
        <v>58.895558000000001</v>
      </c>
      <c r="X497" s="7">
        <v>39.263705999999999</v>
      </c>
      <c r="Y497" s="7">
        <v>50</v>
      </c>
      <c r="Z497" s="7">
        <v>73.531999999999996</v>
      </c>
      <c r="AA497" s="7">
        <v>55.158594000000001</v>
      </c>
      <c r="AB497" s="7">
        <v>36.772396000000001</v>
      </c>
      <c r="AC497" s="7">
        <v>50</v>
      </c>
      <c r="AD497" s="4" t="s">
        <v>124</v>
      </c>
      <c r="AE497" s="4" t="s">
        <v>124</v>
      </c>
      <c r="AF497" s="4" t="s">
        <v>124</v>
      </c>
      <c r="AG497" s="4" t="s">
        <v>124</v>
      </c>
      <c r="AH497" s="4" t="s">
        <v>124</v>
      </c>
      <c r="AI497" s="4" t="s">
        <v>124</v>
      </c>
      <c r="AJ497" s="4" t="s">
        <v>124</v>
      </c>
      <c r="AK497" s="7">
        <v>14.58</v>
      </c>
      <c r="AL497" s="7">
        <v>18.37</v>
      </c>
      <c r="AM497" s="4" t="s">
        <v>124</v>
      </c>
      <c r="AN497" s="7">
        <v>0.66903000000000001</v>
      </c>
      <c r="AO497" s="7">
        <v>66.903006000000005</v>
      </c>
      <c r="AP497" s="7">
        <v>100</v>
      </c>
      <c r="AQ497" s="7">
        <v>0.74685199999999996</v>
      </c>
      <c r="AR497" s="7">
        <v>74.685227999999995</v>
      </c>
      <c r="AS497" s="7">
        <v>100</v>
      </c>
      <c r="AT497" s="7">
        <v>0.67122899999999996</v>
      </c>
      <c r="AU497" s="4" t="s">
        <v>124</v>
      </c>
      <c r="AV497" s="7">
        <v>67.122944000000004</v>
      </c>
      <c r="AW497" s="7">
        <v>100</v>
      </c>
      <c r="AX497" s="7">
        <v>0.68626100000000001</v>
      </c>
      <c r="AY497" s="4" t="s">
        <v>124</v>
      </c>
      <c r="AZ497" s="7">
        <v>68.626050000000006</v>
      </c>
      <c r="BA497" s="7">
        <v>100</v>
      </c>
      <c r="BB497" s="7">
        <v>0.62351000000000001</v>
      </c>
      <c r="BC497" s="7">
        <v>31.175495000000002</v>
      </c>
      <c r="BD497" s="7">
        <v>50</v>
      </c>
      <c r="BE497" s="7">
        <v>0.37061699999999997</v>
      </c>
      <c r="BF497" s="7">
        <v>18.530847999999999</v>
      </c>
      <c r="BG497" s="7">
        <v>50</v>
      </c>
      <c r="BH497" s="7">
        <v>0</v>
      </c>
      <c r="BI497" s="7">
        <v>1</v>
      </c>
      <c r="BJ497" s="7">
        <v>1</v>
      </c>
      <c r="BK497" s="7">
        <v>1</v>
      </c>
      <c r="BL497" s="7">
        <v>1</v>
      </c>
      <c r="BM497" s="7">
        <v>1</v>
      </c>
      <c r="BN497" s="7">
        <v>1</v>
      </c>
      <c r="BO497" s="4" t="s">
        <v>124</v>
      </c>
      <c r="BP497" s="4" t="s">
        <v>124</v>
      </c>
      <c r="BQ497" s="4" t="s">
        <v>124</v>
      </c>
      <c r="BR497" s="7">
        <v>0.17747399999999999</v>
      </c>
      <c r="BS497" s="7">
        <v>24.505119000000001</v>
      </c>
      <c r="BT497" s="7">
        <v>50</v>
      </c>
      <c r="BU497" s="7">
        <v>0.19004499999999999</v>
      </c>
      <c r="BV497" s="7">
        <v>21.990950000000002</v>
      </c>
      <c r="BW497" s="7">
        <v>50</v>
      </c>
      <c r="BX497" s="4" t="s">
        <v>124</v>
      </c>
      <c r="BY497" s="4" t="s">
        <v>124</v>
      </c>
      <c r="BZ497" s="4" t="s">
        <v>124</v>
      </c>
      <c r="CA497" s="4" t="s">
        <v>124</v>
      </c>
      <c r="CB497" s="4" t="s">
        <v>124</v>
      </c>
      <c r="CC497" s="4" t="s">
        <v>124</v>
      </c>
      <c r="CD497" s="4" t="s">
        <v>124</v>
      </c>
      <c r="CE497" s="4" t="s">
        <v>124</v>
      </c>
      <c r="CF497" s="4" t="s">
        <v>124</v>
      </c>
      <c r="CG497" s="4" t="s">
        <v>124</v>
      </c>
      <c r="CH497" s="4" t="s">
        <v>124</v>
      </c>
      <c r="CI497" s="4" t="s">
        <v>124</v>
      </c>
      <c r="CJ497" s="4" t="s">
        <v>124</v>
      </c>
      <c r="CK497" s="4" t="s">
        <v>124</v>
      </c>
      <c r="CL497" s="4" t="s">
        <v>124</v>
      </c>
      <c r="CM497" s="4" t="s">
        <v>124</v>
      </c>
      <c r="CN497" s="4" t="s">
        <v>124</v>
      </c>
      <c r="CO497" s="4" t="s">
        <v>124</v>
      </c>
      <c r="CP497" s="4" t="s">
        <v>124</v>
      </c>
      <c r="CQ497" s="7">
        <v>0.2</v>
      </c>
      <c r="CR497" s="7">
        <v>0.96774199999999999</v>
      </c>
      <c r="CS497" s="7">
        <v>13.333333</v>
      </c>
      <c r="CT497" s="7">
        <v>50</v>
      </c>
      <c r="CU497" s="4" t="s">
        <v>124</v>
      </c>
      <c r="CV497" s="4" t="s">
        <v>124</v>
      </c>
      <c r="CW497" s="4" t="s">
        <v>124</v>
      </c>
      <c r="CX497" s="4" t="s">
        <v>124</v>
      </c>
      <c r="CY497" s="4" t="s">
        <v>124</v>
      </c>
      <c r="CZ497" s="4" t="s">
        <v>124</v>
      </c>
      <c r="DA497" s="7">
        <v>15.314097</v>
      </c>
      <c r="DB497" s="7">
        <v>17.400950000000002</v>
      </c>
      <c r="DC497" s="7">
        <v>16.332519999999999</v>
      </c>
      <c r="DD497" s="4" t="s">
        <v>124</v>
      </c>
      <c r="DE497" s="7">
        <v>1</v>
      </c>
      <c r="DF497" s="6"/>
      <c r="DG497" s="6"/>
      <c r="DH497" s="6"/>
      <c r="DI497" s="6"/>
      <c r="DJ497" s="7">
        <v>0</v>
      </c>
      <c r="DK497" s="7">
        <v>0</v>
      </c>
      <c r="DL497" s="7">
        <v>0</v>
      </c>
      <c r="DM497" s="7">
        <v>0</v>
      </c>
      <c r="DN497" s="7">
        <v>0</v>
      </c>
      <c r="DO497" s="7">
        <v>0</v>
      </c>
      <c r="DP497" s="6"/>
      <c r="DQ497" s="4" t="s">
        <v>125</v>
      </c>
    </row>
    <row r="498" spans="1:121" ht="20" customHeight="1" x14ac:dyDescent="0.15">
      <c r="A498" s="5">
        <v>2018</v>
      </c>
      <c r="B498" s="3" t="s">
        <v>286</v>
      </c>
      <c r="C498" s="4" t="str">
        <f t="shared" ref="C498:C539" si="211">"0640011"</f>
        <v>0640011</v>
      </c>
      <c r="D498" s="4" t="s">
        <v>655</v>
      </c>
      <c r="E498" s="4" t="str">
        <f>"0643811"</f>
        <v>0643811</v>
      </c>
      <c r="F498" s="4" t="s">
        <v>327</v>
      </c>
      <c r="G498" s="7">
        <v>5</v>
      </c>
      <c r="H498" s="7">
        <v>8</v>
      </c>
      <c r="I498" s="4" t="s">
        <v>335</v>
      </c>
      <c r="J498" s="4" t="s">
        <v>330</v>
      </c>
      <c r="K498" s="7">
        <v>611.45004400000005</v>
      </c>
      <c r="L498" s="7">
        <v>1000</v>
      </c>
      <c r="M498" s="7">
        <v>61.145004</v>
      </c>
      <c r="N498" s="7">
        <v>3</v>
      </c>
      <c r="O498" s="7">
        <v>1</v>
      </c>
      <c r="P498" s="7">
        <v>59.554805999999999</v>
      </c>
      <c r="Q498" s="7">
        <v>39.703203999999999</v>
      </c>
      <c r="R498" s="7">
        <v>50</v>
      </c>
      <c r="S498" s="7">
        <v>55.923982000000002</v>
      </c>
      <c r="T498" s="7">
        <v>75</v>
      </c>
      <c r="U498" s="7">
        <v>37.282654999999998</v>
      </c>
      <c r="V498" s="7">
        <v>50</v>
      </c>
      <c r="W498" s="7">
        <v>52.168931999999998</v>
      </c>
      <c r="X498" s="7">
        <v>34.779288000000001</v>
      </c>
      <c r="Y498" s="7">
        <v>50</v>
      </c>
      <c r="Z498" s="7">
        <v>69.780079999999998</v>
      </c>
      <c r="AA498" s="7">
        <v>48.052041000000003</v>
      </c>
      <c r="AB498" s="7">
        <v>32.034694000000002</v>
      </c>
      <c r="AC498" s="7">
        <v>50</v>
      </c>
      <c r="AD498" s="7">
        <v>55.950695000000003</v>
      </c>
      <c r="AE498" s="7">
        <v>37.300463000000001</v>
      </c>
      <c r="AF498" s="7">
        <v>50</v>
      </c>
      <c r="AG498" s="7">
        <v>53.185867000000002</v>
      </c>
      <c r="AH498" s="7">
        <v>68.692943999999997</v>
      </c>
      <c r="AI498" s="7">
        <v>35.457245</v>
      </c>
      <c r="AJ498" s="7">
        <v>50</v>
      </c>
      <c r="AK498" s="7">
        <v>19.07</v>
      </c>
      <c r="AL498" s="7">
        <v>21.72</v>
      </c>
      <c r="AM498" s="7">
        <v>15.5</v>
      </c>
      <c r="AN498" s="7">
        <v>0.54700099999999996</v>
      </c>
      <c r="AO498" s="7">
        <v>54.700119000000001</v>
      </c>
      <c r="AP498" s="7">
        <v>100</v>
      </c>
      <c r="AQ498" s="7">
        <v>0.51414899999999997</v>
      </c>
      <c r="AR498" s="7">
        <v>51.414884000000001</v>
      </c>
      <c r="AS498" s="7">
        <v>100</v>
      </c>
      <c r="AT498" s="7">
        <v>0.52204799999999996</v>
      </c>
      <c r="AU498" s="7">
        <v>0.63962200000000002</v>
      </c>
      <c r="AV498" s="7">
        <v>52.204849000000003</v>
      </c>
      <c r="AW498" s="7">
        <v>100</v>
      </c>
      <c r="AX498" s="7">
        <v>0.46458100000000002</v>
      </c>
      <c r="AY498" s="7">
        <v>0.69813700000000001</v>
      </c>
      <c r="AZ498" s="7">
        <v>46.458120999999998</v>
      </c>
      <c r="BA498" s="7">
        <v>100</v>
      </c>
      <c r="BB498" s="7">
        <v>0.53131799999999996</v>
      </c>
      <c r="BC498" s="7">
        <v>26.565922</v>
      </c>
      <c r="BD498" s="7">
        <v>50</v>
      </c>
      <c r="BE498" s="7">
        <v>0.40007100000000001</v>
      </c>
      <c r="BF498" s="7">
        <v>20.003544000000002</v>
      </c>
      <c r="BG498" s="7">
        <v>50</v>
      </c>
      <c r="BH498" s="7">
        <v>0</v>
      </c>
      <c r="BI498" s="7">
        <v>0.99652799999999997</v>
      </c>
      <c r="BJ498" s="7">
        <v>1</v>
      </c>
      <c r="BK498" s="7">
        <v>0.98181799999999997</v>
      </c>
      <c r="BL498" s="7">
        <v>0.99651599999999996</v>
      </c>
      <c r="BM498" s="7">
        <v>1</v>
      </c>
      <c r="BN498" s="7">
        <v>0.98181799999999997</v>
      </c>
      <c r="BO498" s="7">
        <v>1</v>
      </c>
      <c r="BP498" s="7">
        <v>1</v>
      </c>
      <c r="BQ498" s="7">
        <v>1</v>
      </c>
      <c r="BR498" s="7">
        <v>0.104895</v>
      </c>
      <c r="BS498" s="7">
        <v>39.020978999999997</v>
      </c>
      <c r="BT498" s="7">
        <v>50</v>
      </c>
      <c r="BU498" s="7">
        <v>0.12831899999999999</v>
      </c>
      <c r="BV498" s="7">
        <v>34.336283000000002</v>
      </c>
      <c r="BW498" s="7">
        <v>50</v>
      </c>
      <c r="BX498" s="4" t="s">
        <v>124</v>
      </c>
      <c r="BY498" s="4" t="s">
        <v>124</v>
      </c>
      <c r="BZ498" s="4" t="s">
        <v>124</v>
      </c>
      <c r="CA498" s="4" t="s">
        <v>124</v>
      </c>
      <c r="CB498" s="4" t="s">
        <v>124</v>
      </c>
      <c r="CC498" s="4" t="s">
        <v>124</v>
      </c>
      <c r="CD498" s="7">
        <v>0.94117600000000001</v>
      </c>
      <c r="CE498" s="7">
        <v>50</v>
      </c>
      <c r="CF498" s="7">
        <v>50</v>
      </c>
      <c r="CG498" s="4" t="s">
        <v>124</v>
      </c>
      <c r="CH498" s="4" t="s">
        <v>124</v>
      </c>
      <c r="CI498" s="4" t="s">
        <v>124</v>
      </c>
      <c r="CJ498" s="4" t="s">
        <v>124</v>
      </c>
      <c r="CK498" s="4" t="s">
        <v>124</v>
      </c>
      <c r="CL498" s="4" t="s">
        <v>124</v>
      </c>
      <c r="CM498" s="4" t="s">
        <v>124</v>
      </c>
      <c r="CN498" s="4" t="s">
        <v>124</v>
      </c>
      <c r="CO498" s="4" t="s">
        <v>124</v>
      </c>
      <c r="CP498" s="4" t="s">
        <v>124</v>
      </c>
      <c r="CQ498" s="7">
        <v>0.302817</v>
      </c>
      <c r="CR498" s="7">
        <v>1</v>
      </c>
      <c r="CS498" s="7">
        <v>20.187792999999999</v>
      </c>
      <c r="CT498" s="7">
        <v>50</v>
      </c>
      <c r="CU498" s="4" t="s">
        <v>124</v>
      </c>
      <c r="CV498" s="4" t="s">
        <v>124</v>
      </c>
      <c r="CW498" s="4" t="s">
        <v>124</v>
      </c>
      <c r="CX498" s="4" t="s">
        <v>124</v>
      </c>
      <c r="CY498" s="4" t="s">
        <v>124</v>
      </c>
      <c r="CZ498" s="4" t="s">
        <v>124</v>
      </c>
      <c r="DA498" s="7">
        <v>15.314097</v>
      </c>
      <c r="DB498" s="7">
        <v>17.400950000000002</v>
      </c>
      <c r="DC498" s="7">
        <v>16.332519999999999</v>
      </c>
      <c r="DD498" s="4" t="s">
        <v>124</v>
      </c>
      <c r="DE498" s="7">
        <v>1</v>
      </c>
      <c r="DF498" s="6"/>
      <c r="DG498" s="6"/>
      <c r="DH498" s="6"/>
      <c r="DI498" s="6"/>
      <c r="DJ498" s="7">
        <v>0</v>
      </c>
      <c r="DK498" s="7">
        <v>0</v>
      </c>
      <c r="DL498" s="7">
        <v>0</v>
      </c>
      <c r="DM498" s="7">
        <v>0</v>
      </c>
      <c r="DN498" s="7">
        <v>0</v>
      </c>
      <c r="DO498" s="7">
        <v>0</v>
      </c>
      <c r="DP498" s="6"/>
      <c r="DQ498" s="4" t="s">
        <v>125</v>
      </c>
    </row>
    <row r="499" spans="1:121" ht="20" customHeight="1" x14ac:dyDescent="0.15">
      <c r="A499" s="5">
        <v>2018</v>
      </c>
      <c r="B499" s="3" t="s">
        <v>286</v>
      </c>
      <c r="C499" s="4" t="str">
        <f t="shared" si="211"/>
        <v>0640011</v>
      </c>
      <c r="D499" s="4" t="s">
        <v>656</v>
      </c>
      <c r="E499" s="4" t="str">
        <f>"0643511"</f>
        <v>0643511</v>
      </c>
      <c r="F499" s="4" t="s">
        <v>327</v>
      </c>
      <c r="G499" s="4" t="s">
        <v>328</v>
      </c>
      <c r="H499" s="7">
        <v>5</v>
      </c>
      <c r="I499" s="4" t="s">
        <v>335</v>
      </c>
      <c r="J499" s="4" t="s">
        <v>330</v>
      </c>
      <c r="K499" s="7">
        <v>505.18982</v>
      </c>
      <c r="L499" s="7">
        <v>850</v>
      </c>
      <c r="M499" s="7">
        <v>59.434097000000001</v>
      </c>
      <c r="N499" s="7">
        <v>3</v>
      </c>
      <c r="O499" s="7">
        <v>1</v>
      </c>
      <c r="P499" s="7">
        <v>57.925443999999999</v>
      </c>
      <c r="Q499" s="7">
        <v>38.616962999999998</v>
      </c>
      <c r="R499" s="7">
        <v>50</v>
      </c>
      <c r="S499" s="7">
        <v>51.827649999999998</v>
      </c>
      <c r="T499" s="7">
        <v>71.927786999999995</v>
      </c>
      <c r="U499" s="7">
        <v>34.551766999999998</v>
      </c>
      <c r="V499" s="7">
        <v>50</v>
      </c>
      <c r="W499" s="7">
        <v>57.622517999999999</v>
      </c>
      <c r="X499" s="7">
        <v>38.415011999999997</v>
      </c>
      <c r="Y499" s="7">
        <v>50</v>
      </c>
      <c r="Z499" s="7">
        <v>69.648544999999999</v>
      </c>
      <c r="AA499" s="7">
        <v>52.385378000000003</v>
      </c>
      <c r="AB499" s="7">
        <v>34.923585000000003</v>
      </c>
      <c r="AC499" s="7">
        <v>50</v>
      </c>
      <c r="AD499" s="7">
        <v>57.071800000000003</v>
      </c>
      <c r="AE499" s="7">
        <v>38.047866999999997</v>
      </c>
      <c r="AF499" s="7">
        <v>50</v>
      </c>
      <c r="AG499" s="7">
        <v>51.907834000000001</v>
      </c>
      <c r="AH499" s="4" t="s">
        <v>124</v>
      </c>
      <c r="AI499" s="7">
        <v>34.605223000000002</v>
      </c>
      <c r="AJ499" s="7">
        <v>50</v>
      </c>
      <c r="AK499" s="7">
        <v>20.100000000000001</v>
      </c>
      <c r="AL499" s="7">
        <v>17.260000000000002</v>
      </c>
      <c r="AM499" s="4" t="s">
        <v>124</v>
      </c>
      <c r="AN499" s="7">
        <v>0.43947399999999998</v>
      </c>
      <c r="AO499" s="7">
        <v>43.947380000000003</v>
      </c>
      <c r="AP499" s="7">
        <v>100</v>
      </c>
      <c r="AQ499" s="7">
        <v>0.54266300000000001</v>
      </c>
      <c r="AR499" s="7">
        <v>54.266286000000001</v>
      </c>
      <c r="AS499" s="7">
        <v>100</v>
      </c>
      <c r="AT499" s="7">
        <v>0.41325800000000001</v>
      </c>
      <c r="AU499" s="4" t="s">
        <v>124</v>
      </c>
      <c r="AV499" s="7">
        <v>41.325817000000001</v>
      </c>
      <c r="AW499" s="7">
        <v>100</v>
      </c>
      <c r="AX499" s="7">
        <v>0.50522299999999998</v>
      </c>
      <c r="AY499" s="4" t="s">
        <v>124</v>
      </c>
      <c r="AZ499" s="7">
        <v>50.522302000000003</v>
      </c>
      <c r="BA499" s="7">
        <v>100</v>
      </c>
      <c r="BB499" s="4" t="s">
        <v>124</v>
      </c>
      <c r="BC499" s="4" t="s">
        <v>124</v>
      </c>
      <c r="BD499" s="4" t="s">
        <v>124</v>
      </c>
      <c r="BE499" s="4" t="s">
        <v>124</v>
      </c>
      <c r="BF499" s="4" t="s">
        <v>124</v>
      </c>
      <c r="BG499" s="4" t="s">
        <v>124</v>
      </c>
      <c r="BH499" s="7">
        <v>0</v>
      </c>
      <c r="BI499" s="7">
        <v>1</v>
      </c>
      <c r="BJ499" s="7">
        <v>1</v>
      </c>
      <c r="BK499" s="7">
        <v>1</v>
      </c>
      <c r="BL499" s="7">
        <v>1</v>
      </c>
      <c r="BM499" s="7">
        <v>1</v>
      </c>
      <c r="BN499" s="7">
        <v>1</v>
      </c>
      <c r="BO499" s="7">
        <v>1</v>
      </c>
      <c r="BP499" s="7">
        <v>1</v>
      </c>
      <c r="BQ499" s="4" t="s">
        <v>124</v>
      </c>
      <c r="BR499" s="7">
        <v>0.12135899999999999</v>
      </c>
      <c r="BS499" s="7">
        <v>35.728155000000001</v>
      </c>
      <c r="BT499" s="7">
        <v>50</v>
      </c>
      <c r="BU499" s="7">
        <v>0.159722</v>
      </c>
      <c r="BV499" s="7">
        <v>28.055555999999999</v>
      </c>
      <c r="BW499" s="7">
        <v>50</v>
      </c>
      <c r="BX499" s="4" t="s">
        <v>124</v>
      </c>
      <c r="BY499" s="4" t="s">
        <v>124</v>
      </c>
      <c r="BZ499" s="4" t="s">
        <v>124</v>
      </c>
      <c r="CA499" s="4" t="s">
        <v>124</v>
      </c>
      <c r="CB499" s="4" t="s">
        <v>124</v>
      </c>
      <c r="CC499" s="4" t="s">
        <v>124</v>
      </c>
      <c r="CD499" s="4" t="s">
        <v>124</v>
      </c>
      <c r="CE499" s="4" t="s">
        <v>124</v>
      </c>
      <c r="CF499" s="4" t="s">
        <v>124</v>
      </c>
      <c r="CG499" s="4" t="s">
        <v>124</v>
      </c>
      <c r="CH499" s="4" t="s">
        <v>124</v>
      </c>
      <c r="CI499" s="4" t="s">
        <v>124</v>
      </c>
      <c r="CJ499" s="4" t="s">
        <v>124</v>
      </c>
      <c r="CK499" s="4" t="s">
        <v>124</v>
      </c>
      <c r="CL499" s="4" t="s">
        <v>124</v>
      </c>
      <c r="CM499" s="4" t="s">
        <v>124</v>
      </c>
      <c r="CN499" s="4" t="s">
        <v>124</v>
      </c>
      <c r="CO499" s="4" t="s">
        <v>124</v>
      </c>
      <c r="CP499" s="4" t="s">
        <v>124</v>
      </c>
      <c r="CQ499" s="7">
        <v>0.48275899999999999</v>
      </c>
      <c r="CR499" s="7">
        <v>1</v>
      </c>
      <c r="CS499" s="7">
        <v>32.183908000000002</v>
      </c>
      <c r="CT499" s="7">
        <v>50</v>
      </c>
      <c r="CU499" s="4" t="s">
        <v>124</v>
      </c>
      <c r="CV499" s="4" t="s">
        <v>124</v>
      </c>
      <c r="CW499" s="4" t="s">
        <v>124</v>
      </c>
      <c r="CX499" s="4" t="s">
        <v>124</v>
      </c>
      <c r="CY499" s="4" t="s">
        <v>124</v>
      </c>
      <c r="CZ499" s="4" t="s">
        <v>124</v>
      </c>
      <c r="DA499" s="7">
        <v>15.314097</v>
      </c>
      <c r="DB499" s="7">
        <v>17.400950000000002</v>
      </c>
      <c r="DC499" s="7">
        <v>16.332519999999999</v>
      </c>
      <c r="DD499" s="4" t="s">
        <v>124</v>
      </c>
      <c r="DE499" s="7">
        <v>1</v>
      </c>
      <c r="DF499" s="6"/>
      <c r="DG499" s="6"/>
      <c r="DH499" s="6"/>
      <c r="DI499" s="6"/>
      <c r="DJ499" s="7">
        <v>0</v>
      </c>
      <c r="DK499" s="7">
        <v>0</v>
      </c>
      <c r="DL499" s="7">
        <v>0</v>
      </c>
      <c r="DM499" s="7">
        <v>0</v>
      </c>
      <c r="DN499" s="7">
        <v>0</v>
      </c>
      <c r="DO499" s="7">
        <v>0</v>
      </c>
      <c r="DP499" s="6"/>
      <c r="DQ499" s="4" t="s">
        <v>125</v>
      </c>
    </row>
    <row r="500" spans="1:121" ht="20" customHeight="1" x14ac:dyDescent="0.15">
      <c r="A500" s="5">
        <v>2018</v>
      </c>
      <c r="B500" s="3" t="s">
        <v>286</v>
      </c>
      <c r="C500" s="4" t="str">
        <f t="shared" si="211"/>
        <v>0640011</v>
      </c>
      <c r="D500" s="4" t="s">
        <v>657</v>
      </c>
      <c r="E500" s="4" t="str">
        <f>"0643311"</f>
        <v>0643311</v>
      </c>
      <c r="F500" s="4" t="s">
        <v>327</v>
      </c>
      <c r="G500" s="4" t="s">
        <v>328</v>
      </c>
      <c r="H500" s="7">
        <v>8</v>
      </c>
      <c r="I500" s="4" t="s">
        <v>335</v>
      </c>
      <c r="J500" s="4" t="s">
        <v>330</v>
      </c>
      <c r="K500" s="7">
        <v>674.65142000000003</v>
      </c>
      <c r="L500" s="7">
        <v>1000</v>
      </c>
      <c r="M500" s="7">
        <v>67.465142</v>
      </c>
      <c r="N500" s="7">
        <v>3</v>
      </c>
      <c r="O500" s="7">
        <v>0</v>
      </c>
      <c r="P500" s="7">
        <v>64.377536000000006</v>
      </c>
      <c r="Q500" s="7">
        <v>42.918357</v>
      </c>
      <c r="R500" s="7">
        <v>50</v>
      </c>
      <c r="S500" s="7">
        <v>60.009540000000001</v>
      </c>
      <c r="T500" s="7">
        <v>75</v>
      </c>
      <c r="U500" s="7">
        <v>40.006360000000001</v>
      </c>
      <c r="V500" s="7">
        <v>50</v>
      </c>
      <c r="W500" s="7">
        <v>62.234431999999998</v>
      </c>
      <c r="X500" s="7">
        <v>41.489621</v>
      </c>
      <c r="Y500" s="7">
        <v>50</v>
      </c>
      <c r="Z500" s="7">
        <v>72.950460000000007</v>
      </c>
      <c r="AA500" s="7">
        <v>57.902419999999999</v>
      </c>
      <c r="AB500" s="7">
        <v>38.601613999999998</v>
      </c>
      <c r="AC500" s="7">
        <v>50</v>
      </c>
      <c r="AD500" s="7">
        <v>59.925984999999997</v>
      </c>
      <c r="AE500" s="7">
        <v>39.950657</v>
      </c>
      <c r="AF500" s="7">
        <v>50</v>
      </c>
      <c r="AG500" s="7">
        <v>55.655023999999997</v>
      </c>
      <c r="AH500" s="4" t="s">
        <v>124</v>
      </c>
      <c r="AI500" s="7">
        <v>37.103349000000001</v>
      </c>
      <c r="AJ500" s="7">
        <v>50</v>
      </c>
      <c r="AK500" s="7">
        <v>14.99</v>
      </c>
      <c r="AL500" s="7">
        <v>15.04</v>
      </c>
      <c r="AM500" s="4" t="s">
        <v>124</v>
      </c>
      <c r="AN500" s="7">
        <v>0.54646600000000001</v>
      </c>
      <c r="AO500" s="7">
        <v>54.646635000000003</v>
      </c>
      <c r="AP500" s="7">
        <v>100</v>
      </c>
      <c r="AQ500" s="7">
        <v>0.46713399999999999</v>
      </c>
      <c r="AR500" s="7">
        <v>46.713351000000003</v>
      </c>
      <c r="AS500" s="7">
        <v>100</v>
      </c>
      <c r="AT500" s="7">
        <v>0.51779900000000001</v>
      </c>
      <c r="AU500" s="7">
        <v>0.61688699999999996</v>
      </c>
      <c r="AV500" s="7">
        <v>51.779949999999999</v>
      </c>
      <c r="AW500" s="7">
        <v>100</v>
      </c>
      <c r="AX500" s="7">
        <v>0.44774999999999998</v>
      </c>
      <c r="AY500" s="7">
        <v>0.51580899999999996</v>
      </c>
      <c r="AZ500" s="7">
        <v>44.774956000000003</v>
      </c>
      <c r="BA500" s="7">
        <v>100</v>
      </c>
      <c r="BB500" s="7">
        <v>0.69110300000000002</v>
      </c>
      <c r="BC500" s="7">
        <v>34.555135</v>
      </c>
      <c r="BD500" s="7">
        <v>50</v>
      </c>
      <c r="BE500" s="7">
        <v>0.482178</v>
      </c>
      <c r="BF500" s="7">
        <v>24.108895</v>
      </c>
      <c r="BG500" s="7">
        <v>50</v>
      </c>
      <c r="BH500" s="7">
        <v>0</v>
      </c>
      <c r="BI500" s="7">
        <v>1</v>
      </c>
      <c r="BJ500" s="7">
        <v>1</v>
      </c>
      <c r="BK500" s="7">
        <v>1</v>
      </c>
      <c r="BL500" s="7">
        <v>1</v>
      </c>
      <c r="BM500" s="7">
        <v>1</v>
      </c>
      <c r="BN500" s="7">
        <v>1</v>
      </c>
      <c r="BO500" s="7">
        <v>1</v>
      </c>
      <c r="BP500" s="7">
        <v>1</v>
      </c>
      <c r="BQ500" s="4" t="s">
        <v>124</v>
      </c>
      <c r="BR500" s="7">
        <v>6.9766999999999996E-2</v>
      </c>
      <c r="BS500" s="7">
        <v>46.046512</v>
      </c>
      <c r="BT500" s="7">
        <v>50</v>
      </c>
      <c r="BU500" s="7">
        <v>7.7295000000000003E-2</v>
      </c>
      <c r="BV500" s="7">
        <v>44.541063000000001</v>
      </c>
      <c r="BW500" s="7">
        <v>50</v>
      </c>
      <c r="BX500" s="4" t="s">
        <v>124</v>
      </c>
      <c r="BY500" s="4" t="s">
        <v>124</v>
      </c>
      <c r="BZ500" s="4" t="s">
        <v>124</v>
      </c>
      <c r="CA500" s="4" t="s">
        <v>124</v>
      </c>
      <c r="CB500" s="4" t="s">
        <v>124</v>
      </c>
      <c r="CC500" s="4" t="s">
        <v>124</v>
      </c>
      <c r="CD500" s="7">
        <v>0.97142899999999999</v>
      </c>
      <c r="CE500" s="7">
        <v>50</v>
      </c>
      <c r="CF500" s="7">
        <v>50</v>
      </c>
      <c r="CG500" s="4" t="s">
        <v>124</v>
      </c>
      <c r="CH500" s="4" t="s">
        <v>124</v>
      </c>
      <c r="CI500" s="4" t="s">
        <v>124</v>
      </c>
      <c r="CJ500" s="4" t="s">
        <v>124</v>
      </c>
      <c r="CK500" s="4" t="s">
        <v>124</v>
      </c>
      <c r="CL500" s="4" t="s">
        <v>124</v>
      </c>
      <c r="CM500" s="4" t="s">
        <v>124</v>
      </c>
      <c r="CN500" s="4" t="s">
        <v>124</v>
      </c>
      <c r="CO500" s="4" t="s">
        <v>124</v>
      </c>
      <c r="CP500" s="4" t="s">
        <v>124</v>
      </c>
      <c r="CQ500" s="7">
        <v>0.56122399999999995</v>
      </c>
      <c r="CR500" s="7">
        <v>1</v>
      </c>
      <c r="CS500" s="7">
        <v>37.414966</v>
      </c>
      <c r="CT500" s="7">
        <v>50</v>
      </c>
      <c r="CU500" s="4" t="s">
        <v>124</v>
      </c>
      <c r="CV500" s="4" t="s">
        <v>124</v>
      </c>
      <c r="CW500" s="4" t="s">
        <v>124</v>
      </c>
      <c r="CX500" s="4" t="s">
        <v>124</v>
      </c>
      <c r="CY500" s="4" t="s">
        <v>124</v>
      </c>
      <c r="CZ500" s="4" t="s">
        <v>124</v>
      </c>
      <c r="DA500" s="7">
        <v>15.314097</v>
      </c>
      <c r="DB500" s="7">
        <v>17.400950000000002</v>
      </c>
      <c r="DC500" s="7">
        <v>16.332519999999999</v>
      </c>
      <c r="DD500" s="4" t="s">
        <v>124</v>
      </c>
      <c r="DE500" s="7">
        <v>0</v>
      </c>
      <c r="DF500" s="6"/>
      <c r="DG500" s="6"/>
      <c r="DH500" s="6"/>
      <c r="DI500" s="6"/>
      <c r="DJ500" s="7">
        <v>0</v>
      </c>
      <c r="DK500" s="7">
        <v>0</v>
      </c>
      <c r="DL500" s="7">
        <v>0</v>
      </c>
      <c r="DM500" s="7">
        <v>0</v>
      </c>
      <c r="DN500" s="7">
        <v>0</v>
      </c>
      <c r="DO500" s="7">
        <v>0</v>
      </c>
      <c r="DP500" s="6"/>
      <c r="DQ500" s="4" t="s">
        <v>125</v>
      </c>
    </row>
    <row r="501" spans="1:121" ht="20" customHeight="1" x14ac:dyDescent="0.15">
      <c r="A501" s="5">
        <v>2018</v>
      </c>
      <c r="B501" s="3" t="s">
        <v>286</v>
      </c>
      <c r="C501" s="4" t="str">
        <f t="shared" si="211"/>
        <v>0640011</v>
      </c>
      <c r="D501" s="4" t="s">
        <v>658</v>
      </c>
      <c r="E501" s="4" t="str">
        <f>"0647111"</f>
        <v>0647111</v>
      </c>
      <c r="F501" s="4" t="s">
        <v>327</v>
      </c>
      <c r="G501" s="7">
        <v>9</v>
      </c>
      <c r="H501" s="7">
        <v>12</v>
      </c>
      <c r="I501" s="4" t="s">
        <v>335</v>
      </c>
      <c r="J501" s="4" t="s">
        <v>330</v>
      </c>
      <c r="K501" s="7">
        <v>745.34722799999997</v>
      </c>
      <c r="L501" s="7">
        <v>1550</v>
      </c>
      <c r="M501" s="7">
        <v>48.086917999999997</v>
      </c>
      <c r="N501" s="7">
        <v>5</v>
      </c>
      <c r="O501" s="7">
        <v>0</v>
      </c>
      <c r="P501" s="7">
        <v>35.541328</v>
      </c>
      <c r="Q501" s="7">
        <v>71.082656</v>
      </c>
      <c r="R501" s="7">
        <v>150</v>
      </c>
      <c r="S501" s="7">
        <v>34.900303999999998</v>
      </c>
      <c r="T501" s="4" t="s">
        <v>124</v>
      </c>
      <c r="U501" s="7">
        <v>69.800608999999994</v>
      </c>
      <c r="V501" s="7">
        <v>150</v>
      </c>
      <c r="W501" s="7">
        <v>31.285907999999999</v>
      </c>
      <c r="X501" s="7">
        <v>62.571815999999998</v>
      </c>
      <c r="Y501" s="7">
        <v>150</v>
      </c>
      <c r="Z501" s="4" t="s">
        <v>124</v>
      </c>
      <c r="AA501" s="7">
        <v>31.175038000000001</v>
      </c>
      <c r="AB501" s="7">
        <v>62.350076000000001</v>
      </c>
      <c r="AC501" s="7">
        <v>150</v>
      </c>
      <c r="AD501" s="7">
        <v>35.005620999999998</v>
      </c>
      <c r="AE501" s="7">
        <v>46.674160999999998</v>
      </c>
      <c r="AF501" s="7">
        <v>100</v>
      </c>
      <c r="AG501" s="7">
        <v>34.173921999999997</v>
      </c>
      <c r="AH501" s="4" t="s">
        <v>124</v>
      </c>
      <c r="AI501" s="7">
        <v>45.56523</v>
      </c>
      <c r="AJ501" s="7">
        <v>100</v>
      </c>
      <c r="AK501" s="4" t="s">
        <v>124</v>
      </c>
      <c r="AL501" s="4" t="s">
        <v>124</v>
      </c>
      <c r="AM501" s="4" t="s">
        <v>124</v>
      </c>
      <c r="AN501" s="4" t="s">
        <v>124</v>
      </c>
      <c r="AO501" s="4" t="s">
        <v>124</v>
      </c>
      <c r="AP501" s="4" t="s">
        <v>124</v>
      </c>
      <c r="AQ501" s="4" t="s">
        <v>124</v>
      </c>
      <c r="AR501" s="4" t="s">
        <v>124</v>
      </c>
      <c r="AS501" s="4" t="s">
        <v>124</v>
      </c>
      <c r="AT501" s="4" t="s">
        <v>124</v>
      </c>
      <c r="AU501" s="4" t="s">
        <v>124</v>
      </c>
      <c r="AV501" s="4" t="s">
        <v>124</v>
      </c>
      <c r="AW501" s="4" t="s">
        <v>124</v>
      </c>
      <c r="AX501" s="4" t="s">
        <v>124</v>
      </c>
      <c r="AY501" s="4" t="s">
        <v>124</v>
      </c>
      <c r="AZ501" s="4" t="s">
        <v>124</v>
      </c>
      <c r="BA501" s="4" t="s">
        <v>124</v>
      </c>
      <c r="BB501" s="7">
        <v>0.346854</v>
      </c>
      <c r="BC501" s="7">
        <v>17.342687999999999</v>
      </c>
      <c r="BD501" s="7">
        <v>50</v>
      </c>
      <c r="BE501" s="7">
        <v>0.47458800000000001</v>
      </c>
      <c r="BF501" s="7">
        <v>23.729382000000001</v>
      </c>
      <c r="BG501" s="7">
        <v>50</v>
      </c>
      <c r="BH501" s="7">
        <v>1</v>
      </c>
      <c r="BI501" s="7">
        <v>0.86956500000000003</v>
      </c>
      <c r="BJ501" s="7">
        <v>0.88349500000000003</v>
      </c>
      <c r="BK501" s="4" t="s">
        <v>124</v>
      </c>
      <c r="BL501" s="7">
        <v>0.86956500000000003</v>
      </c>
      <c r="BM501" s="7">
        <v>0.88349500000000003</v>
      </c>
      <c r="BN501" s="4" t="s">
        <v>124</v>
      </c>
      <c r="BO501" s="7">
        <v>0.89743600000000001</v>
      </c>
      <c r="BP501" s="7">
        <v>0.91428600000000004</v>
      </c>
      <c r="BQ501" s="4" t="s">
        <v>124</v>
      </c>
      <c r="BR501" s="7">
        <v>0.56206900000000004</v>
      </c>
      <c r="BS501" s="7">
        <v>0</v>
      </c>
      <c r="BT501" s="7">
        <v>50</v>
      </c>
      <c r="BU501" s="7">
        <v>0.57168799999999997</v>
      </c>
      <c r="BV501" s="7">
        <v>0</v>
      </c>
      <c r="BW501" s="7">
        <v>50</v>
      </c>
      <c r="BX501" s="7">
        <v>0.58403400000000005</v>
      </c>
      <c r="BY501" s="7">
        <v>38.935574000000003</v>
      </c>
      <c r="BZ501" s="7">
        <v>50</v>
      </c>
      <c r="CA501" s="7">
        <v>7.1429000000000006E-2</v>
      </c>
      <c r="CB501" s="7">
        <v>4.7619049999999996</v>
      </c>
      <c r="CC501" s="7">
        <v>50</v>
      </c>
      <c r="CD501" s="7">
        <v>0.57526900000000003</v>
      </c>
      <c r="CE501" s="7">
        <v>30.599405000000001</v>
      </c>
      <c r="CF501" s="7">
        <v>50</v>
      </c>
      <c r="CG501" s="7">
        <v>0.56164400000000003</v>
      </c>
      <c r="CH501" s="7">
        <v>59.749344000000001</v>
      </c>
      <c r="CI501" s="7">
        <v>100</v>
      </c>
      <c r="CJ501" s="7">
        <v>0</v>
      </c>
      <c r="CK501" s="7">
        <v>0.8</v>
      </c>
      <c r="CL501" s="7">
        <v>85.106382999999994</v>
      </c>
      <c r="CM501" s="7">
        <v>100</v>
      </c>
      <c r="CN501" s="7">
        <v>0.44444400000000001</v>
      </c>
      <c r="CO501" s="7">
        <v>59.259259</v>
      </c>
      <c r="CP501" s="7">
        <v>100</v>
      </c>
      <c r="CQ501" s="7">
        <v>0.26728099999999999</v>
      </c>
      <c r="CR501" s="7">
        <v>1.3910260000000001</v>
      </c>
      <c r="CS501" s="7">
        <v>17.818739999999998</v>
      </c>
      <c r="CT501" s="7">
        <v>50</v>
      </c>
      <c r="CU501" s="7">
        <v>0.67069000000000001</v>
      </c>
      <c r="CV501" s="7">
        <v>50</v>
      </c>
      <c r="CW501" s="7">
        <v>50</v>
      </c>
      <c r="CX501" s="7">
        <v>0.8</v>
      </c>
      <c r="CY501" s="4" t="s">
        <v>124</v>
      </c>
      <c r="CZ501" s="4" t="s">
        <v>124</v>
      </c>
      <c r="DA501" s="7">
        <v>15.314097</v>
      </c>
      <c r="DB501" s="7">
        <v>17.400950000000002</v>
      </c>
      <c r="DC501" s="7">
        <v>16.332519999999999</v>
      </c>
      <c r="DD501" s="7">
        <v>7.9891730000000001</v>
      </c>
      <c r="DE501" s="7">
        <v>1</v>
      </c>
      <c r="DF501" s="4" t="s">
        <v>384</v>
      </c>
      <c r="DG501" s="4" t="s">
        <v>385</v>
      </c>
      <c r="DH501" s="6"/>
      <c r="DI501" s="6"/>
      <c r="DJ501" s="7">
        <v>0</v>
      </c>
      <c r="DK501" s="7">
        <v>0</v>
      </c>
      <c r="DL501" s="7">
        <v>0</v>
      </c>
      <c r="DM501" s="7">
        <v>0</v>
      </c>
      <c r="DN501" s="7">
        <v>0</v>
      </c>
      <c r="DO501" s="7">
        <v>0</v>
      </c>
      <c r="DP501" s="6"/>
      <c r="DQ501" s="4" t="s">
        <v>125</v>
      </c>
    </row>
    <row r="502" spans="1:121" ht="20" customHeight="1" x14ac:dyDescent="0.15">
      <c r="A502" s="5">
        <v>2018</v>
      </c>
      <c r="B502" s="3" t="s">
        <v>286</v>
      </c>
      <c r="C502" s="4" t="str">
        <f t="shared" si="211"/>
        <v>0640011</v>
      </c>
      <c r="D502" s="4" t="s">
        <v>659</v>
      </c>
      <c r="E502" s="4" t="str">
        <f>"0640611"</f>
        <v>0640611</v>
      </c>
      <c r="F502" s="4" t="s">
        <v>327</v>
      </c>
      <c r="G502" s="4" t="s">
        <v>328</v>
      </c>
      <c r="H502" s="7">
        <v>8</v>
      </c>
      <c r="I502" s="4" t="s">
        <v>335</v>
      </c>
      <c r="J502" s="4" t="s">
        <v>330</v>
      </c>
      <c r="K502" s="7">
        <v>489.07182299999999</v>
      </c>
      <c r="L502" s="7">
        <v>1000</v>
      </c>
      <c r="M502" s="7">
        <v>48.907181999999999</v>
      </c>
      <c r="N502" s="7">
        <v>5</v>
      </c>
      <c r="O502" s="7">
        <v>0</v>
      </c>
      <c r="P502" s="7">
        <v>40.616655000000002</v>
      </c>
      <c r="Q502" s="7">
        <v>27.077770000000001</v>
      </c>
      <c r="R502" s="7">
        <v>50</v>
      </c>
      <c r="S502" s="7">
        <v>39.968409000000001</v>
      </c>
      <c r="T502" s="4" t="s">
        <v>124</v>
      </c>
      <c r="U502" s="7">
        <v>26.645606000000001</v>
      </c>
      <c r="V502" s="7">
        <v>50</v>
      </c>
      <c r="W502" s="7">
        <v>37.075313000000001</v>
      </c>
      <c r="X502" s="7">
        <v>24.716875000000002</v>
      </c>
      <c r="Y502" s="7">
        <v>50</v>
      </c>
      <c r="Z502" s="4" t="s">
        <v>124</v>
      </c>
      <c r="AA502" s="7">
        <v>36.243487999999999</v>
      </c>
      <c r="AB502" s="7">
        <v>24.162324999999999</v>
      </c>
      <c r="AC502" s="7">
        <v>50</v>
      </c>
      <c r="AD502" s="7">
        <v>40.748942999999997</v>
      </c>
      <c r="AE502" s="7">
        <v>27.165962</v>
      </c>
      <c r="AF502" s="7">
        <v>50</v>
      </c>
      <c r="AG502" s="7">
        <v>40.453519999999997</v>
      </c>
      <c r="AH502" s="4" t="s">
        <v>124</v>
      </c>
      <c r="AI502" s="7">
        <v>26.969013</v>
      </c>
      <c r="AJ502" s="7">
        <v>50</v>
      </c>
      <c r="AK502" s="4" t="s">
        <v>124</v>
      </c>
      <c r="AL502" s="4" t="s">
        <v>124</v>
      </c>
      <c r="AM502" s="4" t="s">
        <v>124</v>
      </c>
      <c r="AN502" s="7">
        <v>0.49291200000000002</v>
      </c>
      <c r="AO502" s="7">
        <v>49.291229000000001</v>
      </c>
      <c r="AP502" s="7">
        <v>100</v>
      </c>
      <c r="AQ502" s="7">
        <v>0.53513699999999997</v>
      </c>
      <c r="AR502" s="7">
        <v>53.513660999999999</v>
      </c>
      <c r="AS502" s="7">
        <v>100</v>
      </c>
      <c r="AT502" s="7">
        <v>0.484846</v>
      </c>
      <c r="AU502" s="4" t="s">
        <v>124</v>
      </c>
      <c r="AV502" s="7">
        <v>48.484625999999999</v>
      </c>
      <c r="AW502" s="7">
        <v>100</v>
      </c>
      <c r="AX502" s="7">
        <v>0.52674799999999999</v>
      </c>
      <c r="AY502" s="4" t="s">
        <v>124</v>
      </c>
      <c r="AZ502" s="7">
        <v>52.674754999999998</v>
      </c>
      <c r="BA502" s="7">
        <v>100</v>
      </c>
      <c r="BB502" s="7">
        <v>0.59679800000000005</v>
      </c>
      <c r="BC502" s="7">
        <v>29.839908000000001</v>
      </c>
      <c r="BD502" s="7">
        <v>50</v>
      </c>
      <c r="BE502" s="7">
        <v>0.50267700000000004</v>
      </c>
      <c r="BF502" s="7">
        <v>25.133872</v>
      </c>
      <c r="BG502" s="7">
        <v>50</v>
      </c>
      <c r="BH502" s="7">
        <v>0</v>
      </c>
      <c r="BI502" s="7">
        <v>0.99373</v>
      </c>
      <c r="BJ502" s="7">
        <v>0.99333300000000002</v>
      </c>
      <c r="BK502" s="4" t="s">
        <v>124</v>
      </c>
      <c r="BL502" s="7">
        <v>0.98427699999999996</v>
      </c>
      <c r="BM502" s="7">
        <v>0.98327799999999999</v>
      </c>
      <c r="BN502" s="4" t="s">
        <v>124</v>
      </c>
      <c r="BO502" s="7">
        <v>0.97247700000000004</v>
      </c>
      <c r="BP502" s="7">
        <v>0.97115399999999996</v>
      </c>
      <c r="BQ502" s="4" t="s">
        <v>124</v>
      </c>
      <c r="BR502" s="7">
        <v>0.38043500000000002</v>
      </c>
      <c r="BS502" s="7">
        <v>0</v>
      </c>
      <c r="BT502" s="7">
        <v>50</v>
      </c>
      <c r="BU502" s="7">
        <v>0.37585400000000002</v>
      </c>
      <c r="BV502" s="7">
        <v>0</v>
      </c>
      <c r="BW502" s="7">
        <v>50</v>
      </c>
      <c r="BX502" s="4" t="s">
        <v>124</v>
      </c>
      <c r="BY502" s="4" t="s">
        <v>124</v>
      </c>
      <c r="BZ502" s="4" t="s">
        <v>124</v>
      </c>
      <c r="CA502" s="4" t="s">
        <v>124</v>
      </c>
      <c r="CB502" s="4" t="s">
        <v>124</v>
      </c>
      <c r="CC502" s="4" t="s">
        <v>124</v>
      </c>
      <c r="CD502" s="7">
        <v>0.71428599999999998</v>
      </c>
      <c r="CE502" s="7">
        <v>37.993921</v>
      </c>
      <c r="CF502" s="7">
        <v>50</v>
      </c>
      <c r="CG502" s="4" t="s">
        <v>124</v>
      </c>
      <c r="CH502" s="4" t="s">
        <v>124</v>
      </c>
      <c r="CI502" s="4" t="s">
        <v>124</v>
      </c>
      <c r="CJ502" s="4" t="s">
        <v>124</v>
      </c>
      <c r="CK502" s="4" t="s">
        <v>124</v>
      </c>
      <c r="CL502" s="4" t="s">
        <v>124</v>
      </c>
      <c r="CM502" s="4" t="s">
        <v>124</v>
      </c>
      <c r="CN502" s="4" t="s">
        <v>124</v>
      </c>
      <c r="CO502" s="4" t="s">
        <v>124</v>
      </c>
      <c r="CP502" s="4" t="s">
        <v>124</v>
      </c>
      <c r="CQ502" s="7">
        <v>0.53103400000000001</v>
      </c>
      <c r="CR502" s="7">
        <v>0.90625</v>
      </c>
      <c r="CS502" s="7">
        <v>35.402298999999999</v>
      </c>
      <c r="CT502" s="7">
        <v>50</v>
      </c>
      <c r="CU502" s="4" t="s">
        <v>124</v>
      </c>
      <c r="CV502" s="4" t="s">
        <v>124</v>
      </c>
      <c r="CW502" s="4" t="s">
        <v>124</v>
      </c>
      <c r="CX502" s="4" t="s">
        <v>124</v>
      </c>
      <c r="CY502" s="4" t="s">
        <v>124</v>
      </c>
      <c r="CZ502" s="4" t="s">
        <v>124</v>
      </c>
      <c r="DA502" s="7">
        <v>15.314097</v>
      </c>
      <c r="DB502" s="7">
        <v>17.400950000000002</v>
      </c>
      <c r="DC502" s="7">
        <v>16.332519999999999</v>
      </c>
      <c r="DD502" s="4" t="s">
        <v>124</v>
      </c>
      <c r="DE502" s="7">
        <v>0</v>
      </c>
      <c r="DF502" s="4" t="s">
        <v>375</v>
      </c>
      <c r="DG502" s="4" t="s">
        <v>376</v>
      </c>
      <c r="DH502" s="6"/>
      <c r="DI502" s="6"/>
      <c r="DJ502" s="7">
        <v>0</v>
      </c>
      <c r="DK502" s="7">
        <v>0</v>
      </c>
      <c r="DL502" s="7">
        <v>0</v>
      </c>
      <c r="DM502" s="7">
        <v>0</v>
      </c>
      <c r="DN502" s="7">
        <v>0</v>
      </c>
      <c r="DO502" s="7">
        <v>0</v>
      </c>
      <c r="DP502" s="6"/>
      <c r="DQ502" s="4" t="s">
        <v>125</v>
      </c>
    </row>
    <row r="503" spans="1:121" ht="20" customHeight="1" x14ac:dyDescent="0.15">
      <c r="A503" s="5">
        <v>2018</v>
      </c>
      <c r="B503" s="3" t="s">
        <v>286</v>
      </c>
      <c r="C503" s="4" t="str">
        <f t="shared" si="211"/>
        <v>0640011</v>
      </c>
      <c r="D503" s="4" t="s">
        <v>660</v>
      </c>
      <c r="E503" s="4" t="str">
        <f>"0642311"</f>
        <v>0642311</v>
      </c>
      <c r="F503" s="4" t="s">
        <v>327</v>
      </c>
      <c r="G503" s="4" t="s">
        <v>328</v>
      </c>
      <c r="H503" s="7">
        <v>8</v>
      </c>
      <c r="I503" s="4" t="s">
        <v>335</v>
      </c>
      <c r="J503" s="4" t="s">
        <v>330</v>
      </c>
      <c r="K503" s="7">
        <v>524.97421999999995</v>
      </c>
      <c r="L503" s="7">
        <v>1000</v>
      </c>
      <c r="M503" s="7">
        <v>52.497422</v>
      </c>
      <c r="N503" s="7">
        <v>5</v>
      </c>
      <c r="O503" s="7">
        <v>0</v>
      </c>
      <c r="P503" s="7">
        <v>45.031129</v>
      </c>
      <c r="Q503" s="7">
        <v>30.020752000000002</v>
      </c>
      <c r="R503" s="7">
        <v>50</v>
      </c>
      <c r="S503" s="7">
        <v>45.072392000000001</v>
      </c>
      <c r="T503" s="4" t="s">
        <v>124</v>
      </c>
      <c r="U503" s="7">
        <v>30.048261</v>
      </c>
      <c r="V503" s="7">
        <v>50</v>
      </c>
      <c r="W503" s="7">
        <v>40.796621000000002</v>
      </c>
      <c r="X503" s="7">
        <v>27.197747</v>
      </c>
      <c r="Y503" s="7">
        <v>50</v>
      </c>
      <c r="Z503" s="4" t="s">
        <v>124</v>
      </c>
      <c r="AA503" s="7">
        <v>40.832428999999998</v>
      </c>
      <c r="AB503" s="7">
        <v>27.221619</v>
      </c>
      <c r="AC503" s="7">
        <v>50</v>
      </c>
      <c r="AD503" s="7">
        <v>47.367213999999997</v>
      </c>
      <c r="AE503" s="7">
        <v>31.578142</v>
      </c>
      <c r="AF503" s="7">
        <v>50</v>
      </c>
      <c r="AG503" s="7">
        <v>47.367213999999997</v>
      </c>
      <c r="AH503" s="4" t="s">
        <v>124</v>
      </c>
      <c r="AI503" s="7">
        <v>31.578142</v>
      </c>
      <c r="AJ503" s="7">
        <v>50</v>
      </c>
      <c r="AK503" s="4" t="s">
        <v>124</v>
      </c>
      <c r="AL503" s="4" t="s">
        <v>124</v>
      </c>
      <c r="AM503" s="4" t="s">
        <v>124</v>
      </c>
      <c r="AN503" s="7">
        <v>0.49449599999999999</v>
      </c>
      <c r="AO503" s="7">
        <v>49.449609000000002</v>
      </c>
      <c r="AP503" s="7">
        <v>100</v>
      </c>
      <c r="AQ503" s="7">
        <v>0.44014300000000001</v>
      </c>
      <c r="AR503" s="7">
        <v>44.014335000000003</v>
      </c>
      <c r="AS503" s="7">
        <v>100</v>
      </c>
      <c r="AT503" s="7">
        <v>0.49648700000000001</v>
      </c>
      <c r="AU503" s="4" t="s">
        <v>124</v>
      </c>
      <c r="AV503" s="7">
        <v>49.648671999999998</v>
      </c>
      <c r="AW503" s="7">
        <v>100</v>
      </c>
      <c r="AX503" s="7">
        <v>0.44125199999999998</v>
      </c>
      <c r="AY503" s="4" t="s">
        <v>124</v>
      </c>
      <c r="AZ503" s="7">
        <v>44.125171000000002</v>
      </c>
      <c r="BA503" s="7">
        <v>100</v>
      </c>
      <c r="BB503" s="7">
        <v>0.43698300000000001</v>
      </c>
      <c r="BC503" s="7">
        <v>21.849167000000001</v>
      </c>
      <c r="BD503" s="7">
        <v>50</v>
      </c>
      <c r="BE503" s="7">
        <v>0.40250399999999997</v>
      </c>
      <c r="BF503" s="7">
        <v>20.125191999999998</v>
      </c>
      <c r="BG503" s="7">
        <v>50</v>
      </c>
      <c r="BH503" s="7">
        <v>0</v>
      </c>
      <c r="BI503" s="7">
        <v>1</v>
      </c>
      <c r="BJ503" s="7">
        <v>1</v>
      </c>
      <c r="BK503" s="4" t="s">
        <v>124</v>
      </c>
      <c r="BL503" s="7">
        <v>0.98952899999999999</v>
      </c>
      <c r="BM503" s="7">
        <v>0.988981</v>
      </c>
      <c r="BN503" s="4" t="s">
        <v>124</v>
      </c>
      <c r="BO503" s="7">
        <v>1</v>
      </c>
      <c r="BP503" s="7">
        <v>1</v>
      </c>
      <c r="BQ503" s="4" t="s">
        <v>124</v>
      </c>
      <c r="BR503" s="7">
        <v>0.22162200000000001</v>
      </c>
      <c r="BS503" s="7">
        <v>15.675675999999999</v>
      </c>
      <c r="BT503" s="7">
        <v>50</v>
      </c>
      <c r="BU503" s="7">
        <v>0.21892400000000001</v>
      </c>
      <c r="BV503" s="7">
        <v>16.215212999999999</v>
      </c>
      <c r="BW503" s="7">
        <v>50</v>
      </c>
      <c r="BX503" s="4" t="s">
        <v>124</v>
      </c>
      <c r="BY503" s="4" t="s">
        <v>124</v>
      </c>
      <c r="BZ503" s="4" t="s">
        <v>124</v>
      </c>
      <c r="CA503" s="4" t="s">
        <v>124</v>
      </c>
      <c r="CB503" s="4" t="s">
        <v>124</v>
      </c>
      <c r="CC503" s="4" t="s">
        <v>124</v>
      </c>
      <c r="CD503" s="7">
        <v>0.81132099999999996</v>
      </c>
      <c r="CE503" s="7">
        <v>43.155358999999997</v>
      </c>
      <c r="CF503" s="7">
        <v>50</v>
      </c>
      <c r="CG503" s="4" t="s">
        <v>124</v>
      </c>
      <c r="CH503" s="4" t="s">
        <v>124</v>
      </c>
      <c r="CI503" s="4" t="s">
        <v>124</v>
      </c>
      <c r="CJ503" s="4" t="s">
        <v>124</v>
      </c>
      <c r="CK503" s="4" t="s">
        <v>124</v>
      </c>
      <c r="CL503" s="4" t="s">
        <v>124</v>
      </c>
      <c r="CM503" s="4" t="s">
        <v>124</v>
      </c>
      <c r="CN503" s="4" t="s">
        <v>124</v>
      </c>
      <c r="CO503" s="4" t="s">
        <v>124</v>
      </c>
      <c r="CP503" s="4" t="s">
        <v>124</v>
      </c>
      <c r="CQ503" s="7">
        <v>0.64606699999999995</v>
      </c>
      <c r="CR503" s="7">
        <v>0.967391</v>
      </c>
      <c r="CS503" s="7">
        <v>43.071160999999996</v>
      </c>
      <c r="CT503" s="7">
        <v>50</v>
      </c>
      <c r="CU503" s="4" t="s">
        <v>124</v>
      </c>
      <c r="CV503" s="4" t="s">
        <v>124</v>
      </c>
      <c r="CW503" s="4" t="s">
        <v>124</v>
      </c>
      <c r="CX503" s="4" t="s">
        <v>124</v>
      </c>
      <c r="CY503" s="4" t="s">
        <v>124</v>
      </c>
      <c r="CZ503" s="4" t="s">
        <v>124</v>
      </c>
      <c r="DA503" s="7">
        <v>15.314097</v>
      </c>
      <c r="DB503" s="7">
        <v>17.400950000000002</v>
      </c>
      <c r="DC503" s="7">
        <v>16.332519999999999</v>
      </c>
      <c r="DD503" s="4" t="s">
        <v>124</v>
      </c>
      <c r="DE503" s="7">
        <v>0</v>
      </c>
      <c r="DF503" s="4" t="s">
        <v>375</v>
      </c>
      <c r="DG503" s="4" t="s">
        <v>376</v>
      </c>
      <c r="DH503" s="6"/>
      <c r="DI503" s="6"/>
      <c r="DJ503" s="7">
        <v>0</v>
      </c>
      <c r="DK503" s="7">
        <v>0</v>
      </c>
      <c r="DL503" s="7">
        <v>0</v>
      </c>
      <c r="DM503" s="7">
        <v>0</v>
      </c>
      <c r="DN503" s="7">
        <v>0</v>
      </c>
      <c r="DO503" s="7">
        <v>0</v>
      </c>
      <c r="DP503" s="6"/>
      <c r="DQ503" s="4" t="s">
        <v>125</v>
      </c>
    </row>
    <row r="504" spans="1:121" ht="20" customHeight="1" x14ac:dyDescent="0.15">
      <c r="A504" s="5">
        <v>2018</v>
      </c>
      <c r="B504" s="3" t="s">
        <v>286</v>
      </c>
      <c r="C504" s="4" t="str">
        <f t="shared" si="211"/>
        <v>0640011</v>
      </c>
      <c r="D504" s="4" t="s">
        <v>661</v>
      </c>
      <c r="E504" s="4" t="str">
        <f>"0643911"</f>
        <v>0643911</v>
      </c>
      <c r="F504" s="4" t="s">
        <v>327</v>
      </c>
      <c r="G504" s="7">
        <v>12</v>
      </c>
      <c r="H504" s="7">
        <v>12</v>
      </c>
      <c r="I504" s="4" t="s">
        <v>335</v>
      </c>
      <c r="J504" s="4" t="s">
        <v>330</v>
      </c>
      <c r="K504" s="7">
        <v>100</v>
      </c>
      <c r="L504" s="7">
        <v>100</v>
      </c>
      <c r="M504" s="7">
        <v>100</v>
      </c>
      <c r="N504" s="4" t="s">
        <v>124</v>
      </c>
      <c r="O504" s="4" t="s">
        <v>124</v>
      </c>
      <c r="P504" s="4" t="s">
        <v>124</v>
      </c>
      <c r="Q504" s="4" t="s">
        <v>124</v>
      </c>
      <c r="R504" s="4" t="s">
        <v>124</v>
      </c>
      <c r="S504" s="4" t="s">
        <v>124</v>
      </c>
      <c r="T504" s="4" t="s">
        <v>124</v>
      </c>
      <c r="U504" s="4" t="s">
        <v>124</v>
      </c>
      <c r="V504" s="4" t="s">
        <v>124</v>
      </c>
      <c r="W504" s="4" t="s">
        <v>124</v>
      </c>
      <c r="X504" s="4" t="s">
        <v>124</v>
      </c>
      <c r="Y504" s="4" t="s">
        <v>124</v>
      </c>
      <c r="Z504" s="4" t="s">
        <v>124</v>
      </c>
      <c r="AA504" s="4" t="s">
        <v>124</v>
      </c>
      <c r="AB504" s="4" t="s">
        <v>124</v>
      </c>
      <c r="AC504" s="4" t="s">
        <v>124</v>
      </c>
      <c r="AD504" s="4" t="s">
        <v>124</v>
      </c>
      <c r="AE504" s="4" t="s">
        <v>124</v>
      </c>
      <c r="AF504" s="4" t="s">
        <v>124</v>
      </c>
      <c r="AG504" s="4" t="s">
        <v>124</v>
      </c>
      <c r="AH504" s="4" t="s">
        <v>124</v>
      </c>
      <c r="AI504" s="4" t="s">
        <v>124</v>
      </c>
      <c r="AJ504" s="4" t="s">
        <v>124</v>
      </c>
      <c r="AK504" s="4" t="s">
        <v>124</v>
      </c>
      <c r="AL504" s="4" t="s">
        <v>124</v>
      </c>
      <c r="AM504" s="4" t="s">
        <v>124</v>
      </c>
      <c r="AN504" s="4" t="s">
        <v>124</v>
      </c>
      <c r="AO504" s="4" t="s">
        <v>124</v>
      </c>
      <c r="AP504" s="4" t="s">
        <v>124</v>
      </c>
      <c r="AQ504" s="4" t="s">
        <v>124</v>
      </c>
      <c r="AR504" s="4" t="s">
        <v>124</v>
      </c>
      <c r="AS504" s="4" t="s">
        <v>124</v>
      </c>
      <c r="AT504" s="4" t="s">
        <v>124</v>
      </c>
      <c r="AU504" s="4" t="s">
        <v>124</v>
      </c>
      <c r="AV504" s="4" t="s">
        <v>124</v>
      </c>
      <c r="AW504" s="4" t="s">
        <v>124</v>
      </c>
      <c r="AX504" s="4" t="s">
        <v>124</v>
      </c>
      <c r="AY504" s="4" t="s">
        <v>124</v>
      </c>
      <c r="AZ504" s="4" t="s">
        <v>124</v>
      </c>
      <c r="BA504" s="4" t="s">
        <v>124</v>
      </c>
      <c r="BB504" s="4" t="s">
        <v>124</v>
      </c>
      <c r="BC504" s="4" t="s">
        <v>124</v>
      </c>
      <c r="BD504" s="4" t="s">
        <v>124</v>
      </c>
      <c r="BE504" s="4" t="s">
        <v>124</v>
      </c>
      <c r="BF504" s="4" t="s">
        <v>124</v>
      </c>
      <c r="BG504" s="4" t="s">
        <v>124</v>
      </c>
      <c r="BH504" s="4" t="s">
        <v>124</v>
      </c>
      <c r="BI504" s="4" t="s">
        <v>124</v>
      </c>
      <c r="BJ504" s="4" t="s">
        <v>124</v>
      </c>
      <c r="BK504" s="4" t="s">
        <v>124</v>
      </c>
      <c r="BL504" s="4" t="s">
        <v>124</v>
      </c>
      <c r="BM504" s="4" t="s">
        <v>124</v>
      </c>
      <c r="BN504" s="4" t="s">
        <v>124</v>
      </c>
      <c r="BO504" s="4" t="s">
        <v>124</v>
      </c>
      <c r="BP504" s="4" t="s">
        <v>124</v>
      </c>
      <c r="BQ504" s="4" t="s">
        <v>124</v>
      </c>
      <c r="BR504" s="4" t="s">
        <v>124</v>
      </c>
      <c r="BS504" s="4" t="s">
        <v>124</v>
      </c>
      <c r="BT504" s="4" t="s">
        <v>124</v>
      </c>
      <c r="BU504" s="4" t="s">
        <v>124</v>
      </c>
      <c r="BV504" s="4" t="s">
        <v>124</v>
      </c>
      <c r="BW504" s="4" t="s">
        <v>124</v>
      </c>
      <c r="BX504" s="4" t="s">
        <v>124</v>
      </c>
      <c r="BY504" s="4" t="s">
        <v>124</v>
      </c>
      <c r="BZ504" s="4" t="s">
        <v>124</v>
      </c>
      <c r="CA504" s="4" t="s">
        <v>124</v>
      </c>
      <c r="CB504" s="4" t="s">
        <v>124</v>
      </c>
      <c r="CC504" s="4" t="s">
        <v>124</v>
      </c>
      <c r="CD504" s="4" t="s">
        <v>124</v>
      </c>
      <c r="CE504" s="4" t="s">
        <v>124</v>
      </c>
      <c r="CF504" s="4" t="s">
        <v>124</v>
      </c>
      <c r="CG504" s="4" t="s">
        <v>124</v>
      </c>
      <c r="CH504" s="4" t="s">
        <v>124</v>
      </c>
      <c r="CI504" s="4" t="s">
        <v>124</v>
      </c>
      <c r="CJ504" s="7">
        <v>0</v>
      </c>
      <c r="CK504" s="7">
        <v>0.95238100000000003</v>
      </c>
      <c r="CL504" s="7">
        <v>100</v>
      </c>
      <c r="CM504" s="7">
        <v>100</v>
      </c>
      <c r="CN504" s="4" t="s">
        <v>124</v>
      </c>
      <c r="CO504" s="4" t="s">
        <v>124</v>
      </c>
      <c r="CP504" s="4" t="s">
        <v>124</v>
      </c>
      <c r="CQ504" s="4" t="s">
        <v>124</v>
      </c>
      <c r="CR504" s="4" t="s">
        <v>124</v>
      </c>
      <c r="CS504" s="4" t="s">
        <v>124</v>
      </c>
      <c r="CT504" s="4" t="s">
        <v>124</v>
      </c>
      <c r="CU504" s="4" t="s">
        <v>124</v>
      </c>
      <c r="CV504" s="4" t="s">
        <v>124</v>
      </c>
      <c r="CW504" s="4" t="s">
        <v>124</v>
      </c>
      <c r="CX504" s="7">
        <v>0.95238100000000003</v>
      </c>
      <c r="CY504" s="4" t="s">
        <v>124</v>
      </c>
      <c r="CZ504" s="4" t="s">
        <v>124</v>
      </c>
      <c r="DA504" s="4" t="s">
        <v>124</v>
      </c>
      <c r="DB504" s="4" t="s">
        <v>124</v>
      </c>
      <c r="DC504" s="4" t="s">
        <v>124</v>
      </c>
      <c r="DD504" s="7">
        <v>7.9891730000000001</v>
      </c>
      <c r="DE504" s="4" t="s">
        <v>124</v>
      </c>
      <c r="DF504" s="6"/>
      <c r="DG504" s="6"/>
      <c r="DH504" s="6"/>
      <c r="DI504" s="6"/>
      <c r="DJ504" s="4" t="s">
        <v>124</v>
      </c>
      <c r="DK504" s="4" t="s">
        <v>124</v>
      </c>
      <c r="DL504" s="4" t="s">
        <v>124</v>
      </c>
      <c r="DM504" s="4" t="s">
        <v>124</v>
      </c>
      <c r="DN504" s="4" t="s">
        <v>124</v>
      </c>
      <c r="DO504" s="4" t="s">
        <v>124</v>
      </c>
      <c r="DP504" s="6"/>
      <c r="DQ504" s="4" t="s">
        <v>125</v>
      </c>
    </row>
    <row r="505" spans="1:121" ht="20" customHeight="1" x14ac:dyDescent="0.15">
      <c r="A505" s="5">
        <v>2018</v>
      </c>
      <c r="B505" s="3" t="s">
        <v>286</v>
      </c>
      <c r="C505" s="4" t="str">
        <f t="shared" si="211"/>
        <v>0640011</v>
      </c>
      <c r="D505" s="4" t="s">
        <v>662</v>
      </c>
      <c r="E505" s="4" t="str">
        <f>"0646911"</f>
        <v>0646911</v>
      </c>
      <c r="F505" s="4" t="s">
        <v>327</v>
      </c>
      <c r="G505" s="4" t="s">
        <v>328</v>
      </c>
      <c r="H505" s="7">
        <v>12</v>
      </c>
      <c r="I505" s="4" t="s">
        <v>335</v>
      </c>
      <c r="J505" s="4" t="s">
        <v>330</v>
      </c>
      <c r="K505" s="7">
        <v>864.11513100000002</v>
      </c>
      <c r="L505" s="7">
        <v>1350</v>
      </c>
      <c r="M505" s="7">
        <v>64.008527999999998</v>
      </c>
      <c r="N505" s="7">
        <v>3</v>
      </c>
      <c r="O505" s="7">
        <v>0</v>
      </c>
      <c r="P505" s="7">
        <v>49.488053999999998</v>
      </c>
      <c r="Q505" s="7">
        <v>32.992035999999999</v>
      </c>
      <c r="R505" s="7">
        <v>50</v>
      </c>
      <c r="S505" s="7">
        <v>47.327089999999998</v>
      </c>
      <c r="T505" s="7">
        <v>56.108147000000002</v>
      </c>
      <c r="U505" s="7">
        <v>31.551393999999998</v>
      </c>
      <c r="V505" s="7">
        <v>50</v>
      </c>
      <c r="W505" s="7">
        <v>45.337024999999997</v>
      </c>
      <c r="X505" s="7">
        <v>30.224682999999999</v>
      </c>
      <c r="Y505" s="7">
        <v>50</v>
      </c>
      <c r="Z505" s="7">
        <v>49.024760000000001</v>
      </c>
      <c r="AA505" s="7">
        <v>44.133256000000003</v>
      </c>
      <c r="AB505" s="7">
        <v>29.422170999999999</v>
      </c>
      <c r="AC505" s="7">
        <v>50</v>
      </c>
      <c r="AD505" s="7">
        <v>49.007717999999997</v>
      </c>
      <c r="AE505" s="7">
        <v>32.671812000000003</v>
      </c>
      <c r="AF505" s="7">
        <v>50</v>
      </c>
      <c r="AG505" s="7">
        <v>46.294288000000002</v>
      </c>
      <c r="AH505" s="7">
        <v>56.062634000000003</v>
      </c>
      <c r="AI505" s="7">
        <v>30.862859</v>
      </c>
      <c r="AJ505" s="7">
        <v>50</v>
      </c>
      <c r="AK505" s="7">
        <v>8.7799999999999994</v>
      </c>
      <c r="AL505" s="7">
        <v>4.8899999999999997</v>
      </c>
      <c r="AM505" s="7">
        <v>9.76</v>
      </c>
      <c r="AN505" s="7">
        <v>0.375303</v>
      </c>
      <c r="AO505" s="7">
        <v>37.530332000000001</v>
      </c>
      <c r="AP505" s="7">
        <v>100</v>
      </c>
      <c r="AQ505" s="7">
        <v>0.44418299999999999</v>
      </c>
      <c r="AR505" s="7">
        <v>44.418343999999998</v>
      </c>
      <c r="AS505" s="7">
        <v>100</v>
      </c>
      <c r="AT505" s="7">
        <v>0.39397100000000002</v>
      </c>
      <c r="AU505" s="7">
        <v>0.31891999999999998</v>
      </c>
      <c r="AV505" s="7">
        <v>39.397084999999997</v>
      </c>
      <c r="AW505" s="7">
        <v>100</v>
      </c>
      <c r="AX505" s="7">
        <v>0.462806</v>
      </c>
      <c r="AY505" s="7">
        <v>0.38793699999999998</v>
      </c>
      <c r="AZ505" s="7">
        <v>46.280549999999998</v>
      </c>
      <c r="BA505" s="7">
        <v>100</v>
      </c>
      <c r="BB505" s="7">
        <v>0.54397700000000004</v>
      </c>
      <c r="BC505" s="7">
        <v>27.198834000000002</v>
      </c>
      <c r="BD505" s="7">
        <v>50</v>
      </c>
      <c r="BE505" s="7">
        <v>0.50992800000000005</v>
      </c>
      <c r="BF505" s="7">
        <v>25.496410999999998</v>
      </c>
      <c r="BG505" s="7">
        <v>50</v>
      </c>
      <c r="BH505" s="7">
        <v>0</v>
      </c>
      <c r="BI505" s="7">
        <v>1</v>
      </c>
      <c r="BJ505" s="7">
        <v>1</v>
      </c>
      <c r="BK505" s="7">
        <v>1</v>
      </c>
      <c r="BL505" s="7">
        <v>1</v>
      </c>
      <c r="BM505" s="7">
        <v>1</v>
      </c>
      <c r="BN505" s="7">
        <v>1</v>
      </c>
      <c r="BO505" s="7">
        <v>1</v>
      </c>
      <c r="BP505" s="7">
        <v>1</v>
      </c>
      <c r="BQ505" s="7">
        <v>1</v>
      </c>
      <c r="BR505" s="7">
        <v>5.0632999999999997E-2</v>
      </c>
      <c r="BS505" s="7">
        <v>49.873418000000001</v>
      </c>
      <c r="BT505" s="7">
        <v>50</v>
      </c>
      <c r="BU505" s="7">
        <v>6.3361000000000001E-2</v>
      </c>
      <c r="BV505" s="7">
        <v>47.327824</v>
      </c>
      <c r="BW505" s="7">
        <v>50</v>
      </c>
      <c r="BX505" s="7">
        <v>0.64556999999999998</v>
      </c>
      <c r="BY505" s="7">
        <v>43.037975000000003</v>
      </c>
      <c r="BZ505" s="7">
        <v>50</v>
      </c>
      <c r="CA505" s="7">
        <v>0.126582</v>
      </c>
      <c r="CB505" s="7">
        <v>8.4388190000000005</v>
      </c>
      <c r="CC505" s="7">
        <v>50</v>
      </c>
      <c r="CD505" s="7">
        <v>0.97590399999999999</v>
      </c>
      <c r="CE505" s="7">
        <v>50</v>
      </c>
      <c r="CF505" s="7">
        <v>50</v>
      </c>
      <c r="CG505" s="7">
        <v>0.97959200000000002</v>
      </c>
      <c r="CH505" s="7">
        <v>100</v>
      </c>
      <c r="CI505" s="7">
        <v>100</v>
      </c>
      <c r="CJ505" s="7">
        <v>0</v>
      </c>
      <c r="CK505" s="4" t="s">
        <v>124</v>
      </c>
      <c r="CL505" s="4" t="s">
        <v>124</v>
      </c>
      <c r="CM505" s="4" t="s">
        <v>124</v>
      </c>
      <c r="CN505" s="7">
        <v>0.77083299999999999</v>
      </c>
      <c r="CO505" s="7">
        <v>100</v>
      </c>
      <c r="CP505" s="7">
        <v>100</v>
      </c>
      <c r="CQ505" s="7">
        <v>0.45405400000000001</v>
      </c>
      <c r="CR505" s="7">
        <v>1.1011899999999999</v>
      </c>
      <c r="CS505" s="7">
        <v>30.27027</v>
      </c>
      <c r="CT505" s="7">
        <v>50</v>
      </c>
      <c r="CU505" s="7">
        <v>0.32544400000000001</v>
      </c>
      <c r="CV505" s="7">
        <v>27.120315999999999</v>
      </c>
      <c r="CW505" s="7">
        <v>50</v>
      </c>
      <c r="CX505" s="4" t="s">
        <v>124</v>
      </c>
      <c r="CY505" s="4" t="s">
        <v>124</v>
      </c>
      <c r="CZ505" s="4" t="s">
        <v>124</v>
      </c>
      <c r="DA505" s="7">
        <v>15.314097</v>
      </c>
      <c r="DB505" s="7">
        <v>17.400950000000002</v>
      </c>
      <c r="DC505" s="7">
        <v>16.332519999999999</v>
      </c>
      <c r="DD505" s="7">
        <v>7.9891730000000001</v>
      </c>
      <c r="DE505" s="7">
        <v>0</v>
      </c>
      <c r="DF505" s="6"/>
      <c r="DG505" s="6"/>
      <c r="DH505" s="6"/>
      <c r="DI505" s="6"/>
      <c r="DJ505" s="7">
        <v>0</v>
      </c>
      <c r="DK505" s="7">
        <v>0</v>
      </c>
      <c r="DL505" s="7">
        <v>0</v>
      </c>
      <c r="DM505" s="7">
        <v>0</v>
      </c>
      <c r="DN505" s="7">
        <v>0</v>
      </c>
      <c r="DO505" s="7">
        <v>0</v>
      </c>
      <c r="DP505" s="6"/>
      <c r="DQ505" s="4" t="s">
        <v>125</v>
      </c>
    </row>
    <row r="506" spans="1:121" ht="20" customHeight="1" x14ac:dyDescent="0.15">
      <c r="A506" s="5">
        <v>2018</v>
      </c>
      <c r="B506" s="3" t="s">
        <v>286</v>
      </c>
      <c r="C506" s="4" t="str">
        <f t="shared" si="211"/>
        <v>0640011</v>
      </c>
      <c r="D506" s="4" t="s">
        <v>663</v>
      </c>
      <c r="E506" s="4" t="str">
        <f>"0646411"</f>
        <v>0646411</v>
      </c>
      <c r="F506" s="4" t="s">
        <v>327</v>
      </c>
      <c r="G506" s="7">
        <v>6</v>
      </c>
      <c r="H506" s="7">
        <v>12</v>
      </c>
      <c r="I506" s="4" t="s">
        <v>335</v>
      </c>
      <c r="J506" s="4" t="s">
        <v>330</v>
      </c>
      <c r="K506" s="7">
        <v>865.32394999999997</v>
      </c>
      <c r="L506" s="7">
        <v>1450</v>
      </c>
      <c r="M506" s="7">
        <v>59.677514000000002</v>
      </c>
      <c r="N506" s="7">
        <v>3</v>
      </c>
      <c r="O506" s="7">
        <v>1</v>
      </c>
      <c r="P506" s="7">
        <v>50.481986999999997</v>
      </c>
      <c r="Q506" s="7">
        <v>33.654657999999998</v>
      </c>
      <c r="R506" s="7">
        <v>50</v>
      </c>
      <c r="S506" s="7">
        <v>45.462473000000003</v>
      </c>
      <c r="T506" s="7">
        <v>62.194184999999997</v>
      </c>
      <c r="U506" s="7">
        <v>30.308315</v>
      </c>
      <c r="V506" s="7">
        <v>50</v>
      </c>
      <c r="W506" s="7">
        <v>42.861234000000003</v>
      </c>
      <c r="X506" s="7">
        <v>28.574155999999999</v>
      </c>
      <c r="Y506" s="7">
        <v>50</v>
      </c>
      <c r="Z506" s="7">
        <v>49.970970999999999</v>
      </c>
      <c r="AA506" s="7">
        <v>39.814205000000001</v>
      </c>
      <c r="AB506" s="7">
        <v>26.542802999999999</v>
      </c>
      <c r="AC506" s="7">
        <v>50</v>
      </c>
      <c r="AD506" s="7">
        <v>48.156838</v>
      </c>
      <c r="AE506" s="7">
        <v>32.104557999999997</v>
      </c>
      <c r="AF506" s="7">
        <v>50</v>
      </c>
      <c r="AG506" s="7">
        <v>45.836184000000003</v>
      </c>
      <c r="AH506" s="7">
        <v>52.545900000000003</v>
      </c>
      <c r="AI506" s="7">
        <v>30.557455999999998</v>
      </c>
      <c r="AJ506" s="7">
        <v>50</v>
      </c>
      <c r="AK506" s="7">
        <v>16.73</v>
      </c>
      <c r="AL506" s="7">
        <v>10.15</v>
      </c>
      <c r="AM506" s="7">
        <v>6.7</v>
      </c>
      <c r="AN506" s="7">
        <v>0.34745999999999999</v>
      </c>
      <c r="AO506" s="7">
        <v>34.746025000000003</v>
      </c>
      <c r="AP506" s="7">
        <v>100</v>
      </c>
      <c r="AQ506" s="7">
        <v>0.33587600000000001</v>
      </c>
      <c r="AR506" s="7">
        <v>33.587558000000001</v>
      </c>
      <c r="AS506" s="7">
        <v>100</v>
      </c>
      <c r="AT506" s="7">
        <v>0.32026100000000002</v>
      </c>
      <c r="AU506" s="7">
        <v>0.410777</v>
      </c>
      <c r="AV506" s="7">
        <v>32.026071000000002</v>
      </c>
      <c r="AW506" s="7">
        <v>100</v>
      </c>
      <c r="AX506" s="7">
        <v>0.30760700000000002</v>
      </c>
      <c r="AY506" s="7">
        <v>0.40168100000000001</v>
      </c>
      <c r="AZ506" s="7">
        <v>30.760707</v>
      </c>
      <c r="BA506" s="7">
        <v>100</v>
      </c>
      <c r="BB506" s="7">
        <v>0.58255900000000005</v>
      </c>
      <c r="BC506" s="7">
        <v>29.127970999999999</v>
      </c>
      <c r="BD506" s="7">
        <v>50</v>
      </c>
      <c r="BE506" s="7">
        <v>0.71263500000000002</v>
      </c>
      <c r="BF506" s="7">
        <v>35.631751000000001</v>
      </c>
      <c r="BG506" s="7">
        <v>50</v>
      </c>
      <c r="BH506" s="7">
        <v>0</v>
      </c>
      <c r="BI506" s="7">
        <v>0.98916999999999999</v>
      </c>
      <c r="BJ506" s="7">
        <v>0.98963699999999999</v>
      </c>
      <c r="BK506" s="7">
        <v>0.98809499999999995</v>
      </c>
      <c r="BL506" s="7">
        <v>0.98916999999999999</v>
      </c>
      <c r="BM506" s="7">
        <v>0.98963699999999999</v>
      </c>
      <c r="BN506" s="7">
        <v>0.98809499999999995</v>
      </c>
      <c r="BO506" s="7">
        <v>0.99264699999999995</v>
      </c>
      <c r="BP506" s="7">
        <v>0.98888900000000002</v>
      </c>
      <c r="BQ506" s="7">
        <v>1</v>
      </c>
      <c r="BR506" s="7">
        <v>0.157143</v>
      </c>
      <c r="BS506" s="7">
        <v>28.571428999999998</v>
      </c>
      <c r="BT506" s="7">
        <v>50</v>
      </c>
      <c r="BU506" s="7">
        <v>0.193548</v>
      </c>
      <c r="BV506" s="7">
        <v>21.290323000000001</v>
      </c>
      <c r="BW506" s="7">
        <v>50</v>
      </c>
      <c r="BX506" s="7">
        <v>0.19403000000000001</v>
      </c>
      <c r="BY506" s="7">
        <v>12.935323</v>
      </c>
      <c r="BZ506" s="7">
        <v>50</v>
      </c>
      <c r="CA506" s="7">
        <v>0.20149300000000001</v>
      </c>
      <c r="CB506" s="7">
        <v>13.432836</v>
      </c>
      <c r="CC506" s="7">
        <v>50</v>
      </c>
      <c r="CD506" s="7">
        <v>0.85</v>
      </c>
      <c r="CE506" s="7">
        <v>45.212766000000002</v>
      </c>
      <c r="CF506" s="7">
        <v>50</v>
      </c>
      <c r="CG506" s="7">
        <v>0.95890399999999998</v>
      </c>
      <c r="CH506" s="7">
        <v>100</v>
      </c>
      <c r="CI506" s="7">
        <v>100</v>
      </c>
      <c r="CJ506" s="7">
        <v>0</v>
      </c>
      <c r="CK506" s="7">
        <v>0.93616999999999995</v>
      </c>
      <c r="CL506" s="7">
        <v>99.592575999999994</v>
      </c>
      <c r="CM506" s="7">
        <v>100</v>
      </c>
      <c r="CN506" s="7">
        <v>0.77631600000000001</v>
      </c>
      <c r="CO506" s="7">
        <v>100</v>
      </c>
      <c r="CP506" s="7">
        <v>100</v>
      </c>
      <c r="CQ506" s="7">
        <v>0.25</v>
      </c>
      <c r="CR506" s="7">
        <v>1.19797</v>
      </c>
      <c r="CS506" s="7">
        <v>16.666667</v>
      </c>
      <c r="CT506" s="7">
        <v>50</v>
      </c>
      <c r="CU506" s="7">
        <v>0.74729199999999996</v>
      </c>
      <c r="CV506" s="7">
        <v>50</v>
      </c>
      <c r="CW506" s="7">
        <v>50</v>
      </c>
      <c r="CX506" s="7">
        <v>0.93616999999999995</v>
      </c>
      <c r="CY506" s="7">
        <v>0.94</v>
      </c>
      <c r="CZ506" s="7">
        <v>3.8300000000000001E-3</v>
      </c>
      <c r="DA506" s="7">
        <v>15.314097</v>
      </c>
      <c r="DB506" s="7">
        <v>17.400950000000002</v>
      </c>
      <c r="DC506" s="7">
        <v>16.332519999999999</v>
      </c>
      <c r="DD506" s="7">
        <v>7.9891730000000001</v>
      </c>
      <c r="DE506" s="7">
        <v>1</v>
      </c>
      <c r="DF506" s="6"/>
      <c r="DG506" s="6"/>
      <c r="DH506" s="6"/>
      <c r="DI506" s="6"/>
      <c r="DJ506" s="7">
        <v>0</v>
      </c>
      <c r="DK506" s="7">
        <v>0</v>
      </c>
      <c r="DL506" s="7">
        <v>0</v>
      </c>
      <c r="DM506" s="7">
        <v>0</v>
      </c>
      <c r="DN506" s="7">
        <v>0</v>
      </c>
      <c r="DO506" s="7">
        <v>0</v>
      </c>
      <c r="DP506" s="6"/>
      <c r="DQ506" s="4" t="s">
        <v>125</v>
      </c>
    </row>
    <row r="507" spans="1:121" ht="20" customHeight="1" x14ac:dyDescent="0.15">
      <c r="A507" s="5">
        <v>2018</v>
      </c>
      <c r="B507" s="3" t="s">
        <v>286</v>
      </c>
      <c r="C507" s="4" t="str">
        <f t="shared" si="211"/>
        <v>0640011</v>
      </c>
      <c r="D507" s="4" t="s">
        <v>664</v>
      </c>
      <c r="E507" s="4" t="str">
        <f>"0646011"</f>
        <v>0646011</v>
      </c>
      <c r="F507" s="4" t="s">
        <v>327</v>
      </c>
      <c r="G507" s="7">
        <v>10</v>
      </c>
      <c r="H507" s="7">
        <v>12</v>
      </c>
      <c r="I507" s="4" t="s">
        <v>335</v>
      </c>
      <c r="J507" s="4" t="s">
        <v>330</v>
      </c>
      <c r="K507" s="7">
        <v>191.34883500000001</v>
      </c>
      <c r="L507" s="7">
        <v>300</v>
      </c>
      <c r="M507" s="7">
        <v>63.782944999999998</v>
      </c>
      <c r="N507" s="7">
        <v>5</v>
      </c>
      <c r="O507" s="4" t="s">
        <v>124</v>
      </c>
      <c r="P507" s="4" t="s">
        <v>124</v>
      </c>
      <c r="Q507" s="4" t="s">
        <v>124</v>
      </c>
      <c r="R507" s="4" t="s">
        <v>124</v>
      </c>
      <c r="S507" s="4" t="s">
        <v>124</v>
      </c>
      <c r="T507" s="4" t="s">
        <v>124</v>
      </c>
      <c r="U507" s="4" t="s">
        <v>124</v>
      </c>
      <c r="V507" s="4" t="s">
        <v>124</v>
      </c>
      <c r="W507" s="4" t="s">
        <v>124</v>
      </c>
      <c r="X507" s="4" t="s">
        <v>124</v>
      </c>
      <c r="Y507" s="4" t="s">
        <v>124</v>
      </c>
      <c r="Z507" s="4" t="s">
        <v>124</v>
      </c>
      <c r="AA507" s="4" t="s">
        <v>124</v>
      </c>
      <c r="AB507" s="4" t="s">
        <v>124</v>
      </c>
      <c r="AC507" s="4" t="s">
        <v>124</v>
      </c>
      <c r="AD507" s="4" t="s">
        <v>124</v>
      </c>
      <c r="AE507" s="4" t="s">
        <v>124</v>
      </c>
      <c r="AF507" s="4" t="s">
        <v>124</v>
      </c>
      <c r="AG507" s="4" t="s">
        <v>124</v>
      </c>
      <c r="AH507" s="4" t="s">
        <v>124</v>
      </c>
      <c r="AI507" s="4" t="s">
        <v>124</v>
      </c>
      <c r="AJ507" s="4" t="s">
        <v>124</v>
      </c>
      <c r="AK507" s="4" t="s">
        <v>124</v>
      </c>
      <c r="AL507" s="4" t="s">
        <v>124</v>
      </c>
      <c r="AM507" s="4" t="s">
        <v>124</v>
      </c>
      <c r="AN507" s="4" t="s">
        <v>124</v>
      </c>
      <c r="AO507" s="4" t="s">
        <v>124</v>
      </c>
      <c r="AP507" s="4" t="s">
        <v>124</v>
      </c>
      <c r="AQ507" s="4" t="s">
        <v>124</v>
      </c>
      <c r="AR507" s="4" t="s">
        <v>124</v>
      </c>
      <c r="AS507" s="4" t="s">
        <v>124</v>
      </c>
      <c r="AT507" s="4" t="s">
        <v>124</v>
      </c>
      <c r="AU507" s="4" t="s">
        <v>124</v>
      </c>
      <c r="AV507" s="4" t="s">
        <v>124</v>
      </c>
      <c r="AW507" s="4" t="s">
        <v>124</v>
      </c>
      <c r="AX507" s="4" t="s">
        <v>124</v>
      </c>
      <c r="AY507" s="4" t="s">
        <v>124</v>
      </c>
      <c r="AZ507" s="4" t="s">
        <v>124</v>
      </c>
      <c r="BA507" s="4" t="s">
        <v>124</v>
      </c>
      <c r="BB507" s="4" t="s">
        <v>124</v>
      </c>
      <c r="BC507" s="4" t="s">
        <v>124</v>
      </c>
      <c r="BD507" s="4" t="s">
        <v>124</v>
      </c>
      <c r="BE507" s="4" t="s">
        <v>124</v>
      </c>
      <c r="BF507" s="4" t="s">
        <v>124</v>
      </c>
      <c r="BG507" s="4" t="s">
        <v>124</v>
      </c>
      <c r="BH507" s="7">
        <v>0</v>
      </c>
      <c r="BI507" s="4" t="s">
        <v>124</v>
      </c>
      <c r="BJ507" s="4" t="s">
        <v>124</v>
      </c>
      <c r="BK507" s="4" t="s">
        <v>124</v>
      </c>
      <c r="BL507" s="4" t="s">
        <v>124</v>
      </c>
      <c r="BM507" s="4" t="s">
        <v>124</v>
      </c>
      <c r="BN507" s="4" t="s">
        <v>124</v>
      </c>
      <c r="BO507" s="4" t="s">
        <v>124</v>
      </c>
      <c r="BP507" s="4" t="s">
        <v>124</v>
      </c>
      <c r="BQ507" s="4" t="s">
        <v>124</v>
      </c>
      <c r="BR507" s="4" t="s">
        <v>124</v>
      </c>
      <c r="BS507" s="4" t="s">
        <v>124</v>
      </c>
      <c r="BT507" s="4" t="s">
        <v>124</v>
      </c>
      <c r="BU507" s="4" t="s">
        <v>124</v>
      </c>
      <c r="BV507" s="4" t="s">
        <v>124</v>
      </c>
      <c r="BW507" s="4" t="s">
        <v>124</v>
      </c>
      <c r="BX507" s="4" t="s">
        <v>124</v>
      </c>
      <c r="BY507" s="4" t="s">
        <v>124</v>
      </c>
      <c r="BZ507" s="4" t="s">
        <v>124</v>
      </c>
      <c r="CA507" s="4" t="s">
        <v>124</v>
      </c>
      <c r="CB507" s="4" t="s">
        <v>124</v>
      </c>
      <c r="CC507" s="4" t="s">
        <v>124</v>
      </c>
      <c r="CD507" s="4" t="s">
        <v>124</v>
      </c>
      <c r="CE507" s="4" t="s">
        <v>124</v>
      </c>
      <c r="CF507" s="4" t="s">
        <v>124</v>
      </c>
      <c r="CG507" s="7">
        <v>0.735294</v>
      </c>
      <c r="CH507" s="7">
        <v>78.222778000000005</v>
      </c>
      <c r="CI507" s="7">
        <v>100</v>
      </c>
      <c r="CJ507" s="7">
        <v>0</v>
      </c>
      <c r="CK507" s="7">
        <v>0.65789500000000001</v>
      </c>
      <c r="CL507" s="7">
        <v>69.988802000000007</v>
      </c>
      <c r="CM507" s="7">
        <v>100</v>
      </c>
      <c r="CN507" s="7">
        <v>0.32352900000000001</v>
      </c>
      <c r="CO507" s="7">
        <v>43.137255000000003</v>
      </c>
      <c r="CP507" s="7">
        <v>100</v>
      </c>
      <c r="CQ507" s="4" t="s">
        <v>124</v>
      </c>
      <c r="CR507" s="4" t="s">
        <v>124</v>
      </c>
      <c r="CS507" s="4" t="s">
        <v>124</v>
      </c>
      <c r="CT507" s="4" t="s">
        <v>124</v>
      </c>
      <c r="CU507" s="4" t="s">
        <v>124</v>
      </c>
      <c r="CV507" s="4" t="s">
        <v>124</v>
      </c>
      <c r="CW507" s="4" t="s">
        <v>124</v>
      </c>
      <c r="CX507" s="7">
        <v>0.65789500000000001</v>
      </c>
      <c r="CY507" s="4" t="s">
        <v>124</v>
      </c>
      <c r="CZ507" s="4" t="s">
        <v>124</v>
      </c>
      <c r="DA507" s="4" t="s">
        <v>124</v>
      </c>
      <c r="DB507" s="4" t="s">
        <v>124</v>
      </c>
      <c r="DC507" s="4" t="s">
        <v>124</v>
      </c>
      <c r="DD507" s="7">
        <v>7.9891730000000001</v>
      </c>
      <c r="DE507" s="7">
        <v>0</v>
      </c>
      <c r="DF507" s="4" t="s">
        <v>384</v>
      </c>
      <c r="DG507" s="4" t="s">
        <v>385</v>
      </c>
      <c r="DH507" s="6"/>
      <c r="DI507" s="6"/>
      <c r="DJ507" s="7">
        <v>0</v>
      </c>
      <c r="DK507" s="7">
        <v>0</v>
      </c>
      <c r="DL507" s="7">
        <v>0</v>
      </c>
      <c r="DM507" s="7">
        <v>0</v>
      </c>
      <c r="DN507" s="7">
        <v>0</v>
      </c>
      <c r="DO507" s="7">
        <v>0</v>
      </c>
      <c r="DP507" s="6"/>
      <c r="DQ507" s="4" t="s">
        <v>125</v>
      </c>
    </row>
    <row r="508" spans="1:121" ht="20" customHeight="1" x14ac:dyDescent="0.15">
      <c r="A508" s="5">
        <v>2018</v>
      </c>
      <c r="B508" s="3" t="s">
        <v>286</v>
      </c>
      <c r="C508" s="4" t="str">
        <f t="shared" si="211"/>
        <v>0640011</v>
      </c>
      <c r="D508" s="4" t="s">
        <v>665</v>
      </c>
      <c r="E508" s="4" t="str">
        <f>"0640711"</f>
        <v>0640711</v>
      </c>
      <c r="F508" s="4" t="s">
        <v>327</v>
      </c>
      <c r="G508" s="4" t="s">
        <v>328</v>
      </c>
      <c r="H508" s="7">
        <v>8</v>
      </c>
      <c r="I508" s="4" t="s">
        <v>335</v>
      </c>
      <c r="J508" s="4" t="s">
        <v>330</v>
      </c>
      <c r="K508" s="7">
        <v>465.907332</v>
      </c>
      <c r="L508" s="7">
        <v>1000</v>
      </c>
      <c r="M508" s="7">
        <v>46.590733</v>
      </c>
      <c r="N508" s="7">
        <v>5</v>
      </c>
      <c r="O508" s="7">
        <v>0</v>
      </c>
      <c r="P508" s="7">
        <v>48.692849000000002</v>
      </c>
      <c r="Q508" s="7">
        <v>32.461899000000003</v>
      </c>
      <c r="R508" s="7">
        <v>50</v>
      </c>
      <c r="S508" s="7">
        <v>48.482757999999997</v>
      </c>
      <c r="T508" s="4" t="s">
        <v>124</v>
      </c>
      <c r="U508" s="7">
        <v>32.321838</v>
      </c>
      <c r="V508" s="7">
        <v>50</v>
      </c>
      <c r="W508" s="7">
        <v>39.903100000000002</v>
      </c>
      <c r="X508" s="7">
        <v>26.602066000000001</v>
      </c>
      <c r="Y508" s="7">
        <v>50</v>
      </c>
      <c r="Z508" s="4" t="s">
        <v>124</v>
      </c>
      <c r="AA508" s="7">
        <v>39.424059</v>
      </c>
      <c r="AB508" s="7">
        <v>26.282706000000001</v>
      </c>
      <c r="AC508" s="7">
        <v>50</v>
      </c>
      <c r="AD508" s="7">
        <v>45.210090000000001</v>
      </c>
      <c r="AE508" s="7">
        <v>30.140059999999998</v>
      </c>
      <c r="AF508" s="7">
        <v>50</v>
      </c>
      <c r="AG508" s="7">
        <v>44.770564999999998</v>
      </c>
      <c r="AH508" s="4" t="s">
        <v>124</v>
      </c>
      <c r="AI508" s="7">
        <v>29.847042999999999</v>
      </c>
      <c r="AJ508" s="7">
        <v>50</v>
      </c>
      <c r="AK508" s="4" t="s">
        <v>124</v>
      </c>
      <c r="AL508" s="4" t="s">
        <v>124</v>
      </c>
      <c r="AM508" s="4" t="s">
        <v>124</v>
      </c>
      <c r="AN508" s="7">
        <v>0.506965</v>
      </c>
      <c r="AO508" s="7">
        <v>50.696463999999999</v>
      </c>
      <c r="AP508" s="7">
        <v>100</v>
      </c>
      <c r="AQ508" s="7">
        <v>0.44956200000000002</v>
      </c>
      <c r="AR508" s="7">
        <v>44.956166000000003</v>
      </c>
      <c r="AS508" s="7">
        <v>100</v>
      </c>
      <c r="AT508" s="7">
        <v>0.50823200000000002</v>
      </c>
      <c r="AU508" s="4" t="s">
        <v>124</v>
      </c>
      <c r="AV508" s="7">
        <v>50.823177999999999</v>
      </c>
      <c r="AW508" s="7">
        <v>100</v>
      </c>
      <c r="AX508" s="7">
        <v>0.44633200000000001</v>
      </c>
      <c r="AY508" s="4" t="s">
        <v>124</v>
      </c>
      <c r="AZ508" s="7">
        <v>44.633203999999999</v>
      </c>
      <c r="BA508" s="7">
        <v>100</v>
      </c>
      <c r="BB508" s="7">
        <v>0.50561800000000001</v>
      </c>
      <c r="BC508" s="7">
        <v>25.280915</v>
      </c>
      <c r="BD508" s="7">
        <v>50</v>
      </c>
      <c r="BE508" s="7">
        <v>0.42430600000000002</v>
      </c>
      <c r="BF508" s="7">
        <v>21.215274999999998</v>
      </c>
      <c r="BG508" s="7">
        <v>50</v>
      </c>
      <c r="BH508" s="7">
        <v>0</v>
      </c>
      <c r="BI508" s="7">
        <v>0.98960999999999999</v>
      </c>
      <c r="BJ508" s="7">
        <v>0.99154900000000001</v>
      </c>
      <c r="BK508" s="7">
        <v>0.96666700000000005</v>
      </c>
      <c r="BL508" s="7">
        <v>0.98162700000000003</v>
      </c>
      <c r="BM508" s="7">
        <v>0.98290599999999995</v>
      </c>
      <c r="BN508" s="7">
        <v>0.96666700000000005</v>
      </c>
      <c r="BO508" s="7">
        <v>0.99218799999999996</v>
      </c>
      <c r="BP508" s="7">
        <v>0.99152499999999999</v>
      </c>
      <c r="BQ508" s="4" t="s">
        <v>124</v>
      </c>
      <c r="BR508" s="7">
        <v>0.30487799999999998</v>
      </c>
      <c r="BS508" s="7">
        <v>0</v>
      </c>
      <c r="BT508" s="7">
        <v>50</v>
      </c>
      <c r="BU508" s="7">
        <v>0.31501800000000002</v>
      </c>
      <c r="BV508" s="7">
        <v>0</v>
      </c>
      <c r="BW508" s="7">
        <v>50</v>
      </c>
      <c r="BX508" s="4" t="s">
        <v>124</v>
      </c>
      <c r="BY508" s="4" t="s">
        <v>124</v>
      </c>
      <c r="BZ508" s="4" t="s">
        <v>124</v>
      </c>
      <c r="CA508" s="4" t="s">
        <v>124</v>
      </c>
      <c r="CB508" s="4" t="s">
        <v>124</v>
      </c>
      <c r="CC508" s="4" t="s">
        <v>124</v>
      </c>
      <c r="CD508" s="7">
        <v>0.77551000000000003</v>
      </c>
      <c r="CE508" s="7">
        <v>41.250543</v>
      </c>
      <c r="CF508" s="7">
        <v>50</v>
      </c>
      <c r="CG508" s="4" t="s">
        <v>124</v>
      </c>
      <c r="CH508" s="4" t="s">
        <v>124</v>
      </c>
      <c r="CI508" s="4" t="s">
        <v>124</v>
      </c>
      <c r="CJ508" s="4" t="s">
        <v>124</v>
      </c>
      <c r="CK508" s="4" t="s">
        <v>124</v>
      </c>
      <c r="CL508" s="4" t="s">
        <v>124</v>
      </c>
      <c r="CM508" s="4" t="s">
        <v>124</v>
      </c>
      <c r="CN508" s="4" t="s">
        <v>124</v>
      </c>
      <c r="CO508" s="4" t="s">
        <v>124</v>
      </c>
      <c r="CP508" s="4" t="s">
        <v>124</v>
      </c>
      <c r="CQ508" s="7">
        <v>0.14094000000000001</v>
      </c>
      <c r="CR508" s="7">
        <v>0.96753199999999995</v>
      </c>
      <c r="CS508" s="7">
        <v>9.3959729999999997</v>
      </c>
      <c r="CT508" s="7">
        <v>50</v>
      </c>
      <c r="CU508" s="4" t="s">
        <v>124</v>
      </c>
      <c r="CV508" s="4" t="s">
        <v>124</v>
      </c>
      <c r="CW508" s="4" t="s">
        <v>124</v>
      </c>
      <c r="CX508" s="4" t="s">
        <v>124</v>
      </c>
      <c r="CY508" s="4" t="s">
        <v>124</v>
      </c>
      <c r="CZ508" s="4" t="s">
        <v>124</v>
      </c>
      <c r="DA508" s="7">
        <v>15.314097</v>
      </c>
      <c r="DB508" s="7">
        <v>17.400950000000002</v>
      </c>
      <c r="DC508" s="7">
        <v>16.332519999999999</v>
      </c>
      <c r="DD508" s="4" t="s">
        <v>124</v>
      </c>
      <c r="DE508" s="7">
        <v>0</v>
      </c>
      <c r="DF508" s="4" t="s">
        <v>375</v>
      </c>
      <c r="DG508" s="4" t="s">
        <v>376</v>
      </c>
      <c r="DH508" s="6"/>
      <c r="DI508" s="6"/>
      <c r="DJ508" s="7">
        <v>0</v>
      </c>
      <c r="DK508" s="7">
        <v>0</v>
      </c>
      <c r="DL508" s="7">
        <v>0</v>
      </c>
      <c r="DM508" s="7">
        <v>0</v>
      </c>
      <c r="DN508" s="7">
        <v>0</v>
      </c>
      <c r="DO508" s="7">
        <v>0</v>
      </c>
      <c r="DP508" s="6"/>
      <c r="DQ508" s="4" t="s">
        <v>125</v>
      </c>
    </row>
    <row r="509" spans="1:121" ht="20" customHeight="1" x14ac:dyDescent="0.15">
      <c r="A509" s="5">
        <v>2018</v>
      </c>
      <c r="B509" s="3" t="s">
        <v>286</v>
      </c>
      <c r="C509" s="4" t="str">
        <f t="shared" si="211"/>
        <v>0640011</v>
      </c>
      <c r="D509" s="4" t="s">
        <v>666</v>
      </c>
      <c r="E509" s="4" t="str">
        <f>"0640911"</f>
        <v>0640911</v>
      </c>
      <c r="F509" s="4" t="s">
        <v>327</v>
      </c>
      <c r="G509" s="4" t="s">
        <v>328</v>
      </c>
      <c r="H509" s="7">
        <v>8</v>
      </c>
      <c r="I509" s="4" t="s">
        <v>335</v>
      </c>
      <c r="J509" s="4" t="s">
        <v>330</v>
      </c>
      <c r="K509" s="7">
        <v>693.94064300000002</v>
      </c>
      <c r="L509" s="7">
        <v>1000</v>
      </c>
      <c r="M509" s="7">
        <v>69.394064</v>
      </c>
      <c r="N509" s="7">
        <v>3</v>
      </c>
      <c r="O509" s="7">
        <v>0</v>
      </c>
      <c r="P509" s="7">
        <v>63.255288</v>
      </c>
      <c r="Q509" s="7">
        <v>42.170192</v>
      </c>
      <c r="R509" s="7">
        <v>50</v>
      </c>
      <c r="S509" s="7">
        <v>61.944876000000001</v>
      </c>
      <c r="T509" s="7">
        <v>72.771381000000005</v>
      </c>
      <c r="U509" s="7">
        <v>41.296584000000003</v>
      </c>
      <c r="V509" s="7">
        <v>50</v>
      </c>
      <c r="W509" s="7">
        <v>58.479804999999999</v>
      </c>
      <c r="X509" s="7">
        <v>38.986536000000001</v>
      </c>
      <c r="Y509" s="7">
        <v>50</v>
      </c>
      <c r="Z509" s="7">
        <v>68.251945000000006</v>
      </c>
      <c r="AA509" s="7">
        <v>57.129705999999999</v>
      </c>
      <c r="AB509" s="7">
        <v>38.086471000000003</v>
      </c>
      <c r="AC509" s="7">
        <v>50</v>
      </c>
      <c r="AD509" s="7">
        <v>64.409777000000005</v>
      </c>
      <c r="AE509" s="7">
        <v>42.939850999999997</v>
      </c>
      <c r="AF509" s="7">
        <v>50</v>
      </c>
      <c r="AG509" s="7">
        <v>62.576089000000003</v>
      </c>
      <c r="AH509" s="4" t="s">
        <v>124</v>
      </c>
      <c r="AI509" s="7">
        <v>41.717393000000001</v>
      </c>
      <c r="AJ509" s="7">
        <v>50</v>
      </c>
      <c r="AK509" s="7">
        <v>10.82</v>
      </c>
      <c r="AL509" s="7">
        <v>11.12</v>
      </c>
      <c r="AM509" s="4" t="s">
        <v>124</v>
      </c>
      <c r="AN509" s="7">
        <v>0.59426699999999999</v>
      </c>
      <c r="AO509" s="7">
        <v>59.426698000000002</v>
      </c>
      <c r="AP509" s="7">
        <v>100</v>
      </c>
      <c r="AQ509" s="7">
        <v>0.54670799999999997</v>
      </c>
      <c r="AR509" s="7">
        <v>54.670755</v>
      </c>
      <c r="AS509" s="7">
        <v>100</v>
      </c>
      <c r="AT509" s="7">
        <v>0.58620899999999998</v>
      </c>
      <c r="AU509" s="7">
        <v>0.65950699999999995</v>
      </c>
      <c r="AV509" s="7">
        <v>58.620947999999999</v>
      </c>
      <c r="AW509" s="7">
        <v>100</v>
      </c>
      <c r="AX509" s="7">
        <v>0.523285</v>
      </c>
      <c r="AY509" s="7">
        <v>0.73635499999999998</v>
      </c>
      <c r="AZ509" s="7">
        <v>52.328494999999997</v>
      </c>
      <c r="BA509" s="7">
        <v>100</v>
      </c>
      <c r="BB509" s="7">
        <v>0.57494800000000001</v>
      </c>
      <c r="BC509" s="7">
        <v>28.747415</v>
      </c>
      <c r="BD509" s="7">
        <v>50</v>
      </c>
      <c r="BE509" s="7">
        <v>0.497137</v>
      </c>
      <c r="BF509" s="7">
        <v>24.856828</v>
      </c>
      <c r="BG509" s="7">
        <v>50</v>
      </c>
      <c r="BH509" s="7">
        <v>0</v>
      </c>
      <c r="BI509" s="7">
        <v>0.99426899999999996</v>
      </c>
      <c r="BJ509" s="7">
        <v>0.99348499999999995</v>
      </c>
      <c r="BK509" s="7">
        <v>1</v>
      </c>
      <c r="BL509" s="7">
        <v>0.99140399999999995</v>
      </c>
      <c r="BM509" s="7">
        <v>0.990228</v>
      </c>
      <c r="BN509" s="7">
        <v>1</v>
      </c>
      <c r="BO509" s="7">
        <v>0.98260899999999995</v>
      </c>
      <c r="BP509" s="7">
        <v>0.981132</v>
      </c>
      <c r="BQ509" s="4" t="s">
        <v>124</v>
      </c>
      <c r="BR509" s="7">
        <v>0.111954</v>
      </c>
      <c r="BS509" s="7">
        <v>37.609107999999999</v>
      </c>
      <c r="BT509" s="7">
        <v>50</v>
      </c>
      <c r="BU509" s="7">
        <v>0.118203</v>
      </c>
      <c r="BV509" s="7">
        <v>36.359338000000001</v>
      </c>
      <c r="BW509" s="7">
        <v>50</v>
      </c>
      <c r="BX509" s="4" t="s">
        <v>124</v>
      </c>
      <c r="BY509" s="4" t="s">
        <v>124</v>
      </c>
      <c r="BZ509" s="4" t="s">
        <v>124</v>
      </c>
      <c r="CA509" s="4" t="s">
        <v>124</v>
      </c>
      <c r="CB509" s="4" t="s">
        <v>124</v>
      </c>
      <c r="CC509" s="4" t="s">
        <v>124</v>
      </c>
      <c r="CD509" s="7">
        <v>0.96428599999999998</v>
      </c>
      <c r="CE509" s="7">
        <v>50</v>
      </c>
      <c r="CF509" s="7">
        <v>50</v>
      </c>
      <c r="CG509" s="4" t="s">
        <v>124</v>
      </c>
      <c r="CH509" s="4" t="s">
        <v>124</v>
      </c>
      <c r="CI509" s="4" t="s">
        <v>124</v>
      </c>
      <c r="CJ509" s="4" t="s">
        <v>124</v>
      </c>
      <c r="CK509" s="4" t="s">
        <v>124</v>
      </c>
      <c r="CL509" s="4" t="s">
        <v>124</v>
      </c>
      <c r="CM509" s="4" t="s">
        <v>124</v>
      </c>
      <c r="CN509" s="4" t="s">
        <v>124</v>
      </c>
      <c r="CO509" s="4" t="s">
        <v>124</v>
      </c>
      <c r="CP509" s="4" t="s">
        <v>124</v>
      </c>
      <c r="CQ509" s="7">
        <v>0.69186000000000003</v>
      </c>
      <c r="CR509" s="7">
        <v>0.99421999999999999</v>
      </c>
      <c r="CS509" s="7">
        <v>46.124031000000002</v>
      </c>
      <c r="CT509" s="7">
        <v>50</v>
      </c>
      <c r="CU509" s="4" t="s">
        <v>124</v>
      </c>
      <c r="CV509" s="4" t="s">
        <v>124</v>
      </c>
      <c r="CW509" s="4" t="s">
        <v>124</v>
      </c>
      <c r="CX509" s="4" t="s">
        <v>124</v>
      </c>
      <c r="CY509" s="4" t="s">
        <v>124</v>
      </c>
      <c r="CZ509" s="4" t="s">
        <v>124</v>
      </c>
      <c r="DA509" s="7">
        <v>15.314097</v>
      </c>
      <c r="DB509" s="7">
        <v>17.400950000000002</v>
      </c>
      <c r="DC509" s="7">
        <v>16.332519999999999</v>
      </c>
      <c r="DD509" s="4" t="s">
        <v>124</v>
      </c>
      <c r="DE509" s="7">
        <v>0</v>
      </c>
      <c r="DF509" s="6"/>
      <c r="DG509" s="6"/>
      <c r="DH509" s="6"/>
      <c r="DI509" s="6"/>
      <c r="DJ509" s="7">
        <v>0</v>
      </c>
      <c r="DK509" s="7">
        <v>0</v>
      </c>
      <c r="DL509" s="7">
        <v>0</v>
      </c>
      <c r="DM509" s="7">
        <v>0</v>
      </c>
      <c r="DN509" s="7">
        <v>0</v>
      </c>
      <c r="DO509" s="7">
        <v>0</v>
      </c>
      <c r="DP509" s="6"/>
      <c r="DQ509" s="4" t="s">
        <v>125</v>
      </c>
    </row>
    <row r="510" spans="1:121" ht="20" customHeight="1" x14ac:dyDescent="0.15">
      <c r="A510" s="5">
        <v>2018</v>
      </c>
      <c r="B510" s="3" t="s">
        <v>286</v>
      </c>
      <c r="C510" s="4" t="str">
        <f t="shared" si="211"/>
        <v>0640011</v>
      </c>
      <c r="D510" s="4" t="s">
        <v>667</v>
      </c>
      <c r="E510" s="4" t="str">
        <f>"0643211"</f>
        <v>0643211</v>
      </c>
      <c r="F510" s="4" t="s">
        <v>327</v>
      </c>
      <c r="G510" s="4" t="s">
        <v>328</v>
      </c>
      <c r="H510" s="7">
        <v>5</v>
      </c>
      <c r="I510" s="4" t="s">
        <v>335</v>
      </c>
      <c r="J510" s="4" t="s">
        <v>330</v>
      </c>
      <c r="K510" s="7">
        <v>578.03380800000002</v>
      </c>
      <c r="L510" s="7">
        <v>950</v>
      </c>
      <c r="M510" s="7">
        <v>60.845663999999999</v>
      </c>
      <c r="N510" s="7">
        <v>3</v>
      </c>
      <c r="O510" s="7">
        <v>0</v>
      </c>
      <c r="P510" s="7">
        <v>50.905158</v>
      </c>
      <c r="Q510" s="7">
        <v>33.936771999999998</v>
      </c>
      <c r="R510" s="7">
        <v>50</v>
      </c>
      <c r="S510" s="7">
        <v>50.604748999999998</v>
      </c>
      <c r="T510" s="4" t="s">
        <v>124</v>
      </c>
      <c r="U510" s="7">
        <v>33.736499999999999</v>
      </c>
      <c r="V510" s="7">
        <v>50</v>
      </c>
      <c r="W510" s="7">
        <v>50.327373000000001</v>
      </c>
      <c r="X510" s="7">
        <v>33.551582000000003</v>
      </c>
      <c r="Y510" s="7">
        <v>50</v>
      </c>
      <c r="Z510" s="4" t="s">
        <v>124</v>
      </c>
      <c r="AA510" s="7">
        <v>50.044747000000001</v>
      </c>
      <c r="AB510" s="7">
        <v>33.363165000000002</v>
      </c>
      <c r="AC510" s="7">
        <v>50</v>
      </c>
      <c r="AD510" s="7">
        <v>54.123590999999998</v>
      </c>
      <c r="AE510" s="7">
        <v>36.082394000000001</v>
      </c>
      <c r="AF510" s="7">
        <v>50</v>
      </c>
      <c r="AG510" s="7">
        <v>54.039338999999998</v>
      </c>
      <c r="AH510" s="4" t="s">
        <v>124</v>
      </c>
      <c r="AI510" s="7">
        <v>36.026226000000001</v>
      </c>
      <c r="AJ510" s="7">
        <v>50</v>
      </c>
      <c r="AK510" s="4" t="s">
        <v>124</v>
      </c>
      <c r="AL510" s="4" t="s">
        <v>124</v>
      </c>
      <c r="AM510" s="4" t="s">
        <v>124</v>
      </c>
      <c r="AN510" s="7">
        <v>0.50046299999999999</v>
      </c>
      <c r="AO510" s="7">
        <v>50.046303000000002</v>
      </c>
      <c r="AP510" s="7">
        <v>100</v>
      </c>
      <c r="AQ510" s="7">
        <v>0.60873200000000005</v>
      </c>
      <c r="AR510" s="7">
        <v>60.873187999999999</v>
      </c>
      <c r="AS510" s="7">
        <v>100</v>
      </c>
      <c r="AT510" s="7">
        <v>0.50471600000000005</v>
      </c>
      <c r="AU510" s="4" t="s">
        <v>124</v>
      </c>
      <c r="AV510" s="7">
        <v>50.471623000000001</v>
      </c>
      <c r="AW510" s="7">
        <v>100</v>
      </c>
      <c r="AX510" s="7">
        <v>0.60861399999999999</v>
      </c>
      <c r="AY510" s="4" t="s">
        <v>124</v>
      </c>
      <c r="AZ510" s="7">
        <v>60.861359999999998</v>
      </c>
      <c r="BA510" s="7">
        <v>100</v>
      </c>
      <c r="BB510" s="7">
        <v>0.64555099999999999</v>
      </c>
      <c r="BC510" s="7">
        <v>32.277538</v>
      </c>
      <c r="BD510" s="7">
        <v>50</v>
      </c>
      <c r="BE510" s="7">
        <v>0.48069200000000001</v>
      </c>
      <c r="BF510" s="7">
        <v>24.034610000000001</v>
      </c>
      <c r="BG510" s="7">
        <v>50</v>
      </c>
      <c r="BH510" s="7">
        <v>0</v>
      </c>
      <c r="BI510" s="7">
        <v>0.99264699999999995</v>
      </c>
      <c r="BJ510" s="7">
        <v>0.99616899999999997</v>
      </c>
      <c r="BK510" s="4" t="s">
        <v>124</v>
      </c>
      <c r="BL510" s="7">
        <v>0.98897100000000004</v>
      </c>
      <c r="BM510" s="7">
        <v>0.99233700000000002</v>
      </c>
      <c r="BN510" s="4" t="s">
        <v>124</v>
      </c>
      <c r="BO510" s="7">
        <v>1</v>
      </c>
      <c r="BP510" s="7">
        <v>1</v>
      </c>
      <c r="BQ510" s="4" t="s">
        <v>124</v>
      </c>
      <c r="BR510" s="7">
        <v>0.142012</v>
      </c>
      <c r="BS510" s="7">
        <v>31.597632999999998</v>
      </c>
      <c r="BT510" s="7">
        <v>50</v>
      </c>
      <c r="BU510" s="7">
        <v>0.14107900000000001</v>
      </c>
      <c r="BV510" s="7">
        <v>31.784231999999999</v>
      </c>
      <c r="BW510" s="7">
        <v>50</v>
      </c>
      <c r="BX510" s="4" t="s">
        <v>124</v>
      </c>
      <c r="BY510" s="4" t="s">
        <v>124</v>
      </c>
      <c r="BZ510" s="4" t="s">
        <v>124</v>
      </c>
      <c r="CA510" s="4" t="s">
        <v>124</v>
      </c>
      <c r="CB510" s="4" t="s">
        <v>124</v>
      </c>
      <c r="CC510" s="4" t="s">
        <v>124</v>
      </c>
      <c r="CD510" s="4" t="s">
        <v>124</v>
      </c>
      <c r="CE510" s="4" t="s">
        <v>124</v>
      </c>
      <c r="CF510" s="4" t="s">
        <v>124</v>
      </c>
      <c r="CG510" s="4" t="s">
        <v>124</v>
      </c>
      <c r="CH510" s="4" t="s">
        <v>124</v>
      </c>
      <c r="CI510" s="4" t="s">
        <v>124</v>
      </c>
      <c r="CJ510" s="4" t="s">
        <v>124</v>
      </c>
      <c r="CK510" s="4" t="s">
        <v>124</v>
      </c>
      <c r="CL510" s="4" t="s">
        <v>124</v>
      </c>
      <c r="CM510" s="4" t="s">
        <v>124</v>
      </c>
      <c r="CN510" s="4" t="s">
        <v>124</v>
      </c>
      <c r="CO510" s="4" t="s">
        <v>124</v>
      </c>
      <c r="CP510" s="4" t="s">
        <v>124</v>
      </c>
      <c r="CQ510" s="7">
        <v>0.44085999999999997</v>
      </c>
      <c r="CR510" s="7">
        <v>1</v>
      </c>
      <c r="CS510" s="7">
        <v>29.390681000000001</v>
      </c>
      <c r="CT510" s="7">
        <v>50</v>
      </c>
      <c r="CU510" s="4" t="s">
        <v>124</v>
      </c>
      <c r="CV510" s="4" t="s">
        <v>124</v>
      </c>
      <c r="CW510" s="4" t="s">
        <v>124</v>
      </c>
      <c r="CX510" s="4" t="s">
        <v>124</v>
      </c>
      <c r="CY510" s="4" t="s">
        <v>124</v>
      </c>
      <c r="CZ510" s="4" t="s">
        <v>124</v>
      </c>
      <c r="DA510" s="7">
        <v>15.314097</v>
      </c>
      <c r="DB510" s="7">
        <v>17.400950000000002</v>
      </c>
      <c r="DC510" s="7">
        <v>16.332519999999999</v>
      </c>
      <c r="DD510" s="4" t="s">
        <v>124</v>
      </c>
      <c r="DE510" s="7">
        <v>0</v>
      </c>
      <c r="DF510" s="6"/>
      <c r="DG510" s="6"/>
      <c r="DH510" s="6"/>
      <c r="DI510" s="6"/>
      <c r="DJ510" s="7">
        <v>0</v>
      </c>
      <c r="DK510" s="7">
        <v>0</v>
      </c>
      <c r="DL510" s="7">
        <v>0</v>
      </c>
      <c r="DM510" s="7">
        <v>0</v>
      </c>
      <c r="DN510" s="7">
        <v>0</v>
      </c>
      <c r="DO510" s="7">
        <v>0</v>
      </c>
      <c r="DP510" s="6"/>
      <c r="DQ510" s="4" t="s">
        <v>125</v>
      </c>
    </row>
    <row r="511" spans="1:121" ht="20" customHeight="1" x14ac:dyDescent="0.15">
      <c r="A511" s="5">
        <v>2018</v>
      </c>
      <c r="B511" s="3" t="s">
        <v>286</v>
      </c>
      <c r="C511" s="4" t="str">
        <f>"0640011"</f>
        <v>0640011</v>
      </c>
      <c r="D511" s="4" t="s">
        <v>668</v>
      </c>
      <c r="E511" s="4" t="str">
        <f>"0643611"</f>
        <v>0643611</v>
      </c>
      <c r="F511" s="4" t="s">
        <v>327</v>
      </c>
      <c r="G511" s="4" t="s">
        <v>338</v>
      </c>
      <c r="H511" s="7">
        <v>12</v>
      </c>
      <c r="I511" s="4" t="s">
        <v>335</v>
      </c>
      <c r="J511" s="4" t="s">
        <v>330</v>
      </c>
      <c r="K511" s="7">
        <v>925.89932499999998</v>
      </c>
      <c r="L511" s="7">
        <v>1450</v>
      </c>
      <c r="M511" s="7">
        <v>63.855125999999998</v>
      </c>
      <c r="N511" s="7">
        <v>3</v>
      </c>
      <c r="O511" s="7">
        <v>0</v>
      </c>
      <c r="P511" s="7">
        <v>51.394902999999999</v>
      </c>
      <c r="Q511" s="7">
        <v>34.263269000000001</v>
      </c>
      <c r="R511" s="7">
        <v>50</v>
      </c>
      <c r="S511" s="7">
        <v>50.778737999999997</v>
      </c>
      <c r="T511" s="4" t="s">
        <v>124</v>
      </c>
      <c r="U511" s="7">
        <v>33.852491999999998</v>
      </c>
      <c r="V511" s="7">
        <v>50</v>
      </c>
      <c r="W511" s="7">
        <v>45.215941000000001</v>
      </c>
      <c r="X511" s="7">
        <v>30.14396</v>
      </c>
      <c r="Y511" s="7">
        <v>50</v>
      </c>
      <c r="Z511" s="4" t="s">
        <v>124</v>
      </c>
      <c r="AA511" s="7">
        <v>44.806609000000002</v>
      </c>
      <c r="AB511" s="7">
        <v>29.871072999999999</v>
      </c>
      <c r="AC511" s="7">
        <v>50</v>
      </c>
      <c r="AD511" s="7">
        <v>45.860664999999997</v>
      </c>
      <c r="AE511" s="7">
        <v>30.573777</v>
      </c>
      <c r="AF511" s="7">
        <v>50</v>
      </c>
      <c r="AG511" s="7">
        <v>44.821071000000003</v>
      </c>
      <c r="AH511" s="4" t="s">
        <v>124</v>
      </c>
      <c r="AI511" s="7">
        <v>29.880714000000001</v>
      </c>
      <c r="AJ511" s="7">
        <v>50</v>
      </c>
      <c r="AK511" s="4" t="s">
        <v>124</v>
      </c>
      <c r="AL511" s="4" t="s">
        <v>124</v>
      </c>
      <c r="AM511" s="4" t="s">
        <v>124</v>
      </c>
      <c r="AN511" s="7">
        <v>0.54496299999999998</v>
      </c>
      <c r="AO511" s="7">
        <v>54.496322999999997</v>
      </c>
      <c r="AP511" s="7">
        <v>100</v>
      </c>
      <c r="AQ511" s="7">
        <v>0.587113</v>
      </c>
      <c r="AR511" s="7">
        <v>58.711348999999998</v>
      </c>
      <c r="AS511" s="7">
        <v>100</v>
      </c>
      <c r="AT511" s="7">
        <v>0.53415000000000001</v>
      </c>
      <c r="AU511" s="4" t="s">
        <v>124</v>
      </c>
      <c r="AV511" s="7">
        <v>53.415022999999998</v>
      </c>
      <c r="AW511" s="7">
        <v>100</v>
      </c>
      <c r="AX511" s="7">
        <v>0.58088499999999998</v>
      </c>
      <c r="AY511" s="4" t="s">
        <v>124</v>
      </c>
      <c r="AZ511" s="7">
        <v>58.088501000000001</v>
      </c>
      <c r="BA511" s="7">
        <v>100</v>
      </c>
      <c r="BB511" s="7">
        <v>0.49551800000000001</v>
      </c>
      <c r="BC511" s="7">
        <v>24.775901999999999</v>
      </c>
      <c r="BD511" s="7">
        <v>50</v>
      </c>
      <c r="BE511" s="7">
        <v>0.47648200000000002</v>
      </c>
      <c r="BF511" s="7">
        <v>23.824107000000001</v>
      </c>
      <c r="BG511" s="7">
        <v>50</v>
      </c>
      <c r="BH511" s="7">
        <v>0</v>
      </c>
      <c r="BI511" s="7">
        <v>0.98802400000000001</v>
      </c>
      <c r="BJ511" s="7">
        <v>0.99019599999999997</v>
      </c>
      <c r="BK511" s="7">
        <v>0.96428599999999998</v>
      </c>
      <c r="BL511" s="7">
        <v>0.99096399999999996</v>
      </c>
      <c r="BM511" s="7">
        <v>0.99013200000000001</v>
      </c>
      <c r="BN511" s="7">
        <v>1</v>
      </c>
      <c r="BO511" s="7">
        <v>0.98484799999999995</v>
      </c>
      <c r="BP511" s="7">
        <v>0.98373999999999995</v>
      </c>
      <c r="BQ511" s="4" t="s">
        <v>124</v>
      </c>
      <c r="BR511" s="7">
        <v>0.24149100000000001</v>
      </c>
      <c r="BS511" s="7">
        <v>11.701783000000001</v>
      </c>
      <c r="BT511" s="7">
        <v>50</v>
      </c>
      <c r="BU511" s="7">
        <v>0.245283</v>
      </c>
      <c r="BV511" s="7">
        <v>10.943396</v>
      </c>
      <c r="BW511" s="7">
        <v>50</v>
      </c>
      <c r="BX511" s="7">
        <v>0.875</v>
      </c>
      <c r="BY511" s="7">
        <v>50</v>
      </c>
      <c r="BZ511" s="7">
        <v>50</v>
      </c>
      <c r="CA511" s="7">
        <v>1.7857000000000001E-2</v>
      </c>
      <c r="CB511" s="7">
        <v>1.1904760000000001</v>
      </c>
      <c r="CC511" s="7">
        <v>50</v>
      </c>
      <c r="CD511" s="7">
        <v>0.86075900000000005</v>
      </c>
      <c r="CE511" s="7">
        <v>45.785079000000003</v>
      </c>
      <c r="CF511" s="7">
        <v>50</v>
      </c>
      <c r="CG511" s="7">
        <v>0.86206899999999997</v>
      </c>
      <c r="CH511" s="7">
        <v>91.709463999999997</v>
      </c>
      <c r="CI511" s="7">
        <v>100</v>
      </c>
      <c r="CJ511" s="7">
        <v>0</v>
      </c>
      <c r="CK511" s="7">
        <v>0.97619</v>
      </c>
      <c r="CL511" s="7">
        <v>100</v>
      </c>
      <c r="CM511" s="7">
        <v>100</v>
      </c>
      <c r="CN511" s="7">
        <v>0.57692299999999996</v>
      </c>
      <c r="CO511" s="7">
        <v>76.923077000000006</v>
      </c>
      <c r="CP511" s="7">
        <v>100</v>
      </c>
      <c r="CQ511" s="7">
        <v>0.386243</v>
      </c>
      <c r="CR511" s="7">
        <v>0.99473699999999998</v>
      </c>
      <c r="CS511" s="7">
        <v>25.749559000000001</v>
      </c>
      <c r="CT511" s="7">
        <v>50</v>
      </c>
      <c r="CU511" s="7">
        <v>0.84375</v>
      </c>
      <c r="CV511" s="7">
        <v>50</v>
      </c>
      <c r="CW511" s="7">
        <v>50</v>
      </c>
      <c r="CX511" s="7">
        <v>0.97619</v>
      </c>
      <c r="CY511" s="4" t="s">
        <v>124</v>
      </c>
      <c r="CZ511" s="4" t="s">
        <v>124</v>
      </c>
      <c r="DA511" s="7">
        <v>15.314097</v>
      </c>
      <c r="DB511" s="7">
        <v>17.400950000000002</v>
      </c>
      <c r="DC511" s="7">
        <v>16.332519999999999</v>
      </c>
      <c r="DD511" s="7">
        <v>7.9891730000000001</v>
      </c>
      <c r="DE511" s="7">
        <v>0</v>
      </c>
      <c r="DF511" s="6"/>
      <c r="DG511" s="6"/>
      <c r="DH511" s="6"/>
      <c r="DI511" s="6"/>
      <c r="DJ511" s="7">
        <v>0</v>
      </c>
      <c r="DK511" s="7">
        <v>0</v>
      </c>
      <c r="DL511" s="7">
        <v>0</v>
      </c>
      <c r="DM511" s="7">
        <v>0</v>
      </c>
      <c r="DN511" s="7">
        <v>0</v>
      </c>
      <c r="DO511" s="7">
        <v>0</v>
      </c>
      <c r="DP511" s="6"/>
      <c r="DQ511" s="4" t="s">
        <v>125</v>
      </c>
    </row>
    <row r="512" spans="1:121" ht="20" customHeight="1" x14ac:dyDescent="0.15">
      <c r="A512" s="5">
        <v>2018</v>
      </c>
      <c r="B512" s="3" t="s">
        <v>286</v>
      </c>
      <c r="C512" s="4" t="str">
        <f t="shared" si="211"/>
        <v>0640011</v>
      </c>
      <c r="D512" s="4" t="s">
        <v>669</v>
      </c>
      <c r="E512" s="4" t="str">
        <f>"0647911"</f>
        <v>0647911</v>
      </c>
      <c r="F512" s="4" t="s">
        <v>327</v>
      </c>
      <c r="G512" s="7">
        <v>9</v>
      </c>
      <c r="H512" s="7">
        <v>12</v>
      </c>
      <c r="I512" s="4" t="s">
        <v>335</v>
      </c>
      <c r="J512" s="4" t="s">
        <v>330</v>
      </c>
      <c r="K512" s="7">
        <v>1021.8968149999999</v>
      </c>
      <c r="L512" s="7">
        <v>1450</v>
      </c>
      <c r="M512" s="7">
        <v>70.475641999999993</v>
      </c>
      <c r="N512" s="7">
        <v>2</v>
      </c>
      <c r="O512" s="7">
        <v>0</v>
      </c>
      <c r="P512" s="7">
        <v>52.111871999999998</v>
      </c>
      <c r="Q512" s="7">
        <v>104.223744</v>
      </c>
      <c r="R512" s="7">
        <v>150</v>
      </c>
      <c r="S512" s="7">
        <v>48.108024999999998</v>
      </c>
      <c r="T512" s="4" t="s">
        <v>124</v>
      </c>
      <c r="U512" s="7">
        <v>96.216048999999998</v>
      </c>
      <c r="V512" s="7">
        <v>150</v>
      </c>
      <c r="W512" s="7">
        <v>44.150685000000003</v>
      </c>
      <c r="X512" s="7">
        <v>88.301370000000006</v>
      </c>
      <c r="Y512" s="7">
        <v>150</v>
      </c>
      <c r="Z512" s="4" t="s">
        <v>124</v>
      </c>
      <c r="AA512" s="7">
        <v>41.521605000000001</v>
      </c>
      <c r="AB512" s="7">
        <v>83.043210000000002</v>
      </c>
      <c r="AC512" s="7">
        <v>150</v>
      </c>
      <c r="AD512" s="7">
        <v>50.174636</v>
      </c>
      <c r="AE512" s="7">
        <v>66.899514999999994</v>
      </c>
      <c r="AF512" s="7">
        <v>100</v>
      </c>
      <c r="AG512" s="7">
        <v>46.2</v>
      </c>
      <c r="AH512" s="4" t="s">
        <v>124</v>
      </c>
      <c r="AI512" s="7">
        <v>61.6</v>
      </c>
      <c r="AJ512" s="7">
        <v>100</v>
      </c>
      <c r="AK512" s="4" t="s">
        <v>124</v>
      </c>
      <c r="AL512" s="4" t="s">
        <v>124</v>
      </c>
      <c r="AM512" s="4" t="s">
        <v>124</v>
      </c>
      <c r="AN512" s="4" t="s">
        <v>124</v>
      </c>
      <c r="AO512" s="4" t="s">
        <v>124</v>
      </c>
      <c r="AP512" s="4" t="s">
        <v>124</v>
      </c>
      <c r="AQ512" s="4" t="s">
        <v>124</v>
      </c>
      <c r="AR512" s="4" t="s">
        <v>124</v>
      </c>
      <c r="AS512" s="4" t="s">
        <v>124</v>
      </c>
      <c r="AT512" s="4" t="s">
        <v>124</v>
      </c>
      <c r="AU512" s="4" t="s">
        <v>124</v>
      </c>
      <c r="AV512" s="4" t="s">
        <v>124</v>
      </c>
      <c r="AW512" s="4" t="s">
        <v>124</v>
      </c>
      <c r="AX512" s="4" t="s">
        <v>124</v>
      </c>
      <c r="AY512" s="4" t="s">
        <v>124</v>
      </c>
      <c r="AZ512" s="4" t="s">
        <v>124</v>
      </c>
      <c r="BA512" s="4" t="s">
        <v>124</v>
      </c>
      <c r="BB512" s="4" t="s">
        <v>124</v>
      </c>
      <c r="BC512" s="4" t="s">
        <v>124</v>
      </c>
      <c r="BD512" s="4" t="s">
        <v>124</v>
      </c>
      <c r="BE512" s="4" t="s">
        <v>124</v>
      </c>
      <c r="BF512" s="4" t="s">
        <v>124</v>
      </c>
      <c r="BG512" s="4" t="s">
        <v>124</v>
      </c>
      <c r="BH512" s="7">
        <v>0</v>
      </c>
      <c r="BI512" s="7">
        <v>0.973333</v>
      </c>
      <c r="BJ512" s="7">
        <v>0.98181799999999997</v>
      </c>
      <c r="BK512" s="7">
        <v>0.95</v>
      </c>
      <c r="BL512" s="7">
        <v>0.973333</v>
      </c>
      <c r="BM512" s="7">
        <v>0.98181799999999997</v>
      </c>
      <c r="BN512" s="7">
        <v>0.95</v>
      </c>
      <c r="BO512" s="7">
        <v>0.98666699999999996</v>
      </c>
      <c r="BP512" s="7">
        <v>1</v>
      </c>
      <c r="BQ512" s="7">
        <v>0.95</v>
      </c>
      <c r="BR512" s="7">
        <v>0.17684900000000001</v>
      </c>
      <c r="BS512" s="7">
        <v>24.630224999999999</v>
      </c>
      <c r="BT512" s="7">
        <v>50</v>
      </c>
      <c r="BU512" s="7">
        <v>0.20960699999999999</v>
      </c>
      <c r="BV512" s="7">
        <v>18.078603000000001</v>
      </c>
      <c r="BW512" s="7">
        <v>50</v>
      </c>
      <c r="BX512" s="7">
        <v>0.93525199999999997</v>
      </c>
      <c r="BY512" s="7">
        <v>50</v>
      </c>
      <c r="BZ512" s="7">
        <v>50</v>
      </c>
      <c r="CA512" s="7">
        <v>0.251799</v>
      </c>
      <c r="CB512" s="7">
        <v>16.786570999999999</v>
      </c>
      <c r="CC512" s="7">
        <v>50</v>
      </c>
      <c r="CD512" s="7">
        <v>0.96511599999999997</v>
      </c>
      <c r="CE512" s="7">
        <v>50</v>
      </c>
      <c r="CF512" s="7">
        <v>50</v>
      </c>
      <c r="CG512" s="7">
        <v>0.96666700000000005</v>
      </c>
      <c r="CH512" s="7">
        <v>100</v>
      </c>
      <c r="CI512" s="7">
        <v>100</v>
      </c>
      <c r="CJ512" s="7">
        <v>0</v>
      </c>
      <c r="CK512" s="7">
        <v>0.92857100000000004</v>
      </c>
      <c r="CL512" s="7">
        <v>98.784194999999997</v>
      </c>
      <c r="CM512" s="7">
        <v>100</v>
      </c>
      <c r="CN512" s="7">
        <v>0.76666699999999999</v>
      </c>
      <c r="CO512" s="7">
        <v>100</v>
      </c>
      <c r="CP512" s="7">
        <v>100</v>
      </c>
      <c r="CQ512" s="7">
        <v>0.2</v>
      </c>
      <c r="CR512" s="7">
        <v>1.2790699999999999</v>
      </c>
      <c r="CS512" s="7">
        <v>13.333333</v>
      </c>
      <c r="CT512" s="7">
        <v>50</v>
      </c>
      <c r="CU512" s="7">
        <v>0.64951800000000004</v>
      </c>
      <c r="CV512" s="7">
        <v>50</v>
      </c>
      <c r="CW512" s="7">
        <v>50</v>
      </c>
      <c r="CX512" s="7">
        <v>0.92857100000000004</v>
      </c>
      <c r="CY512" s="7">
        <v>0.94</v>
      </c>
      <c r="CZ512" s="7">
        <v>1.1429E-2</v>
      </c>
      <c r="DA512" s="7">
        <v>15.314097</v>
      </c>
      <c r="DB512" s="7">
        <v>17.400950000000002</v>
      </c>
      <c r="DC512" s="7">
        <v>16.332519999999999</v>
      </c>
      <c r="DD512" s="7">
        <v>7.9891730000000001</v>
      </c>
      <c r="DE512" s="7">
        <v>0</v>
      </c>
      <c r="DF512" s="6"/>
      <c r="DG512" s="6"/>
      <c r="DH512" s="6"/>
      <c r="DI512" s="6"/>
      <c r="DJ512" s="7">
        <v>0</v>
      </c>
      <c r="DK512" s="7">
        <v>0</v>
      </c>
      <c r="DL512" s="7">
        <v>0</v>
      </c>
      <c r="DM512" s="7">
        <v>0</v>
      </c>
      <c r="DN512" s="7">
        <v>0</v>
      </c>
      <c r="DO512" s="7">
        <v>0</v>
      </c>
      <c r="DP512" s="6"/>
      <c r="DQ512" s="4" t="s">
        <v>125</v>
      </c>
    </row>
    <row r="513" spans="1:121" ht="20" customHeight="1" x14ac:dyDescent="0.15">
      <c r="A513" s="5">
        <v>2018</v>
      </c>
      <c r="B513" s="3" t="s">
        <v>286</v>
      </c>
      <c r="C513" s="4" t="str">
        <f t="shared" si="211"/>
        <v>0640011</v>
      </c>
      <c r="D513" s="4" t="s">
        <v>670</v>
      </c>
      <c r="E513" s="4" t="str">
        <f>"0647211"</f>
        <v>0647211</v>
      </c>
      <c r="F513" s="4" t="s">
        <v>327</v>
      </c>
      <c r="G513" s="7">
        <v>9</v>
      </c>
      <c r="H513" s="7">
        <v>12</v>
      </c>
      <c r="I513" s="4" t="s">
        <v>335</v>
      </c>
      <c r="J513" s="4" t="s">
        <v>330</v>
      </c>
      <c r="K513" s="7">
        <v>731.93163500000003</v>
      </c>
      <c r="L513" s="7">
        <v>1550</v>
      </c>
      <c r="M513" s="7">
        <v>47.221395999999999</v>
      </c>
      <c r="N513" s="7">
        <v>5</v>
      </c>
      <c r="O513" s="7">
        <v>0</v>
      </c>
      <c r="P513" s="7">
        <v>37.416666999999997</v>
      </c>
      <c r="Q513" s="7">
        <v>74.833332999999996</v>
      </c>
      <c r="R513" s="7">
        <v>150</v>
      </c>
      <c r="S513" s="7">
        <v>36.823810000000002</v>
      </c>
      <c r="T513" s="4" t="s">
        <v>124</v>
      </c>
      <c r="U513" s="7">
        <v>73.647619000000006</v>
      </c>
      <c r="V513" s="7">
        <v>150</v>
      </c>
      <c r="W513" s="7">
        <v>33.875</v>
      </c>
      <c r="X513" s="7">
        <v>67.75</v>
      </c>
      <c r="Y513" s="7">
        <v>150</v>
      </c>
      <c r="Z513" s="4" t="s">
        <v>124</v>
      </c>
      <c r="AA513" s="7">
        <v>33.052380999999997</v>
      </c>
      <c r="AB513" s="7">
        <v>66.104761999999994</v>
      </c>
      <c r="AC513" s="7">
        <v>150</v>
      </c>
      <c r="AD513" s="7">
        <v>34.852784999999997</v>
      </c>
      <c r="AE513" s="7">
        <v>46.470379999999999</v>
      </c>
      <c r="AF513" s="7">
        <v>100</v>
      </c>
      <c r="AG513" s="7">
        <v>32.868375999999998</v>
      </c>
      <c r="AH513" s="4" t="s">
        <v>124</v>
      </c>
      <c r="AI513" s="7">
        <v>43.824500999999998</v>
      </c>
      <c r="AJ513" s="7">
        <v>100</v>
      </c>
      <c r="AK513" s="4" t="s">
        <v>124</v>
      </c>
      <c r="AL513" s="4" t="s">
        <v>124</v>
      </c>
      <c r="AM513" s="4" t="s">
        <v>124</v>
      </c>
      <c r="AN513" s="4" t="s">
        <v>124</v>
      </c>
      <c r="AO513" s="4" t="s">
        <v>124</v>
      </c>
      <c r="AP513" s="4" t="s">
        <v>124</v>
      </c>
      <c r="AQ513" s="4" t="s">
        <v>124</v>
      </c>
      <c r="AR513" s="4" t="s">
        <v>124</v>
      </c>
      <c r="AS513" s="4" t="s">
        <v>124</v>
      </c>
      <c r="AT513" s="4" t="s">
        <v>124</v>
      </c>
      <c r="AU513" s="4" t="s">
        <v>124</v>
      </c>
      <c r="AV513" s="4" t="s">
        <v>124</v>
      </c>
      <c r="AW513" s="4" t="s">
        <v>124</v>
      </c>
      <c r="AX513" s="4" t="s">
        <v>124</v>
      </c>
      <c r="AY513" s="4" t="s">
        <v>124</v>
      </c>
      <c r="AZ513" s="4" t="s">
        <v>124</v>
      </c>
      <c r="BA513" s="4" t="s">
        <v>124</v>
      </c>
      <c r="BB513" s="7">
        <v>0.39960600000000002</v>
      </c>
      <c r="BC513" s="7">
        <v>19.980274999999999</v>
      </c>
      <c r="BD513" s="7">
        <v>50</v>
      </c>
      <c r="BE513" s="7">
        <v>0.535223</v>
      </c>
      <c r="BF513" s="7">
        <v>26.76117</v>
      </c>
      <c r="BG513" s="7">
        <v>50</v>
      </c>
      <c r="BH513" s="7">
        <v>1</v>
      </c>
      <c r="BI513" s="7">
        <v>0.60714299999999999</v>
      </c>
      <c r="BJ513" s="7">
        <v>0.59701499999999996</v>
      </c>
      <c r="BK513" s="4" t="s">
        <v>124</v>
      </c>
      <c r="BL513" s="7">
        <v>0.60714299999999999</v>
      </c>
      <c r="BM513" s="7">
        <v>0.59701499999999996</v>
      </c>
      <c r="BN513" s="4" t="s">
        <v>124</v>
      </c>
      <c r="BO513" s="7">
        <v>0.77381</v>
      </c>
      <c r="BP513" s="7">
        <v>0.74242399999999997</v>
      </c>
      <c r="BQ513" s="4" t="s">
        <v>124</v>
      </c>
      <c r="BR513" s="7">
        <v>0.68877600000000005</v>
      </c>
      <c r="BS513" s="7">
        <v>0</v>
      </c>
      <c r="BT513" s="7">
        <v>50</v>
      </c>
      <c r="BU513" s="7">
        <v>0.71264400000000006</v>
      </c>
      <c r="BV513" s="7">
        <v>0</v>
      </c>
      <c r="BW513" s="7">
        <v>50</v>
      </c>
      <c r="BX513" s="7">
        <v>0.58169899999999997</v>
      </c>
      <c r="BY513" s="7">
        <v>38.779955999999999</v>
      </c>
      <c r="BZ513" s="7">
        <v>50</v>
      </c>
      <c r="CA513" s="7">
        <v>2.6144000000000001E-2</v>
      </c>
      <c r="CB513" s="7">
        <v>1.7429190000000001</v>
      </c>
      <c r="CC513" s="7">
        <v>50</v>
      </c>
      <c r="CD513" s="7">
        <v>0.45588200000000001</v>
      </c>
      <c r="CE513" s="7">
        <v>24.249061000000001</v>
      </c>
      <c r="CF513" s="7">
        <v>50</v>
      </c>
      <c r="CG513" s="7">
        <v>0.40277800000000002</v>
      </c>
      <c r="CH513" s="7">
        <v>42.848700000000001</v>
      </c>
      <c r="CI513" s="7">
        <v>100</v>
      </c>
      <c r="CJ513" s="7">
        <v>0</v>
      </c>
      <c r="CK513" s="7">
        <v>0.68539300000000003</v>
      </c>
      <c r="CL513" s="7">
        <v>72.914175999999998</v>
      </c>
      <c r="CM513" s="7">
        <v>100</v>
      </c>
      <c r="CN513" s="7">
        <v>0.418605</v>
      </c>
      <c r="CO513" s="7">
        <v>55.813952999999998</v>
      </c>
      <c r="CP513" s="7">
        <v>100</v>
      </c>
      <c r="CQ513" s="7">
        <v>0.39316200000000001</v>
      </c>
      <c r="CR513" s="7">
        <v>1.073394</v>
      </c>
      <c r="CS513" s="7">
        <v>26.210826000000001</v>
      </c>
      <c r="CT513" s="7">
        <v>50</v>
      </c>
      <c r="CU513" s="7">
        <v>0.68367299999999998</v>
      </c>
      <c r="CV513" s="7">
        <v>50</v>
      </c>
      <c r="CW513" s="7">
        <v>50</v>
      </c>
      <c r="CX513" s="7">
        <v>0.68539300000000003</v>
      </c>
      <c r="CY513" s="4" t="s">
        <v>124</v>
      </c>
      <c r="CZ513" s="4" t="s">
        <v>124</v>
      </c>
      <c r="DA513" s="7">
        <v>15.314097</v>
      </c>
      <c r="DB513" s="7">
        <v>17.400950000000002</v>
      </c>
      <c r="DC513" s="7">
        <v>16.332519999999999</v>
      </c>
      <c r="DD513" s="7">
        <v>7.9891730000000001</v>
      </c>
      <c r="DE513" s="7">
        <v>1</v>
      </c>
      <c r="DF513" s="4" t="s">
        <v>375</v>
      </c>
      <c r="DG513" s="4" t="s">
        <v>376</v>
      </c>
      <c r="DH513" s="6"/>
      <c r="DI513" s="6"/>
      <c r="DJ513" s="7">
        <v>0</v>
      </c>
      <c r="DK513" s="7">
        <v>0</v>
      </c>
      <c r="DL513" s="7">
        <v>0</v>
      </c>
      <c r="DM513" s="7">
        <v>0</v>
      </c>
      <c r="DN513" s="7">
        <v>0</v>
      </c>
      <c r="DO513" s="7">
        <v>0</v>
      </c>
      <c r="DP513" s="6"/>
      <c r="DQ513" s="4" t="s">
        <v>125</v>
      </c>
    </row>
    <row r="514" spans="1:121" ht="20" customHeight="1" x14ac:dyDescent="0.15">
      <c r="A514" s="5">
        <v>2018</v>
      </c>
      <c r="B514" s="3" t="s">
        <v>286</v>
      </c>
      <c r="C514" s="4" t="str">
        <f t="shared" si="211"/>
        <v>0640011</v>
      </c>
      <c r="D514" s="4" t="s">
        <v>671</v>
      </c>
      <c r="E514" s="4" t="str">
        <f>"0647411"</f>
        <v>0647411</v>
      </c>
      <c r="F514" s="4" t="s">
        <v>327</v>
      </c>
      <c r="G514" s="7">
        <v>9</v>
      </c>
      <c r="H514" s="7">
        <v>12</v>
      </c>
      <c r="I514" s="4" t="s">
        <v>335</v>
      </c>
      <c r="J514" s="4" t="s">
        <v>330</v>
      </c>
      <c r="K514" s="7">
        <v>710.16442199999995</v>
      </c>
      <c r="L514" s="7">
        <v>1550</v>
      </c>
      <c r="M514" s="7">
        <v>45.817059999999998</v>
      </c>
      <c r="N514" s="7">
        <v>5</v>
      </c>
      <c r="O514" s="7">
        <v>0</v>
      </c>
      <c r="P514" s="7">
        <v>40.180556000000003</v>
      </c>
      <c r="Q514" s="7">
        <v>80.361110999999994</v>
      </c>
      <c r="R514" s="7">
        <v>150</v>
      </c>
      <c r="S514" s="7">
        <v>39.111111000000001</v>
      </c>
      <c r="T514" s="4" t="s">
        <v>124</v>
      </c>
      <c r="U514" s="7">
        <v>78.222222000000002</v>
      </c>
      <c r="V514" s="7">
        <v>150</v>
      </c>
      <c r="W514" s="7">
        <v>33.916666999999997</v>
      </c>
      <c r="X514" s="7">
        <v>67.833332999999996</v>
      </c>
      <c r="Y514" s="7">
        <v>150</v>
      </c>
      <c r="Z514" s="4" t="s">
        <v>124</v>
      </c>
      <c r="AA514" s="7">
        <v>33.916666999999997</v>
      </c>
      <c r="AB514" s="7">
        <v>67.833332999999996</v>
      </c>
      <c r="AC514" s="7">
        <v>150</v>
      </c>
      <c r="AD514" s="7">
        <v>34.589117999999999</v>
      </c>
      <c r="AE514" s="7">
        <v>46.118823999999996</v>
      </c>
      <c r="AF514" s="7">
        <v>100</v>
      </c>
      <c r="AG514" s="7">
        <v>33.580219999999997</v>
      </c>
      <c r="AH514" s="4" t="s">
        <v>124</v>
      </c>
      <c r="AI514" s="7">
        <v>44.773626</v>
      </c>
      <c r="AJ514" s="7">
        <v>100</v>
      </c>
      <c r="AK514" s="4" t="s">
        <v>124</v>
      </c>
      <c r="AL514" s="4" t="s">
        <v>124</v>
      </c>
      <c r="AM514" s="4" t="s">
        <v>124</v>
      </c>
      <c r="AN514" s="4" t="s">
        <v>124</v>
      </c>
      <c r="AO514" s="4" t="s">
        <v>124</v>
      </c>
      <c r="AP514" s="4" t="s">
        <v>124</v>
      </c>
      <c r="AQ514" s="4" t="s">
        <v>124</v>
      </c>
      <c r="AR514" s="4" t="s">
        <v>124</v>
      </c>
      <c r="AS514" s="4" t="s">
        <v>124</v>
      </c>
      <c r="AT514" s="4" t="s">
        <v>124</v>
      </c>
      <c r="AU514" s="4" t="s">
        <v>124</v>
      </c>
      <c r="AV514" s="4" t="s">
        <v>124</v>
      </c>
      <c r="AW514" s="4" t="s">
        <v>124</v>
      </c>
      <c r="AX514" s="4" t="s">
        <v>124</v>
      </c>
      <c r="AY514" s="4" t="s">
        <v>124</v>
      </c>
      <c r="AZ514" s="4" t="s">
        <v>124</v>
      </c>
      <c r="BA514" s="4" t="s">
        <v>124</v>
      </c>
      <c r="BB514" s="7">
        <v>0.29984300000000003</v>
      </c>
      <c r="BC514" s="7">
        <v>14.992148</v>
      </c>
      <c r="BD514" s="7">
        <v>50</v>
      </c>
      <c r="BE514" s="7">
        <v>0.48619200000000001</v>
      </c>
      <c r="BF514" s="7">
        <v>24.309616999999999</v>
      </c>
      <c r="BG514" s="7">
        <v>50</v>
      </c>
      <c r="BH514" s="7">
        <v>1</v>
      </c>
      <c r="BI514" s="7">
        <v>0.65151499999999996</v>
      </c>
      <c r="BJ514" s="7">
        <v>0.614035</v>
      </c>
      <c r="BK514" s="4" t="s">
        <v>124</v>
      </c>
      <c r="BL514" s="7">
        <v>0.65151499999999996</v>
      </c>
      <c r="BM514" s="7">
        <v>0.614035</v>
      </c>
      <c r="BN514" s="4" t="s">
        <v>124</v>
      </c>
      <c r="BO514" s="7">
        <v>0.75757600000000003</v>
      </c>
      <c r="BP514" s="7">
        <v>0.71929799999999999</v>
      </c>
      <c r="BQ514" s="4" t="s">
        <v>124</v>
      </c>
      <c r="BR514" s="7">
        <v>0.74925399999999998</v>
      </c>
      <c r="BS514" s="7">
        <v>0</v>
      </c>
      <c r="BT514" s="7">
        <v>50</v>
      </c>
      <c r="BU514" s="7">
        <v>0.76190500000000005</v>
      </c>
      <c r="BV514" s="7">
        <v>0</v>
      </c>
      <c r="BW514" s="7">
        <v>50</v>
      </c>
      <c r="BX514" s="7">
        <v>0.146341</v>
      </c>
      <c r="BY514" s="7">
        <v>9.7560979999999997</v>
      </c>
      <c r="BZ514" s="7">
        <v>50</v>
      </c>
      <c r="CA514" s="7">
        <v>4.0649999999999999E-2</v>
      </c>
      <c r="CB514" s="7">
        <v>2.7100270000000002</v>
      </c>
      <c r="CC514" s="7">
        <v>50</v>
      </c>
      <c r="CD514" s="7">
        <v>0.41935499999999998</v>
      </c>
      <c r="CE514" s="7">
        <v>22.306107999999998</v>
      </c>
      <c r="CF514" s="7">
        <v>50</v>
      </c>
      <c r="CG514" s="7">
        <v>0.54545500000000002</v>
      </c>
      <c r="CH514" s="7">
        <v>58.027079000000001</v>
      </c>
      <c r="CI514" s="7">
        <v>100</v>
      </c>
      <c r="CJ514" s="7">
        <v>0</v>
      </c>
      <c r="CK514" s="7">
        <v>0.69565200000000005</v>
      </c>
      <c r="CL514" s="7">
        <v>74.005549999999999</v>
      </c>
      <c r="CM514" s="7">
        <v>100</v>
      </c>
      <c r="CN514" s="7">
        <v>0.41269800000000001</v>
      </c>
      <c r="CO514" s="7">
        <v>55.026454999999999</v>
      </c>
      <c r="CP514" s="7">
        <v>100</v>
      </c>
      <c r="CQ514" s="7">
        <v>0.20833299999999999</v>
      </c>
      <c r="CR514" s="7">
        <v>1.0786519999999999</v>
      </c>
      <c r="CS514" s="7">
        <v>13.888889000000001</v>
      </c>
      <c r="CT514" s="7">
        <v>50</v>
      </c>
      <c r="CU514" s="7">
        <v>0.65970099999999998</v>
      </c>
      <c r="CV514" s="7">
        <v>50</v>
      </c>
      <c r="CW514" s="7">
        <v>50</v>
      </c>
      <c r="CX514" s="7">
        <v>0.69565200000000005</v>
      </c>
      <c r="CY514" s="4" t="s">
        <v>124</v>
      </c>
      <c r="CZ514" s="4" t="s">
        <v>124</v>
      </c>
      <c r="DA514" s="7">
        <v>15.314097</v>
      </c>
      <c r="DB514" s="7">
        <v>17.400950000000002</v>
      </c>
      <c r="DC514" s="7">
        <v>16.332519999999999</v>
      </c>
      <c r="DD514" s="7">
        <v>7.9891730000000001</v>
      </c>
      <c r="DE514" s="7">
        <v>1</v>
      </c>
      <c r="DF514" s="4" t="s">
        <v>375</v>
      </c>
      <c r="DG514" s="4" t="s">
        <v>376</v>
      </c>
      <c r="DH514" s="6"/>
      <c r="DI514" s="6"/>
      <c r="DJ514" s="7">
        <v>0</v>
      </c>
      <c r="DK514" s="7">
        <v>0</v>
      </c>
      <c r="DL514" s="7">
        <v>0</v>
      </c>
      <c r="DM514" s="7">
        <v>0</v>
      </c>
      <c r="DN514" s="7">
        <v>0</v>
      </c>
      <c r="DO514" s="7">
        <v>0</v>
      </c>
      <c r="DP514" s="6"/>
      <c r="DQ514" s="4" t="s">
        <v>125</v>
      </c>
    </row>
    <row r="515" spans="1:121" ht="20" customHeight="1" x14ac:dyDescent="0.15">
      <c r="A515" s="5">
        <v>2018</v>
      </c>
      <c r="B515" s="3" t="s">
        <v>286</v>
      </c>
      <c r="C515" s="4" t="str">
        <f t="shared" si="211"/>
        <v>0640011</v>
      </c>
      <c r="D515" s="4" t="s">
        <v>672</v>
      </c>
      <c r="E515" s="4" t="str">
        <f>"0647511"</f>
        <v>0647511</v>
      </c>
      <c r="F515" s="4" t="s">
        <v>327</v>
      </c>
      <c r="G515" s="7">
        <v>9</v>
      </c>
      <c r="H515" s="7">
        <v>12</v>
      </c>
      <c r="I515" s="4" t="s">
        <v>335</v>
      </c>
      <c r="J515" s="4" t="s">
        <v>330</v>
      </c>
      <c r="K515" s="7">
        <v>706.18715099999997</v>
      </c>
      <c r="L515" s="7">
        <v>1550</v>
      </c>
      <c r="M515" s="7">
        <v>45.560460999999997</v>
      </c>
      <c r="N515" s="7">
        <v>5</v>
      </c>
      <c r="O515" s="7">
        <v>0</v>
      </c>
      <c r="P515" s="7">
        <v>33.700980000000001</v>
      </c>
      <c r="Q515" s="7">
        <v>67.401961</v>
      </c>
      <c r="R515" s="7">
        <v>150</v>
      </c>
      <c r="S515" s="7">
        <v>33</v>
      </c>
      <c r="T515" s="4" t="s">
        <v>124</v>
      </c>
      <c r="U515" s="7">
        <v>66</v>
      </c>
      <c r="V515" s="7">
        <v>150</v>
      </c>
      <c r="W515" s="7">
        <v>31.544118000000001</v>
      </c>
      <c r="X515" s="7">
        <v>63.088234999999997</v>
      </c>
      <c r="Y515" s="7">
        <v>150</v>
      </c>
      <c r="Z515" s="4" t="s">
        <v>124</v>
      </c>
      <c r="AA515" s="7">
        <v>31.344086000000001</v>
      </c>
      <c r="AB515" s="7">
        <v>62.688172000000002</v>
      </c>
      <c r="AC515" s="7">
        <v>150</v>
      </c>
      <c r="AD515" s="7">
        <v>34.259391999999998</v>
      </c>
      <c r="AE515" s="7">
        <v>45.679189000000001</v>
      </c>
      <c r="AF515" s="7">
        <v>100</v>
      </c>
      <c r="AG515" s="7">
        <v>34.779093000000003</v>
      </c>
      <c r="AH515" s="4" t="s">
        <v>124</v>
      </c>
      <c r="AI515" s="7">
        <v>46.372123999999999</v>
      </c>
      <c r="AJ515" s="7">
        <v>100</v>
      </c>
      <c r="AK515" s="4" t="s">
        <v>124</v>
      </c>
      <c r="AL515" s="4" t="s">
        <v>124</v>
      </c>
      <c r="AM515" s="4" t="s">
        <v>124</v>
      </c>
      <c r="AN515" s="4" t="s">
        <v>124</v>
      </c>
      <c r="AO515" s="4" t="s">
        <v>124</v>
      </c>
      <c r="AP515" s="4" t="s">
        <v>124</v>
      </c>
      <c r="AQ515" s="4" t="s">
        <v>124</v>
      </c>
      <c r="AR515" s="4" t="s">
        <v>124</v>
      </c>
      <c r="AS515" s="4" t="s">
        <v>124</v>
      </c>
      <c r="AT515" s="4" t="s">
        <v>124</v>
      </c>
      <c r="AU515" s="4" t="s">
        <v>124</v>
      </c>
      <c r="AV515" s="4" t="s">
        <v>124</v>
      </c>
      <c r="AW515" s="4" t="s">
        <v>124</v>
      </c>
      <c r="AX515" s="4" t="s">
        <v>124</v>
      </c>
      <c r="AY515" s="4" t="s">
        <v>124</v>
      </c>
      <c r="AZ515" s="4" t="s">
        <v>124</v>
      </c>
      <c r="BA515" s="4" t="s">
        <v>124</v>
      </c>
      <c r="BB515" s="7">
        <v>0.37273099999999998</v>
      </c>
      <c r="BC515" s="7">
        <v>18.636541999999999</v>
      </c>
      <c r="BD515" s="7">
        <v>50</v>
      </c>
      <c r="BE515" s="7">
        <v>0.485904</v>
      </c>
      <c r="BF515" s="7">
        <v>24.295186000000001</v>
      </c>
      <c r="BG515" s="7">
        <v>50</v>
      </c>
      <c r="BH515" s="7">
        <v>1</v>
      </c>
      <c r="BI515" s="7">
        <v>0.63380300000000001</v>
      </c>
      <c r="BJ515" s="7">
        <v>0.61904800000000004</v>
      </c>
      <c r="BK515" s="4" t="s">
        <v>124</v>
      </c>
      <c r="BL515" s="7">
        <v>0.63380300000000001</v>
      </c>
      <c r="BM515" s="7">
        <v>0.61904800000000004</v>
      </c>
      <c r="BN515" s="4" t="s">
        <v>124</v>
      </c>
      <c r="BO515" s="7">
        <v>0.78873199999999999</v>
      </c>
      <c r="BP515" s="7">
        <v>0.77777799999999997</v>
      </c>
      <c r="BQ515" s="4" t="s">
        <v>124</v>
      </c>
      <c r="BR515" s="7">
        <v>0.71831</v>
      </c>
      <c r="BS515" s="7">
        <v>0</v>
      </c>
      <c r="BT515" s="7">
        <v>50</v>
      </c>
      <c r="BU515" s="7">
        <v>0.73846199999999995</v>
      </c>
      <c r="BV515" s="7">
        <v>0</v>
      </c>
      <c r="BW515" s="7">
        <v>50</v>
      </c>
      <c r="BX515" s="7">
        <v>0.38888899999999998</v>
      </c>
      <c r="BY515" s="7">
        <v>25.925926</v>
      </c>
      <c r="BZ515" s="7">
        <v>50</v>
      </c>
      <c r="CA515" s="7">
        <v>6.9439999999999997E-3</v>
      </c>
      <c r="CB515" s="7">
        <v>0.46296300000000001</v>
      </c>
      <c r="CC515" s="7">
        <v>50</v>
      </c>
      <c r="CD515" s="7">
        <v>0.51219499999999996</v>
      </c>
      <c r="CE515" s="7">
        <v>27.244420999999999</v>
      </c>
      <c r="CF515" s="7">
        <v>50</v>
      </c>
      <c r="CG515" s="7">
        <v>0.59574499999999997</v>
      </c>
      <c r="CH515" s="7">
        <v>63.377094</v>
      </c>
      <c r="CI515" s="7">
        <v>100</v>
      </c>
      <c r="CJ515" s="7">
        <v>0</v>
      </c>
      <c r="CK515" s="7">
        <v>0.663636</v>
      </c>
      <c r="CL515" s="7">
        <v>70.599613000000005</v>
      </c>
      <c r="CM515" s="7">
        <v>100</v>
      </c>
      <c r="CN515" s="7">
        <v>0.52381</v>
      </c>
      <c r="CO515" s="7">
        <v>69.841269999999994</v>
      </c>
      <c r="CP515" s="7">
        <v>100</v>
      </c>
      <c r="CQ515" s="7">
        <v>0.17948700000000001</v>
      </c>
      <c r="CR515" s="7">
        <v>0.88636400000000004</v>
      </c>
      <c r="CS515" s="7">
        <v>5.9829059999999998</v>
      </c>
      <c r="CT515" s="7">
        <v>50</v>
      </c>
      <c r="CU515" s="7">
        <v>0.58309900000000003</v>
      </c>
      <c r="CV515" s="7">
        <v>48.591549000000001</v>
      </c>
      <c r="CW515" s="7">
        <v>50</v>
      </c>
      <c r="CX515" s="7">
        <v>0.663636</v>
      </c>
      <c r="CY515" s="4" t="s">
        <v>124</v>
      </c>
      <c r="CZ515" s="4" t="s">
        <v>124</v>
      </c>
      <c r="DA515" s="7">
        <v>15.314097</v>
      </c>
      <c r="DB515" s="7">
        <v>17.400950000000002</v>
      </c>
      <c r="DC515" s="7">
        <v>16.332519999999999</v>
      </c>
      <c r="DD515" s="7">
        <v>7.9891730000000001</v>
      </c>
      <c r="DE515" s="7">
        <v>1</v>
      </c>
      <c r="DF515" s="4" t="s">
        <v>375</v>
      </c>
      <c r="DG515" s="4" t="s">
        <v>376</v>
      </c>
      <c r="DH515" s="6"/>
      <c r="DI515" s="6"/>
      <c r="DJ515" s="7">
        <v>0</v>
      </c>
      <c r="DK515" s="7">
        <v>0</v>
      </c>
      <c r="DL515" s="7">
        <v>0</v>
      </c>
      <c r="DM515" s="7">
        <v>0</v>
      </c>
      <c r="DN515" s="7">
        <v>0</v>
      </c>
      <c r="DO515" s="7">
        <v>0</v>
      </c>
      <c r="DP515" s="6"/>
      <c r="DQ515" s="4" t="s">
        <v>125</v>
      </c>
    </row>
    <row r="516" spans="1:121" ht="20" customHeight="1" x14ac:dyDescent="0.15">
      <c r="A516" s="5">
        <v>2018</v>
      </c>
      <c r="B516" s="3" t="s">
        <v>286</v>
      </c>
      <c r="C516" s="4" t="str">
        <f t="shared" si="211"/>
        <v>0640011</v>
      </c>
      <c r="D516" s="4" t="s">
        <v>673</v>
      </c>
      <c r="E516" s="4" t="str">
        <f>"0645411"</f>
        <v>0645411</v>
      </c>
      <c r="F516" s="4" t="s">
        <v>327</v>
      </c>
      <c r="G516" s="7">
        <v>6</v>
      </c>
      <c r="H516" s="7">
        <v>12</v>
      </c>
      <c r="I516" s="4" t="s">
        <v>335</v>
      </c>
      <c r="J516" s="4" t="s">
        <v>330</v>
      </c>
      <c r="K516" s="7">
        <v>980.99220300000002</v>
      </c>
      <c r="L516" s="7">
        <v>1450</v>
      </c>
      <c r="M516" s="7">
        <v>67.654634999999999</v>
      </c>
      <c r="N516" s="7">
        <v>3</v>
      </c>
      <c r="O516" s="7">
        <v>1</v>
      </c>
      <c r="P516" s="7">
        <v>55.869928000000002</v>
      </c>
      <c r="Q516" s="7">
        <v>37.246619000000003</v>
      </c>
      <c r="R516" s="7">
        <v>50</v>
      </c>
      <c r="S516" s="7">
        <v>50.231104999999999</v>
      </c>
      <c r="T516" s="7">
        <v>68.998701999999994</v>
      </c>
      <c r="U516" s="7">
        <v>33.487403999999998</v>
      </c>
      <c r="V516" s="7">
        <v>50</v>
      </c>
      <c r="W516" s="7">
        <v>49.029566000000003</v>
      </c>
      <c r="X516" s="7">
        <v>32.686377</v>
      </c>
      <c r="Y516" s="7">
        <v>50</v>
      </c>
      <c r="Z516" s="7">
        <v>62.061978000000003</v>
      </c>
      <c r="AA516" s="7">
        <v>43.362048999999999</v>
      </c>
      <c r="AB516" s="7">
        <v>28.908033</v>
      </c>
      <c r="AC516" s="7">
        <v>50</v>
      </c>
      <c r="AD516" s="7">
        <v>54.779175000000002</v>
      </c>
      <c r="AE516" s="7">
        <v>36.519449999999999</v>
      </c>
      <c r="AF516" s="7">
        <v>50</v>
      </c>
      <c r="AG516" s="7">
        <v>51.706569999999999</v>
      </c>
      <c r="AH516" s="7">
        <v>61.812024999999998</v>
      </c>
      <c r="AI516" s="7">
        <v>34.471046999999999</v>
      </c>
      <c r="AJ516" s="7">
        <v>50</v>
      </c>
      <c r="AK516" s="7">
        <v>18.760000000000002</v>
      </c>
      <c r="AL516" s="7">
        <v>18.690000000000001</v>
      </c>
      <c r="AM516" s="7">
        <v>10.1</v>
      </c>
      <c r="AN516" s="7">
        <v>0.48927399999999999</v>
      </c>
      <c r="AO516" s="7">
        <v>48.927351000000002</v>
      </c>
      <c r="AP516" s="7">
        <v>100</v>
      </c>
      <c r="AQ516" s="7">
        <v>0.385689</v>
      </c>
      <c r="AR516" s="7">
        <v>38.568911</v>
      </c>
      <c r="AS516" s="7">
        <v>100</v>
      </c>
      <c r="AT516" s="7">
        <v>0.48499799999999998</v>
      </c>
      <c r="AU516" s="7">
        <v>0.499836</v>
      </c>
      <c r="AV516" s="7">
        <v>48.499752000000001</v>
      </c>
      <c r="AW516" s="7">
        <v>100</v>
      </c>
      <c r="AX516" s="7">
        <v>0.39233600000000002</v>
      </c>
      <c r="AY516" s="7">
        <v>0.36938300000000002</v>
      </c>
      <c r="AZ516" s="7">
        <v>39.233559</v>
      </c>
      <c r="BA516" s="7">
        <v>100</v>
      </c>
      <c r="BB516" s="7">
        <v>0.54959499999999994</v>
      </c>
      <c r="BC516" s="7">
        <v>27.479745000000001</v>
      </c>
      <c r="BD516" s="7">
        <v>50</v>
      </c>
      <c r="BE516" s="7">
        <v>0.47035500000000002</v>
      </c>
      <c r="BF516" s="7">
        <v>23.517731999999999</v>
      </c>
      <c r="BG516" s="7">
        <v>50</v>
      </c>
      <c r="BH516" s="7">
        <v>0</v>
      </c>
      <c r="BI516" s="7">
        <v>0.989537</v>
      </c>
      <c r="BJ516" s="7">
        <v>0.98513799999999996</v>
      </c>
      <c r="BK516" s="7">
        <v>1</v>
      </c>
      <c r="BL516" s="7">
        <v>0.97608399999999995</v>
      </c>
      <c r="BM516" s="7">
        <v>0.96815300000000004</v>
      </c>
      <c r="BN516" s="7">
        <v>0.99494899999999997</v>
      </c>
      <c r="BO516" s="7">
        <v>0.97385600000000005</v>
      </c>
      <c r="BP516" s="7">
        <v>0.96744200000000002</v>
      </c>
      <c r="BQ516" s="7">
        <v>0.98901099999999997</v>
      </c>
      <c r="BR516" s="7">
        <v>0.106654</v>
      </c>
      <c r="BS516" s="7">
        <v>38.669276000000004</v>
      </c>
      <c r="BT516" s="7">
        <v>50</v>
      </c>
      <c r="BU516" s="7">
        <v>0.13286700000000001</v>
      </c>
      <c r="BV516" s="7">
        <v>33.426572999999998</v>
      </c>
      <c r="BW516" s="7">
        <v>50</v>
      </c>
      <c r="BX516" s="7">
        <v>0.54545500000000002</v>
      </c>
      <c r="BY516" s="7">
        <v>36.363636</v>
      </c>
      <c r="BZ516" s="7">
        <v>50</v>
      </c>
      <c r="CA516" s="7">
        <v>0.35</v>
      </c>
      <c r="CB516" s="7">
        <v>23.333333</v>
      </c>
      <c r="CC516" s="7">
        <v>50</v>
      </c>
      <c r="CD516" s="7">
        <v>0.87683299999999997</v>
      </c>
      <c r="CE516" s="7">
        <v>46.640045000000001</v>
      </c>
      <c r="CF516" s="7">
        <v>50</v>
      </c>
      <c r="CG516" s="7">
        <v>0.91304300000000005</v>
      </c>
      <c r="CH516" s="7">
        <v>97.132284999999996</v>
      </c>
      <c r="CI516" s="7">
        <v>100</v>
      </c>
      <c r="CJ516" s="7">
        <v>0</v>
      </c>
      <c r="CK516" s="7">
        <v>0.93103400000000003</v>
      </c>
      <c r="CL516" s="7">
        <v>99.046222</v>
      </c>
      <c r="CM516" s="7">
        <v>100</v>
      </c>
      <c r="CN516" s="7">
        <v>0.70786499999999997</v>
      </c>
      <c r="CO516" s="7">
        <v>94.382022000000006</v>
      </c>
      <c r="CP516" s="7">
        <v>100</v>
      </c>
      <c r="CQ516" s="7">
        <v>0.486792</v>
      </c>
      <c r="CR516" s="7">
        <v>1.159737</v>
      </c>
      <c r="CS516" s="7">
        <v>32.452829999999999</v>
      </c>
      <c r="CT516" s="7">
        <v>50</v>
      </c>
      <c r="CU516" s="7">
        <v>0.88421099999999997</v>
      </c>
      <c r="CV516" s="7">
        <v>50</v>
      </c>
      <c r="CW516" s="7">
        <v>50</v>
      </c>
      <c r="CX516" s="7">
        <v>0.93103400000000003</v>
      </c>
      <c r="CY516" s="7">
        <v>0.94</v>
      </c>
      <c r="CZ516" s="7">
        <v>8.966E-3</v>
      </c>
      <c r="DA516" s="7">
        <v>15.314097</v>
      </c>
      <c r="DB516" s="7">
        <v>17.400950000000002</v>
      </c>
      <c r="DC516" s="7">
        <v>16.332519999999999</v>
      </c>
      <c r="DD516" s="7">
        <v>7.9891730000000001</v>
      </c>
      <c r="DE516" s="7">
        <v>1</v>
      </c>
      <c r="DF516" s="6"/>
      <c r="DG516" s="6"/>
      <c r="DH516" s="6"/>
      <c r="DI516" s="6"/>
      <c r="DJ516" s="7">
        <v>0</v>
      </c>
      <c r="DK516" s="7">
        <v>0</v>
      </c>
      <c r="DL516" s="7">
        <v>0</v>
      </c>
      <c r="DM516" s="7">
        <v>0</v>
      </c>
      <c r="DN516" s="7">
        <v>0</v>
      </c>
      <c r="DO516" s="7">
        <v>0</v>
      </c>
      <c r="DP516" s="6"/>
      <c r="DQ516" s="4" t="s">
        <v>125</v>
      </c>
    </row>
    <row r="517" spans="1:121" ht="20" customHeight="1" x14ac:dyDescent="0.15">
      <c r="A517" s="5">
        <v>2018</v>
      </c>
      <c r="B517" s="3" t="s">
        <v>286</v>
      </c>
      <c r="C517" s="4" t="str">
        <f t="shared" si="211"/>
        <v>0640011</v>
      </c>
      <c r="D517" s="4" t="s">
        <v>674</v>
      </c>
      <c r="E517" s="4" t="str">
        <f>"0647611"</f>
        <v>0647611</v>
      </c>
      <c r="F517" s="4" t="s">
        <v>327</v>
      </c>
      <c r="G517" s="7">
        <v>9</v>
      </c>
      <c r="H517" s="7">
        <v>12</v>
      </c>
      <c r="I517" s="4" t="s">
        <v>335</v>
      </c>
      <c r="J517" s="4" t="s">
        <v>330</v>
      </c>
      <c r="K517" s="7">
        <v>727.93141700000001</v>
      </c>
      <c r="L517" s="7">
        <v>1550</v>
      </c>
      <c r="M517" s="7">
        <v>46.963317000000004</v>
      </c>
      <c r="N517" s="7">
        <v>4</v>
      </c>
      <c r="O517" s="7">
        <v>0</v>
      </c>
      <c r="P517" s="7">
        <v>31.838889000000002</v>
      </c>
      <c r="Q517" s="7">
        <v>63.677778000000004</v>
      </c>
      <c r="R517" s="7">
        <v>150</v>
      </c>
      <c r="S517" s="7">
        <v>31.494047999999999</v>
      </c>
      <c r="T517" s="4" t="s">
        <v>124</v>
      </c>
      <c r="U517" s="7">
        <v>62.988095000000001</v>
      </c>
      <c r="V517" s="7">
        <v>150</v>
      </c>
      <c r="W517" s="7">
        <v>29.638888999999999</v>
      </c>
      <c r="X517" s="7">
        <v>59.277777999999998</v>
      </c>
      <c r="Y517" s="7">
        <v>150</v>
      </c>
      <c r="Z517" s="4" t="s">
        <v>124</v>
      </c>
      <c r="AA517" s="7">
        <v>29.922619000000001</v>
      </c>
      <c r="AB517" s="7">
        <v>59.845238000000002</v>
      </c>
      <c r="AC517" s="7">
        <v>150</v>
      </c>
      <c r="AD517" s="7">
        <v>36.029777000000003</v>
      </c>
      <c r="AE517" s="7">
        <v>48.039701999999998</v>
      </c>
      <c r="AF517" s="7">
        <v>100</v>
      </c>
      <c r="AG517" s="7">
        <v>36.267904999999999</v>
      </c>
      <c r="AH517" s="4" t="s">
        <v>124</v>
      </c>
      <c r="AI517" s="7">
        <v>48.357205999999998</v>
      </c>
      <c r="AJ517" s="7">
        <v>100</v>
      </c>
      <c r="AK517" s="4" t="s">
        <v>124</v>
      </c>
      <c r="AL517" s="4" t="s">
        <v>124</v>
      </c>
      <c r="AM517" s="4" t="s">
        <v>124</v>
      </c>
      <c r="AN517" s="4" t="s">
        <v>124</v>
      </c>
      <c r="AO517" s="4" t="s">
        <v>124</v>
      </c>
      <c r="AP517" s="4" t="s">
        <v>124</v>
      </c>
      <c r="AQ517" s="4" t="s">
        <v>124</v>
      </c>
      <c r="AR517" s="4" t="s">
        <v>124</v>
      </c>
      <c r="AS517" s="4" t="s">
        <v>124</v>
      </c>
      <c r="AT517" s="4" t="s">
        <v>124</v>
      </c>
      <c r="AU517" s="4" t="s">
        <v>124</v>
      </c>
      <c r="AV517" s="4" t="s">
        <v>124</v>
      </c>
      <c r="AW517" s="4" t="s">
        <v>124</v>
      </c>
      <c r="AX517" s="4" t="s">
        <v>124</v>
      </c>
      <c r="AY517" s="4" t="s">
        <v>124</v>
      </c>
      <c r="AZ517" s="4" t="s">
        <v>124</v>
      </c>
      <c r="BA517" s="4" t="s">
        <v>124</v>
      </c>
      <c r="BB517" s="7">
        <v>0.356626</v>
      </c>
      <c r="BC517" s="7">
        <v>17.831288000000001</v>
      </c>
      <c r="BD517" s="7">
        <v>50</v>
      </c>
      <c r="BE517" s="7">
        <v>0.25342399999999998</v>
      </c>
      <c r="BF517" s="7">
        <v>12.671181000000001</v>
      </c>
      <c r="BG517" s="7">
        <v>50</v>
      </c>
      <c r="BH517" s="7">
        <v>1</v>
      </c>
      <c r="BI517" s="7">
        <v>0.83333299999999999</v>
      </c>
      <c r="BJ517" s="7">
        <v>0.86486499999999999</v>
      </c>
      <c r="BK517" s="4" t="s">
        <v>124</v>
      </c>
      <c r="BL517" s="7">
        <v>0.83333299999999999</v>
      </c>
      <c r="BM517" s="7">
        <v>0.86486499999999999</v>
      </c>
      <c r="BN517" s="4" t="s">
        <v>124</v>
      </c>
      <c r="BO517" s="7">
        <v>0.90243899999999999</v>
      </c>
      <c r="BP517" s="7">
        <v>0.91666700000000001</v>
      </c>
      <c r="BQ517" s="4" t="s">
        <v>124</v>
      </c>
      <c r="BR517" s="7">
        <v>0.61780100000000004</v>
      </c>
      <c r="BS517" s="7">
        <v>0</v>
      </c>
      <c r="BT517" s="7">
        <v>50</v>
      </c>
      <c r="BU517" s="7">
        <v>0.668605</v>
      </c>
      <c r="BV517" s="7">
        <v>0</v>
      </c>
      <c r="BW517" s="7">
        <v>50</v>
      </c>
      <c r="BX517" s="7">
        <v>0.85555599999999998</v>
      </c>
      <c r="BY517" s="7">
        <v>50</v>
      </c>
      <c r="BZ517" s="7">
        <v>50</v>
      </c>
      <c r="CA517" s="7">
        <v>1.1110999999999999E-2</v>
      </c>
      <c r="CB517" s="7">
        <v>0.74074099999999998</v>
      </c>
      <c r="CC517" s="7">
        <v>50</v>
      </c>
      <c r="CD517" s="7">
        <v>0.34615400000000002</v>
      </c>
      <c r="CE517" s="7">
        <v>18.412438999999999</v>
      </c>
      <c r="CF517" s="7">
        <v>50</v>
      </c>
      <c r="CG517" s="7">
        <v>0.61224500000000004</v>
      </c>
      <c r="CH517" s="7">
        <v>65.132435999999998</v>
      </c>
      <c r="CI517" s="7">
        <v>100</v>
      </c>
      <c r="CJ517" s="7">
        <v>0</v>
      </c>
      <c r="CK517" s="7">
        <v>0.894737</v>
      </c>
      <c r="CL517" s="7">
        <v>95.18477</v>
      </c>
      <c r="CM517" s="7">
        <v>100</v>
      </c>
      <c r="CN517" s="7">
        <v>0.47619</v>
      </c>
      <c r="CO517" s="7">
        <v>63.492063000000002</v>
      </c>
      <c r="CP517" s="7">
        <v>100</v>
      </c>
      <c r="CQ517" s="7">
        <v>0.18421100000000001</v>
      </c>
      <c r="CR517" s="7">
        <v>1.5510200000000001</v>
      </c>
      <c r="CS517" s="7">
        <v>12.280702</v>
      </c>
      <c r="CT517" s="7">
        <v>50</v>
      </c>
      <c r="CU517" s="7">
        <v>0.63874299999999995</v>
      </c>
      <c r="CV517" s="7">
        <v>50</v>
      </c>
      <c r="CW517" s="7">
        <v>50</v>
      </c>
      <c r="CX517" s="7">
        <v>0.894737</v>
      </c>
      <c r="CY517" s="4" t="s">
        <v>124</v>
      </c>
      <c r="CZ517" s="4" t="s">
        <v>124</v>
      </c>
      <c r="DA517" s="7">
        <v>15.314097</v>
      </c>
      <c r="DB517" s="7">
        <v>17.400950000000002</v>
      </c>
      <c r="DC517" s="7">
        <v>16.332519999999999</v>
      </c>
      <c r="DD517" s="7">
        <v>7.9891730000000001</v>
      </c>
      <c r="DE517" s="7">
        <v>1</v>
      </c>
      <c r="DF517" s="4" t="s">
        <v>384</v>
      </c>
      <c r="DG517" s="4" t="s">
        <v>385</v>
      </c>
      <c r="DH517" s="6"/>
      <c r="DI517" s="6"/>
      <c r="DJ517" s="7">
        <v>0</v>
      </c>
      <c r="DK517" s="7">
        <v>0</v>
      </c>
      <c r="DL517" s="7">
        <v>0</v>
      </c>
      <c r="DM517" s="7">
        <v>0</v>
      </c>
      <c r="DN517" s="7">
        <v>0</v>
      </c>
      <c r="DO517" s="7">
        <v>0</v>
      </c>
      <c r="DP517" s="6"/>
      <c r="DQ517" s="4" t="s">
        <v>125</v>
      </c>
    </row>
    <row r="518" spans="1:121" ht="20" customHeight="1" x14ac:dyDescent="0.15">
      <c r="A518" s="5">
        <v>2018</v>
      </c>
      <c r="B518" s="3" t="s">
        <v>286</v>
      </c>
      <c r="C518" s="4" t="str">
        <f t="shared" si="211"/>
        <v>0640011</v>
      </c>
      <c r="D518" s="4" t="s">
        <v>675</v>
      </c>
      <c r="E518" s="4" t="str">
        <f>"0647711"</f>
        <v>0647711</v>
      </c>
      <c r="F518" s="4" t="s">
        <v>327</v>
      </c>
      <c r="G518" s="7">
        <v>9</v>
      </c>
      <c r="H518" s="7">
        <v>12</v>
      </c>
      <c r="I518" s="4" t="s">
        <v>335</v>
      </c>
      <c r="J518" s="4" t="s">
        <v>330</v>
      </c>
      <c r="K518" s="7">
        <v>702.93456600000002</v>
      </c>
      <c r="L518" s="7">
        <v>1350</v>
      </c>
      <c r="M518" s="7">
        <v>52.069226999999998</v>
      </c>
      <c r="N518" s="7">
        <v>4</v>
      </c>
      <c r="O518" s="7">
        <v>0</v>
      </c>
      <c r="P518" s="7">
        <v>40.991453</v>
      </c>
      <c r="Q518" s="7">
        <v>81.982906</v>
      </c>
      <c r="R518" s="7">
        <v>150</v>
      </c>
      <c r="S518" s="7">
        <v>41.555556000000003</v>
      </c>
      <c r="T518" s="4" t="s">
        <v>124</v>
      </c>
      <c r="U518" s="7">
        <v>83.111110999999994</v>
      </c>
      <c r="V518" s="7">
        <v>150</v>
      </c>
      <c r="W518" s="7">
        <v>35.797009000000003</v>
      </c>
      <c r="X518" s="7">
        <v>71.594016999999994</v>
      </c>
      <c r="Y518" s="7">
        <v>150</v>
      </c>
      <c r="Z518" s="4" t="s">
        <v>124</v>
      </c>
      <c r="AA518" s="7">
        <v>36.544443999999999</v>
      </c>
      <c r="AB518" s="7">
        <v>73.088888999999995</v>
      </c>
      <c r="AC518" s="7">
        <v>150</v>
      </c>
      <c r="AD518" s="7">
        <v>41.776240999999999</v>
      </c>
      <c r="AE518" s="7">
        <v>55.701655000000002</v>
      </c>
      <c r="AF518" s="7">
        <v>100</v>
      </c>
      <c r="AG518" s="7">
        <v>41.858336999999999</v>
      </c>
      <c r="AH518" s="4" t="s">
        <v>124</v>
      </c>
      <c r="AI518" s="7">
        <v>55.811115999999998</v>
      </c>
      <c r="AJ518" s="7">
        <v>100</v>
      </c>
      <c r="AK518" s="4" t="s">
        <v>124</v>
      </c>
      <c r="AL518" s="4" t="s">
        <v>124</v>
      </c>
      <c r="AM518" s="4" t="s">
        <v>124</v>
      </c>
      <c r="AN518" s="4" t="s">
        <v>124</v>
      </c>
      <c r="AO518" s="4" t="s">
        <v>124</v>
      </c>
      <c r="AP518" s="4" t="s">
        <v>124</v>
      </c>
      <c r="AQ518" s="4" t="s">
        <v>124</v>
      </c>
      <c r="AR518" s="4" t="s">
        <v>124</v>
      </c>
      <c r="AS518" s="4" t="s">
        <v>124</v>
      </c>
      <c r="AT518" s="4" t="s">
        <v>124</v>
      </c>
      <c r="AU518" s="4" t="s">
        <v>124</v>
      </c>
      <c r="AV518" s="4" t="s">
        <v>124</v>
      </c>
      <c r="AW518" s="4" t="s">
        <v>124</v>
      </c>
      <c r="AX518" s="4" t="s">
        <v>124</v>
      </c>
      <c r="AY518" s="4" t="s">
        <v>124</v>
      </c>
      <c r="AZ518" s="4" t="s">
        <v>124</v>
      </c>
      <c r="BA518" s="4" t="s">
        <v>124</v>
      </c>
      <c r="BB518" s="4" t="s">
        <v>124</v>
      </c>
      <c r="BC518" s="4" t="s">
        <v>124</v>
      </c>
      <c r="BD518" s="4" t="s">
        <v>124</v>
      </c>
      <c r="BE518" s="4" t="s">
        <v>124</v>
      </c>
      <c r="BF518" s="4" t="s">
        <v>124</v>
      </c>
      <c r="BG518" s="4" t="s">
        <v>124</v>
      </c>
      <c r="BH518" s="7">
        <v>1</v>
      </c>
      <c r="BI518" s="7">
        <v>0.88235300000000005</v>
      </c>
      <c r="BJ518" s="7">
        <v>0.84615399999999996</v>
      </c>
      <c r="BK518" s="4" t="s">
        <v>124</v>
      </c>
      <c r="BL518" s="7">
        <v>0.88235300000000005</v>
      </c>
      <c r="BM518" s="7">
        <v>0.84615399999999996</v>
      </c>
      <c r="BN518" s="4" t="s">
        <v>124</v>
      </c>
      <c r="BO518" s="7">
        <v>0.94117600000000001</v>
      </c>
      <c r="BP518" s="7">
        <v>0.92307700000000004</v>
      </c>
      <c r="BQ518" s="4" t="s">
        <v>124</v>
      </c>
      <c r="BR518" s="7">
        <v>0.53896100000000002</v>
      </c>
      <c r="BS518" s="7">
        <v>0</v>
      </c>
      <c r="BT518" s="7">
        <v>50</v>
      </c>
      <c r="BU518" s="7">
        <v>0.57037000000000004</v>
      </c>
      <c r="BV518" s="7">
        <v>0</v>
      </c>
      <c r="BW518" s="7">
        <v>50</v>
      </c>
      <c r="BX518" s="7">
        <v>0.868421</v>
      </c>
      <c r="BY518" s="7">
        <v>50</v>
      </c>
      <c r="BZ518" s="7">
        <v>50</v>
      </c>
      <c r="CA518" s="7">
        <v>1.3158E-2</v>
      </c>
      <c r="CB518" s="7">
        <v>0.877193</v>
      </c>
      <c r="CC518" s="7">
        <v>50</v>
      </c>
      <c r="CD518" s="7">
        <v>0.61764699999999995</v>
      </c>
      <c r="CE518" s="7">
        <v>32.853566999999998</v>
      </c>
      <c r="CF518" s="7">
        <v>50</v>
      </c>
      <c r="CG518" s="7">
        <v>0.78571400000000002</v>
      </c>
      <c r="CH518" s="7">
        <v>83.586625999999995</v>
      </c>
      <c r="CI518" s="7">
        <v>100</v>
      </c>
      <c r="CJ518" s="4" t="s">
        <v>124</v>
      </c>
      <c r="CK518" s="4" t="s">
        <v>124</v>
      </c>
      <c r="CL518" s="4" t="s">
        <v>124</v>
      </c>
      <c r="CM518" s="4" t="s">
        <v>124</v>
      </c>
      <c r="CN518" s="7">
        <v>0.33333299999999999</v>
      </c>
      <c r="CO518" s="7">
        <v>44.444443999999997</v>
      </c>
      <c r="CP518" s="7">
        <v>100</v>
      </c>
      <c r="CQ518" s="7">
        <v>0.29824600000000001</v>
      </c>
      <c r="CR518" s="7">
        <v>1.295455</v>
      </c>
      <c r="CS518" s="7">
        <v>19.883040999999999</v>
      </c>
      <c r="CT518" s="7">
        <v>50</v>
      </c>
      <c r="CU518" s="7">
        <v>0.81168799999999997</v>
      </c>
      <c r="CV518" s="7">
        <v>50</v>
      </c>
      <c r="CW518" s="7">
        <v>50</v>
      </c>
      <c r="CX518" s="4" t="s">
        <v>124</v>
      </c>
      <c r="CY518" s="4" t="s">
        <v>124</v>
      </c>
      <c r="CZ518" s="4" t="s">
        <v>124</v>
      </c>
      <c r="DA518" s="7">
        <v>15.314097</v>
      </c>
      <c r="DB518" s="7">
        <v>17.400950000000002</v>
      </c>
      <c r="DC518" s="7">
        <v>16.332519999999999</v>
      </c>
      <c r="DD518" s="4" t="s">
        <v>124</v>
      </c>
      <c r="DE518" s="7">
        <v>1</v>
      </c>
      <c r="DF518" s="4" t="s">
        <v>384</v>
      </c>
      <c r="DG518" s="4" t="s">
        <v>385</v>
      </c>
      <c r="DH518" s="6"/>
      <c r="DI518" s="6"/>
      <c r="DJ518" s="7">
        <v>0</v>
      </c>
      <c r="DK518" s="7">
        <v>0</v>
      </c>
      <c r="DL518" s="7">
        <v>0</v>
      </c>
      <c r="DM518" s="7">
        <v>0</v>
      </c>
      <c r="DN518" s="7">
        <v>0</v>
      </c>
      <c r="DO518" s="7">
        <v>0</v>
      </c>
      <c r="DP518" s="6"/>
      <c r="DQ518" s="4" t="s">
        <v>125</v>
      </c>
    </row>
    <row r="519" spans="1:121" ht="20" customHeight="1" x14ac:dyDescent="0.15">
      <c r="A519" s="5">
        <v>2018</v>
      </c>
      <c r="B519" s="3" t="s">
        <v>286</v>
      </c>
      <c r="C519" s="4" t="str">
        <f t="shared" si="211"/>
        <v>0640011</v>
      </c>
      <c r="D519" s="4" t="s">
        <v>676</v>
      </c>
      <c r="E519" s="4" t="str">
        <f>"0641011"</f>
        <v>0641011</v>
      </c>
      <c r="F519" s="4" t="s">
        <v>327</v>
      </c>
      <c r="G519" s="4" t="s">
        <v>328</v>
      </c>
      <c r="H519" s="7">
        <v>8</v>
      </c>
      <c r="I519" s="4" t="s">
        <v>335</v>
      </c>
      <c r="J519" s="4" t="s">
        <v>330</v>
      </c>
      <c r="K519" s="7">
        <v>571.77551500000004</v>
      </c>
      <c r="L519" s="7">
        <v>1000</v>
      </c>
      <c r="M519" s="7">
        <v>57.177551000000001</v>
      </c>
      <c r="N519" s="7">
        <v>3</v>
      </c>
      <c r="O519" s="7">
        <v>0</v>
      </c>
      <c r="P519" s="7">
        <v>52.105072999999997</v>
      </c>
      <c r="Q519" s="7">
        <v>34.736714999999997</v>
      </c>
      <c r="R519" s="7">
        <v>50</v>
      </c>
      <c r="S519" s="7">
        <v>51.676256000000002</v>
      </c>
      <c r="T519" s="4" t="s">
        <v>124</v>
      </c>
      <c r="U519" s="7">
        <v>34.450837</v>
      </c>
      <c r="V519" s="7">
        <v>50</v>
      </c>
      <c r="W519" s="7">
        <v>46.079473</v>
      </c>
      <c r="X519" s="7">
        <v>30.719649</v>
      </c>
      <c r="Y519" s="7">
        <v>50</v>
      </c>
      <c r="Z519" s="4" t="s">
        <v>124</v>
      </c>
      <c r="AA519" s="7">
        <v>45.527842999999997</v>
      </c>
      <c r="AB519" s="7">
        <v>30.351894999999999</v>
      </c>
      <c r="AC519" s="7">
        <v>50</v>
      </c>
      <c r="AD519" s="7">
        <v>50.121468</v>
      </c>
      <c r="AE519" s="7">
        <v>33.414312000000002</v>
      </c>
      <c r="AF519" s="7">
        <v>50</v>
      </c>
      <c r="AG519" s="7">
        <v>49.862976000000003</v>
      </c>
      <c r="AH519" s="4" t="s">
        <v>124</v>
      </c>
      <c r="AI519" s="7">
        <v>33.241984000000002</v>
      </c>
      <c r="AJ519" s="7">
        <v>50</v>
      </c>
      <c r="AK519" s="4" t="s">
        <v>124</v>
      </c>
      <c r="AL519" s="4" t="s">
        <v>124</v>
      </c>
      <c r="AM519" s="4" t="s">
        <v>124</v>
      </c>
      <c r="AN519" s="7">
        <v>0.53149599999999997</v>
      </c>
      <c r="AO519" s="7">
        <v>53.149610000000003</v>
      </c>
      <c r="AP519" s="7">
        <v>100</v>
      </c>
      <c r="AQ519" s="7">
        <v>0.40493400000000002</v>
      </c>
      <c r="AR519" s="7">
        <v>40.493442000000002</v>
      </c>
      <c r="AS519" s="7">
        <v>100</v>
      </c>
      <c r="AT519" s="7">
        <v>0.52566599999999997</v>
      </c>
      <c r="AU519" s="4" t="s">
        <v>124</v>
      </c>
      <c r="AV519" s="7">
        <v>52.56662</v>
      </c>
      <c r="AW519" s="7">
        <v>100</v>
      </c>
      <c r="AX519" s="7">
        <v>0.39796900000000002</v>
      </c>
      <c r="AY519" s="4" t="s">
        <v>124</v>
      </c>
      <c r="AZ519" s="7">
        <v>39.796883000000001</v>
      </c>
      <c r="BA519" s="7">
        <v>100</v>
      </c>
      <c r="BB519" s="7">
        <v>0.56724799999999997</v>
      </c>
      <c r="BC519" s="7">
        <v>28.362379000000001</v>
      </c>
      <c r="BD519" s="7">
        <v>50</v>
      </c>
      <c r="BE519" s="7">
        <v>0.42559900000000001</v>
      </c>
      <c r="BF519" s="7">
        <v>21.279927000000001</v>
      </c>
      <c r="BG519" s="7">
        <v>50</v>
      </c>
      <c r="BH519" s="7">
        <v>0</v>
      </c>
      <c r="BI519" s="7">
        <v>0.99058800000000002</v>
      </c>
      <c r="BJ519" s="7">
        <v>0.99</v>
      </c>
      <c r="BK519" s="7">
        <v>1</v>
      </c>
      <c r="BL519" s="7">
        <v>0.98823499999999997</v>
      </c>
      <c r="BM519" s="7">
        <v>0.98750000000000004</v>
      </c>
      <c r="BN519" s="7">
        <v>1</v>
      </c>
      <c r="BO519" s="7">
        <v>0.98449600000000004</v>
      </c>
      <c r="BP519" s="7">
        <v>0.98347099999999998</v>
      </c>
      <c r="BQ519" s="4" t="s">
        <v>124</v>
      </c>
      <c r="BR519" s="7">
        <v>0.15231800000000001</v>
      </c>
      <c r="BS519" s="7">
        <v>29.536424</v>
      </c>
      <c r="BT519" s="7">
        <v>50</v>
      </c>
      <c r="BU519" s="7">
        <v>0.15937000000000001</v>
      </c>
      <c r="BV519" s="7">
        <v>28.126094999999999</v>
      </c>
      <c r="BW519" s="7">
        <v>50</v>
      </c>
      <c r="BX519" s="4" t="s">
        <v>124</v>
      </c>
      <c r="BY519" s="4" t="s">
        <v>124</v>
      </c>
      <c r="BZ519" s="4" t="s">
        <v>124</v>
      </c>
      <c r="CA519" s="4" t="s">
        <v>124</v>
      </c>
      <c r="CB519" s="4" t="s">
        <v>124</v>
      </c>
      <c r="CC519" s="4" t="s">
        <v>124</v>
      </c>
      <c r="CD519" s="7">
        <v>0.83018899999999995</v>
      </c>
      <c r="CE519" s="7">
        <v>44.158971999999999</v>
      </c>
      <c r="CF519" s="7">
        <v>50</v>
      </c>
      <c r="CG519" s="4" t="s">
        <v>124</v>
      </c>
      <c r="CH519" s="4" t="s">
        <v>124</v>
      </c>
      <c r="CI519" s="4" t="s">
        <v>124</v>
      </c>
      <c r="CJ519" s="4" t="s">
        <v>124</v>
      </c>
      <c r="CK519" s="4" t="s">
        <v>124</v>
      </c>
      <c r="CL519" s="4" t="s">
        <v>124</v>
      </c>
      <c r="CM519" s="4" t="s">
        <v>124</v>
      </c>
      <c r="CN519" s="4" t="s">
        <v>124</v>
      </c>
      <c r="CO519" s="4" t="s">
        <v>124</v>
      </c>
      <c r="CP519" s="4" t="s">
        <v>124</v>
      </c>
      <c r="CQ519" s="7">
        <v>0.56084699999999998</v>
      </c>
      <c r="CR519" s="7">
        <v>0.984375</v>
      </c>
      <c r="CS519" s="7">
        <v>37.389771000000003</v>
      </c>
      <c r="CT519" s="7">
        <v>50</v>
      </c>
      <c r="CU519" s="4" t="s">
        <v>124</v>
      </c>
      <c r="CV519" s="4" t="s">
        <v>124</v>
      </c>
      <c r="CW519" s="4" t="s">
        <v>124</v>
      </c>
      <c r="CX519" s="4" t="s">
        <v>124</v>
      </c>
      <c r="CY519" s="4" t="s">
        <v>124</v>
      </c>
      <c r="CZ519" s="4" t="s">
        <v>124</v>
      </c>
      <c r="DA519" s="7">
        <v>15.314097</v>
      </c>
      <c r="DB519" s="7">
        <v>17.400950000000002</v>
      </c>
      <c r="DC519" s="7">
        <v>16.332519999999999</v>
      </c>
      <c r="DD519" s="4" t="s">
        <v>124</v>
      </c>
      <c r="DE519" s="7">
        <v>0</v>
      </c>
      <c r="DF519" s="6"/>
      <c r="DG519" s="6"/>
      <c r="DH519" s="6"/>
      <c r="DI519" s="6"/>
      <c r="DJ519" s="7">
        <v>0</v>
      </c>
      <c r="DK519" s="7">
        <v>0</v>
      </c>
      <c r="DL519" s="7">
        <v>0</v>
      </c>
      <c r="DM519" s="7">
        <v>0</v>
      </c>
      <c r="DN519" s="7">
        <v>0</v>
      </c>
      <c r="DO519" s="7">
        <v>0</v>
      </c>
      <c r="DP519" s="6"/>
      <c r="DQ519" s="4" t="s">
        <v>125</v>
      </c>
    </row>
    <row r="520" spans="1:121" ht="20" customHeight="1" x14ac:dyDescent="0.15">
      <c r="A520" s="5">
        <v>2018</v>
      </c>
      <c r="B520" s="3" t="s">
        <v>286</v>
      </c>
      <c r="C520" s="4" t="str">
        <f t="shared" si="211"/>
        <v>0640011</v>
      </c>
      <c r="D520" s="4" t="s">
        <v>677</v>
      </c>
      <c r="E520" s="4" t="str">
        <f>"0641111"</f>
        <v>0641111</v>
      </c>
      <c r="F520" s="4" t="s">
        <v>327</v>
      </c>
      <c r="G520" s="4" t="s">
        <v>328</v>
      </c>
      <c r="H520" s="7">
        <v>12</v>
      </c>
      <c r="I520" s="4" t="s">
        <v>335</v>
      </c>
      <c r="J520" s="4" t="s">
        <v>330</v>
      </c>
      <c r="K520" s="7">
        <v>935.54402500000003</v>
      </c>
      <c r="L520" s="7">
        <v>1450</v>
      </c>
      <c r="M520" s="7">
        <v>64.520278000000005</v>
      </c>
      <c r="N520" s="7">
        <v>3</v>
      </c>
      <c r="O520" s="7">
        <v>0</v>
      </c>
      <c r="P520" s="7">
        <v>58.075564999999997</v>
      </c>
      <c r="Q520" s="7">
        <v>38.717042999999997</v>
      </c>
      <c r="R520" s="7">
        <v>50</v>
      </c>
      <c r="S520" s="7">
        <v>56.065941000000002</v>
      </c>
      <c r="T520" s="7">
        <v>67.806374000000005</v>
      </c>
      <c r="U520" s="7">
        <v>37.377293999999999</v>
      </c>
      <c r="V520" s="7">
        <v>50</v>
      </c>
      <c r="W520" s="7">
        <v>50.807555999999998</v>
      </c>
      <c r="X520" s="7">
        <v>33.871704000000001</v>
      </c>
      <c r="Y520" s="7">
        <v>50</v>
      </c>
      <c r="Z520" s="7">
        <v>62.595109999999998</v>
      </c>
      <c r="AA520" s="7">
        <v>48.366536000000004</v>
      </c>
      <c r="AB520" s="7">
        <v>32.244357999999998</v>
      </c>
      <c r="AC520" s="7">
        <v>50</v>
      </c>
      <c r="AD520" s="7">
        <v>54.121642999999999</v>
      </c>
      <c r="AE520" s="7">
        <v>36.081094999999998</v>
      </c>
      <c r="AF520" s="7">
        <v>50</v>
      </c>
      <c r="AG520" s="7">
        <v>51.926710999999997</v>
      </c>
      <c r="AH520" s="7">
        <v>67.554626999999996</v>
      </c>
      <c r="AI520" s="7">
        <v>34.617806999999999</v>
      </c>
      <c r="AJ520" s="7">
        <v>50</v>
      </c>
      <c r="AK520" s="7">
        <v>11.74</v>
      </c>
      <c r="AL520" s="7">
        <v>14.22</v>
      </c>
      <c r="AM520" s="7">
        <v>15.62</v>
      </c>
      <c r="AN520" s="7">
        <v>0.54826799999999998</v>
      </c>
      <c r="AO520" s="7">
        <v>54.826822</v>
      </c>
      <c r="AP520" s="7">
        <v>100</v>
      </c>
      <c r="AQ520" s="7">
        <v>0.472916</v>
      </c>
      <c r="AR520" s="7">
        <v>47.291592999999999</v>
      </c>
      <c r="AS520" s="7">
        <v>100</v>
      </c>
      <c r="AT520" s="7">
        <v>0.53895700000000002</v>
      </c>
      <c r="AU520" s="7">
        <v>0.60724</v>
      </c>
      <c r="AV520" s="7">
        <v>53.895695000000003</v>
      </c>
      <c r="AW520" s="7">
        <v>100</v>
      </c>
      <c r="AX520" s="7">
        <v>0.46505099999999999</v>
      </c>
      <c r="AY520" s="7">
        <v>0.522899</v>
      </c>
      <c r="AZ520" s="7">
        <v>46.505139999999997</v>
      </c>
      <c r="BA520" s="7">
        <v>100</v>
      </c>
      <c r="BB520" s="7">
        <v>0.58303899999999997</v>
      </c>
      <c r="BC520" s="7">
        <v>29.151975</v>
      </c>
      <c r="BD520" s="7">
        <v>50</v>
      </c>
      <c r="BE520" s="7">
        <v>0.45346199999999998</v>
      </c>
      <c r="BF520" s="7">
        <v>22.673075999999998</v>
      </c>
      <c r="BG520" s="7">
        <v>50</v>
      </c>
      <c r="BH520" s="7">
        <v>0</v>
      </c>
      <c r="BI520" s="7">
        <v>0.99776799999999999</v>
      </c>
      <c r="BJ520" s="7">
        <v>0.99731199999999998</v>
      </c>
      <c r="BK520" s="7">
        <v>1</v>
      </c>
      <c r="BL520" s="7">
        <v>0.99776299999999996</v>
      </c>
      <c r="BM520" s="7">
        <v>0.997305</v>
      </c>
      <c r="BN520" s="7">
        <v>1</v>
      </c>
      <c r="BO520" s="7">
        <v>0.98342499999999999</v>
      </c>
      <c r="BP520" s="7">
        <v>0.987097</v>
      </c>
      <c r="BQ520" s="7">
        <v>0.961538</v>
      </c>
      <c r="BR520" s="7">
        <v>0.14016200000000001</v>
      </c>
      <c r="BS520" s="7">
        <v>31.967655000000001</v>
      </c>
      <c r="BT520" s="7">
        <v>50</v>
      </c>
      <c r="BU520" s="7">
        <v>0.16176499999999999</v>
      </c>
      <c r="BV520" s="7">
        <v>27.647058999999999</v>
      </c>
      <c r="BW520" s="7">
        <v>50</v>
      </c>
      <c r="BX520" s="7">
        <v>3.8462000000000003E-2</v>
      </c>
      <c r="BY520" s="7">
        <v>2.5641029999999998</v>
      </c>
      <c r="BZ520" s="7">
        <v>50</v>
      </c>
      <c r="CA520" s="7">
        <v>8.9744000000000004E-2</v>
      </c>
      <c r="CB520" s="7">
        <v>5.9829059999999998</v>
      </c>
      <c r="CC520" s="7">
        <v>50</v>
      </c>
      <c r="CD520" s="7">
        <v>0.94642899999999996</v>
      </c>
      <c r="CE520" s="7">
        <v>50</v>
      </c>
      <c r="CF520" s="7">
        <v>50</v>
      </c>
      <c r="CG520" s="7">
        <v>1</v>
      </c>
      <c r="CH520" s="7">
        <v>100</v>
      </c>
      <c r="CI520" s="7">
        <v>100</v>
      </c>
      <c r="CJ520" s="7">
        <v>0</v>
      </c>
      <c r="CK520" s="7">
        <v>0.96969700000000003</v>
      </c>
      <c r="CL520" s="7">
        <v>100</v>
      </c>
      <c r="CM520" s="7">
        <v>100</v>
      </c>
      <c r="CN520" s="7">
        <v>0.62162200000000001</v>
      </c>
      <c r="CO520" s="7">
        <v>82.882883000000007</v>
      </c>
      <c r="CP520" s="7">
        <v>100</v>
      </c>
      <c r="CQ520" s="7">
        <v>0.258687</v>
      </c>
      <c r="CR520" s="7">
        <v>1.0443549999999999</v>
      </c>
      <c r="CS520" s="7">
        <v>17.245816999999999</v>
      </c>
      <c r="CT520" s="7">
        <v>50</v>
      </c>
      <c r="CU520" s="7">
        <v>0.98275900000000005</v>
      </c>
      <c r="CV520" s="7">
        <v>50</v>
      </c>
      <c r="CW520" s="7">
        <v>50</v>
      </c>
      <c r="CX520" s="7">
        <v>0.96969700000000003</v>
      </c>
      <c r="CY520" s="4" t="s">
        <v>124</v>
      </c>
      <c r="CZ520" s="4" t="s">
        <v>124</v>
      </c>
      <c r="DA520" s="7">
        <v>15.314097</v>
      </c>
      <c r="DB520" s="7">
        <v>17.400950000000002</v>
      </c>
      <c r="DC520" s="7">
        <v>16.332519999999999</v>
      </c>
      <c r="DD520" s="7">
        <v>7.9891730000000001</v>
      </c>
      <c r="DE520" s="7">
        <v>0</v>
      </c>
      <c r="DF520" s="6"/>
      <c r="DG520" s="6"/>
      <c r="DH520" s="6"/>
      <c r="DI520" s="6"/>
      <c r="DJ520" s="7">
        <v>0</v>
      </c>
      <c r="DK520" s="7">
        <v>0</v>
      </c>
      <c r="DL520" s="7">
        <v>0</v>
      </c>
      <c r="DM520" s="7">
        <v>0</v>
      </c>
      <c r="DN520" s="7">
        <v>0</v>
      </c>
      <c r="DO520" s="7">
        <v>0</v>
      </c>
      <c r="DP520" s="6"/>
      <c r="DQ520" s="4" t="s">
        <v>125</v>
      </c>
    </row>
    <row r="521" spans="1:121" ht="20" customHeight="1" x14ac:dyDescent="0.15">
      <c r="A521" s="5">
        <v>2018</v>
      </c>
      <c r="B521" s="3" t="s">
        <v>286</v>
      </c>
      <c r="C521" s="4" t="str">
        <f t="shared" si="211"/>
        <v>0640011</v>
      </c>
      <c r="D521" s="4" t="s">
        <v>678</v>
      </c>
      <c r="E521" s="4" t="str">
        <f>"0640811"</f>
        <v>0640811</v>
      </c>
      <c r="F521" s="4" t="s">
        <v>327</v>
      </c>
      <c r="G521" s="4" t="s">
        <v>328</v>
      </c>
      <c r="H521" s="7">
        <v>8</v>
      </c>
      <c r="I521" s="4" t="s">
        <v>335</v>
      </c>
      <c r="J521" s="4" t="s">
        <v>330</v>
      </c>
      <c r="K521" s="7">
        <v>574.53725499999996</v>
      </c>
      <c r="L521" s="7">
        <v>1000</v>
      </c>
      <c r="M521" s="7">
        <v>57.453724999999999</v>
      </c>
      <c r="N521" s="7">
        <v>3</v>
      </c>
      <c r="O521" s="7">
        <v>0</v>
      </c>
      <c r="P521" s="7">
        <v>49.352896999999999</v>
      </c>
      <c r="Q521" s="7">
        <v>32.901930999999998</v>
      </c>
      <c r="R521" s="7">
        <v>50</v>
      </c>
      <c r="S521" s="7">
        <v>49.230265000000003</v>
      </c>
      <c r="T521" s="4" t="s">
        <v>124</v>
      </c>
      <c r="U521" s="7">
        <v>32.820175999999996</v>
      </c>
      <c r="V521" s="7">
        <v>50</v>
      </c>
      <c r="W521" s="7">
        <v>47.122504999999997</v>
      </c>
      <c r="X521" s="7">
        <v>31.415004</v>
      </c>
      <c r="Y521" s="7">
        <v>50</v>
      </c>
      <c r="Z521" s="4" t="s">
        <v>124</v>
      </c>
      <c r="AA521" s="7">
        <v>46.998092</v>
      </c>
      <c r="AB521" s="7">
        <v>31.332060999999999</v>
      </c>
      <c r="AC521" s="7">
        <v>50</v>
      </c>
      <c r="AD521" s="7">
        <v>48.450187999999997</v>
      </c>
      <c r="AE521" s="7">
        <v>32.300125999999999</v>
      </c>
      <c r="AF521" s="7">
        <v>50</v>
      </c>
      <c r="AG521" s="7">
        <v>48.029730000000001</v>
      </c>
      <c r="AH521" s="4" t="s">
        <v>124</v>
      </c>
      <c r="AI521" s="7">
        <v>32.019820000000003</v>
      </c>
      <c r="AJ521" s="7">
        <v>50</v>
      </c>
      <c r="AK521" s="4" t="s">
        <v>124</v>
      </c>
      <c r="AL521" s="4" t="s">
        <v>124</v>
      </c>
      <c r="AM521" s="4" t="s">
        <v>124</v>
      </c>
      <c r="AN521" s="7">
        <v>0.48902899999999999</v>
      </c>
      <c r="AO521" s="7">
        <v>48.902920000000002</v>
      </c>
      <c r="AP521" s="7">
        <v>100</v>
      </c>
      <c r="AQ521" s="7">
        <v>0.70419799999999999</v>
      </c>
      <c r="AR521" s="7">
        <v>70.419842000000003</v>
      </c>
      <c r="AS521" s="7">
        <v>100</v>
      </c>
      <c r="AT521" s="7">
        <v>0.48849399999999998</v>
      </c>
      <c r="AU521" s="4" t="s">
        <v>124</v>
      </c>
      <c r="AV521" s="7">
        <v>48.849437000000002</v>
      </c>
      <c r="AW521" s="7">
        <v>100</v>
      </c>
      <c r="AX521" s="7">
        <v>0.70225300000000002</v>
      </c>
      <c r="AY521" s="4" t="s">
        <v>124</v>
      </c>
      <c r="AZ521" s="7">
        <v>70.225302999999997</v>
      </c>
      <c r="BA521" s="7">
        <v>100</v>
      </c>
      <c r="BB521" s="7">
        <v>0.55623900000000004</v>
      </c>
      <c r="BC521" s="7">
        <v>27.811957</v>
      </c>
      <c r="BD521" s="7">
        <v>50</v>
      </c>
      <c r="BE521" s="7">
        <v>0.47883399999999998</v>
      </c>
      <c r="BF521" s="7">
        <v>23.941711999999999</v>
      </c>
      <c r="BG521" s="7">
        <v>50</v>
      </c>
      <c r="BH521" s="7">
        <v>0</v>
      </c>
      <c r="BI521" s="7">
        <v>0.99710100000000002</v>
      </c>
      <c r="BJ521" s="7">
        <v>0.99697899999999995</v>
      </c>
      <c r="BK521" s="4" t="s">
        <v>124</v>
      </c>
      <c r="BL521" s="7">
        <v>0.99416899999999997</v>
      </c>
      <c r="BM521" s="7">
        <v>0.99392100000000005</v>
      </c>
      <c r="BN521" s="4" t="s">
        <v>124</v>
      </c>
      <c r="BO521" s="7">
        <v>0.98130799999999996</v>
      </c>
      <c r="BP521" s="7">
        <v>0.98058299999999998</v>
      </c>
      <c r="BQ521" s="4" t="s">
        <v>124</v>
      </c>
      <c r="BR521" s="7">
        <v>0.26804099999999997</v>
      </c>
      <c r="BS521" s="7">
        <v>6.3917529999999996</v>
      </c>
      <c r="BT521" s="7">
        <v>50</v>
      </c>
      <c r="BU521" s="7">
        <v>0.26964300000000002</v>
      </c>
      <c r="BV521" s="7">
        <v>6.0714290000000002</v>
      </c>
      <c r="BW521" s="7">
        <v>50</v>
      </c>
      <c r="BX521" s="4" t="s">
        <v>124</v>
      </c>
      <c r="BY521" s="4" t="s">
        <v>124</v>
      </c>
      <c r="BZ521" s="4" t="s">
        <v>124</v>
      </c>
      <c r="CA521" s="4" t="s">
        <v>124</v>
      </c>
      <c r="CB521" s="4" t="s">
        <v>124</v>
      </c>
      <c r="CC521" s="4" t="s">
        <v>124</v>
      </c>
      <c r="CD521" s="7">
        <v>0.868421</v>
      </c>
      <c r="CE521" s="7">
        <v>46.192608999999997</v>
      </c>
      <c r="CF521" s="7">
        <v>50</v>
      </c>
      <c r="CG521" s="4" t="s">
        <v>124</v>
      </c>
      <c r="CH521" s="4" t="s">
        <v>124</v>
      </c>
      <c r="CI521" s="4" t="s">
        <v>124</v>
      </c>
      <c r="CJ521" s="4" t="s">
        <v>124</v>
      </c>
      <c r="CK521" s="4" t="s">
        <v>124</v>
      </c>
      <c r="CL521" s="4" t="s">
        <v>124</v>
      </c>
      <c r="CM521" s="4" t="s">
        <v>124</v>
      </c>
      <c r="CN521" s="4" t="s">
        <v>124</v>
      </c>
      <c r="CO521" s="4" t="s">
        <v>124</v>
      </c>
      <c r="CP521" s="4" t="s">
        <v>124</v>
      </c>
      <c r="CQ521" s="7">
        <v>0.494118</v>
      </c>
      <c r="CR521" s="7">
        <v>1.042945</v>
      </c>
      <c r="CS521" s="7">
        <v>32.941175999999999</v>
      </c>
      <c r="CT521" s="7">
        <v>50</v>
      </c>
      <c r="CU521" s="4" t="s">
        <v>124</v>
      </c>
      <c r="CV521" s="4" t="s">
        <v>124</v>
      </c>
      <c r="CW521" s="4" t="s">
        <v>124</v>
      </c>
      <c r="CX521" s="4" t="s">
        <v>124</v>
      </c>
      <c r="CY521" s="4" t="s">
        <v>124</v>
      </c>
      <c r="CZ521" s="4" t="s">
        <v>124</v>
      </c>
      <c r="DA521" s="7">
        <v>15.314097</v>
      </c>
      <c r="DB521" s="7">
        <v>17.400950000000002</v>
      </c>
      <c r="DC521" s="7">
        <v>16.332519999999999</v>
      </c>
      <c r="DD521" s="4" t="s">
        <v>124</v>
      </c>
      <c r="DE521" s="7">
        <v>0</v>
      </c>
      <c r="DF521" s="6"/>
      <c r="DG521" s="6"/>
      <c r="DH521" s="6"/>
      <c r="DI521" s="6"/>
      <c r="DJ521" s="7">
        <v>0</v>
      </c>
      <c r="DK521" s="7">
        <v>0</v>
      </c>
      <c r="DL521" s="7">
        <v>0</v>
      </c>
      <c r="DM521" s="7">
        <v>0</v>
      </c>
      <c r="DN521" s="7">
        <v>0</v>
      </c>
      <c r="DO521" s="7">
        <v>0</v>
      </c>
      <c r="DP521" s="6"/>
      <c r="DQ521" s="4" t="s">
        <v>125</v>
      </c>
    </row>
    <row r="522" spans="1:121" ht="20" customHeight="1" x14ac:dyDescent="0.15">
      <c r="A522" s="5">
        <v>2018</v>
      </c>
      <c r="B522" s="3" t="s">
        <v>286</v>
      </c>
      <c r="C522" s="4" t="str">
        <f t="shared" si="211"/>
        <v>0640011</v>
      </c>
      <c r="D522" s="4" t="s">
        <v>679</v>
      </c>
      <c r="E522" s="4" t="str">
        <f>"0641611"</f>
        <v>0641611</v>
      </c>
      <c r="F522" s="4" t="s">
        <v>327</v>
      </c>
      <c r="G522" s="7">
        <v>6</v>
      </c>
      <c r="H522" s="7">
        <v>8</v>
      </c>
      <c r="I522" s="4" t="s">
        <v>335</v>
      </c>
      <c r="J522" s="4" t="s">
        <v>330</v>
      </c>
      <c r="K522" s="7">
        <v>454.86694199999999</v>
      </c>
      <c r="L522" s="7">
        <v>850</v>
      </c>
      <c r="M522" s="7">
        <v>53.513758000000003</v>
      </c>
      <c r="N522" s="7">
        <v>5</v>
      </c>
      <c r="O522" s="7">
        <v>0</v>
      </c>
      <c r="P522" s="7">
        <v>48.499692000000003</v>
      </c>
      <c r="Q522" s="7">
        <v>32.333128000000002</v>
      </c>
      <c r="R522" s="7">
        <v>50</v>
      </c>
      <c r="S522" s="7">
        <v>48.052227000000002</v>
      </c>
      <c r="T522" s="4" t="s">
        <v>124</v>
      </c>
      <c r="U522" s="7">
        <v>32.034818000000001</v>
      </c>
      <c r="V522" s="7">
        <v>50</v>
      </c>
      <c r="W522" s="7">
        <v>37.211013999999999</v>
      </c>
      <c r="X522" s="7">
        <v>24.807341999999998</v>
      </c>
      <c r="Y522" s="7">
        <v>50</v>
      </c>
      <c r="Z522" s="4" t="s">
        <v>124</v>
      </c>
      <c r="AA522" s="7">
        <v>36.607104999999997</v>
      </c>
      <c r="AB522" s="7">
        <v>24.404737000000001</v>
      </c>
      <c r="AC522" s="7">
        <v>50</v>
      </c>
      <c r="AD522" s="7">
        <v>52.499361</v>
      </c>
      <c r="AE522" s="7">
        <v>34.999574000000003</v>
      </c>
      <c r="AF522" s="7">
        <v>50</v>
      </c>
      <c r="AG522" s="7">
        <v>51.889654999999998</v>
      </c>
      <c r="AH522" s="4" t="s">
        <v>124</v>
      </c>
      <c r="AI522" s="7">
        <v>34.593102999999999</v>
      </c>
      <c r="AJ522" s="7">
        <v>50</v>
      </c>
      <c r="AK522" s="4" t="s">
        <v>124</v>
      </c>
      <c r="AL522" s="4" t="s">
        <v>124</v>
      </c>
      <c r="AM522" s="4" t="s">
        <v>124</v>
      </c>
      <c r="AN522" s="7">
        <v>0.55372100000000002</v>
      </c>
      <c r="AO522" s="7">
        <v>55.372118999999998</v>
      </c>
      <c r="AP522" s="7">
        <v>100</v>
      </c>
      <c r="AQ522" s="7">
        <v>0.35346100000000003</v>
      </c>
      <c r="AR522" s="7">
        <v>35.346055999999997</v>
      </c>
      <c r="AS522" s="7">
        <v>100</v>
      </c>
      <c r="AT522" s="7">
        <v>0.55281899999999995</v>
      </c>
      <c r="AU522" s="4" t="s">
        <v>124</v>
      </c>
      <c r="AV522" s="7">
        <v>55.281886999999998</v>
      </c>
      <c r="AW522" s="7">
        <v>100</v>
      </c>
      <c r="AX522" s="7">
        <v>0.35089300000000001</v>
      </c>
      <c r="AY522" s="4" t="s">
        <v>124</v>
      </c>
      <c r="AZ522" s="7">
        <v>35.089286999999999</v>
      </c>
      <c r="BA522" s="7">
        <v>100</v>
      </c>
      <c r="BB522" s="4" t="s">
        <v>124</v>
      </c>
      <c r="BC522" s="4" t="s">
        <v>124</v>
      </c>
      <c r="BD522" s="4" t="s">
        <v>124</v>
      </c>
      <c r="BE522" s="4" t="s">
        <v>124</v>
      </c>
      <c r="BF522" s="4" t="s">
        <v>124</v>
      </c>
      <c r="BG522" s="4" t="s">
        <v>124</v>
      </c>
      <c r="BH522" s="7">
        <v>0</v>
      </c>
      <c r="BI522" s="7">
        <v>1</v>
      </c>
      <c r="BJ522" s="7">
        <v>1</v>
      </c>
      <c r="BK522" s="7">
        <v>1</v>
      </c>
      <c r="BL522" s="7">
        <v>1</v>
      </c>
      <c r="BM522" s="7">
        <v>1</v>
      </c>
      <c r="BN522" s="7">
        <v>1</v>
      </c>
      <c r="BO522" s="7">
        <v>1</v>
      </c>
      <c r="BP522" s="7">
        <v>1</v>
      </c>
      <c r="BQ522" s="4" t="s">
        <v>124</v>
      </c>
      <c r="BR522" s="7">
        <v>0.19459499999999999</v>
      </c>
      <c r="BS522" s="7">
        <v>21.081081000000001</v>
      </c>
      <c r="BT522" s="7">
        <v>50</v>
      </c>
      <c r="BU522" s="7">
        <v>0.20238100000000001</v>
      </c>
      <c r="BV522" s="7">
        <v>19.523810000000001</v>
      </c>
      <c r="BW522" s="7">
        <v>50</v>
      </c>
      <c r="BX522" s="4" t="s">
        <v>124</v>
      </c>
      <c r="BY522" s="4" t="s">
        <v>124</v>
      </c>
      <c r="BZ522" s="4" t="s">
        <v>124</v>
      </c>
      <c r="CA522" s="4" t="s">
        <v>124</v>
      </c>
      <c r="CB522" s="4" t="s">
        <v>124</v>
      </c>
      <c r="CC522" s="4" t="s">
        <v>124</v>
      </c>
      <c r="CD522" s="4" t="s">
        <v>124</v>
      </c>
      <c r="CE522" s="4" t="s">
        <v>124</v>
      </c>
      <c r="CF522" s="4" t="s">
        <v>124</v>
      </c>
      <c r="CG522" s="4" t="s">
        <v>124</v>
      </c>
      <c r="CH522" s="4" t="s">
        <v>124</v>
      </c>
      <c r="CI522" s="4" t="s">
        <v>124</v>
      </c>
      <c r="CJ522" s="4" t="s">
        <v>124</v>
      </c>
      <c r="CK522" s="4" t="s">
        <v>124</v>
      </c>
      <c r="CL522" s="4" t="s">
        <v>124</v>
      </c>
      <c r="CM522" s="4" t="s">
        <v>124</v>
      </c>
      <c r="CN522" s="4" t="s">
        <v>124</v>
      </c>
      <c r="CO522" s="4" t="s">
        <v>124</v>
      </c>
      <c r="CP522" s="4" t="s">
        <v>124</v>
      </c>
      <c r="CQ522" s="7">
        <v>0.894737</v>
      </c>
      <c r="CR522" s="7">
        <v>1</v>
      </c>
      <c r="CS522" s="7">
        <v>50</v>
      </c>
      <c r="CT522" s="7">
        <v>50</v>
      </c>
      <c r="CU522" s="4" t="s">
        <v>124</v>
      </c>
      <c r="CV522" s="4" t="s">
        <v>124</v>
      </c>
      <c r="CW522" s="4" t="s">
        <v>124</v>
      </c>
      <c r="CX522" s="4" t="s">
        <v>124</v>
      </c>
      <c r="CY522" s="4" t="s">
        <v>124</v>
      </c>
      <c r="CZ522" s="4" t="s">
        <v>124</v>
      </c>
      <c r="DA522" s="7">
        <v>15.314097</v>
      </c>
      <c r="DB522" s="7">
        <v>17.400950000000002</v>
      </c>
      <c r="DC522" s="7">
        <v>16.332519999999999</v>
      </c>
      <c r="DD522" s="4" t="s">
        <v>124</v>
      </c>
      <c r="DE522" s="7">
        <v>0</v>
      </c>
      <c r="DF522" s="4" t="s">
        <v>375</v>
      </c>
      <c r="DG522" s="4" t="s">
        <v>376</v>
      </c>
      <c r="DH522" s="6"/>
      <c r="DI522" s="6"/>
      <c r="DJ522" s="7">
        <v>0</v>
      </c>
      <c r="DK522" s="7">
        <v>0</v>
      </c>
      <c r="DL522" s="7">
        <v>0</v>
      </c>
      <c r="DM522" s="7">
        <v>0</v>
      </c>
      <c r="DN522" s="7">
        <v>0</v>
      </c>
      <c r="DO522" s="7">
        <v>0</v>
      </c>
      <c r="DP522" s="6"/>
      <c r="DQ522" s="4" t="s">
        <v>125</v>
      </c>
    </row>
    <row r="523" spans="1:121" ht="20" customHeight="1" x14ac:dyDescent="0.15">
      <c r="A523" s="5">
        <v>2018</v>
      </c>
      <c r="B523" s="3" t="s">
        <v>286</v>
      </c>
      <c r="C523" s="4" t="str">
        <f t="shared" si="211"/>
        <v>0640011</v>
      </c>
      <c r="D523" s="4" t="s">
        <v>680</v>
      </c>
      <c r="E523" s="4" t="str">
        <f>"0641211"</f>
        <v>0641211</v>
      </c>
      <c r="F523" s="4" t="s">
        <v>327</v>
      </c>
      <c r="G523" s="7">
        <v>6</v>
      </c>
      <c r="H523" s="7">
        <v>8</v>
      </c>
      <c r="I523" s="4" t="s">
        <v>335</v>
      </c>
      <c r="J523" s="4" t="s">
        <v>330</v>
      </c>
      <c r="K523" s="7">
        <v>477.34872000000001</v>
      </c>
      <c r="L523" s="7">
        <v>1000</v>
      </c>
      <c r="M523" s="7">
        <v>47.734872000000003</v>
      </c>
      <c r="N523" s="7">
        <v>5</v>
      </c>
      <c r="O523" s="7">
        <v>0</v>
      </c>
      <c r="P523" s="7">
        <v>47.839433</v>
      </c>
      <c r="Q523" s="7">
        <v>31.892955000000001</v>
      </c>
      <c r="R523" s="7">
        <v>50</v>
      </c>
      <c r="S523" s="7">
        <v>47.545760999999999</v>
      </c>
      <c r="T523" s="4" t="s">
        <v>124</v>
      </c>
      <c r="U523" s="7">
        <v>31.697174</v>
      </c>
      <c r="V523" s="7">
        <v>50</v>
      </c>
      <c r="W523" s="7">
        <v>37.888126999999997</v>
      </c>
      <c r="X523" s="7">
        <v>25.258752000000001</v>
      </c>
      <c r="Y523" s="7">
        <v>50</v>
      </c>
      <c r="Z523" s="4" t="s">
        <v>124</v>
      </c>
      <c r="AA523" s="7">
        <v>37.459100999999997</v>
      </c>
      <c r="AB523" s="7">
        <v>24.972733999999999</v>
      </c>
      <c r="AC523" s="7">
        <v>50</v>
      </c>
      <c r="AD523" s="7">
        <v>50.930608999999997</v>
      </c>
      <c r="AE523" s="7">
        <v>33.953738999999999</v>
      </c>
      <c r="AF523" s="7">
        <v>50</v>
      </c>
      <c r="AG523" s="7">
        <v>50.675862000000002</v>
      </c>
      <c r="AH523" s="4" t="s">
        <v>124</v>
      </c>
      <c r="AI523" s="7">
        <v>33.783907999999997</v>
      </c>
      <c r="AJ523" s="7">
        <v>50</v>
      </c>
      <c r="AK523" s="4" t="s">
        <v>124</v>
      </c>
      <c r="AL523" s="4" t="s">
        <v>124</v>
      </c>
      <c r="AM523" s="4" t="s">
        <v>124</v>
      </c>
      <c r="AN523" s="7">
        <v>0.47993599999999997</v>
      </c>
      <c r="AO523" s="7">
        <v>47.993591000000002</v>
      </c>
      <c r="AP523" s="7">
        <v>100</v>
      </c>
      <c r="AQ523" s="7">
        <v>0.35802</v>
      </c>
      <c r="AR523" s="7">
        <v>35.801952999999997</v>
      </c>
      <c r="AS523" s="7">
        <v>100</v>
      </c>
      <c r="AT523" s="7">
        <v>0.47590500000000002</v>
      </c>
      <c r="AU523" s="4" t="s">
        <v>124</v>
      </c>
      <c r="AV523" s="7">
        <v>47.590544000000001</v>
      </c>
      <c r="AW523" s="7">
        <v>100</v>
      </c>
      <c r="AX523" s="7">
        <v>0.35556500000000002</v>
      </c>
      <c r="AY523" s="4" t="s">
        <v>124</v>
      </c>
      <c r="AZ523" s="7">
        <v>35.556511</v>
      </c>
      <c r="BA523" s="7">
        <v>100</v>
      </c>
      <c r="BB523" s="7">
        <v>0.59350000000000003</v>
      </c>
      <c r="BC523" s="7">
        <v>29.675024000000001</v>
      </c>
      <c r="BD523" s="7">
        <v>50</v>
      </c>
      <c r="BE523" s="7">
        <v>0.44396000000000002</v>
      </c>
      <c r="BF523" s="7">
        <v>22.198018999999999</v>
      </c>
      <c r="BG523" s="7">
        <v>50</v>
      </c>
      <c r="BH523" s="7">
        <v>0</v>
      </c>
      <c r="BI523" s="7">
        <v>0.966777</v>
      </c>
      <c r="BJ523" s="7">
        <v>0.97857099999999997</v>
      </c>
      <c r="BK523" s="7">
        <v>0.80952400000000002</v>
      </c>
      <c r="BL523" s="7">
        <v>0.953488</v>
      </c>
      <c r="BM523" s="7">
        <v>0.96415799999999996</v>
      </c>
      <c r="BN523" s="7">
        <v>0.81818199999999996</v>
      </c>
      <c r="BO523" s="7">
        <v>0.97196300000000002</v>
      </c>
      <c r="BP523" s="7">
        <v>0.98969099999999999</v>
      </c>
      <c r="BQ523" s="4" t="s">
        <v>124</v>
      </c>
      <c r="BR523" s="7">
        <v>0.25418099999999999</v>
      </c>
      <c r="BS523" s="7">
        <v>9.1638800000000007</v>
      </c>
      <c r="BT523" s="7">
        <v>50</v>
      </c>
      <c r="BU523" s="7">
        <v>0.25613999999999998</v>
      </c>
      <c r="BV523" s="7">
        <v>8.7719299999999993</v>
      </c>
      <c r="BW523" s="7">
        <v>50</v>
      </c>
      <c r="BX523" s="4" t="s">
        <v>124</v>
      </c>
      <c r="BY523" s="4" t="s">
        <v>124</v>
      </c>
      <c r="BZ523" s="4" t="s">
        <v>124</v>
      </c>
      <c r="CA523" s="4" t="s">
        <v>124</v>
      </c>
      <c r="CB523" s="4" t="s">
        <v>124</v>
      </c>
      <c r="CC523" s="4" t="s">
        <v>124</v>
      </c>
      <c r="CD523" s="7">
        <v>0.75641000000000003</v>
      </c>
      <c r="CE523" s="7">
        <v>40.234588000000002</v>
      </c>
      <c r="CF523" s="7">
        <v>50</v>
      </c>
      <c r="CG523" s="4" t="s">
        <v>124</v>
      </c>
      <c r="CH523" s="4" t="s">
        <v>124</v>
      </c>
      <c r="CI523" s="4" t="s">
        <v>124</v>
      </c>
      <c r="CJ523" s="4" t="s">
        <v>124</v>
      </c>
      <c r="CK523" s="4" t="s">
        <v>124</v>
      </c>
      <c r="CL523" s="4" t="s">
        <v>124</v>
      </c>
      <c r="CM523" s="4" t="s">
        <v>124</v>
      </c>
      <c r="CN523" s="4" t="s">
        <v>124</v>
      </c>
      <c r="CO523" s="4" t="s">
        <v>124</v>
      </c>
      <c r="CP523" s="4" t="s">
        <v>124</v>
      </c>
      <c r="CQ523" s="7">
        <v>0.282051</v>
      </c>
      <c r="CR523" s="7">
        <v>0.96059099999999997</v>
      </c>
      <c r="CS523" s="7">
        <v>18.803419000000002</v>
      </c>
      <c r="CT523" s="7">
        <v>50</v>
      </c>
      <c r="CU523" s="4" t="s">
        <v>124</v>
      </c>
      <c r="CV523" s="4" t="s">
        <v>124</v>
      </c>
      <c r="CW523" s="4" t="s">
        <v>124</v>
      </c>
      <c r="CX523" s="4" t="s">
        <v>124</v>
      </c>
      <c r="CY523" s="4" t="s">
        <v>124</v>
      </c>
      <c r="CZ523" s="4" t="s">
        <v>124</v>
      </c>
      <c r="DA523" s="7">
        <v>15.314097</v>
      </c>
      <c r="DB523" s="7">
        <v>17.400950000000002</v>
      </c>
      <c r="DC523" s="7">
        <v>16.332519999999999</v>
      </c>
      <c r="DD523" s="4" t="s">
        <v>124</v>
      </c>
      <c r="DE523" s="7">
        <v>0</v>
      </c>
      <c r="DF523" s="4" t="s">
        <v>375</v>
      </c>
      <c r="DG523" s="4" t="s">
        <v>376</v>
      </c>
      <c r="DH523" s="6"/>
      <c r="DI523" s="6"/>
      <c r="DJ523" s="7">
        <v>0</v>
      </c>
      <c r="DK523" s="7">
        <v>0</v>
      </c>
      <c r="DL523" s="7">
        <v>0</v>
      </c>
      <c r="DM523" s="7">
        <v>0</v>
      </c>
      <c r="DN523" s="7">
        <v>0</v>
      </c>
      <c r="DO523" s="7">
        <v>0</v>
      </c>
      <c r="DP523" s="6"/>
      <c r="DQ523" s="4" t="s">
        <v>125</v>
      </c>
    </row>
    <row r="524" spans="1:121" ht="20" customHeight="1" x14ac:dyDescent="0.15">
      <c r="A524" s="5">
        <v>2018</v>
      </c>
      <c r="B524" s="3" t="s">
        <v>286</v>
      </c>
      <c r="C524" s="4" t="str">
        <f t="shared" si="211"/>
        <v>0640011</v>
      </c>
      <c r="D524" s="4" t="s">
        <v>681</v>
      </c>
      <c r="E524" s="4" t="str">
        <f>"0641911"</f>
        <v>0641911</v>
      </c>
      <c r="F524" s="4" t="s">
        <v>327</v>
      </c>
      <c r="G524" s="4" t="s">
        <v>328</v>
      </c>
      <c r="H524" s="7">
        <v>8</v>
      </c>
      <c r="I524" s="4" t="s">
        <v>335</v>
      </c>
      <c r="J524" s="4" t="s">
        <v>330</v>
      </c>
      <c r="K524" s="7">
        <v>496.85789199999999</v>
      </c>
      <c r="L524" s="7">
        <v>1000</v>
      </c>
      <c r="M524" s="7">
        <v>49.685789</v>
      </c>
      <c r="N524" s="7">
        <v>5</v>
      </c>
      <c r="O524" s="7">
        <v>0</v>
      </c>
      <c r="P524" s="7">
        <v>46.033383999999998</v>
      </c>
      <c r="Q524" s="7">
        <v>30.688922999999999</v>
      </c>
      <c r="R524" s="7">
        <v>50</v>
      </c>
      <c r="S524" s="7">
        <v>45.678736999999998</v>
      </c>
      <c r="T524" s="4" t="s">
        <v>124</v>
      </c>
      <c r="U524" s="7">
        <v>30.452490999999998</v>
      </c>
      <c r="V524" s="7">
        <v>50</v>
      </c>
      <c r="W524" s="7">
        <v>37.395681000000003</v>
      </c>
      <c r="X524" s="7">
        <v>24.930454000000001</v>
      </c>
      <c r="Y524" s="7">
        <v>50</v>
      </c>
      <c r="Z524" s="4" t="s">
        <v>124</v>
      </c>
      <c r="AA524" s="7">
        <v>36.882424999999998</v>
      </c>
      <c r="AB524" s="7">
        <v>24.588283000000001</v>
      </c>
      <c r="AC524" s="7">
        <v>50</v>
      </c>
      <c r="AD524" s="7">
        <v>44.335782999999999</v>
      </c>
      <c r="AE524" s="7">
        <v>29.557189000000001</v>
      </c>
      <c r="AF524" s="7">
        <v>50</v>
      </c>
      <c r="AG524" s="7">
        <v>43.589373999999999</v>
      </c>
      <c r="AH524" s="4" t="s">
        <v>124</v>
      </c>
      <c r="AI524" s="7">
        <v>29.059583</v>
      </c>
      <c r="AJ524" s="7">
        <v>50</v>
      </c>
      <c r="AK524" s="4" t="s">
        <v>124</v>
      </c>
      <c r="AL524" s="4" t="s">
        <v>124</v>
      </c>
      <c r="AM524" s="4" t="s">
        <v>124</v>
      </c>
      <c r="AN524" s="7">
        <v>0.60743100000000005</v>
      </c>
      <c r="AO524" s="7">
        <v>60.743077</v>
      </c>
      <c r="AP524" s="7">
        <v>100</v>
      </c>
      <c r="AQ524" s="7">
        <v>0.492172</v>
      </c>
      <c r="AR524" s="7">
        <v>49.217168999999998</v>
      </c>
      <c r="AS524" s="7">
        <v>100</v>
      </c>
      <c r="AT524" s="7">
        <v>0.61520300000000006</v>
      </c>
      <c r="AU524" s="4" t="s">
        <v>124</v>
      </c>
      <c r="AV524" s="7">
        <v>61.520288999999998</v>
      </c>
      <c r="AW524" s="7">
        <v>100</v>
      </c>
      <c r="AX524" s="7">
        <v>0.49910399999999999</v>
      </c>
      <c r="AY524" s="4" t="s">
        <v>124</v>
      </c>
      <c r="AZ524" s="7">
        <v>49.910369000000003</v>
      </c>
      <c r="BA524" s="7">
        <v>100</v>
      </c>
      <c r="BB524" s="7">
        <v>0.26107399999999997</v>
      </c>
      <c r="BC524" s="7">
        <v>13.053687999999999</v>
      </c>
      <c r="BD524" s="7">
        <v>50</v>
      </c>
      <c r="BE524" s="7">
        <v>0.33175300000000002</v>
      </c>
      <c r="BF524" s="7">
        <v>16.587665000000001</v>
      </c>
      <c r="BG524" s="7">
        <v>50</v>
      </c>
      <c r="BH524" s="7">
        <v>0</v>
      </c>
      <c r="BI524" s="7">
        <v>0.99507400000000001</v>
      </c>
      <c r="BJ524" s="7">
        <v>0.99479200000000001</v>
      </c>
      <c r="BK524" s="4" t="s">
        <v>124</v>
      </c>
      <c r="BL524" s="7">
        <v>0.99014800000000003</v>
      </c>
      <c r="BM524" s="7">
        <v>0.98958299999999999</v>
      </c>
      <c r="BN524" s="4" t="s">
        <v>124</v>
      </c>
      <c r="BO524" s="7">
        <v>1</v>
      </c>
      <c r="BP524" s="7">
        <v>1</v>
      </c>
      <c r="BQ524" s="4" t="s">
        <v>124</v>
      </c>
      <c r="BR524" s="7">
        <v>0.37298999999999999</v>
      </c>
      <c r="BS524" s="7">
        <v>0</v>
      </c>
      <c r="BT524" s="7">
        <v>50</v>
      </c>
      <c r="BU524" s="7">
        <v>0.37748300000000001</v>
      </c>
      <c r="BV524" s="7">
        <v>0</v>
      </c>
      <c r="BW524" s="7">
        <v>50</v>
      </c>
      <c r="BX524" s="4" t="s">
        <v>124</v>
      </c>
      <c r="BY524" s="4" t="s">
        <v>124</v>
      </c>
      <c r="BZ524" s="4" t="s">
        <v>124</v>
      </c>
      <c r="CA524" s="4" t="s">
        <v>124</v>
      </c>
      <c r="CB524" s="4" t="s">
        <v>124</v>
      </c>
      <c r="CC524" s="4" t="s">
        <v>124</v>
      </c>
      <c r="CD524" s="7">
        <v>0.769231</v>
      </c>
      <c r="CE524" s="7">
        <v>40.916530000000002</v>
      </c>
      <c r="CF524" s="7">
        <v>50</v>
      </c>
      <c r="CG524" s="4" t="s">
        <v>124</v>
      </c>
      <c r="CH524" s="4" t="s">
        <v>124</v>
      </c>
      <c r="CI524" s="4" t="s">
        <v>124</v>
      </c>
      <c r="CJ524" s="4" t="s">
        <v>124</v>
      </c>
      <c r="CK524" s="4" t="s">
        <v>124</v>
      </c>
      <c r="CL524" s="4" t="s">
        <v>124</v>
      </c>
      <c r="CM524" s="4" t="s">
        <v>124</v>
      </c>
      <c r="CN524" s="4" t="s">
        <v>124</v>
      </c>
      <c r="CO524" s="4" t="s">
        <v>124</v>
      </c>
      <c r="CP524" s="4" t="s">
        <v>124</v>
      </c>
      <c r="CQ524" s="7">
        <v>0.53448300000000004</v>
      </c>
      <c r="CR524" s="7">
        <v>1.0265489999999999</v>
      </c>
      <c r="CS524" s="7">
        <v>35.632184000000002</v>
      </c>
      <c r="CT524" s="7">
        <v>50</v>
      </c>
      <c r="CU524" s="4" t="s">
        <v>124</v>
      </c>
      <c r="CV524" s="4" t="s">
        <v>124</v>
      </c>
      <c r="CW524" s="4" t="s">
        <v>124</v>
      </c>
      <c r="CX524" s="4" t="s">
        <v>124</v>
      </c>
      <c r="CY524" s="4" t="s">
        <v>124</v>
      </c>
      <c r="CZ524" s="4" t="s">
        <v>124</v>
      </c>
      <c r="DA524" s="7">
        <v>15.314097</v>
      </c>
      <c r="DB524" s="7">
        <v>17.400950000000002</v>
      </c>
      <c r="DC524" s="7">
        <v>16.332519999999999</v>
      </c>
      <c r="DD524" s="4" t="s">
        <v>124</v>
      </c>
      <c r="DE524" s="7">
        <v>0</v>
      </c>
      <c r="DF524" s="4" t="s">
        <v>375</v>
      </c>
      <c r="DG524" s="4" t="s">
        <v>376</v>
      </c>
      <c r="DH524" s="6"/>
      <c r="DI524" s="6"/>
      <c r="DJ524" s="7">
        <v>0</v>
      </c>
      <c r="DK524" s="7">
        <v>0</v>
      </c>
      <c r="DL524" s="7">
        <v>0</v>
      </c>
      <c r="DM524" s="7">
        <v>0</v>
      </c>
      <c r="DN524" s="7">
        <v>0</v>
      </c>
      <c r="DO524" s="7">
        <v>0</v>
      </c>
      <c r="DP524" s="6"/>
      <c r="DQ524" s="4" t="s">
        <v>125</v>
      </c>
    </row>
    <row r="525" spans="1:121" ht="20" customHeight="1" x14ac:dyDescent="0.15">
      <c r="A525" s="5">
        <v>2018</v>
      </c>
      <c r="B525" s="3" t="s">
        <v>286</v>
      </c>
      <c r="C525" s="4" t="str">
        <f t="shared" si="211"/>
        <v>0640011</v>
      </c>
      <c r="D525" s="4" t="s">
        <v>682</v>
      </c>
      <c r="E525" s="4" t="str">
        <f>"0640511"</f>
        <v>0640511</v>
      </c>
      <c r="F525" s="4" t="s">
        <v>327</v>
      </c>
      <c r="G525" s="4" t="s">
        <v>328</v>
      </c>
      <c r="H525" s="7">
        <v>6</v>
      </c>
      <c r="I525" s="4" t="s">
        <v>335</v>
      </c>
      <c r="J525" s="4" t="s">
        <v>330</v>
      </c>
      <c r="K525" s="7">
        <v>542.40182300000004</v>
      </c>
      <c r="L525" s="7">
        <v>950</v>
      </c>
      <c r="M525" s="7">
        <v>57.094929</v>
      </c>
      <c r="N525" s="7">
        <v>3</v>
      </c>
      <c r="O525" s="7">
        <v>1</v>
      </c>
      <c r="P525" s="7">
        <v>59.740931000000003</v>
      </c>
      <c r="Q525" s="7">
        <v>39.827286999999998</v>
      </c>
      <c r="R525" s="7">
        <v>50</v>
      </c>
      <c r="S525" s="7">
        <v>54.515642999999997</v>
      </c>
      <c r="T525" s="7">
        <v>75</v>
      </c>
      <c r="U525" s="7">
        <v>36.343761999999998</v>
      </c>
      <c r="V525" s="7">
        <v>50</v>
      </c>
      <c r="W525" s="7">
        <v>53.380234999999999</v>
      </c>
      <c r="X525" s="7">
        <v>35.586824</v>
      </c>
      <c r="Y525" s="7">
        <v>50</v>
      </c>
      <c r="Z525" s="7">
        <v>70.659132</v>
      </c>
      <c r="AA525" s="7">
        <v>48.506700000000002</v>
      </c>
      <c r="AB525" s="7">
        <v>32.337800000000001</v>
      </c>
      <c r="AC525" s="7">
        <v>50</v>
      </c>
      <c r="AD525" s="7">
        <v>55.260215000000002</v>
      </c>
      <c r="AE525" s="7">
        <v>36.840142999999998</v>
      </c>
      <c r="AF525" s="7">
        <v>50</v>
      </c>
      <c r="AG525" s="7">
        <v>49.276297</v>
      </c>
      <c r="AH525" s="4" t="s">
        <v>124</v>
      </c>
      <c r="AI525" s="7">
        <v>32.850864999999999</v>
      </c>
      <c r="AJ525" s="7">
        <v>50</v>
      </c>
      <c r="AK525" s="7">
        <v>20.48</v>
      </c>
      <c r="AL525" s="7">
        <v>22.15</v>
      </c>
      <c r="AM525" s="4" t="s">
        <v>124</v>
      </c>
      <c r="AN525" s="7">
        <v>0.51304899999999998</v>
      </c>
      <c r="AO525" s="7">
        <v>51.304943000000002</v>
      </c>
      <c r="AP525" s="7">
        <v>100</v>
      </c>
      <c r="AQ525" s="7">
        <v>0.59652099999999997</v>
      </c>
      <c r="AR525" s="7">
        <v>59.652115000000002</v>
      </c>
      <c r="AS525" s="7">
        <v>100</v>
      </c>
      <c r="AT525" s="7">
        <v>0.47040799999999999</v>
      </c>
      <c r="AU525" s="4" t="s">
        <v>124</v>
      </c>
      <c r="AV525" s="7">
        <v>47.040793999999998</v>
      </c>
      <c r="AW525" s="7">
        <v>100</v>
      </c>
      <c r="AX525" s="7">
        <v>0.57253500000000002</v>
      </c>
      <c r="AY525" s="4" t="s">
        <v>124</v>
      </c>
      <c r="AZ525" s="7">
        <v>57.253540999999998</v>
      </c>
      <c r="BA525" s="7">
        <v>100</v>
      </c>
      <c r="BB525" s="7">
        <v>0.21410999999999999</v>
      </c>
      <c r="BC525" s="7">
        <v>10.705505</v>
      </c>
      <c r="BD525" s="7">
        <v>50</v>
      </c>
      <c r="BE525" s="7">
        <v>0.363869</v>
      </c>
      <c r="BF525" s="7">
        <v>18.193456000000001</v>
      </c>
      <c r="BG525" s="7">
        <v>50</v>
      </c>
      <c r="BH525" s="7">
        <v>0</v>
      </c>
      <c r="BI525" s="7">
        <v>0.99019599999999997</v>
      </c>
      <c r="BJ525" s="7">
        <v>0.98750000000000004</v>
      </c>
      <c r="BK525" s="7">
        <v>1</v>
      </c>
      <c r="BL525" s="7">
        <v>0.99019599999999997</v>
      </c>
      <c r="BM525" s="7">
        <v>0.98750000000000004</v>
      </c>
      <c r="BN525" s="7">
        <v>1</v>
      </c>
      <c r="BO525" s="7">
        <v>1</v>
      </c>
      <c r="BP525" s="7">
        <v>1</v>
      </c>
      <c r="BQ525" s="4" t="s">
        <v>124</v>
      </c>
      <c r="BR525" s="7">
        <v>0.17521400000000001</v>
      </c>
      <c r="BS525" s="7">
        <v>24.957265</v>
      </c>
      <c r="BT525" s="7">
        <v>50</v>
      </c>
      <c r="BU525" s="7">
        <v>0.21176500000000001</v>
      </c>
      <c r="BV525" s="7">
        <v>17.647058999999999</v>
      </c>
      <c r="BW525" s="7">
        <v>50</v>
      </c>
      <c r="BX525" s="4" t="s">
        <v>124</v>
      </c>
      <c r="BY525" s="4" t="s">
        <v>124</v>
      </c>
      <c r="BZ525" s="4" t="s">
        <v>124</v>
      </c>
      <c r="CA525" s="4" t="s">
        <v>124</v>
      </c>
      <c r="CB525" s="4" t="s">
        <v>124</v>
      </c>
      <c r="CC525" s="4" t="s">
        <v>124</v>
      </c>
      <c r="CD525" s="4" t="s">
        <v>124</v>
      </c>
      <c r="CE525" s="4" t="s">
        <v>124</v>
      </c>
      <c r="CF525" s="4" t="s">
        <v>124</v>
      </c>
      <c r="CG525" s="4" t="s">
        <v>124</v>
      </c>
      <c r="CH525" s="4" t="s">
        <v>124</v>
      </c>
      <c r="CI525" s="4" t="s">
        <v>124</v>
      </c>
      <c r="CJ525" s="4" t="s">
        <v>124</v>
      </c>
      <c r="CK525" s="4" t="s">
        <v>124</v>
      </c>
      <c r="CL525" s="4" t="s">
        <v>124</v>
      </c>
      <c r="CM525" s="4" t="s">
        <v>124</v>
      </c>
      <c r="CN525" s="4" t="s">
        <v>124</v>
      </c>
      <c r="CO525" s="4" t="s">
        <v>124</v>
      </c>
      <c r="CP525" s="4" t="s">
        <v>124</v>
      </c>
      <c r="CQ525" s="7">
        <v>0.62790699999999999</v>
      </c>
      <c r="CR525" s="7">
        <v>1</v>
      </c>
      <c r="CS525" s="7">
        <v>41.860464999999998</v>
      </c>
      <c r="CT525" s="7">
        <v>50</v>
      </c>
      <c r="CU525" s="4" t="s">
        <v>124</v>
      </c>
      <c r="CV525" s="4" t="s">
        <v>124</v>
      </c>
      <c r="CW525" s="4" t="s">
        <v>124</v>
      </c>
      <c r="CX525" s="4" t="s">
        <v>124</v>
      </c>
      <c r="CY525" s="4" t="s">
        <v>124</v>
      </c>
      <c r="CZ525" s="4" t="s">
        <v>124</v>
      </c>
      <c r="DA525" s="7">
        <v>15.314097</v>
      </c>
      <c r="DB525" s="7">
        <v>17.400950000000002</v>
      </c>
      <c r="DC525" s="7">
        <v>16.332519999999999</v>
      </c>
      <c r="DD525" s="4" t="s">
        <v>124</v>
      </c>
      <c r="DE525" s="7">
        <v>1</v>
      </c>
      <c r="DF525" s="6"/>
      <c r="DG525" s="6"/>
      <c r="DH525" s="6"/>
      <c r="DI525" s="6"/>
      <c r="DJ525" s="7">
        <v>0</v>
      </c>
      <c r="DK525" s="7">
        <v>0</v>
      </c>
      <c r="DL525" s="7">
        <v>0</v>
      </c>
      <c r="DM525" s="7">
        <v>0</v>
      </c>
      <c r="DN525" s="7">
        <v>0</v>
      </c>
      <c r="DO525" s="7">
        <v>0</v>
      </c>
      <c r="DP525" s="6"/>
      <c r="DQ525" s="4" t="s">
        <v>125</v>
      </c>
    </row>
    <row r="526" spans="1:121" ht="20" customHeight="1" x14ac:dyDescent="0.15">
      <c r="A526" s="5">
        <v>2018</v>
      </c>
      <c r="B526" s="3" t="s">
        <v>286</v>
      </c>
      <c r="C526" s="4" t="str">
        <f t="shared" si="211"/>
        <v>0640011</v>
      </c>
      <c r="D526" s="4" t="s">
        <v>683</v>
      </c>
      <c r="E526" s="4" t="str">
        <f>"0643711"</f>
        <v>0643711</v>
      </c>
      <c r="F526" s="4" t="s">
        <v>327</v>
      </c>
      <c r="G526" s="4" t="s">
        <v>328</v>
      </c>
      <c r="H526" s="7">
        <v>8</v>
      </c>
      <c r="I526" s="4" t="s">
        <v>335</v>
      </c>
      <c r="J526" s="4" t="s">
        <v>330</v>
      </c>
      <c r="K526" s="7">
        <v>683.14438800000005</v>
      </c>
      <c r="L526" s="7">
        <v>950</v>
      </c>
      <c r="M526" s="7">
        <v>71.909936000000002</v>
      </c>
      <c r="N526" s="7">
        <v>3</v>
      </c>
      <c r="O526" s="7">
        <v>1</v>
      </c>
      <c r="P526" s="7">
        <v>64.012939000000003</v>
      </c>
      <c r="Q526" s="7">
        <v>42.675293000000003</v>
      </c>
      <c r="R526" s="7">
        <v>50</v>
      </c>
      <c r="S526" s="7">
        <v>57.090560000000004</v>
      </c>
      <c r="T526" s="7">
        <v>74.396507</v>
      </c>
      <c r="U526" s="7">
        <v>38.060374000000003</v>
      </c>
      <c r="V526" s="7">
        <v>50</v>
      </c>
      <c r="W526" s="7">
        <v>58.374645000000001</v>
      </c>
      <c r="X526" s="7">
        <v>38.916429999999998</v>
      </c>
      <c r="Y526" s="7">
        <v>50</v>
      </c>
      <c r="Z526" s="7">
        <v>71.528374999999997</v>
      </c>
      <c r="AA526" s="7">
        <v>49.605491000000001</v>
      </c>
      <c r="AB526" s="7">
        <v>33.070326999999999</v>
      </c>
      <c r="AC526" s="7">
        <v>50</v>
      </c>
      <c r="AD526" s="7">
        <v>63.563907</v>
      </c>
      <c r="AE526" s="7">
        <v>42.375937999999998</v>
      </c>
      <c r="AF526" s="7">
        <v>50</v>
      </c>
      <c r="AG526" s="7">
        <v>51.549988999999997</v>
      </c>
      <c r="AH526" s="4" t="s">
        <v>124</v>
      </c>
      <c r="AI526" s="7">
        <v>34.366658999999999</v>
      </c>
      <c r="AJ526" s="7">
        <v>50</v>
      </c>
      <c r="AK526" s="7">
        <v>17.3</v>
      </c>
      <c r="AL526" s="7">
        <v>21.92</v>
      </c>
      <c r="AM526" s="4" t="s">
        <v>124</v>
      </c>
      <c r="AN526" s="7">
        <v>0.66835800000000001</v>
      </c>
      <c r="AO526" s="7">
        <v>66.835825</v>
      </c>
      <c r="AP526" s="7">
        <v>100</v>
      </c>
      <c r="AQ526" s="7">
        <v>0.69133699999999998</v>
      </c>
      <c r="AR526" s="7">
        <v>69.133709999999994</v>
      </c>
      <c r="AS526" s="7">
        <v>100</v>
      </c>
      <c r="AT526" s="7">
        <v>0.68213299999999999</v>
      </c>
      <c r="AU526" s="7">
        <v>0.64553099999999997</v>
      </c>
      <c r="AV526" s="7">
        <v>68.213342999999995</v>
      </c>
      <c r="AW526" s="7">
        <v>100</v>
      </c>
      <c r="AX526" s="7">
        <v>0.68596999999999997</v>
      </c>
      <c r="AY526" s="7">
        <v>0.69998400000000005</v>
      </c>
      <c r="AZ526" s="7">
        <v>68.596988999999994</v>
      </c>
      <c r="BA526" s="7">
        <v>100</v>
      </c>
      <c r="BB526" s="7">
        <v>0.58413199999999998</v>
      </c>
      <c r="BC526" s="7">
        <v>29.206620999999998</v>
      </c>
      <c r="BD526" s="7">
        <v>50</v>
      </c>
      <c r="BE526" s="7">
        <v>0.31200699999999998</v>
      </c>
      <c r="BF526" s="7">
        <v>15.600334</v>
      </c>
      <c r="BG526" s="7">
        <v>50</v>
      </c>
      <c r="BH526" s="7">
        <v>0</v>
      </c>
      <c r="BI526" s="7">
        <v>0.96</v>
      </c>
      <c r="BJ526" s="7">
        <v>0.96</v>
      </c>
      <c r="BK526" s="7">
        <v>0.96</v>
      </c>
      <c r="BL526" s="7">
        <v>0.96</v>
      </c>
      <c r="BM526" s="7">
        <v>0.96</v>
      </c>
      <c r="BN526" s="7">
        <v>0.96</v>
      </c>
      <c r="BO526" s="7">
        <v>0.97674399999999995</v>
      </c>
      <c r="BP526" s="7">
        <v>1</v>
      </c>
      <c r="BQ526" s="4" t="s">
        <v>124</v>
      </c>
      <c r="BR526" s="7">
        <v>5.0208999999999997E-2</v>
      </c>
      <c r="BS526" s="7">
        <v>49.958159000000002</v>
      </c>
      <c r="BT526" s="7">
        <v>50</v>
      </c>
      <c r="BU526" s="7">
        <v>7.1942000000000006E-2</v>
      </c>
      <c r="BV526" s="7">
        <v>45.611511</v>
      </c>
      <c r="BW526" s="7">
        <v>50</v>
      </c>
      <c r="BX526" s="4" t="s">
        <v>124</v>
      </c>
      <c r="BY526" s="4" t="s">
        <v>124</v>
      </c>
      <c r="BZ526" s="4" t="s">
        <v>124</v>
      </c>
      <c r="CA526" s="4" t="s">
        <v>124</v>
      </c>
      <c r="CB526" s="4" t="s">
        <v>124</v>
      </c>
      <c r="CC526" s="4" t="s">
        <v>124</v>
      </c>
      <c r="CD526" s="4" t="s">
        <v>124</v>
      </c>
      <c r="CE526" s="4" t="s">
        <v>124</v>
      </c>
      <c r="CF526" s="4" t="s">
        <v>124</v>
      </c>
      <c r="CG526" s="4" t="s">
        <v>124</v>
      </c>
      <c r="CH526" s="4" t="s">
        <v>124</v>
      </c>
      <c r="CI526" s="4" t="s">
        <v>124</v>
      </c>
      <c r="CJ526" s="4" t="s">
        <v>124</v>
      </c>
      <c r="CK526" s="4" t="s">
        <v>124</v>
      </c>
      <c r="CL526" s="4" t="s">
        <v>124</v>
      </c>
      <c r="CM526" s="4" t="s">
        <v>124</v>
      </c>
      <c r="CN526" s="4" t="s">
        <v>124</v>
      </c>
      <c r="CO526" s="4" t="s">
        <v>124</v>
      </c>
      <c r="CP526" s="4" t="s">
        <v>124</v>
      </c>
      <c r="CQ526" s="7">
        <v>0.60784300000000002</v>
      </c>
      <c r="CR526" s="7">
        <v>1</v>
      </c>
      <c r="CS526" s="7">
        <v>40.522875999999997</v>
      </c>
      <c r="CT526" s="7">
        <v>50</v>
      </c>
      <c r="CU526" s="4" t="s">
        <v>124</v>
      </c>
      <c r="CV526" s="4" t="s">
        <v>124</v>
      </c>
      <c r="CW526" s="4" t="s">
        <v>124</v>
      </c>
      <c r="CX526" s="4" t="s">
        <v>124</v>
      </c>
      <c r="CY526" s="4" t="s">
        <v>124</v>
      </c>
      <c r="CZ526" s="4" t="s">
        <v>124</v>
      </c>
      <c r="DA526" s="7">
        <v>15.314097</v>
      </c>
      <c r="DB526" s="7">
        <v>17.400950000000002</v>
      </c>
      <c r="DC526" s="7">
        <v>16.332519999999999</v>
      </c>
      <c r="DD526" s="4" t="s">
        <v>124</v>
      </c>
      <c r="DE526" s="7">
        <v>1</v>
      </c>
      <c r="DF526" s="6"/>
      <c r="DG526" s="6"/>
      <c r="DH526" s="6"/>
      <c r="DI526" s="6"/>
      <c r="DJ526" s="7">
        <v>0</v>
      </c>
      <c r="DK526" s="7">
        <v>0</v>
      </c>
      <c r="DL526" s="7">
        <v>0</v>
      </c>
      <c r="DM526" s="7">
        <v>0</v>
      </c>
      <c r="DN526" s="7">
        <v>0</v>
      </c>
      <c r="DO526" s="7">
        <v>0</v>
      </c>
      <c r="DP526" s="6"/>
      <c r="DQ526" s="4" t="s">
        <v>125</v>
      </c>
    </row>
    <row r="527" spans="1:121" ht="20" customHeight="1" x14ac:dyDescent="0.15">
      <c r="A527" s="5">
        <v>2018</v>
      </c>
      <c r="B527" s="3" t="s">
        <v>286</v>
      </c>
      <c r="C527" s="4" t="str">
        <f t="shared" si="211"/>
        <v>0640011</v>
      </c>
      <c r="D527" s="4" t="s">
        <v>684</v>
      </c>
      <c r="E527" s="4" t="str">
        <f>"0641411"</f>
        <v>0641411</v>
      </c>
      <c r="F527" s="4" t="s">
        <v>327</v>
      </c>
      <c r="G527" s="4" t="s">
        <v>328</v>
      </c>
      <c r="H527" s="7">
        <v>8</v>
      </c>
      <c r="I527" s="4" t="s">
        <v>335</v>
      </c>
      <c r="J527" s="4" t="s">
        <v>330</v>
      </c>
      <c r="K527" s="7">
        <v>623.86559899999997</v>
      </c>
      <c r="L527" s="7">
        <v>1000</v>
      </c>
      <c r="M527" s="7">
        <v>62.386560000000003</v>
      </c>
      <c r="N527" s="7">
        <v>3</v>
      </c>
      <c r="O527" s="7">
        <v>0</v>
      </c>
      <c r="P527" s="7">
        <v>57.047235999999998</v>
      </c>
      <c r="Q527" s="7">
        <v>38.031491000000003</v>
      </c>
      <c r="R527" s="7">
        <v>50</v>
      </c>
      <c r="S527" s="7">
        <v>56.407604999999997</v>
      </c>
      <c r="T527" s="4" t="s">
        <v>124</v>
      </c>
      <c r="U527" s="7">
        <v>37.605069999999998</v>
      </c>
      <c r="V527" s="7">
        <v>50</v>
      </c>
      <c r="W527" s="7">
        <v>49.999141999999999</v>
      </c>
      <c r="X527" s="7">
        <v>33.332760999999998</v>
      </c>
      <c r="Y527" s="7">
        <v>50</v>
      </c>
      <c r="Z527" s="4" t="s">
        <v>124</v>
      </c>
      <c r="AA527" s="7">
        <v>49.020325</v>
      </c>
      <c r="AB527" s="7">
        <v>32.680216999999999</v>
      </c>
      <c r="AC527" s="7">
        <v>50</v>
      </c>
      <c r="AD527" s="7">
        <v>54.445531000000003</v>
      </c>
      <c r="AE527" s="7">
        <v>36.297021000000001</v>
      </c>
      <c r="AF527" s="7">
        <v>50</v>
      </c>
      <c r="AG527" s="7">
        <v>54.071120999999998</v>
      </c>
      <c r="AH527" s="4" t="s">
        <v>124</v>
      </c>
      <c r="AI527" s="7">
        <v>36.047414000000003</v>
      </c>
      <c r="AJ527" s="7">
        <v>50</v>
      </c>
      <c r="AK527" s="4" t="s">
        <v>124</v>
      </c>
      <c r="AL527" s="4" t="s">
        <v>124</v>
      </c>
      <c r="AM527" s="4" t="s">
        <v>124</v>
      </c>
      <c r="AN527" s="7">
        <v>0.54883899999999997</v>
      </c>
      <c r="AO527" s="7">
        <v>54.883938000000001</v>
      </c>
      <c r="AP527" s="7">
        <v>100</v>
      </c>
      <c r="AQ527" s="7">
        <v>0.57565599999999995</v>
      </c>
      <c r="AR527" s="7">
        <v>57.565576</v>
      </c>
      <c r="AS527" s="7">
        <v>100</v>
      </c>
      <c r="AT527" s="7">
        <v>0.54664500000000005</v>
      </c>
      <c r="AU527" s="4" t="s">
        <v>124</v>
      </c>
      <c r="AV527" s="7">
        <v>54.664490000000001</v>
      </c>
      <c r="AW527" s="7">
        <v>100</v>
      </c>
      <c r="AX527" s="7">
        <v>0.57618599999999998</v>
      </c>
      <c r="AY527" s="4" t="s">
        <v>124</v>
      </c>
      <c r="AZ527" s="7">
        <v>57.618575999999997</v>
      </c>
      <c r="BA527" s="7">
        <v>100</v>
      </c>
      <c r="BB527" s="7">
        <v>0.63103500000000001</v>
      </c>
      <c r="BC527" s="7">
        <v>31.551729999999999</v>
      </c>
      <c r="BD527" s="7">
        <v>50</v>
      </c>
      <c r="BE527" s="7">
        <v>0.46545900000000001</v>
      </c>
      <c r="BF527" s="7">
        <v>23.272950000000002</v>
      </c>
      <c r="BG527" s="7">
        <v>50</v>
      </c>
      <c r="BH527" s="7">
        <v>0</v>
      </c>
      <c r="BI527" s="7">
        <v>0.99117599999999995</v>
      </c>
      <c r="BJ527" s="7">
        <v>0.99082599999999998</v>
      </c>
      <c r="BK527" s="4" t="s">
        <v>124</v>
      </c>
      <c r="BL527" s="7">
        <v>0.97647099999999998</v>
      </c>
      <c r="BM527" s="7">
        <v>0.97553500000000004</v>
      </c>
      <c r="BN527" s="4" t="s">
        <v>124</v>
      </c>
      <c r="BO527" s="7">
        <v>0.98333300000000001</v>
      </c>
      <c r="BP527" s="7">
        <v>0.98290599999999995</v>
      </c>
      <c r="BQ527" s="4" t="s">
        <v>124</v>
      </c>
      <c r="BR527" s="7">
        <v>0.16089600000000001</v>
      </c>
      <c r="BS527" s="7">
        <v>27.820774</v>
      </c>
      <c r="BT527" s="7">
        <v>50</v>
      </c>
      <c r="BU527" s="7">
        <v>0.17025899999999999</v>
      </c>
      <c r="BV527" s="7">
        <v>25.948276</v>
      </c>
      <c r="BW527" s="7">
        <v>50</v>
      </c>
      <c r="BX527" s="4" t="s">
        <v>124</v>
      </c>
      <c r="BY527" s="4" t="s">
        <v>124</v>
      </c>
      <c r="BZ527" s="4" t="s">
        <v>124</v>
      </c>
      <c r="CA527" s="4" t="s">
        <v>124</v>
      </c>
      <c r="CB527" s="4" t="s">
        <v>124</v>
      </c>
      <c r="CC527" s="4" t="s">
        <v>124</v>
      </c>
      <c r="CD527" s="7">
        <v>0.81632700000000002</v>
      </c>
      <c r="CE527" s="7">
        <v>43.421624000000001</v>
      </c>
      <c r="CF527" s="7">
        <v>50</v>
      </c>
      <c r="CG527" s="4" t="s">
        <v>124</v>
      </c>
      <c r="CH527" s="4" t="s">
        <v>124</v>
      </c>
      <c r="CI527" s="4" t="s">
        <v>124</v>
      </c>
      <c r="CJ527" s="4" t="s">
        <v>124</v>
      </c>
      <c r="CK527" s="4" t="s">
        <v>124</v>
      </c>
      <c r="CL527" s="4" t="s">
        <v>124</v>
      </c>
      <c r="CM527" s="4" t="s">
        <v>124</v>
      </c>
      <c r="CN527" s="4" t="s">
        <v>124</v>
      </c>
      <c r="CO527" s="4" t="s">
        <v>124</v>
      </c>
      <c r="CP527" s="4" t="s">
        <v>124</v>
      </c>
      <c r="CQ527" s="7">
        <v>0.49685499999999999</v>
      </c>
      <c r="CR527" s="7">
        <v>0.97545999999999999</v>
      </c>
      <c r="CS527" s="7">
        <v>33.123690000000003</v>
      </c>
      <c r="CT527" s="7">
        <v>50</v>
      </c>
      <c r="CU527" s="4" t="s">
        <v>124</v>
      </c>
      <c r="CV527" s="4" t="s">
        <v>124</v>
      </c>
      <c r="CW527" s="4" t="s">
        <v>124</v>
      </c>
      <c r="CX527" s="4" t="s">
        <v>124</v>
      </c>
      <c r="CY527" s="4" t="s">
        <v>124</v>
      </c>
      <c r="CZ527" s="4" t="s">
        <v>124</v>
      </c>
      <c r="DA527" s="7">
        <v>15.314097</v>
      </c>
      <c r="DB527" s="7">
        <v>17.400950000000002</v>
      </c>
      <c r="DC527" s="7">
        <v>16.332519999999999</v>
      </c>
      <c r="DD527" s="4" t="s">
        <v>124</v>
      </c>
      <c r="DE527" s="7">
        <v>0</v>
      </c>
      <c r="DF527" s="6"/>
      <c r="DG527" s="6"/>
      <c r="DH527" s="6"/>
      <c r="DI527" s="6"/>
      <c r="DJ527" s="7">
        <v>0</v>
      </c>
      <c r="DK527" s="7">
        <v>0</v>
      </c>
      <c r="DL527" s="7">
        <v>0</v>
      </c>
      <c r="DM527" s="7">
        <v>0</v>
      </c>
      <c r="DN527" s="7">
        <v>0</v>
      </c>
      <c r="DO527" s="7">
        <v>0</v>
      </c>
      <c r="DP527" s="6"/>
      <c r="DQ527" s="4" t="s">
        <v>125</v>
      </c>
    </row>
    <row r="528" spans="1:121" ht="20" customHeight="1" x14ac:dyDescent="0.15">
      <c r="A528" s="5">
        <v>2018</v>
      </c>
      <c r="B528" s="3" t="s">
        <v>286</v>
      </c>
      <c r="C528" s="4" t="str">
        <f t="shared" si="211"/>
        <v>0640011</v>
      </c>
      <c r="D528" s="4" t="s">
        <v>685</v>
      </c>
      <c r="E528" s="4" t="str">
        <f>"0641511"</f>
        <v>0641511</v>
      </c>
      <c r="F528" s="4" t="s">
        <v>327</v>
      </c>
      <c r="G528" s="4" t="s">
        <v>328</v>
      </c>
      <c r="H528" s="7">
        <v>5</v>
      </c>
      <c r="I528" s="4" t="s">
        <v>335</v>
      </c>
      <c r="J528" s="4" t="s">
        <v>330</v>
      </c>
      <c r="K528" s="7">
        <v>555.39058299999999</v>
      </c>
      <c r="L528" s="7">
        <v>950</v>
      </c>
      <c r="M528" s="7">
        <v>58.462167000000001</v>
      </c>
      <c r="N528" s="7">
        <v>5</v>
      </c>
      <c r="O528" s="7">
        <v>0</v>
      </c>
      <c r="P528" s="7">
        <v>51.351635999999999</v>
      </c>
      <c r="Q528" s="7">
        <v>34.234423999999997</v>
      </c>
      <c r="R528" s="7">
        <v>50</v>
      </c>
      <c r="S528" s="7">
        <v>50.824303</v>
      </c>
      <c r="T528" s="4" t="s">
        <v>124</v>
      </c>
      <c r="U528" s="7">
        <v>33.882868999999999</v>
      </c>
      <c r="V528" s="7">
        <v>50</v>
      </c>
      <c r="W528" s="7">
        <v>49.072485999999998</v>
      </c>
      <c r="X528" s="7">
        <v>32.71499</v>
      </c>
      <c r="Y528" s="7">
        <v>50</v>
      </c>
      <c r="Z528" s="4" t="s">
        <v>124</v>
      </c>
      <c r="AA528" s="7">
        <v>48.761572000000001</v>
      </c>
      <c r="AB528" s="7">
        <v>32.507714999999997</v>
      </c>
      <c r="AC528" s="7">
        <v>50</v>
      </c>
      <c r="AD528" s="7">
        <v>48.961289999999998</v>
      </c>
      <c r="AE528" s="7">
        <v>32.640860000000004</v>
      </c>
      <c r="AF528" s="7">
        <v>50</v>
      </c>
      <c r="AG528" s="7">
        <v>47.841811</v>
      </c>
      <c r="AH528" s="4" t="s">
        <v>124</v>
      </c>
      <c r="AI528" s="7">
        <v>31.894541</v>
      </c>
      <c r="AJ528" s="7">
        <v>50</v>
      </c>
      <c r="AK528" s="4" t="s">
        <v>124</v>
      </c>
      <c r="AL528" s="4" t="s">
        <v>124</v>
      </c>
      <c r="AM528" s="4" t="s">
        <v>124</v>
      </c>
      <c r="AN528" s="7">
        <v>0.60837200000000002</v>
      </c>
      <c r="AO528" s="7">
        <v>60.837217000000003</v>
      </c>
      <c r="AP528" s="7">
        <v>100</v>
      </c>
      <c r="AQ528" s="7">
        <v>0.52646199999999999</v>
      </c>
      <c r="AR528" s="7">
        <v>52.646214000000001</v>
      </c>
      <c r="AS528" s="7">
        <v>100</v>
      </c>
      <c r="AT528" s="7">
        <v>0.59347399999999995</v>
      </c>
      <c r="AU528" s="4" t="s">
        <v>124</v>
      </c>
      <c r="AV528" s="7">
        <v>59.347436000000002</v>
      </c>
      <c r="AW528" s="7">
        <v>100</v>
      </c>
      <c r="AX528" s="7">
        <v>0.53002400000000005</v>
      </c>
      <c r="AY528" s="4" t="s">
        <v>124</v>
      </c>
      <c r="AZ528" s="7">
        <v>53.002352000000002</v>
      </c>
      <c r="BA528" s="7">
        <v>100</v>
      </c>
      <c r="BB528" s="7">
        <v>0.53719300000000003</v>
      </c>
      <c r="BC528" s="7">
        <v>26.859646999999999</v>
      </c>
      <c r="BD528" s="7">
        <v>50</v>
      </c>
      <c r="BE528" s="7">
        <v>0.43815300000000001</v>
      </c>
      <c r="BF528" s="7">
        <v>21.907644000000001</v>
      </c>
      <c r="BG528" s="7">
        <v>50</v>
      </c>
      <c r="BH528" s="7">
        <v>0</v>
      </c>
      <c r="BI528" s="7">
        <v>0.99019599999999997</v>
      </c>
      <c r="BJ528" s="7">
        <v>0.98958299999999999</v>
      </c>
      <c r="BK528" s="4" t="s">
        <v>124</v>
      </c>
      <c r="BL528" s="7">
        <v>0.99019599999999997</v>
      </c>
      <c r="BM528" s="7">
        <v>0.98958299999999999</v>
      </c>
      <c r="BN528" s="4" t="s">
        <v>124</v>
      </c>
      <c r="BO528" s="7">
        <v>0.98412699999999997</v>
      </c>
      <c r="BP528" s="7">
        <v>0.98275900000000005</v>
      </c>
      <c r="BQ528" s="4" t="s">
        <v>124</v>
      </c>
      <c r="BR528" s="7">
        <v>0.182222</v>
      </c>
      <c r="BS528" s="7">
        <v>23.555555999999999</v>
      </c>
      <c r="BT528" s="7">
        <v>50</v>
      </c>
      <c r="BU528" s="7">
        <v>0.18309900000000001</v>
      </c>
      <c r="BV528" s="7">
        <v>23.380282000000001</v>
      </c>
      <c r="BW528" s="7">
        <v>50</v>
      </c>
      <c r="BX528" s="4" t="s">
        <v>124</v>
      </c>
      <c r="BY528" s="4" t="s">
        <v>124</v>
      </c>
      <c r="BZ528" s="4" t="s">
        <v>124</v>
      </c>
      <c r="CA528" s="4" t="s">
        <v>124</v>
      </c>
      <c r="CB528" s="4" t="s">
        <v>124</v>
      </c>
      <c r="CC528" s="4" t="s">
        <v>124</v>
      </c>
      <c r="CD528" s="4" t="s">
        <v>124</v>
      </c>
      <c r="CE528" s="4" t="s">
        <v>124</v>
      </c>
      <c r="CF528" s="4" t="s">
        <v>124</v>
      </c>
      <c r="CG528" s="4" t="s">
        <v>124</v>
      </c>
      <c r="CH528" s="4" t="s">
        <v>124</v>
      </c>
      <c r="CI528" s="4" t="s">
        <v>124</v>
      </c>
      <c r="CJ528" s="4" t="s">
        <v>124</v>
      </c>
      <c r="CK528" s="4" t="s">
        <v>124</v>
      </c>
      <c r="CL528" s="4" t="s">
        <v>124</v>
      </c>
      <c r="CM528" s="4" t="s">
        <v>124</v>
      </c>
      <c r="CN528" s="4" t="s">
        <v>124</v>
      </c>
      <c r="CO528" s="4" t="s">
        <v>124</v>
      </c>
      <c r="CP528" s="4" t="s">
        <v>124</v>
      </c>
      <c r="CQ528" s="7">
        <v>0.53968300000000002</v>
      </c>
      <c r="CR528" s="7">
        <v>0.95454499999999998</v>
      </c>
      <c r="CS528" s="7">
        <v>35.978836000000001</v>
      </c>
      <c r="CT528" s="7">
        <v>50</v>
      </c>
      <c r="CU528" s="4" t="s">
        <v>124</v>
      </c>
      <c r="CV528" s="4" t="s">
        <v>124</v>
      </c>
      <c r="CW528" s="4" t="s">
        <v>124</v>
      </c>
      <c r="CX528" s="4" t="s">
        <v>124</v>
      </c>
      <c r="CY528" s="4" t="s">
        <v>124</v>
      </c>
      <c r="CZ528" s="4" t="s">
        <v>124</v>
      </c>
      <c r="DA528" s="7">
        <v>15.314097</v>
      </c>
      <c r="DB528" s="7">
        <v>17.400950000000002</v>
      </c>
      <c r="DC528" s="7">
        <v>16.332519999999999</v>
      </c>
      <c r="DD528" s="4" t="s">
        <v>124</v>
      </c>
      <c r="DE528" s="7">
        <v>0</v>
      </c>
      <c r="DF528" s="4" t="s">
        <v>375</v>
      </c>
      <c r="DG528" s="4" t="s">
        <v>376</v>
      </c>
      <c r="DH528" s="6"/>
      <c r="DI528" s="6"/>
      <c r="DJ528" s="7">
        <v>0</v>
      </c>
      <c r="DK528" s="7">
        <v>0</v>
      </c>
      <c r="DL528" s="7">
        <v>0</v>
      </c>
      <c r="DM528" s="7">
        <v>0</v>
      </c>
      <c r="DN528" s="7">
        <v>0</v>
      </c>
      <c r="DO528" s="7">
        <v>0</v>
      </c>
      <c r="DP528" s="6"/>
      <c r="DQ528" s="4" t="s">
        <v>125</v>
      </c>
    </row>
    <row r="529" spans="1:121" ht="20" customHeight="1" x14ac:dyDescent="0.15">
      <c r="A529" s="5">
        <v>2018</v>
      </c>
      <c r="B529" s="3" t="s">
        <v>286</v>
      </c>
      <c r="C529" s="4" t="str">
        <f t="shared" si="211"/>
        <v>0640011</v>
      </c>
      <c r="D529" s="4" t="s">
        <v>686</v>
      </c>
      <c r="E529" s="4" t="str">
        <f>"0646611"</f>
        <v>0646611</v>
      </c>
      <c r="F529" s="4" t="s">
        <v>327</v>
      </c>
      <c r="G529" s="7">
        <v>9</v>
      </c>
      <c r="H529" s="7">
        <v>12</v>
      </c>
      <c r="I529" s="4" t="s">
        <v>335</v>
      </c>
      <c r="J529" s="4" t="s">
        <v>330</v>
      </c>
      <c r="K529" s="7">
        <v>1023.434291</v>
      </c>
      <c r="L529" s="7">
        <v>1550</v>
      </c>
      <c r="M529" s="7">
        <v>66.028019</v>
      </c>
      <c r="N529" s="7">
        <v>3</v>
      </c>
      <c r="O529" s="7">
        <v>0</v>
      </c>
      <c r="P529" s="7">
        <v>52.168776000000001</v>
      </c>
      <c r="Q529" s="7">
        <v>104.337553</v>
      </c>
      <c r="R529" s="7">
        <v>150</v>
      </c>
      <c r="S529" s="7">
        <v>47.878205000000001</v>
      </c>
      <c r="T529" s="7">
        <v>60.432099000000001</v>
      </c>
      <c r="U529" s="7">
        <v>95.756410000000002</v>
      </c>
      <c r="V529" s="7">
        <v>150</v>
      </c>
      <c r="W529" s="7">
        <v>47.805906999999998</v>
      </c>
      <c r="X529" s="7">
        <v>95.611813999999995</v>
      </c>
      <c r="Y529" s="7">
        <v>150</v>
      </c>
      <c r="Z529" s="7">
        <v>56.561728000000002</v>
      </c>
      <c r="AA529" s="7">
        <v>43.259614999999997</v>
      </c>
      <c r="AB529" s="7">
        <v>86.519231000000005</v>
      </c>
      <c r="AC529" s="7">
        <v>150</v>
      </c>
      <c r="AD529" s="7">
        <v>45.817664000000001</v>
      </c>
      <c r="AE529" s="7">
        <v>61.090218</v>
      </c>
      <c r="AF529" s="7">
        <v>100</v>
      </c>
      <c r="AG529" s="7">
        <v>42.135328000000001</v>
      </c>
      <c r="AH529" s="7">
        <v>53.182335999999999</v>
      </c>
      <c r="AI529" s="7">
        <v>56.180436999999998</v>
      </c>
      <c r="AJ529" s="7">
        <v>100</v>
      </c>
      <c r="AK529" s="7">
        <v>12.55</v>
      </c>
      <c r="AL529" s="7">
        <v>13.3</v>
      </c>
      <c r="AM529" s="7">
        <v>11.04</v>
      </c>
      <c r="AN529" s="4" t="s">
        <v>124</v>
      </c>
      <c r="AO529" s="4" t="s">
        <v>124</v>
      </c>
      <c r="AP529" s="4" t="s">
        <v>124</v>
      </c>
      <c r="AQ529" s="4" t="s">
        <v>124</v>
      </c>
      <c r="AR529" s="4" t="s">
        <v>124</v>
      </c>
      <c r="AS529" s="4" t="s">
        <v>124</v>
      </c>
      <c r="AT529" s="4" t="s">
        <v>124</v>
      </c>
      <c r="AU529" s="4" t="s">
        <v>124</v>
      </c>
      <c r="AV529" s="4" t="s">
        <v>124</v>
      </c>
      <c r="AW529" s="4" t="s">
        <v>124</v>
      </c>
      <c r="AX529" s="4" t="s">
        <v>124</v>
      </c>
      <c r="AY529" s="4" t="s">
        <v>124</v>
      </c>
      <c r="AZ529" s="4" t="s">
        <v>124</v>
      </c>
      <c r="BA529" s="4" t="s">
        <v>124</v>
      </c>
      <c r="BB529" s="7">
        <v>0.27917599999999998</v>
      </c>
      <c r="BC529" s="7">
        <v>13.958819999999999</v>
      </c>
      <c r="BD529" s="7">
        <v>50</v>
      </c>
      <c r="BE529" s="7">
        <v>0.33995700000000001</v>
      </c>
      <c r="BF529" s="7">
        <v>16.997834999999998</v>
      </c>
      <c r="BG529" s="7">
        <v>50</v>
      </c>
      <c r="BH529" s="7">
        <v>1</v>
      </c>
      <c r="BI529" s="7">
        <v>0.95294100000000004</v>
      </c>
      <c r="BJ529" s="7">
        <v>0.93103400000000003</v>
      </c>
      <c r="BK529" s="7">
        <v>1</v>
      </c>
      <c r="BL529" s="7">
        <v>0.95294100000000004</v>
      </c>
      <c r="BM529" s="7">
        <v>0.93103400000000003</v>
      </c>
      <c r="BN529" s="7">
        <v>1</v>
      </c>
      <c r="BO529" s="7">
        <v>0.96428599999999998</v>
      </c>
      <c r="BP529" s="7">
        <v>0.94736799999999999</v>
      </c>
      <c r="BQ529" s="7">
        <v>1</v>
      </c>
      <c r="BR529" s="7">
        <v>0.20388300000000001</v>
      </c>
      <c r="BS529" s="7">
        <v>19.223300999999999</v>
      </c>
      <c r="BT529" s="7">
        <v>50</v>
      </c>
      <c r="BU529" s="7">
        <v>0.259494</v>
      </c>
      <c r="BV529" s="7">
        <v>8.1012660000000007</v>
      </c>
      <c r="BW529" s="7">
        <v>50</v>
      </c>
      <c r="BX529" s="7">
        <v>1</v>
      </c>
      <c r="BY529" s="7">
        <v>50</v>
      </c>
      <c r="BZ529" s="7">
        <v>50</v>
      </c>
      <c r="CA529" s="7">
        <v>0.32</v>
      </c>
      <c r="CB529" s="7">
        <v>21.333333</v>
      </c>
      <c r="CC529" s="7">
        <v>50</v>
      </c>
      <c r="CD529" s="7">
        <v>0.86466200000000004</v>
      </c>
      <c r="CE529" s="7">
        <v>45.992640999999999</v>
      </c>
      <c r="CF529" s="7">
        <v>50</v>
      </c>
      <c r="CG529" s="7">
        <v>0.92631600000000003</v>
      </c>
      <c r="CH529" s="7">
        <v>98.544233000000006</v>
      </c>
      <c r="CI529" s="7">
        <v>100</v>
      </c>
      <c r="CJ529" s="7">
        <v>0</v>
      </c>
      <c r="CK529" s="7">
        <v>0.96969700000000003</v>
      </c>
      <c r="CL529" s="7">
        <v>100</v>
      </c>
      <c r="CM529" s="7">
        <v>100</v>
      </c>
      <c r="CN529" s="7">
        <v>0.64044900000000005</v>
      </c>
      <c r="CO529" s="7">
        <v>85.393258000000003</v>
      </c>
      <c r="CP529" s="7">
        <v>100</v>
      </c>
      <c r="CQ529" s="7">
        <v>0.21590899999999999</v>
      </c>
      <c r="CR529" s="7">
        <v>1.614679</v>
      </c>
      <c r="CS529" s="7">
        <v>14.393939</v>
      </c>
      <c r="CT529" s="7">
        <v>50</v>
      </c>
      <c r="CU529" s="7">
        <v>0.83737899999999998</v>
      </c>
      <c r="CV529" s="7">
        <v>50</v>
      </c>
      <c r="CW529" s="7">
        <v>50</v>
      </c>
      <c r="CX529" s="7">
        <v>0.96969700000000003</v>
      </c>
      <c r="CY529" s="7">
        <v>0.94</v>
      </c>
      <c r="CZ529" s="7">
        <v>-2.9697000000000001E-2</v>
      </c>
      <c r="DA529" s="7">
        <v>15.314097</v>
      </c>
      <c r="DB529" s="7">
        <v>17.400950000000002</v>
      </c>
      <c r="DC529" s="7">
        <v>16.332519999999999</v>
      </c>
      <c r="DD529" s="7">
        <v>7.9891730000000001</v>
      </c>
      <c r="DE529" s="7">
        <v>1</v>
      </c>
      <c r="DF529" s="6"/>
      <c r="DG529" s="6"/>
      <c r="DH529" s="6"/>
      <c r="DI529" s="6"/>
      <c r="DJ529" s="7">
        <v>0</v>
      </c>
      <c r="DK529" s="7">
        <v>0</v>
      </c>
      <c r="DL529" s="7">
        <v>0</v>
      </c>
      <c r="DM529" s="7">
        <v>0</v>
      </c>
      <c r="DN529" s="7">
        <v>0</v>
      </c>
      <c r="DO529" s="7">
        <v>0</v>
      </c>
      <c r="DP529" s="6"/>
      <c r="DQ529" s="4" t="s">
        <v>125</v>
      </c>
    </row>
    <row r="530" spans="1:121" ht="20" customHeight="1" x14ac:dyDescent="0.15">
      <c r="A530" s="5">
        <v>2018</v>
      </c>
      <c r="B530" s="3" t="s">
        <v>286</v>
      </c>
      <c r="C530" s="4" t="str">
        <f>"0640011"</f>
        <v>0640011</v>
      </c>
      <c r="D530" s="4" t="s">
        <v>687</v>
      </c>
      <c r="E530" s="4" t="str">
        <f>"0641711"</f>
        <v>0641711</v>
      </c>
      <c r="F530" s="4" t="s">
        <v>327</v>
      </c>
      <c r="G530" s="4" t="s">
        <v>328</v>
      </c>
      <c r="H530" s="7">
        <v>5</v>
      </c>
      <c r="I530" s="4" t="s">
        <v>335</v>
      </c>
      <c r="J530" s="4" t="s">
        <v>330</v>
      </c>
      <c r="K530" s="7">
        <v>512.48545200000001</v>
      </c>
      <c r="L530" s="7">
        <v>1000</v>
      </c>
      <c r="M530" s="7">
        <v>51.248545</v>
      </c>
      <c r="N530" s="7">
        <v>3</v>
      </c>
      <c r="O530" s="7">
        <v>0</v>
      </c>
      <c r="P530" s="7">
        <v>53.746443999999997</v>
      </c>
      <c r="Q530" s="7">
        <v>35.830962999999997</v>
      </c>
      <c r="R530" s="7">
        <v>50</v>
      </c>
      <c r="S530" s="7">
        <v>53.288308000000001</v>
      </c>
      <c r="T530" s="7">
        <v>56.703507000000002</v>
      </c>
      <c r="U530" s="7">
        <v>35.525537999999997</v>
      </c>
      <c r="V530" s="7">
        <v>50</v>
      </c>
      <c r="W530" s="7">
        <v>47.488965</v>
      </c>
      <c r="X530" s="7">
        <v>31.659310000000001</v>
      </c>
      <c r="Y530" s="7">
        <v>50</v>
      </c>
      <c r="Z530" s="7">
        <v>50.292901999999998</v>
      </c>
      <c r="AA530" s="7">
        <v>47.048347</v>
      </c>
      <c r="AB530" s="7">
        <v>31.365565</v>
      </c>
      <c r="AC530" s="7">
        <v>50</v>
      </c>
      <c r="AD530" s="7">
        <v>55.941377000000003</v>
      </c>
      <c r="AE530" s="7">
        <v>37.294251000000003</v>
      </c>
      <c r="AF530" s="7">
        <v>50</v>
      </c>
      <c r="AG530" s="7">
        <v>55.925316000000002</v>
      </c>
      <c r="AH530" s="4" t="s">
        <v>124</v>
      </c>
      <c r="AI530" s="7">
        <v>37.283543999999999</v>
      </c>
      <c r="AJ530" s="7">
        <v>50</v>
      </c>
      <c r="AK530" s="7">
        <v>3.41</v>
      </c>
      <c r="AL530" s="7">
        <v>3.24</v>
      </c>
      <c r="AM530" s="4" t="s">
        <v>124</v>
      </c>
      <c r="AN530" s="7">
        <v>0.44845200000000002</v>
      </c>
      <c r="AO530" s="7">
        <v>44.845162000000002</v>
      </c>
      <c r="AP530" s="7">
        <v>100</v>
      </c>
      <c r="AQ530" s="7">
        <v>0.34918700000000003</v>
      </c>
      <c r="AR530" s="7">
        <v>34.918740999999997</v>
      </c>
      <c r="AS530" s="7">
        <v>100</v>
      </c>
      <c r="AT530" s="7">
        <v>0.44006200000000001</v>
      </c>
      <c r="AU530" s="4" t="s">
        <v>124</v>
      </c>
      <c r="AV530" s="7">
        <v>44.006242999999998</v>
      </c>
      <c r="AW530" s="7">
        <v>100</v>
      </c>
      <c r="AX530" s="7">
        <v>0.34229799999999999</v>
      </c>
      <c r="AY530" s="4" t="s">
        <v>124</v>
      </c>
      <c r="AZ530" s="7">
        <v>34.229807000000001</v>
      </c>
      <c r="BA530" s="7">
        <v>100</v>
      </c>
      <c r="BB530" s="7">
        <v>0.39618500000000001</v>
      </c>
      <c r="BC530" s="7">
        <v>19.809256999999999</v>
      </c>
      <c r="BD530" s="7">
        <v>50</v>
      </c>
      <c r="BE530" s="7">
        <v>0.35875200000000002</v>
      </c>
      <c r="BF530" s="7">
        <v>17.937621</v>
      </c>
      <c r="BG530" s="7">
        <v>50</v>
      </c>
      <c r="BH530" s="7">
        <v>0</v>
      </c>
      <c r="BI530" s="7">
        <v>0.99453599999999998</v>
      </c>
      <c r="BJ530" s="7">
        <v>0.993421</v>
      </c>
      <c r="BK530" s="7">
        <v>1</v>
      </c>
      <c r="BL530" s="7">
        <v>0.98901099999999997</v>
      </c>
      <c r="BM530" s="7">
        <v>0.98675500000000005</v>
      </c>
      <c r="BN530" s="7">
        <v>1</v>
      </c>
      <c r="BO530" s="7">
        <v>1</v>
      </c>
      <c r="BP530" s="7">
        <v>1</v>
      </c>
      <c r="BQ530" s="4" t="s">
        <v>124</v>
      </c>
      <c r="BR530" s="7">
        <v>0.21590899999999999</v>
      </c>
      <c r="BS530" s="7">
        <v>16.818182</v>
      </c>
      <c r="BT530" s="7">
        <v>50</v>
      </c>
      <c r="BU530" s="7">
        <v>0.233766</v>
      </c>
      <c r="BV530" s="7">
        <v>13.246753</v>
      </c>
      <c r="BW530" s="7">
        <v>50</v>
      </c>
      <c r="BX530" s="4" t="s">
        <v>124</v>
      </c>
      <c r="BY530" s="4" t="s">
        <v>124</v>
      </c>
      <c r="BZ530" s="4" t="s">
        <v>124</v>
      </c>
      <c r="CA530" s="4" t="s">
        <v>124</v>
      </c>
      <c r="CB530" s="4" t="s">
        <v>124</v>
      </c>
      <c r="CC530" s="4" t="s">
        <v>124</v>
      </c>
      <c r="CD530" s="7">
        <v>0.66666700000000001</v>
      </c>
      <c r="CE530" s="7">
        <v>35.460993000000002</v>
      </c>
      <c r="CF530" s="7">
        <v>50</v>
      </c>
      <c r="CG530" s="4" t="s">
        <v>124</v>
      </c>
      <c r="CH530" s="4" t="s">
        <v>124</v>
      </c>
      <c r="CI530" s="4" t="s">
        <v>124</v>
      </c>
      <c r="CJ530" s="4" t="s">
        <v>124</v>
      </c>
      <c r="CK530" s="4" t="s">
        <v>124</v>
      </c>
      <c r="CL530" s="4" t="s">
        <v>124</v>
      </c>
      <c r="CM530" s="4" t="s">
        <v>124</v>
      </c>
      <c r="CN530" s="4" t="s">
        <v>124</v>
      </c>
      <c r="CO530" s="4" t="s">
        <v>124</v>
      </c>
      <c r="CP530" s="4" t="s">
        <v>124</v>
      </c>
      <c r="CQ530" s="7">
        <v>0.63380300000000001</v>
      </c>
      <c r="CR530" s="7">
        <v>1.014286</v>
      </c>
      <c r="CS530" s="7">
        <v>42.253520999999999</v>
      </c>
      <c r="CT530" s="7">
        <v>50</v>
      </c>
      <c r="CU530" s="4" t="s">
        <v>124</v>
      </c>
      <c r="CV530" s="4" t="s">
        <v>124</v>
      </c>
      <c r="CW530" s="4" t="s">
        <v>124</v>
      </c>
      <c r="CX530" s="4" t="s">
        <v>124</v>
      </c>
      <c r="CY530" s="4" t="s">
        <v>124</v>
      </c>
      <c r="CZ530" s="4" t="s">
        <v>124</v>
      </c>
      <c r="DA530" s="7">
        <v>15.314097</v>
      </c>
      <c r="DB530" s="7">
        <v>17.400950000000002</v>
      </c>
      <c r="DC530" s="7">
        <v>16.332519999999999</v>
      </c>
      <c r="DD530" s="4" t="s">
        <v>124</v>
      </c>
      <c r="DE530" s="7">
        <v>0</v>
      </c>
      <c r="DF530" s="6"/>
      <c r="DG530" s="6"/>
      <c r="DH530" s="6"/>
      <c r="DI530" s="6"/>
      <c r="DJ530" s="7">
        <v>0</v>
      </c>
      <c r="DK530" s="7">
        <v>0</v>
      </c>
      <c r="DL530" s="7">
        <v>0</v>
      </c>
      <c r="DM530" s="7">
        <v>0</v>
      </c>
      <c r="DN530" s="7">
        <v>0</v>
      </c>
      <c r="DO530" s="7">
        <v>0</v>
      </c>
      <c r="DP530" s="6"/>
      <c r="DQ530" s="4" t="s">
        <v>125</v>
      </c>
    </row>
    <row r="531" spans="1:121" ht="20" customHeight="1" x14ac:dyDescent="0.15">
      <c r="A531" s="5">
        <v>2018</v>
      </c>
      <c r="B531" s="3" t="s">
        <v>286</v>
      </c>
      <c r="C531" s="4" t="str">
        <f t="shared" si="211"/>
        <v>0640011</v>
      </c>
      <c r="D531" s="4" t="s">
        <v>688</v>
      </c>
      <c r="E531" s="4" t="str">
        <f>"0644011"</f>
        <v>0644011</v>
      </c>
      <c r="F531" s="4" t="s">
        <v>327</v>
      </c>
      <c r="G531" s="7">
        <v>4</v>
      </c>
      <c r="H531" s="7">
        <v>8</v>
      </c>
      <c r="I531" s="4" t="s">
        <v>335</v>
      </c>
      <c r="J531" s="4" t="s">
        <v>330</v>
      </c>
      <c r="K531" s="7">
        <v>674.14911700000005</v>
      </c>
      <c r="L531" s="7">
        <v>900</v>
      </c>
      <c r="M531" s="7">
        <v>74.905456999999998</v>
      </c>
      <c r="N531" s="7">
        <v>2</v>
      </c>
      <c r="O531" s="7">
        <v>0</v>
      </c>
      <c r="P531" s="7">
        <v>72.907262000000003</v>
      </c>
      <c r="Q531" s="7">
        <v>48.604841999999998</v>
      </c>
      <c r="R531" s="7">
        <v>50</v>
      </c>
      <c r="S531" s="7">
        <v>71.033224000000004</v>
      </c>
      <c r="T531" s="4" t="s">
        <v>124</v>
      </c>
      <c r="U531" s="7">
        <v>47.355483</v>
      </c>
      <c r="V531" s="7">
        <v>50</v>
      </c>
      <c r="W531" s="7">
        <v>65.912216999999998</v>
      </c>
      <c r="X531" s="7">
        <v>43.941477999999996</v>
      </c>
      <c r="Y531" s="7">
        <v>50</v>
      </c>
      <c r="Z531" s="4" t="s">
        <v>124</v>
      </c>
      <c r="AA531" s="7">
        <v>63.334313999999999</v>
      </c>
      <c r="AB531" s="7">
        <v>42.222875999999999</v>
      </c>
      <c r="AC531" s="7">
        <v>50</v>
      </c>
      <c r="AD531" s="7">
        <v>66.536814000000007</v>
      </c>
      <c r="AE531" s="7">
        <v>44.357875999999997</v>
      </c>
      <c r="AF531" s="7">
        <v>50</v>
      </c>
      <c r="AG531" s="7">
        <v>63.944383000000002</v>
      </c>
      <c r="AH531" s="4" t="s">
        <v>124</v>
      </c>
      <c r="AI531" s="7">
        <v>42.629587999999998</v>
      </c>
      <c r="AJ531" s="7">
        <v>50</v>
      </c>
      <c r="AK531" s="4" t="s">
        <v>124</v>
      </c>
      <c r="AL531" s="4" t="s">
        <v>124</v>
      </c>
      <c r="AM531" s="4" t="s">
        <v>124</v>
      </c>
      <c r="AN531" s="7">
        <v>0.59658699999999998</v>
      </c>
      <c r="AO531" s="7">
        <v>59.658718999999998</v>
      </c>
      <c r="AP531" s="7">
        <v>100</v>
      </c>
      <c r="AQ531" s="7">
        <v>0.54049999999999998</v>
      </c>
      <c r="AR531" s="7">
        <v>54.050038000000001</v>
      </c>
      <c r="AS531" s="7">
        <v>100</v>
      </c>
      <c r="AT531" s="7">
        <v>0.59689499999999995</v>
      </c>
      <c r="AU531" s="7">
        <v>0.59523999999999999</v>
      </c>
      <c r="AV531" s="7">
        <v>59.689481000000001</v>
      </c>
      <c r="AW531" s="7">
        <v>100</v>
      </c>
      <c r="AX531" s="7">
        <v>0.50363500000000005</v>
      </c>
      <c r="AY531" s="7">
        <v>0.70200600000000002</v>
      </c>
      <c r="AZ531" s="7">
        <v>50.363503999999999</v>
      </c>
      <c r="BA531" s="7">
        <v>100</v>
      </c>
      <c r="BB531" s="4" t="s">
        <v>124</v>
      </c>
      <c r="BC531" s="4" t="s">
        <v>124</v>
      </c>
      <c r="BD531" s="4" t="s">
        <v>124</v>
      </c>
      <c r="BE531" s="4" t="s">
        <v>124</v>
      </c>
      <c r="BF531" s="4" t="s">
        <v>124</v>
      </c>
      <c r="BG531" s="4" t="s">
        <v>124</v>
      </c>
      <c r="BH531" s="7">
        <v>0</v>
      </c>
      <c r="BI531" s="7">
        <v>0.99166699999999997</v>
      </c>
      <c r="BJ531" s="7">
        <v>1</v>
      </c>
      <c r="BK531" s="7">
        <v>0.95</v>
      </c>
      <c r="BL531" s="7">
        <v>0.99166699999999997</v>
      </c>
      <c r="BM531" s="7">
        <v>1</v>
      </c>
      <c r="BN531" s="7">
        <v>0.95</v>
      </c>
      <c r="BO531" s="7">
        <v>1</v>
      </c>
      <c r="BP531" s="7">
        <v>1</v>
      </c>
      <c r="BQ531" s="4" t="s">
        <v>124</v>
      </c>
      <c r="BR531" s="7">
        <v>0.10084</v>
      </c>
      <c r="BS531" s="7">
        <v>39.831932999999999</v>
      </c>
      <c r="BT531" s="7">
        <v>50</v>
      </c>
      <c r="BU531" s="7">
        <v>9.2784000000000005E-2</v>
      </c>
      <c r="BV531" s="7">
        <v>41.443299000000003</v>
      </c>
      <c r="BW531" s="7">
        <v>50</v>
      </c>
      <c r="BX531" s="4" t="s">
        <v>124</v>
      </c>
      <c r="BY531" s="4" t="s">
        <v>124</v>
      </c>
      <c r="BZ531" s="4" t="s">
        <v>124</v>
      </c>
      <c r="CA531" s="4" t="s">
        <v>124</v>
      </c>
      <c r="CB531" s="4" t="s">
        <v>124</v>
      </c>
      <c r="CC531" s="4" t="s">
        <v>124</v>
      </c>
      <c r="CD531" s="7">
        <v>0.95</v>
      </c>
      <c r="CE531" s="7">
        <v>50</v>
      </c>
      <c r="CF531" s="7">
        <v>50</v>
      </c>
      <c r="CG531" s="4" t="s">
        <v>124</v>
      </c>
      <c r="CH531" s="4" t="s">
        <v>124</v>
      </c>
      <c r="CI531" s="4" t="s">
        <v>124</v>
      </c>
      <c r="CJ531" s="4" t="s">
        <v>124</v>
      </c>
      <c r="CK531" s="4" t="s">
        <v>124</v>
      </c>
      <c r="CL531" s="4" t="s">
        <v>124</v>
      </c>
      <c r="CM531" s="4" t="s">
        <v>124</v>
      </c>
      <c r="CN531" s="4" t="s">
        <v>124</v>
      </c>
      <c r="CO531" s="4" t="s">
        <v>124</v>
      </c>
      <c r="CP531" s="4" t="s">
        <v>124</v>
      </c>
      <c r="CQ531" s="7">
        <v>0.84375</v>
      </c>
      <c r="CR531" s="7">
        <v>1</v>
      </c>
      <c r="CS531" s="7">
        <v>50</v>
      </c>
      <c r="CT531" s="7">
        <v>50</v>
      </c>
      <c r="CU531" s="4" t="s">
        <v>124</v>
      </c>
      <c r="CV531" s="4" t="s">
        <v>124</v>
      </c>
      <c r="CW531" s="4" t="s">
        <v>124</v>
      </c>
      <c r="CX531" s="4" t="s">
        <v>124</v>
      </c>
      <c r="CY531" s="4" t="s">
        <v>124</v>
      </c>
      <c r="CZ531" s="4" t="s">
        <v>124</v>
      </c>
      <c r="DA531" s="7">
        <v>15.314097</v>
      </c>
      <c r="DB531" s="7">
        <v>17.400950000000002</v>
      </c>
      <c r="DC531" s="7">
        <v>16.332519999999999</v>
      </c>
      <c r="DD531" s="4" t="s">
        <v>124</v>
      </c>
      <c r="DE531" s="7">
        <v>0</v>
      </c>
      <c r="DF531" s="6"/>
      <c r="DG531" s="6"/>
      <c r="DH531" s="6"/>
      <c r="DI531" s="6"/>
      <c r="DJ531" s="7">
        <v>0</v>
      </c>
      <c r="DK531" s="7">
        <v>0</v>
      </c>
      <c r="DL531" s="7">
        <v>0</v>
      </c>
      <c r="DM531" s="7">
        <v>0</v>
      </c>
      <c r="DN531" s="7">
        <v>0</v>
      </c>
      <c r="DO531" s="7">
        <v>0</v>
      </c>
      <c r="DP531" s="6"/>
      <c r="DQ531" s="4" t="s">
        <v>125</v>
      </c>
    </row>
    <row r="532" spans="1:121" ht="20" customHeight="1" x14ac:dyDescent="0.15">
      <c r="A532" s="5">
        <v>2018</v>
      </c>
      <c r="B532" s="3" t="s">
        <v>286</v>
      </c>
      <c r="C532" s="4" t="str">
        <f t="shared" si="211"/>
        <v>0640011</v>
      </c>
      <c r="D532" s="4" t="s">
        <v>689</v>
      </c>
      <c r="E532" s="4" t="str">
        <f>"0640111"</f>
        <v>0640111</v>
      </c>
      <c r="F532" s="4" t="s">
        <v>327</v>
      </c>
      <c r="G532" s="4" t="s">
        <v>328</v>
      </c>
      <c r="H532" s="7">
        <v>8</v>
      </c>
      <c r="I532" s="4" t="s">
        <v>335</v>
      </c>
      <c r="J532" s="4" t="s">
        <v>330</v>
      </c>
      <c r="K532" s="7">
        <v>473.05312900000001</v>
      </c>
      <c r="L532" s="7">
        <v>950</v>
      </c>
      <c r="M532" s="7">
        <v>49.795065999999998</v>
      </c>
      <c r="N532" s="7">
        <v>5</v>
      </c>
      <c r="O532" s="7">
        <v>0</v>
      </c>
      <c r="P532" s="7">
        <v>45.601263000000003</v>
      </c>
      <c r="Q532" s="7">
        <v>30.400842000000001</v>
      </c>
      <c r="R532" s="7">
        <v>50</v>
      </c>
      <c r="S532" s="7">
        <v>45.377206000000001</v>
      </c>
      <c r="T532" s="4" t="s">
        <v>124</v>
      </c>
      <c r="U532" s="7">
        <v>30.251470999999999</v>
      </c>
      <c r="V532" s="7">
        <v>50</v>
      </c>
      <c r="W532" s="7">
        <v>38.838797999999997</v>
      </c>
      <c r="X532" s="7">
        <v>25.892531999999999</v>
      </c>
      <c r="Y532" s="7">
        <v>50</v>
      </c>
      <c r="Z532" s="4" t="s">
        <v>124</v>
      </c>
      <c r="AA532" s="7">
        <v>38.702601999999999</v>
      </c>
      <c r="AB532" s="7">
        <v>25.801734</v>
      </c>
      <c r="AC532" s="7">
        <v>50</v>
      </c>
      <c r="AD532" s="7">
        <v>50.701557000000001</v>
      </c>
      <c r="AE532" s="7">
        <v>33.801037999999998</v>
      </c>
      <c r="AF532" s="7">
        <v>50</v>
      </c>
      <c r="AG532" s="7">
        <v>50.519410000000001</v>
      </c>
      <c r="AH532" s="4" t="s">
        <v>124</v>
      </c>
      <c r="AI532" s="7">
        <v>33.679606</v>
      </c>
      <c r="AJ532" s="7">
        <v>50</v>
      </c>
      <c r="AK532" s="4" t="s">
        <v>124</v>
      </c>
      <c r="AL532" s="4" t="s">
        <v>124</v>
      </c>
      <c r="AM532" s="4" t="s">
        <v>124</v>
      </c>
      <c r="AN532" s="7">
        <v>0.43195499999999998</v>
      </c>
      <c r="AO532" s="7">
        <v>43.195540000000001</v>
      </c>
      <c r="AP532" s="7">
        <v>100</v>
      </c>
      <c r="AQ532" s="7">
        <v>0.35958499999999999</v>
      </c>
      <c r="AR532" s="7">
        <v>35.958472</v>
      </c>
      <c r="AS532" s="7">
        <v>100</v>
      </c>
      <c r="AT532" s="7">
        <v>0.43200100000000002</v>
      </c>
      <c r="AU532" s="4" t="s">
        <v>124</v>
      </c>
      <c r="AV532" s="7">
        <v>43.200082000000002</v>
      </c>
      <c r="AW532" s="7">
        <v>100</v>
      </c>
      <c r="AX532" s="7">
        <v>0.35200500000000001</v>
      </c>
      <c r="AY532" s="4" t="s">
        <v>124</v>
      </c>
      <c r="AZ532" s="7">
        <v>35.200457999999998</v>
      </c>
      <c r="BA532" s="7">
        <v>100</v>
      </c>
      <c r="BB532" s="7">
        <v>0.60546299999999997</v>
      </c>
      <c r="BC532" s="7">
        <v>30.273167000000001</v>
      </c>
      <c r="BD532" s="7">
        <v>50</v>
      </c>
      <c r="BE532" s="7">
        <v>0.42738700000000002</v>
      </c>
      <c r="BF532" s="7">
        <v>21.369365999999999</v>
      </c>
      <c r="BG532" s="7">
        <v>50</v>
      </c>
      <c r="BH532" s="7">
        <v>0</v>
      </c>
      <c r="BI532" s="7">
        <v>0.995726</v>
      </c>
      <c r="BJ532" s="7">
        <v>0.99551599999999996</v>
      </c>
      <c r="BK532" s="4" t="s">
        <v>124</v>
      </c>
      <c r="BL532" s="7">
        <v>0.995726</v>
      </c>
      <c r="BM532" s="7">
        <v>0.99551599999999996</v>
      </c>
      <c r="BN532" s="4" t="s">
        <v>124</v>
      </c>
      <c r="BO532" s="7">
        <v>0.98387100000000005</v>
      </c>
      <c r="BP532" s="7">
        <v>0.98360700000000001</v>
      </c>
      <c r="BQ532" s="4" t="s">
        <v>124</v>
      </c>
      <c r="BR532" s="7">
        <v>0.217391</v>
      </c>
      <c r="BS532" s="7">
        <v>16.521739</v>
      </c>
      <c r="BT532" s="7">
        <v>50</v>
      </c>
      <c r="BU532" s="7">
        <v>0.21246499999999999</v>
      </c>
      <c r="BV532" s="7">
        <v>17.507082</v>
      </c>
      <c r="BW532" s="7">
        <v>50</v>
      </c>
      <c r="BX532" s="4" t="s">
        <v>124</v>
      </c>
      <c r="BY532" s="4" t="s">
        <v>124</v>
      </c>
      <c r="BZ532" s="4" t="s">
        <v>124</v>
      </c>
      <c r="CA532" s="4" t="s">
        <v>124</v>
      </c>
      <c r="CB532" s="4" t="s">
        <v>124</v>
      </c>
      <c r="CC532" s="4" t="s">
        <v>124</v>
      </c>
      <c r="CD532" s="4" t="s">
        <v>124</v>
      </c>
      <c r="CE532" s="4" t="s">
        <v>124</v>
      </c>
      <c r="CF532" s="4" t="s">
        <v>124</v>
      </c>
      <c r="CG532" s="4" t="s">
        <v>124</v>
      </c>
      <c r="CH532" s="4" t="s">
        <v>124</v>
      </c>
      <c r="CI532" s="4" t="s">
        <v>124</v>
      </c>
      <c r="CJ532" s="4" t="s">
        <v>124</v>
      </c>
      <c r="CK532" s="4" t="s">
        <v>124</v>
      </c>
      <c r="CL532" s="4" t="s">
        <v>124</v>
      </c>
      <c r="CM532" s="4" t="s">
        <v>124</v>
      </c>
      <c r="CN532" s="4" t="s">
        <v>124</v>
      </c>
      <c r="CO532" s="4" t="s">
        <v>124</v>
      </c>
      <c r="CP532" s="4" t="s">
        <v>124</v>
      </c>
      <c r="CQ532" s="7">
        <v>0.78991599999999995</v>
      </c>
      <c r="CR532" s="7">
        <v>0.99166699999999997</v>
      </c>
      <c r="CS532" s="7">
        <v>50</v>
      </c>
      <c r="CT532" s="7">
        <v>50</v>
      </c>
      <c r="CU532" s="4" t="s">
        <v>124</v>
      </c>
      <c r="CV532" s="4" t="s">
        <v>124</v>
      </c>
      <c r="CW532" s="4" t="s">
        <v>124</v>
      </c>
      <c r="CX532" s="4" t="s">
        <v>124</v>
      </c>
      <c r="CY532" s="4" t="s">
        <v>124</v>
      </c>
      <c r="CZ532" s="4" t="s">
        <v>124</v>
      </c>
      <c r="DA532" s="7">
        <v>15.314097</v>
      </c>
      <c r="DB532" s="7">
        <v>17.400950000000002</v>
      </c>
      <c r="DC532" s="7">
        <v>16.332519999999999</v>
      </c>
      <c r="DD532" s="4" t="s">
        <v>124</v>
      </c>
      <c r="DE532" s="7">
        <v>0</v>
      </c>
      <c r="DF532" s="4" t="s">
        <v>375</v>
      </c>
      <c r="DG532" s="4" t="s">
        <v>376</v>
      </c>
      <c r="DH532" s="6"/>
      <c r="DI532" s="6"/>
      <c r="DJ532" s="7">
        <v>0</v>
      </c>
      <c r="DK532" s="7">
        <v>0</v>
      </c>
      <c r="DL532" s="7">
        <v>0</v>
      </c>
      <c r="DM532" s="7">
        <v>0</v>
      </c>
      <c r="DN532" s="7">
        <v>0</v>
      </c>
      <c r="DO532" s="7">
        <v>0</v>
      </c>
      <c r="DP532" s="6"/>
      <c r="DQ532" s="4" t="s">
        <v>125</v>
      </c>
    </row>
    <row r="533" spans="1:121" ht="20" customHeight="1" x14ac:dyDescent="0.15">
      <c r="A533" s="5">
        <v>2018</v>
      </c>
      <c r="B533" s="3" t="s">
        <v>286</v>
      </c>
      <c r="C533" s="4" t="str">
        <f>"0640011"</f>
        <v>0640011</v>
      </c>
      <c r="D533" s="4" t="s">
        <v>690</v>
      </c>
      <c r="E533" s="4" t="str">
        <f>"0642511"</f>
        <v>0642511</v>
      </c>
      <c r="F533" s="4" t="s">
        <v>327</v>
      </c>
      <c r="G533" s="4" t="s">
        <v>338</v>
      </c>
      <c r="H533" s="7">
        <v>8</v>
      </c>
      <c r="I533" s="4" t="s">
        <v>335</v>
      </c>
      <c r="J533" s="4" t="s">
        <v>330</v>
      </c>
      <c r="K533" s="7">
        <v>791.61897499999998</v>
      </c>
      <c r="L533" s="7">
        <v>1000</v>
      </c>
      <c r="M533" s="7">
        <v>79.161896999999996</v>
      </c>
      <c r="N533" s="7">
        <v>3</v>
      </c>
      <c r="O533" s="7">
        <v>1</v>
      </c>
      <c r="P533" s="7">
        <v>71.167146000000002</v>
      </c>
      <c r="Q533" s="7">
        <v>47.444763999999999</v>
      </c>
      <c r="R533" s="7">
        <v>50</v>
      </c>
      <c r="S533" s="7">
        <v>63.112735999999998</v>
      </c>
      <c r="T533" s="7">
        <v>75</v>
      </c>
      <c r="U533" s="7">
        <v>42.075156999999997</v>
      </c>
      <c r="V533" s="7">
        <v>50</v>
      </c>
      <c r="W533" s="7">
        <v>65.768387000000004</v>
      </c>
      <c r="X533" s="7">
        <v>43.845590999999999</v>
      </c>
      <c r="Y533" s="7">
        <v>50</v>
      </c>
      <c r="Z533" s="7">
        <v>75</v>
      </c>
      <c r="AA533" s="7">
        <v>55.969355</v>
      </c>
      <c r="AB533" s="7">
        <v>37.312904000000003</v>
      </c>
      <c r="AC533" s="7">
        <v>50</v>
      </c>
      <c r="AD533" s="7">
        <v>69.130967999999996</v>
      </c>
      <c r="AE533" s="7">
        <v>46.087311999999997</v>
      </c>
      <c r="AF533" s="7">
        <v>50</v>
      </c>
      <c r="AG533" s="7">
        <v>62.251151</v>
      </c>
      <c r="AH533" s="7">
        <v>75</v>
      </c>
      <c r="AI533" s="7">
        <v>41.500768000000001</v>
      </c>
      <c r="AJ533" s="7">
        <v>50</v>
      </c>
      <c r="AK533" s="7">
        <v>11.88</v>
      </c>
      <c r="AL533" s="7">
        <v>19.03</v>
      </c>
      <c r="AM533" s="7">
        <v>12.74</v>
      </c>
      <c r="AN533" s="7">
        <v>0.73594300000000001</v>
      </c>
      <c r="AO533" s="7">
        <v>73.594251</v>
      </c>
      <c r="AP533" s="7">
        <v>100</v>
      </c>
      <c r="AQ533" s="7">
        <v>0.66023799999999999</v>
      </c>
      <c r="AR533" s="7">
        <v>66.023759999999996</v>
      </c>
      <c r="AS533" s="7">
        <v>100</v>
      </c>
      <c r="AT533" s="7">
        <v>0.72886799999999996</v>
      </c>
      <c r="AU533" s="7">
        <v>0.74460700000000002</v>
      </c>
      <c r="AV533" s="7">
        <v>72.886774000000003</v>
      </c>
      <c r="AW533" s="7">
        <v>100</v>
      </c>
      <c r="AX533" s="7">
        <v>0.59164300000000003</v>
      </c>
      <c r="AY533" s="7">
        <v>0.74520200000000003</v>
      </c>
      <c r="AZ533" s="7">
        <v>59.164270000000002</v>
      </c>
      <c r="BA533" s="7">
        <v>100</v>
      </c>
      <c r="BB533" s="7">
        <v>0.99200200000000005</v>
      </c>
      <c r="BC533" s="7">
        <v>49.600116999999997</v>
      </c>
      <c r="BD533" s="7">
        <v>50</v>
      </c>
      <c r="BE533" s="7">
        <v>0.61546699999999999</v>
      </c>
      <c r="BF533" s="7">
        <v>30.773343000000001</v>
      </c>
      <c r="BG533" s="7">
        <v>50</v>
      </c>
      <c r="BH533" s="7">
        <v>0</v>
      </c>
      <c r="BI533" s="7">
        <v>1</v>
      </c>
      <c r="BJ533" s="7">
        <v>1</v>
      </c>
      <c r="BK533" s="7">
        <v>1</v>
      </c>
      <c r="BL533" s="7">
        <v>0.99583299999999997</v>
      </c>
      <c r="BM533" s="7">
        <v>1</v>
      </c>
      <c r="BN533" s="7">
        <v>0.99065400000000003</v>
      </c>
      <c r="BO533" s="7">
        <v>1</v>
      </c>
      <c r="BP533" s="7">
        <v>1</v>
      </c>
      <c r="BQ533" s="7">
        <v>1</v>
      </c>
      <c r="BR533" s="7">
        <v>0.06</v>
      </c>
      <c r="BS533" s="7">
        <v>48</v>
      </c>
      <c r="BT533" s="7">
        <v>50</v>
      </c>
      <c r="BU533" s="7">
        <v>8.9108999999999994E-2</v>
      </c>
      <c r="BV533" s="7">
        <v>42.178218000000001</v>
      </c>
      <c r="BW533" s="7">
        <v>50</v>
      </c>
      <c r="BX533" s="4" t="s">
        <v>124</v>
      </c>
      <c r="BY533" s="4" t="s">
        <v>124</v>
      </c>
      <c r="BZ533" s="4" t="s">
        <v>124</v>
      </c>
      <c r="CA533" s="4" t="s">
        <v>124</v>
      </c>
      <c r="CB533" s="4" t="s">
        <v>124</v>
      </c>
      <c r="CC533" s="4" t="s">
        <v>124</v>
      </c>
      <c r="CD533" s="7">
        <v>0.91666700000000001</v>
      </c>
      <c r="CE533" s="7">
        <v>48.758865</v>
      </c>
      <c r="CF533" s="7">
        <v>50</v>
      </c>
      <c r="CG533" s="4" t="s">
        <v>124</v>
      </c>
      <c r="CH533" s="4" t="s">
        <v>124</v>
      </c>
      <c r="CI533" s="4" t="s">
        <v>124</v>
      </c>
      <c r="CJ533" s="4" t="s">
        <v>124</v>
      </c>
      <c r="CK533" s="4" t="s">
        <v>124</v>
      </c>
      <c r="CL533" s="4" t="s">
        <v>124</v>
      </c>
      <c r="CM533" s="4" t="s">
        <v>124</v>
      </c>
      <c r="CN533" s="4" t="s">
        <v>124</v>
      </c>
      <c r="CO533" s="4" t="s">
        <v>124</v>
      </c>
      <c r="CP533" s="4" t="s">
        <v>124</v>
      </c>
      <c r="CQ533" s="7">
        <v>0.63559299999999996</v>
      </c>
      <c r="CR533" s="7">
        <v>1</v>
      </c>
      <c r="CS533" s="7">
        <v>42.372881</v>
      </c>
      <c r="CT533" s="7">
        <v>50</v>
      </c>
      <c r="CU533" s="4" t="s">
        <v>124</v>
      </c>
      <c r="CV533" s="4" t="s">
        <v>124</v>
      </c>
      <c r="CW533" s="4" t="s">
        <v>124</v>
      </c>
      <c r="CX533" s="4" t="s">
        <v>124</v>
      </c>
      <c r="CY533" s="4" t="s">
        <v>124</v>
      </c>
      <c r="CZ533" s="4" t="s">
        <v>124</v>
      </c>
      <c r="DA533" s="7">
        <v>15.314097</v>
      </c>
      <c r="DB533" s="7">
        <v>17.400950000000002</v>
      </c>
      <c r="DC533" s="7">
        <v>16.332519999999999</v>
      </c>
      <c r="DD533" s="4" t="s">
        <v>124</v>
      </c>
      <c r="DE533" s="7">
        <v>1</v>
      </c>
      <c r="DF533" s="6"/>
      <c r="DG533" s="6"/>
      <c r="DH533" s="6"/>
      <c r="DI533" s="6"/>
      <c r="DJ533" s="7">
        <v>0</v>
      </c>
      <c r="DK533" s="7">
        <v>0</v>
      </c>
      <c r="DL533" s="7">
        <v>0</v>
      </c>
      <c r="DM533" s="7">
        <v>0</v>
      </c>
      <c r="DN533" s="7">
        <v>0</v>
      </c>
      <c r="DO533" s="7">
        <v>0</v>
      </c>
      <c r="DP533" s="6"/>
      <c r="DQ533" s="4" t="s">
        <v>125</v>
      </c>
    </row>
    <row r="534" spans="1:121" ht="20" customHeight="1" x14ac:dyDescent="0.15">
      <c r="A534" s="5">
        <v>2018</v>
      </c>
      <c r="B534" s="3" t="s">
        <v>286</v>
      </c>
      <c r="C534" s="4" t="str">
        <f t="shared" si="211"/>
        <v>0640011</v>
      </c>
      <c r="D534" s="4" t="s">
        <v>691</v>
      </c>
      <c r="E534" s="4" t="str">
        <f>"0643011"</f>
        <v>0643011</v>
      </c>
      <c r="F534" s="4" t="s">
        <v>327</v>
      </c>
      <c r="G534" s="4" t="s">
        <v>328</v>
      </c>
      <c r="H534" s="7">
        <v>5</v>
      </c>
      <c r="I534" s="4" t="s">
        <v>335</v>
      </c>
      <c r="J534" s="4" t="s">
        <v>330</v>
      </c>
      <c r="K534" s="7">
        <v>525.53542100000004</v>
      </c>
      <c r="L534" s="7">
        <v>950</v>
      </c>
      <c r="M534" s="7">
        <v>55.319518000000002</v>
      </c>
      <c r="N534" s="7">
        <v>3</v>
      </c>
      <c r="O534" s="7">
        <v>0</v>
      </c>
      <c r="P534" s="7">
        <v>50.529653000000003</v>
      </c>
      <c r="Q534" s="7">
        <v>33.686435000000003</v>
      </c>
      <c r="R534" s="7">
        <v>50</v>
      </c>
      <c r="S534" s="7">
        <v>50.503681</v>
      </c>
      <c r="T534" s="4" t="s">
        <v>124</v>
      </c>
      <c r="U534" s="7">
        <v>33.669120999999997</v>
      </c>
      <c r="V534" s="7">
        <v>50</v>
      </c>
      <c r="W534" s="7">
        <v>51.704526000000001</v>
      </c>
      <c r="X534" s="7">
        <v>34.469684000000001</v>
      </c>
      <c r="Y534" s="7">
        <v>50</v>
      </c>
      <c r="Z534" s="4" t="s">
        <v>124</v>
      </c>
      <c r="AA534" s="7">
        <v>51.647649000000001</v>
      </c>
      <c r="AB534" s="7">
        <v>34.431766000000003</v>
      </c>
      <c r="AC534" s="7">
        <v>50</v>
      </c>
      <c r="AD534" s="7">
        <v>47.326411</v>
      </c>
      <c r="AE534" s="7">
        <v>31.550941000000002</v>
      </c>
      <c r="AF534" s="7">
        <v>50</v>
      </c>
      <c r="AG534" s="7">
        <v>47.326411</v>
      </c>
      <c r="AH534" s="4" t="s">
        <v>124</v>
      </c>
      <c r="AI534" s="7">
        <v>31.550941000000002</v>
      </c>
      <c r="AJ534" s="7">
        <v>50</v>
      </c>
      <c r="AK534" s="4" t="s">
        <v>124</v>
      </c>
      <c r="AL534" s="4" t="s">
        <v>124</v>
      </c>
      <c r="AM534" s="4" t="s">
        <v>124</v>
      </c>
      <c r="AN534" s="7">
        <v>0.402557</v>
      </c>
      <c r="AO534" s="7">
        <v>40.255661000000003</v>
      </c>
      <c r="AP534" s="7">
        <v>100</v>
      </c>
      <c r="AQ534" s="7">
        <v>0.524733</v>
      </c>
      <c r="AR534" s="7">
        <v>52.473281999999998</v>
      </c>
      <c r="AS534" s="7">
        <v>100</v>
      </c>
      <c r="AT534" s="7">
        <v>0.402557</v>
      </c>
      <c r="AU534" s="4" t="s">
        <v>124</v>
      </c>
      <c r="AV534" s="7">
        <v>40.255661000000003</v>
      </c>
      <c r="AW534" s="7">
        <v>100</v>
      </c>
      <c r="AX534" s="7">
        <v>0.524733</v>
      </c>
      <c r="AY534" s="4" t="s">
        <v>124</v>
      </c>
      <c r="AZ534" s="7">
        <v>52.473281999999998</v>
      </c>
      <c r="BA534" s="7">
        <v>100</v>
      </c>
      <c r="BB534" s="7">
        <v>0.66463099999999997</v>
      </c>
      <c r="BC534" s="7">
        <v>33.231546999999999</v>
      </c>
      <c r="BD534" s="7">
        <v>50</v>
      </c>
      <c r="BE534" s="7">
        <v>0.455843</v>
      </c>
      <c r="BF534" s="7">
        <v>22.792162999999999</v>
      </c>
      <c r="BG534" s="7">
        <v>50</v>
      </c>
      <c r="BH534" s="7">
        <v>0</v>
      </c>
      <c r="BI534" s="7">
        <v>1</v>
      </c>
      <c r="BJ534" s="7">
        <v>1</v>
      </c>
      <c r="BK534" s="4" t="s">
        <v>124</v>
      </c>
      <c r="BL534" s="7">
        <v>1</v>
      </c>
      <c r="BM534" s="7">
        <v>1</v>
      </c>
      <c r="BN534" s="4" t="s">
        <v>124</v>
      </c>
      <c r="BO534" s="7">
        <v>1</v>
      </c>
      <c r="BP534" s="7">
        <v>1</v>
      </c>
      <c r="BQ534" s="4" t="s">
        <v>124</v>
      </c>
      <c r="BR534" s="7">
        <v>0.19841300000000001</v>
      </c>
      <c r="BS534" s="7">
        <v>20.317460000000001</v>
      </c>
      <c r="BT534" s="7">
        <v>50</v>
      </c>
      <c r="BU534" s="7">
        <v>0.202156</v>
      </c>
      <c r="BV534" s="7">
        <v>19.568733000000002</v>
      </c>
      <c r="BW534" s="7">
        <v>50</v>
      </c>
      <c r="BX534" s="4" t="s">
        <v>124</v>
      </c>
      <c r="BY534" s="4" t="s">
        <v>124</v>
      </c>
      <c r="BZ534" s="4" t="s">
        <v>124</v>
      </c>
      <c r="CA534" s="4" t="s">
        <v>124</v>
      </c>
      <c r="CB534" s="4" t="s">
        <v>124</v>
      </c>
      <c r="CC534" s="4" t="s">
        <v>124</v>
      </c>
      <c r="CD534" s="4" t="s">
        <v>124</v>
      </c>
      <c r="CE534" s="4" t="s">
        <v>124</v>
      </c>
      <c r="CF534" s="4" t="s">
        <v>124</v>
      </c>
      <c r="CG534" s="4" t="s">
        <v>124</v>
      </c>
      <c r="CH534" s="4" t="s">
        <v>124</v>
      </c>
      <c r="CI534" s="4" t="s">
        <v>124</v>
      </c>
      <c r="CJ534" s="4" t="s">
        <v>124</v>
      </c>
      <c r="CK534" s="4" t="s">
        <v>124</v>
      </c>
      <c r="CL534" s="4" t="s">
        <v>124</v>
      </c>
      <c r="CM534" s="4" t="s">
        <v>124</v>
      </c>
      <c r="CN534" s="4" t="s">
        <v>124</v>
      </c>
      <c r="CO534" s="4" t="s">
        <v>124</v>
      </c>
      <c r="CP534" s="4" t="s">
        <v>124</v>
      </c>
      <c r="CQ534" s="7">
        <v>0.67213100000000003</v>
      </c>
      <c r="CR534" s="7">
        <v>1</v>
      </c>
      <c r="CS534" s="7">
        <v>44.808743</v>
      </c>
      <c r="CT534" s="7">
        <v>50</v>
      </c>
      <c r="CU534" s="4" t="s">
        <v>124</v>
      </c>
      <c r="CV534" s="4" t="s">
        <v>124</v>
      </c>
      <c r="CW534" s="4" t="s">
        <v>124</v>
      </c>
      <c r="CX534" s="4" t="s">
        <v>124</v>
      </c>
      <c r="CY534" s="4" t="s">
        <v>124</v>
      </c>
      <c r="CZ534" s="4" t="s">
        <v>124</v>
      </c>
      <c r="DA534" s="7">
        <v>15.314097</v>
      </c>
      <c r="DB534" s="7">
        <v>17.400950000000002</v>
      </c>
      <c r="DC534" s="7">
        <v>16.332519999999999</v>
      </c>
      <c r="DD534" s="4" t="s">
        <v>124</v>
      </c>
      <c r="DE534" s="7">
        <v>0</v>
      </c>
      <c r="DF534" s="6"/>
      <c r="DG534" s="6"/>
      <c r="DH534" s="6"/>
      <c r="DI534" s="6"/>
      <c r="DJ534" s="7">
        <v>0</v>
      </c>
      <c r="DK534" s="7">
        <v>0</v>
      </c>
      <c r="DL534" s="7">
        <v>0</v>
      </c>
      <c r="DM534" s="7">
        <v>0</v>
      </c>
      <c r="DN534" s="7">
        <v>0</v>
      </c>
      <c r="DO534" s="7">
        <v>0</v>
      </c>
      <c r="DP534" s="6"/>
      <c r="DQ534" s="4" t="s">
        <v>125</v>
      </c>
    </row>
    <row r="535" spans="1:121" ht="20" customHeight="1" x14ac:dyDescent="0.15">
      <c r="A535" s="5">
        <v>2018</v>
      </c>
      <c r="B535" s="3" t="s">
        <v>286</v>
      </c>
      <c r="C535" s="4" t="str">
        <f t="shared" si="211"/>
        <v>0640011</v>
      </c>
      <c r="D535" s="4" t="s">
        <v>692</v>
      </c>
      <c r="E535" s="4" t="str">
        <f>"0646511"</f>
        <v>0646511</v>
      </c>
      <c r="F535" s="4" t="s">
        <v>327</v>
      </c>
      <c r="G535" s="7">
        <v>6</v>
      </c>
      <c r="H535" s="7">
        <v>12</v>
      </c>
      <c r="I535" s="4" t="s">
        <v>335</v>
      </c>
      <c r="J535" s="4" t="s">
        <v>330</v>
      </c>
      <c r="K535" s="7">
        <v>949.75981000000002</v>
      </c>
      <c r="L535" s="7">
        <v>1450</v>
      </c>
      <c r="M535" s="7">
        <v>65.500676999999996</v>
      </c>
      <c r="N535" s="7">
        <v>4</v>
      </c>
      <c r="O535" s="7">
        <v>0</v>
      </c>
      <c r="P535" s="7">
        <v>51.489395000000002</v>
      </c>
      <c r="Q535" s="7">
        <v>34.326264000000002</v>
      </c>
      <c r="R535" s="7">
        <v>50</v>
      </c>
      <c r="S535" s="7">
        <v>49.373196999999998</v>
      </c>
      <c r="T535" s="7">
        <v>60.536909000000001</v>
      </c>
      <c r="U535" s="7">
        <v>32.915464999999998</v>
      </c>
      <c r="V535" s="7">
        <v>50</v>
      </c>
      <c r="W535" s="7">
        <v>47.855274999999999</v>
      </c>
      <c r="X535" s="7">
        <v>31.903517000000001</v>
      </c>
      <c r="Y535" s="7">
        <v>50</v>
      </c>
      <c r="Z535" s="7">
        <v>58.056491000000001</v>
      </c>
      <c r="AA535" s="7">
        <v>45.469228000000001</v>
      </c>
      <c r="AB535" s="7">
        <v>30.312818</v>
      </c>
      <c r="AC535" s="7">
        <v>50</v>
      </c>
      <c r="AD535" s="7">
        <v>53.846029000000001</v>
      </c>
      <c r="AE535" s="7">
        <v>35.897353000000003</v>
      </c>
      <c r="AF535" s="7">
        <v>50</v>
      </c>
      <c r="AG535" s="7">
        <v>51.292932999999998</v>
      </c>
      <c r="AH535" s="7">
        <v>65.225539999999995</v>
      </c>
      <c r="AI535" s="7">
        <v>34.195289000000002</v>
      </c>
      <c r="AJ535" s="7">
        <v>50</v>
      </c>
      <c r="AK535" s="7">
        <v>11.16</v>
      </c>
      <c r="AL535" s="7">
        <v>12.58</v>
      </c>
      <c r="AM535" s="7">
        <v>13.93</v>
      </c>
      <c r="AN535" s="7">
        <v>0.46663300000000002</v>
      </c>
      <c r="AO535" s="7">
        <v>46.663307000000003</v>
      </c>
      <c r="AP535" s="7">
        <v>100</v>
      </c>
      <c r="AQ535" s="7">
        <v>0.47738799999999998</v>
      </c>
      <c r="AR535" s="7">
        <v>47.738762000000001</v>
      </c>
      <c r="AS535" s="7">
        <v>100</v>
      </c>
      <c r="AT535" s="7">
        <v>0.48693399999999998</v>
      </c>
      <c r="AU535" s="7">
        <v>0.38933299999999998</v>
      </c>
      <c r="AV535" s="7">
        <v>48.693401000000001</v>
      </c>
      <c r="AW535" s="7">
        <v>100</v>
      </c>
      <c r="AX535" s="7">
        <v>0.45583299999999999</v>
      </c>
      <c r="AY535" s="7">
        <v>0.55904500000000001</v>
      </c>
      <c r="AZ535" s="7">
        <v>45.583342999999999</v>
      </c>
      <c r="BA535" s="7">
        <v>100</v>
      </c>
      <c r="BB535" s="7">
        <v>0.36185400000000001</v>
      </c>
      <c r="BC535" s="7">
        <v>18.092684999999999</v>
      </c>
      <c r="BD535" s="7">
        <v>50</v>
      </c>
      <c r="BE535" s="7">
        <v>0.32681300000000002</v>
      </c>
      <c r="BF535" s="7">
        <v>16.340627000000001</v>
      </c>
      <c r="BG535" s="7">
        <v>50</v>
      </c>
      <c r="BH535" s="7">
        <v>0</v>
      </c>
      <c r="BI535" s="7">
        <v>0.991892</v>
      </c>
      <c r="BJ535" s="7">
        <v>0.99003300000000005</v>
      </c>
      <c r="BK535" s="7">
        <v>1</v>
      </c>
      <c r="BL535" s="7">
        <v>0.991892</v>
      </c>
      <c r="BM535" s="7">
        <v>0.99003300000000005</v>
      </c>
      <c r="BN535" s="7">
        <v>1</v>
      </c>
      <c r="BO535" s="7">
        <v>0.98963699999999999</v>
      </c>
      <c r="BP535" s="7">
        <v>0.98734200000000005</v>
      </c>
      <c r="BQ535" s="7">
        <v>1</v>
      </c>
      <c r="BR535" s="7">
        <v>0.19849600000000001</v>
      </c>
      <c r="BS535" s="7">
        <v>20.300751999999999</v>
      </c>
      <c r="BT535" s="7">
        <v>50</v>
      </c>
      <c r="BU535" s="7">
        <v>0.227357</v>
      </c>
      <c r="BV535" s="7">
        <v>14.528651</v>
      </c>
      <c r="BW535" s="7">
        <v>50</v>
      </c>
      <c r="BX535" s="7">
        <v>0.82587100000000002</v>
      </c>
      <c r="BY535" s="7">
        <v>50</v>
      </c>
      <c r="BZ535" s="7">
        <v>50</v>
      </c>
      <c r="CA535" s="7">
        <v>0.283582</v>
      </c>
      <c r="CB535" s="7">
        <v>18.905473000000001</v>
      </c>
      <c r="CC535" s="7">
        <v>50</v>
      </c>
      <c r="CD535" s="7">
        <v>0.92972999999999995</v>
      </c>
      <c r="CE535" s="7">
        <v>49.453709000000003</v>
      </c>
      <c r="CF535" s="7">
        <v>50</v>
      </c>
      <c r="CG535" s="7">
        <v>0.94949499999999998</v>
      </c>
      <c r="CH535" s="7">
        <v>100</v>
      </c>
      <c r="CI535" s="7">
        <v>100</v>
      </c>
      <c r="CJ535" s="7">
        <v>0</v>
      </c>
      <c r="CK535" s="7">
        <v>0.98863599999999996</v>
      </c>
      <c r="CL535" s="7">
        <v>100</v>
      </c>
      <c r="CM535" s="7">
        <v>100</v>
      </c>
      <c r="CN535" s="7">
        <v>0.77319599999999999</v>
      </c>
      <c r="CO535" s="7">
        <v>100</v>
      </c>
      <c r="CP535" s="7">
        <v>100</v>
      </c>
      <c r="CQ535" s="7">
        <v>0.59925099999999998</v>
      </c>
      <c r="CR535" s="7">
        <v>1</v>
      </c>
      <c r="CS535" s="7">
        <v>39.950062000000003</v>
      </c>
      <c r="CT535" s="7">
        <v>50</v>
      </c>
      <c r="CU535" s="7">
        <v>0.40749999999999997</v>
      </c>
      <c r="CV535" s="7">
        <v>33.958333000000003</v>
      </c>
      <c r="CW535" s="7">
        <v>50</v>
      </c>
      <c r="CX535" s="7">
        <v>0.98863599999999996</v>
      </c>
      <c r="CY535" s="4" t="s">
        <v>124</v>
      </c>
      <c r="CZ535" s="4" t="s">
        <v>124</v>
      </c>
      <c r="DA535" s="7">
        <v>15.314097</v>
      </c>
      <c r="DB535" s="7">
        <v>17.400950000000002</v>
      </c>
      <c r="DC535" s="7">
        <v>16.332519999999999</v>
      </c>
      <c r="DD535" s="7">
        <v>7.9891730000000001</v>
      </c>
      <c r="DE535" s="7">
        <v>0</v>
      </c>
      <c r="DF535" s="4" t="s">
        <v>384</v>
      </c>
      <c r="DG535" s="4" t="s">
        <v>647</v>
      </c>
      <c r="DH535" s="6"/>
      <c r="DI535" s="6"/>
      <c r="DJ535" s="7">
        <v>0</v>
      </c>
      <c r="DK535" s="7">
        <v>0</v>
      </c>
      <c r="DL535" s="7">
        <v>0</v>
      </c>
      <c r="DM535" s="7">
        <v>0</v>
      </c>
      <c r="DN535" s="7">
        <v>0</v>
      </c>
      <c r="DO535" s="7">
        <v>0</v>
      </c>
      <c r="DP535" s="6"/>
      <c r="DQ535" s="4" t="s">
        <v>125</v>
      </c>
    </row>
    <row r="536" spans="1:121" ht="20" customHeight="1" x14ac:dyDescent="0.15">
      <c r="A536" s="5">
        <v>2018</v>
      </c>
      <c r="B536" s="3" t="s">
        <v>286</v>
      </c>
      <c r="C536" s="4" t="str">
        <f t="shared" si="211"/>
        <v>0640011</v>
      </c>
      <c r="D536" s="4" t="s">
        <v>693</v>
      </c>
      <c r="E536" s="4" t="str">
        <f>"0646711"</f>
        <v>0646711</v>
      </c>
      <c r="F536" s="4" t="s">
        <v>327</v>
      </c>
      <c r="G536" s="7">
        <v>9</v>
      </c>
      <c r="H536" s="7">
        <v>12</v>
      </c>
      <c r="I536" s="4" t="s">
        <v>335</v>
      </c>
      <c r="J536" s="4" t="s">
        <v>330</v>
      </c>
      <c r="K536" s="7">
        <v>1180.7908500000001</v>
      </c>
      <c r="L536" s="7">
        <v>1450</v>
      </c>
      <c r="M536" s="7">
        <v>81.433852000000002</v>
      </c>
      <c r="N536" s="7">
        <v>3</v>
      </c>
      <c r="O536" s="7">
        <v>1</v>
      </c>
      <c r="P536" s="7">
        <v>63.215409000000001</v>
      </c>
      <c r="Q536" s="7">
        <v>126.430818</v>
      </c>
      <c r="R536" s="7">
        <v>150</v>
      </c>
      <c r="S536" s="7">
        <v>55.325268999999999</v>
      </c>
      <c r="T536" s="7">
        <v>74.333332999999996</v>
      </c>
      <c r="U536" s="7">
        <v>110.650538</v>
      </c>
      <c r="V536" s="7">
        <v>150</v>
      </c>
      <c r="W536" s="7">
        <v>65.429244999999995</v>
      </c>
      <c r="X536" s="7">
        <v>130.85849099999999</v>
      </c>
      <c r="Y536" s="7">
        <v>150</v>
      </c>
      <c r="Z536" s="7">
        <v>75</v>
      </c>
      <c r="AA536" s="7">
        <v>55.177419</v>
      </c>
      <c r="AB536" s="7">
        <v>110.354839</v>
      </c>
      <c r="AC536" s="7">
        <v>150</v>
      </c>
      <c r="AD536" s="7">
        <v>64.177515</v>
      </c>
      <c r="AE536" s="7">
        <v>85.57002</v>
      </c>
      <c r="AF536" s="7">
        <v>100</v>
      </c>
      <c r="AG536" s="7">
        <v>55.253846000000003</v>
      </c>
      <c r="AH536" s="7">
        <v>75</v>
      </c>
      <c r="AI536" s="7">
        <v>73.671795000000003</v>
      </c>
      <c r="AJ536" s="7">
        <v>100</v>
      </c>
      <c r="AK536" s="7">
        <v>19</v>
      </c>
      <c r="AL536" s="7">
        <v>19.82</v>
      </c>
      <c r="AM536" s="7">
        <v>19.739999999999998</v>
      </c>
      <c r="AN536" s="4" t="s">
        <v>124</v>
      </c>
      <c r="AO536" s="4" t="s">
        <v>124</v>
      </c>
      <c r="AP536" s="4" t="s">
        <v>124</v>
      </c>
      <c r="AQ536" s="4" t="s">
        <v>124</v>
      </c>
      <c r="AR536" s="4" t="s">
        <v>124</v>
      </c>
      <c r="AS536" s="4" t="s">
        <v>124</v>
      </c>
      <c r="AT536" s="4" t="s">
        <v>124</v>
      </c>
      <c r="AU536" s="4" t="s">
        <v>124</v>
      </c>
      <c r="AV536" s="4" t="s">
        <v>124</v>
      </c>
      <c r="AW536" s="4" t="s">
        <v>124</v>
      </c>
      <c r="AX536" s="4" t="s">
        <v>124</v>
      </c>
      <c r="AY536" s="4" t="s">
        <v>124</v>
      </c>
      <c r="AZ536" s="4" t="s">
        <v>124</v>
      </c>
      <c r="BA536" s="4" t="s">
        <v>124</v>
      </c>
      <c r="BB536" s="4" t="s">
        <v>124</v>
      </c>
      <c r="BC536" s="4" t="s">
        <v>124</v>
      </c>
      <c r="BD536" s="4" t="s">
        <v>124</v>
      </c>
      <c r="BE536" s="4" t="s">
        <v>124</v>
      </c>
      <c r="BF536" s="4" t="s">
        <v>124</v>
      </c>
      <c r="BG536" s="4" t="s">
        <v>124</v>
      </c>
      <c r="BH536" s="7">
        <v>1</v>
      </c>
      <c r="BI536" s="7">
        <v>0.97247700000000004</v>
      </c>
      <c r="BJ536" s="7">
        <v>0.95384599999999997</v>
      </c>
      <c r="BK536" s="7">
        <v>1</v>
      </c>
      <c r="BL536" s="7">
        <v>0.97247700000000004</v>
      </c>
      <c r="BM536" s="7">
        <v>0.95384599999999997</v>
      </c>
      <c r="BN536" s="7">
        <v>1</v>
      </c>
      <c r="BO536" s="7">
        <v>0.95412799999999998</v>
      </c>
      <c r="BP536" s="7">
        <v>0.92307700000000004</v>
      </c>
      <c r="BQ536" s="7">
        <v>1</v>
      </c>
      <c r="BR536" s="7">
        <v>0.14460799999999999</v>
      </c>
      <c r="BS536" s="7">
        <v>31.078430999999998</v>
      </c>
      <c r="BT536" s="7">
        <v>50</v>
      </c>
      <c r="BU536" s="7">
        <v>0.192913</v>
      </c>
      <c r="BV536" s="7">
        <v>21.417323</v>
      </c>
      <c r="BW536" s="7">
        <v>50</v>
      </c>
      <c r="BX536" s="7">
        <v>0.93877600000000005</v>
      </c>
      <c r="BY536" s="7">
        <v>50</v>
      </c>
      <c r="BZ536" s="7">
        <v>50</v>
      </c>
      <c r="CA536" s="7">
        <v>0.56122399999999995</v>
      </c>
      <c r="CB536" s="7">
        <v>37.414966</v>
      </c>
      <c r="CC536" s="7">
        <v>50</v>
      </c>
      <c r="CD536" s="7">
        <v>0.86111099999999996</v>
      </c>
      <c r="CE536" s="7">
        <v>45.803783000000003</v>
      </c>
      <c r="CF536" s="7">
        <v>50</v>
      </c>
      <c r="CG536" s="7">
        <v>0.91509399999999996</v>
      </c>
      <c r="CH536" s="7">
        <v>97.350461999999993</v>
      </c>
      <c r="CI536" s="7">
        <v>100</v>
      </c>
      <c r="CJ536" s="7">
        <v>0</v>
      </c>
      <c r="CK536" s="7">
        <v>0.92500000000000004</v>
      </c>
      <c r="CL536" s="7">
        <v>98.404255000000006</v>
      </c>
      <c r="CM536" s="7">
        <v>100</v>
      </c>
      <c r="CN536" s="7">
        <v>0.77777799999999997</v>
      </c>
      <c r="CO536" s="7">
        <v>100</v>
      </c>
      <c r="CP536" s="7">
        <v>100</v>
      </c>
      <c r="CQ536" s="7">
        <v>0.546875</v>
      </c>
      <c r="CR536" s="7">
        <v>1.8461540000000001</v>
      </c>
      <c r="CS536" s="7">
        <v>36.458333000000003</v>
      </c>
      <c r="CT536" s="7">
        <v>50</v>
      </c>
      <c r="CU536" s="7">
        <v>0.30392200000000003</v>
      </c>
      <c r="CV536" s="7">
        <v>25.326796999999999</v>
      </c>
      <c r="CW536" s="7">
        <v>50</v>
      </c>
      <c r="CX536" s="7">
        <v>0.92500000000000004</v>
      </c>
      <c r="CY536" s="7">
        <v>0.94</v>
      </c>
      <c r="CZ536" s="7">
        <v>1.4999999999999999E-2</v>
      </c>
      <c r="DA536" s="7">
        <v>15.314097</v>
      </c>
      <c r="DB536" s="7">
        <v>17.400950000000002</v>
      </c>
      <c r="DC536" s="7">
        <v>16.332519999999999</v>
      </c>
      <c r="DD536" s="7">
        <v>7.9891730000000001</v>
      </c>
      <c r="DE536" s="7">
        <v>1</v>
      </c>
      <c r="DF536" s="6"/>
      <c r="DG536" s="6"/>
      <c r="DH536" s="6"/>
      <c r="DI536" s="6"/>
      <c r="DJ536" s="7">
        <v>0</v>
      </c>
      <c r="DK536" s="7">
        <v>0</v>
      </c>
      <c r="DL536" s="7">
        <v>0</v>
      </c>
      <c r="DM536" s="7">
        <v>0</v>
      </c>
      <c r="DN536" s="7">
        <v>0</v>
      </c>
      <c r="DO536" s="7">
        <v>0</v>
      </c>
      <c r="DP536" s="6"/>
      <c r="DQ536" s="4" t="s">
        <v>125</v>
      </c>
    </row>
    <row r="537" spans="1:121" ht="20" customHeight="1" x14ac:dyDescent="0.15">
      <c r="A537" s="5">
        <v>2018</v>
      </c>
      <c r="B537" s="3" t="s">
        <v>286</v>
      </c>
      <c r="C537" s="4" t="str">
        <f t="shared" si="211"/>
        <v>0640011</v>
      </c>
      <c r="D537" s="4" t="s">
        <v>694</v>
      </c>
      <c r="E537" s="4" t="str">
        <f>"0642011"</f>
        <v>0642011</v>
      </c>
      <c r="F537" s="4" t="s">
        <v>327</v>
      </c>
      <c r="G537" s="4" t="s">
        <v>328</v>
      </c>
      <c r="H537" s="7">
        <v>8</v>
      </c>
      <c r="I537" s="4" t="s">
        <v>335</v>
      </c>
      <c r="J537" s="4" t="s">
        <v>330</v>
      </c>
      <c r="K537" s="7">
        <v>691.62448099999995</v>
      </c>
      <c r="L537" s="7">
        <v>1000</v>
      </c>
      <c r="M537" s="7">
        <v>69.162447999999998</v>
      </c>
      <c r="N537" s="7">
        <v>3</v>
      </c>
      <c r="O537" s="7">
        <v>0</v>
      </c>
      <c r="P537" s="7">
        <v>60.385117999999999</v>
      </c>
      <c r="Q537" s="7">
        <v>40.256745000000002</v>
      </c>
      <c r="R537" s="7">
        <v>50</v>
      </c>
      <c r="S537" s="7">
        <v>57.627912000000002</v>
      </c>
      <c r="T537" s="7">
        <v>70.777663000000004</v>
      </c>
      <c r="U537" s="7">
        <v>38.418607999999999</v>
      </c>
      <c r="V537" s="7">
        <v>50</v>
      </c>
      <c r="W537" s="7">
        <v>55.866489000000001</v>
      </c>
      <c r="X537" s="7">
        <v>37.244326000000001</v>
      </c>
      <c r="Y537" s="7">
        <v>50</v>
      </c>
      <c r="Z537" s="7">
        <v>66.572457999999997</v>
      </c>
      <c r="AA537" s="7">
        <v>53.014488999999998</v>
      </c>
      <c r="AB537" s="7">
        <v>35.342993</v>
      </c>
      <c r="AC537" s="7">
        <v>50</v>
      </c>
      <c r="AD537" s="7">
        <v>63.700817999999998</v>
      </c>
      <c r="AE537" s="7">
        <v>42.467212000000004</v>
      </c>
      <c r="AF537" s="7">
        <v>50</v>
      </c>
      <c r="AG537" s="7">
        <v>62.237485999999997</v>
      </c>
      <c r="AH537" s="4" t="s">
        <v>124</v>
      </c>
      <c r="AI537" s="7">
        <v>41.491656999999996</v>
      </c>
      <c r="AJ537" s="7">
        <v>50</v>
      </c>
      <c r="AK537" s="7">
        <v>13.14</v>
      </c>
      <c r="AL537" s="7">
        <v>13.55</v>
      </c>
      <c r="AM537" s="4" t="s">
        <v>124</v>
      </c>
      <c r="AN537" s="7">
        <v>0.599962</v>
      </c>
      <c r="AO537" s="7">
        <v>59.996197000000002</v>
      </c>
      <c r="AP537" s="7">
        <v>100</v>
      </c>
      <c r="AQ537" s="7">
        <v>0.55171300000000001</v>
      </c>
      <c r="AR537" s="7">
        <v>55.171295000000001</v>
      </c>
      <c r="AS537" s="7">
        <v>100</v>
      </c>
      <c r="AT537" s="7">
        <v>0.58294900000000005</v>
      </c>
      <c r="AU537" s="7">
        <v>0.68950599999999995</v>
      </c>
      <c r="AV537" s="7">
        <v>58.294862000000002</v>
      </c>
      <c r="AW537" s="7">
        <v>100</v>
      </c>
      <c r="AX537" s="7">
        <v>0.56450900000000004</v>
      </c>
      <c r="AY537" s="7">
        <v>0.48436499999999999</v>
      </c>
      <c r="AZ537" s="7">
        <v>56.450904999999999</v>
      </c>
      <c r="BA537" s="7">
        <v>100</v>
      </c>
      <c r="BB537" s="7">
        <v>0.54646799999999995</v>
      </c>
      <c r="BC537" s="7">
        <v>27.323415000000001</v>
      </c>
      <c r="BD537" s="7">
        <v>50</v>
      </c>
      <c r="BE537" s="7">
        <v>0.44209300000000001</v>
      </c>
      <c r="BF537" s="7">
        <v>22.104662999999999</v>
      </c>
      <c r="BG537" s="7">
        <v>50</v>
      </c>
      <c r="BH537" s="7">
        <v>0</v>
      </c>
      <c r="BI537" s="7">
        <v>1</v>
      </c>
      <c r="BJ537" s="7">
        <v>1</v>
      </c>
      <c r="BK537" s="7">
        <v>1</v>
      </c>
      <c r="BL537" s="7">
        <v>1</v>
      </c>
      <c r="BM537" s="7">
        <v>1</v>
      </c>
      <c r="BN537" s="7">
        <v>1</v>
      </c>
      <c r="BO537" s="7">
        <v>1</v>
      </c>
      <c r="BP537" s="7">
        <v>1</v>
      </c>
      <c r="BQ537" s="4" t="s">
        <v>124</v>
      </c>
      <c r="BR537" s="7">
        <v>6.8626999999999994E-2</v>
      </c>
      <c r="BS537" s="7">
        <v>46.274509999999999</v>
      </c>
      <c r="BT537" s="7">
        <v>50</v>
      </c>
      <c r="BU537" s="7">
        <v>7.9786999999999997E-2</v>
      </c>
      <c r="BV537" s="7">
        <v>44.042552999999998</v>
      </c>
      <c r="BW537" s="7">
        <v>50</v>
      </c>
      <c r="BX537" s="4" t="s">
        <v>124</v>
      </c>
      <c r="BY537" s="4" t="s">
        <v>124</v>
      </c>
      <c r="BZ537" s="4" t="s">
        <v>124</v>
      </c>
      <c r="CA537" s="4" t="s">
        <v>124</v>
      </c>
      <c r="CB537" s="4" t="s">
        <v>124</v>
      </c>
      <c r="CC537" s="4" t="s">
        <v>124</v>
      </c>
      <c r="CD537" s="7">
        <v>0.89189200000000002</v>
      </c>
      <c r="CE537" s="7">
        <v>47.441057999999998</v>
      </c>
      <c r="CF537" s="7">
        <v>50</v>
      </c>
      <c r="CG537" s="4" t="s">
        <v>124</v>
      </c>
      <c r="CH537" s="4" t="s">
        <v>124</v>
      </c>
      <c r="CI537" s="4" t="s">
        <v>124</v>
      </c>
      <c r="CJ537" s="4" t="s">
        <v>124</v>
      </c>
      <c r="CK537" s="4" t="s">
        <v>124</v>
      </c>
      <c r="CL537" s="4" t="s">
        <v>124</v>
      </c>
      <c r="CM537" s="4" t="s">
        <v>124</v>
      </c>
      <c r="CN537" s="4" t="s">
        <v>124</v>
      </c>
      <c r="CO537" s="4" t="s">
        <v>124</v>
      </c>
      <c r="CP537" s="4" t="s">
        <v>124</v>
      </c>
      <c r="CQ537" s="7">
        <v>0.58955199999999996</v>
      </c>
      <c r="CR537" s="7">
        <v>0.99259299999999995</v>
      </c>
      <c r="CS537" s="7">
        <v>39.303483</v>
      </c>
      <c r="CT537" s="7">
        <v>50</v>
      </c>
      <c r="CU537" s="4" t="s">
        <v>124</v>
      </c>
      <c r="CV537" s="4" t="s">
        <v>124</v>
      </c>
      <c r="CW537" s="4" t="s">
        <v>124</v>
      </c>
      <c r="CX537" s="4" t="s">
        <v>124</v>
      </c>
      <c r="CY537" s="4" t="s">
        <v>124</v>
      </c>
      <c r="CZ537" s="4" t="s">
        <v>124</v>
      </c>
      <c r="DA537" s="7">
        <v>15.314097</v>
      </c>
      <c r="DB537" s="7">
        <v>17.400950000000002</v>
      </c>
      <c r="DC537" s="7">
        <v>16.332519999999999</v>
      </c>
      <c r="DD537" s="4" t="s">
        <v>124</v>
      </c>
      <c r="DE537" s="7">
        <v>0</v>
      </c>
      <c r="DF537" s="6"/>
      <c r="DG537" s="6"/>
      <c r="DH537" s="6"/>
      <c r="DI537" s="6"/>
      <c r="DJ537" s="7">
        <v>0</v>
      </c>
      <c r="DK537" s="7">
        <v>0</v>
      </c>
      <c r="DL537" s="7">
        <v>0</v>
      </c>
      <c r="DM537" s="7">
        <v>0</v>
      </c>
      <c r="DN537" s="7">
        <v>0</v>
      </c>
      <c r="DO537" s="7">
        <v>0</v>
      </c>
      <c r="DP537" s="6"/>
      <c r="DQ537" s="4" t="s">
        <v>125</v>
      </c>
    </row>
    <row r="538" spans="1:121" ht="20" customHeight="1" x14ac:dyDescent="0.15">
      <c r="A538" s="5">
        <v>2018</v>
      </c>
      <c r="B538" s="3" t="s">
        <v>286</v>
      </c>
      <c r="C538" s="4" t="str">
        <f t="shared" si="211"/>
        <v>0640011</v>
      </c>
      <c r="D538" s="4" t="s">
        <v>695</v>
      </c>
      <c r="E538" s="4" t="str">
        <f>"0642111"</f>
        <v>0642111</v>
      </c>
      <c r="F538" s="4" t="s">
        <v>327</v>
      </c>
      <c r="G538" s="4" t="s">
        <v>328</v>
      </c>
      <c r="H538" s="7">
        <v>8</v>
      </c>
      <c r="I538" s="4" t="s">
        <v>335</v>
      </c>
      <c r="J538" s="4" t="s">
        <v>330</v>
      </c>
      <c r="K538" s="7">
        <v>580.92703300000005</v>
      </c>
      <c r="L538" s="7">
        <v>1000</v>
      </c>
      <c r="M538" s="7">
        <v>58.092703</v>
      </c>
      <c r="N538" s="7">
        <v>3</v>
      </c>
      <c r="O538" s="7">
        <v>0</v>
      </c>
      <c r="P538" s="7">
        <v>51.637580999999997</v>
      </c>
      <c r="Q538" s="7">
        <v>34.425054000000003</v>
      </c>
      <c r="R538" s="7">
        <v>50</v>
      </c>
      <c r="S538" s="7">
        <v>51.157111999999998</v>
      </c>
      <c r="T538" s="4" t="s">
        <v>124</v>
      </c>
      <c r="U538" s="7">
        <v>34.104740999999997</v>
      </c>
      <c r="V538" s="7">
        <v>50</v>
      </c>
      <c r="W538" s="7">
        <v>46.937615999999998</v>
      </c>
      <c r="X538" s="7">
        <v>31.291744000000001</v>
      </c>
      <c r="Y538" s="7">
        <v>50</v>
      </c>
      <c r="Z538" s="4" t="s">
        <v>124</v>
      </c>
      <c r="AA538" s="7">
        <v>46.629350000000002</v>
      </c>
      <c r="AB538" s="7">
        <v>31.086234000000001</v>
      </c>
      <c r="AC538" s="7">
        <v>50</v>
      </c>
      <c r="AD538" s="7">
        <v>47.168734000000001</v>
      </c>
      <c r="AE538" s="7">
        <v>31.445822</v>
      </c>
      <c r="AF538" s="7">
        <v>50</v>
      </c>
      <c r="AG538" s="7">
        <v>47.028067999999998</v>
      </c>
      <c r="AH538" s="4" t="s">
        <v>124</v>
      </c>
      <c r="AI538" s="7">
        <v>31.352045</v>
      </c>
      <c r="AJ538" s="7">
        <v>50</v>
      </c>
      <c r="AK538" s="4" t="s">
        <v>124</v>
      </c>
      <c r="AL538" s="4" t="s">
        <v>124</v>
      </c>
      <c r="AM538" s="4" t="s">
        <v>124</v>
      </c>
      <c r="AN538" s="7">
        <v>0.48524400000000001</v>
      </c>
      <c r="AO538" s="7">
        <v>48.524431</v>
      </c>
      <c r="AP538" s="7">
        <v>100</v>
      </c>
      <c r="AQ538" s="7">
        <v>0.53492700000000004</v>
      </c>
      <c r="AR538" s="7">
        <v>53.492699999999999</v>
      </c>
      <c r="AS538" s="7">
        <v>100</v>
      </c>
      <c r="AT538" s="7">
        <v>0.479236</v>
      </c>
      <c r="AU538" s="4" t="s">
        <v>124</v>
      </c>
      <c r="AV538" s="7">
        <v>47.923616000000003</v>
      </c>
      <c r="AW538" s="7">
        <v>100</v>
      </c>
      <c r="AX538" s="7">
        <v>0.53712300000000002</v>
      </c>
      <c r="AY538" s="4" t="s">
        <v>124</v>
      </c>
      <c r="AZ538" s="7">
        <v>53.712299999999999</v>
      </c>
      <c r="BA538" s="7">
        <v>100</v>
      </c>
      <c r="BB538" s="7">
        <v>0.54848399999999997</v>
      </c>
      <c r="BC538" s="7">
        <v>27.424178000000001</v>
      </c>
      <c r="BD538" s="7">
        <v>50</v>
      </c>
      <c r="BE538" s="7">
        <v>0.45384200000000002</v>
      </c>
      <c r="BF538" s="7">
        <v>22.692087999999998</v>
      </c>
      <c r="BG538" s="7">
        <v>50</v>
      </c>
      <c r="BH538" s="7">
        <v>0</v>
      </c>
      <c r="BI538" s="7">
        <v>0.99705900000000003</v>
      </c>
      <c r="BJ538" s="7">
        <v>0.99683500000000003</v>
      </c>
      <c r="BK538" s="7">
        <v>1</v>
      </c>
      <c r="BL538" s="7">
        <v>0.99411799999999995</v>
      </c>
      <c r="BM538" s="7">
        <v>0.99367099999999997</v>
      </c>
      <c r="BN538" s="7">
        <v>1</v>
      </c>
      <c r="BO538" s="7">
        <v>0.99206300000000003</v>
      </c>
      <c r="BP538" s="7">
        <v>0.99152499999999999</v>
      </c>
      <c r="BQ538" s="4" t="s">
        <v>124</v>
      </c>
      <c r="BR538" s="7">
        <v>0.180258</v>
      </c>
      <c r="BS538" s="7">
        <v>23.948498000000001</v>
      </c>
      <c r="BT538" s="7">
        <v>50</v>
      </c>
      <c r="BU538" s="7">
        <v>0.17849000000000001</v>
      </c>
      <c r="BV538" s="7">
        <v>24.302059</v>
      </c>
      <c r="BW538" s="7">
        <v>50</v>
      </c>
      <c r="BX538" s="4" t="s">
        <v>124</v>
      </c>
      <c r="BY538" s="4" t="s">
        <v>124</v>
      </c>
      <c r="BZ538" s="4" t="s">
        <v>124</v>
      </c>
      <c r="CA538" s="4" t="s">
        <v>124</v>
      </c>
      <c r="CB538" s="4" t="s">
        <v>124</v>
      </c>
      <c r="CC538" s="4" t="s">
        <v>124</v>
      </c>
      <c r="CD538" s="7">
        <v>0.7</v>
      </c>
      <c r="CE538" s="7">
        <v>37.234043</v>
      </c>
      <c r="CF538" s="7">
        <v>50</v>
      </c>
      <c r="CG538" s="4" t="s">
        <v>124</v>
      </c>
      <c r="CH538" s="4" t="s">
        <v>124</v>
      </c>
      <c r="CI538" s="4" t="s">
        <v>124</v>
      </c>
      <c r="CJ538" s="4" t="s">
        <v>124</v>
      </c>
      <c r="CK538" s="4" t="s">
        <v>124</v>
      </c>
      <c r="CL538" s="4" t="s">
        <v>124</v>
      </c>
      <c r="CM538" s="4" t="s">
        <v>124</v>
      </c>
      <c r="CN538" s="4" t="s">
        <v>124</v>
      </c>
      <c r="CO538" s="4" t="s">
        <v>124</v>
      </c>
      <c r="CP538" s="4" t="s">
        <v>124</v>
      </c>
      <c r="CQ538" s="7">
        <v>0.71951200000000004</v>
      </c>
      <c r="CR538" s="7">
        <v>0.98795200000000005</v>
      </c>
      <c r="CS538" s="7">
        <v>47.967480000000002</v>
      </c>
      <c r="CT538" s="7">
        <v>50</v>
      </c>
      <c r="CU538" s="4" t="s">
        <v>124</v>
      </c>
      <c r="CV538" s="4" t="s">
        <v>124</v>
      </c>
      <c r="CW538" s="4" t="s">
        <v>124</v>
      </c>
      <c r="CX538" s="4" t="s">
        <v>124</v>
      </c>
      <c r="CY538" s="4" t="s">
        <v>124</v>
      </c>
      <c r="CZ538" s="4" t="s">
        <v>124</v>
      </c>
      <c r="DA538" s="7">
        <v>15.314097</v>
      </c>
      <c r="DB538" s="7">
        <v>17.400950000000002</v>
      </c>
      <c r="DC538" s="7">
        <v>16.332519999999999</v>
      </c>
      <c r="DD538" s="4" t="s">
        <v>124</v>
      </c>
      <c r="DE538" s="7">
        <v>0</v>
      </c>
      <c r="DF538" s="6"/>
      <c r="DG538" s="6"/>
      <c r="DH538" s="6"/>
      <c r="DI538" s="6"/>
      <c r="DJ538" s="7">
        <v>0</v>
      </c>
      <c r="DK538" s="7">
        <v>0</v>
      </c>
      <c r="DL538" s="7">
        <v>0</v>
      </c>
      <c r="DM538" s="7">
        <v>0</v>
      </c>
      <c r="DN538" s="7">
        <v>0</v>
      </c>
      <c r="DO538" s="7">
        <v>0</v>
      </c>
      <c r="DP538" s="6"/>
      <c r="DQ538" s="4" t="s">
        <v>125</v>
      </c>
    </row>
    <row r="539" spans="1:121" ht="20" customHeight="1" x14ac:dyDescent="0.15">
      <c r="A539" s="5">
        <v>2018</v>
      </c>
      <c r="B539" s="3" t="s">
        <v>286</v>
      </c>
      <c r="C539" s="4" t="str">
        <f t="shared" si="211"/>
        <v>0640011</v>
      </c>
      <c r="D539" s="4" t="s">
        <v>696</v>
      </c>
      <c r="E539" s="4" t="str">
        <f>"0642211"</f>
        <v>0642211</v>
      </c>
      <c r="F539" s="4" t="s">
        <v>327</v>
      </c>
      <c r="G539" s="4" t="s">
        <v>328</v>
      </c>
      <c r="H539" s="7">
        <v>8</v>
      </c>
      <c r="I539" s="4" t="s">
        <v>335</v>
      </c>
      <c r="J539" s="4" t="s">
        <v>330</v>
      </c>
      <c r="K539" s="7">
        <v>421.913388</v>
      </c>
      <c r="L539" s="7">
        <v>1000</v>
      </c>
      <c r="M539" s="7">
        <v>42.191338999999999</v>
      </c>
      <c r="N539" s="7">
        <v>5</v>
      </c>
      <c r="O539" s="7">
        <v>0</v>
      </c>
      <c r="P539" s="7">
        <v>43.204861999999999</v>
      </c>
      <c r="Q539" s="7">
        <v>28.803241</v>
      </c>
      <c r="R539" s="7">
        <v>50</v>
      </c>
      <c r="S539" s="7">
        <v>42.919471999999999</v>
      </c>
      <c r="T539" s="4" t="s">
        <v>124</v>
      </c>
      <c r="U539" s="7">
        <v>28.612981000000001</v>
      </c>
      <c r="V539" s="7">
        <v>50</v>
      </c>
      <c r="W539" s="7">
        <v>37.527388999999999</v>
      </c>
      <c r="X539" s="7">
        <v>25.018259</v>
      </c>
      <c r="Y539" s="7">
        <v>50</v>
      </c>
      <c r="Z539" s="4" t="s">
        <v>124</v>
      </c>
      <c r="AA539" s="7">
        <v>37.313268999999998</v>
      </c>
      <c r="AB539" s="7">
        <v>24.875513000000002</v>
      </c>
      <c r="AC539" s="7">
        <v>50</v>
      </c>
      <c r="AD539" s="7">
        <v>42.241934999999998</v>
      </c>
      <c r="AE539" s="7">
        <v>28.161290000000001</v>
      </c>
      <c r="AF539" s="7">
        <v>50</v>
      </c>
      <c r="AG539" s="7">
        <v>41.523121000000003</v>
      </c>
      <c r="AH539" s="4" t="s">
        <v>124</v>
      </c>
      <c r="AI539" s="7">
        <v>27.682081</v>
      </c>
      <c r="AJ539" s="7">
        <v>50</v>
      </c>
      <c r="AK539" s="4" t="s">
        <v>124</v>
      </c>
      <c r="AL539" s="4" t="s">
        <v>124</v>
      </c>
      <c r="AM539" s="4" t="s">
        <v>124</v>
      </c>
      <c r="AN539" s="7">
        <v>0.40142499999999998</v>
      </c>
      <c r="AO539" s="7">
        <v>40.142515000000003</v>
      </c>
      <c r="AP539" s="7">
        <v>100</v>
      </c>
      <c r="AQ539" s="7">
        <v>0.42279600000000001</v>
      </c>
      <c r="AR539" s="7">
        <v>42.279578000000001</v>
      </c>
      <c r="AS539" s="7">
        <v>100</v>
      </c>
      <c r="AT539" s="7">
        <v>0.39760299999999998</v>
      </c>
      <c r="AU539" s="4" t="s">
        <v>124</v>
      </c>
      <c r="AV539" s="7">
        <v>39.760281999999997</v>
      </c>
      <c r="AW539" s="7">
        <v>100</v>
      </c>
      <c r="AX539" s="7">
        <v>0.41866100000000001</v>
      </c>
      <c r="AY539" s="4" t="s">
        <v>124</v>
      </c>
      <c r="AZ539" s="7">
        <v>41.866076999999997</v>
      </c>
      <c r="BA539" s="7">
        <v>100</v>
      </c>
      <c r="BB539" s="7">
        <v>0.52098599999999995</v>
      </c>
      <c r="BC539" s="7">
        <v>26.049295000000001</v>
      </c>
      <c r="BD539" s="7">
        <v>50</v>
      </c>
      <c r="BE539" s="7">
        <v>0.34497800000000001</v>
      </c>
      <c r="BF539" s="7">
        <v>17.24888</v>
      </c>
      <c r="BG539" s="7">
        <v>50</v>
      </c>
      <c r="BH539" s="7">
        <v>0</v>
      </c>
      <c r="BI539" s="7">
        <v>0.988506</v>
      </c>
      <c r="BJ539" s="7">
        <v>0.99695100000000003</v>
      </c>
      <c r="BK539" s="7">
        <v>0.85</v>
      </c>
      <c r="BL539" s="7">
        <v>0.97092999999999996</v>
      </c>
      <c r="BM539" s="7">
        <v>0.97222200000000003</v>
      </c>
      <c r="BN539" s="7">
        <v>0.95</v>
      </c>
      <c r="BO539" s="7">
        <v>0.97058800000000001</v>
      </c>
      <c r="BP539" s="7">
        <v>0.98936199999999996</v>
      </c>
      <c r="BQ539" s="4" t="s">
        <v>124</v>
      </c>
      <c r="BR539" s="7">
        <v>0.368421</v>
      </c>
      <c r="BS539" s="7">
        <v>0</v>
      </c>
      <c r="BT539" s="7">
        <v>50</v>
      </c>
      <c r="BU539" s="7">
        <v>0.37417899999999998</v>
      </c>
      <c r="BV539" s="7">
        <v>0</v>
      </c>
      <c r="BW539" s="7">
        <v>50</v>
      </c>
      <c r="BX539" s="4" t="s">
        <v>124</v>
      </c>
      <c r="BY539" s="4" t="s">
        <v>124</v>
      </c>
      <c r="BZ539" s="4" t="s">
        <v>124</v>
      </c>
      <c r="CA539" s="4" t="s">
        <v>124</v>
      </c>
      <c r="CB539" s="4" t="s">
        <v>124</v>
      </c>
      <c r="CC539" s="4" t="s">
        <v>124</v>
      </c>
      <c r="CD539" s="7">
        <v>0.709677</v>
      </c>
      <c r="CE539" s="7">
        <v>37.748798999999998</v>
      </c>
      <c r="CF539" s="7">
        <v>50</v>
      </c>
      <c r="CG539" s="4" t="s">
        <v>124</v>
      </c>
      <c r="CH539" s="4" t="s">
        <v>124</v>
      </c>
      <c r="CI539" s="4" t="s">
        <v>124</v>
      </c>
      <c r="CJ539" s="4" t="s">
        <v>124</v>
      </c>
      <c r="CK539" s="4" t="s">
        <v>124</v>
      </c>
      <c r="CL539" s="4" t="s">
        <v>124</v>
      </c>
      <c r="CM539" s="4" t="s">
        <v>124</v>
      </c>
      <c r="CN539" s="4" t="s">
        <v>124</v>
      </c>
      <c r="CO539" s="4" t="s">
        <v>124</v>
      </c>
      <c r="CP539" s="4" t="s">
        <v>124</v>
      </c>
      <c r="CQ539" s="7">
        <v>0.20496900000000001</v>
      </c>
      <c r="CR539" s="7">
        <v>0.95833299999999999</v>
      </c>
      <c r="CS539" s="7">
        <v>13.664596</v>
      </c>
      <c r="CT539" s="7">
        <v>50</v>
      </c>
      <c r="CU539" s="4" t="s">
        <v>124</v>
      </c>
      <c r="CV539" s="4" t="s">
        <v>124</v>
      </c>
      <c r="CW539" s="4" t="s">
        <v>124</v>
      </c>
      <c r="CX539" s="4" t="s">
        <v>124</v>
      </c>
      <c r="CY539" s="4" t="s">
        <v>124</v>
      </c>
      <c r="CZ539" s="4" t="s">
        <v>124</v>
      </c>
      <c r="DA539" s="7">
        <v>15.314097</v>
      </c>
      <c r="DB539" s="7">
        <v>17.400950000000002</v>
      </c>
      <c r="DC539" s="7">
        <v>16.332519999999999</v>
      </c>
      <c r="DD539" s="4" t="s">
        <v>124</v>
      </c>
      <c r="DE539" s="7">
        <v>0</v>
      </c>
      <c r="DF539" s="4" t="s">
        <v>375</v>
      </c>
      <c r="DG539" s="4" t="s">
        <v>376</v>
      </c>
      <c r="DH539" s="6"/>
      <c r="DI539" s="6"/>
      <c r="DJ539" s="7">
        <v>0</v>
      </c>
      <c r="DK539" s="7">
        <v>0</v>
      </c>
      <c r="DL539" s="7">
        <v>0</v>
      </c>
      <c r="DM539" s="7">
        <v>0</v>
      </c>
      <c r="DN539" s="7">
        <v>0</v>
      </c>
      <c r="DO539" s="7">
        <v>0</v>
      </c>
      <c r="DP539" s="6"/>
      <c r="DQ539" s="4" t="s">
        <v>125</v>
      </c>
    </row>
    <row r="540" spans="1:121" ht="20" customHeight="1" x14ac:dyDescent="0.15">
      <c r="A540" s="5">
        <v>2018</v>
      </c>
      <c r="B540" s="3" t="s">
        <v>273</v>
      </c>
      <c r="C540" s="4" t="str">
        <f t="shared" si="145"/>
        <v>0650011</v>
      </c>
      <c r="D540" s="4" t="s">
        <v>697</v>
      </c>
      <c r="E540" s="4" t="str">
        <f>"0650111"</f>
        <v>0650111</v>
      </c>
      <c r="F540" s="4" t="s">
        <v>327</v>
      </c>
      <c r="G540" s="4" t="s">
        <v>328</v>
      </c>
      <c r="H540" s="7">
        <v>8</v>
      </c>
      <c r="I540" s="4" t="s">
        <v>329</v>
      </c>
      <c r="J540" s="4" t="s">
        <v>330</v>
      </c>
      <c r="K540" s="7">
        <v>742.01942499999996</v>
      </c>
      <c r="L540" s="7">
        <v>850</v>
      </c>
      <c r="M540" s="7">
        <v>87.296402999999998</v>
      </c>
      <c r="N540" s="7">
        <v>1</v>
      </c>
      <c r="O540" s="7">
        <v>0</v>
      </c>
      <c r="P540" s="7">
        <v>78.555666000000002</v>
      </c>
      <c r="Q540" s="7">
        <v>50</v>
      </c>
      <c r="R540" s="7">
        <v>50</v>
      </c>
      <c r="S540" s="7">
        <v>71.754232000000002</v>
      </c>
      <c r="T540" s="7">
        <v>75</v>
      </c>
      <c r="U540" s="7">
        <v>47.836154999999998</v>
      </c>
      <c r="V540" s="7">
        <v>50</v>
      </c>
      <c r="W540" s="7">
        <v>69.971546000000004</v>
      </c>
      <c r="X540" s="7">
        <v>46.647697000000001</v>
      </c>
      <c r="Y540" s="7">
        <v>50</v>
      </c>
      <c r="Z540" s="7">
        <v>73.162414999999996</v>
      </c>
      <c r="AA540" s="7">
        <v>63.178083999999998</v>
      </c>
      <c r="AB540" s="7">
        <v>42.118723000000003</v>
      </c>
      <c r="AC540" s="7">
        <v>50</v>
      </c>
      <c r="AD540" s="7">
        <v>79.492707999999993</v>
      </c>
      <c r="AE540" s="7">
        <v>50</v>
      </c>
      <c r="AF540" s="7">
        <v>50</v>
      </c>
      <c r="AG540" s="4" t="s">
        <v>124</v>
      </c>
      <c r="AH540" s="7">
        <v>75</v>
      </c>
      <c r="AI540" s="4" t="s">
        <v>124</v>
      </c>
      <c r="AJ540" s="4" t="s">
        <v>124</v>
      </c>
      <c r="AK540" s="7">
        <v>3.24</v>
      </c>
      <c r="AL540" s="7">
        <v>9.98</v>
      </c>
      <c r="AM540" s="4" t="s">
        <v>124</v>
      </c>
      <c r="AN540" s="7">
        <v>0.72462199999999999</v>
      </c>
      <c r="AO540" s="7">
        <v>72.462165999999996</v>
      </c>
      <c r="AP540" s="7">
        <v>100</v>
      </c>
      <c r="AQ540" s="7">
        <v>0.77302999999999999</v>
      </c>
      <c r="AR540" s="7">
        <v>77.303009000000003</v>
      </c>
      <c r="AS540" s="7">
        <v>100</v>
      </c>
      <c r="AT540" s="7">
        <v>0.71638400000000002</v>
      </c>
      <c r="AU540" s="7">
        <v>0.72786300000000004</v>
      </c>
      <c r="AV540" s="7">
        <v>71.638356999999999</v>
      </c>
      <c r="AW540" s="7">
        <v>100</v>
      </c>
      <c r="AX540" s="7">
        <v>0.84013300000000002</v>
      </c>
      <c r="AY540" s="7">
        <v>0.74662899999999999</v>
      </c>
      <c r="AZ540" s="7">
        <v>84.013317999999998</v>
      </c>
      <c r="BA540" s="7">
        <v>100</v>
      </c>
      <c r="BB540" s="4" t="s">
        <v>124</v>
      </c>
      <c r="BC540" s="4" t="s">
        <v>124</v>
      </c>
      <c r="BD540" s="4" t="s">
        <v>124</v>
      </c>
      <c r="BE540" s="4" t="s">
        <v>124</v>
      </c>
      <c r="BF540" s="4" t="s">
        <v>124</v>
      </c>
      <c r="BG540" s="4" t="s">
        <v>124</v>
      </c>
      <c r="BH540" s="7">
        <v>0</v>
      </c>
      <c r="BI540" s="7">
        <v>1</v>
      </c>
      <c r="BJ540" s="7">
        <v>1</v>
      </c>
      <c r="BK540" s="7">
        <v>1</v>
      </c>
      <c r="BL540" s="7">
        <v>1</v>
      </c>
      <c r="BM540" s="7">
        <v>1</v>
      </c>
      <c r="BN540" s="7">
        <v>1</v>
      </c>
      <c r="BO540" s="7">
        <v>1</v>
      </c>
      <c r="BP540" s="4" t="s">
        <v>124</v>
      </c>
      <c r="BQ540" s="7">
        <v>1</v>
      </c>
      <c r="BR540" s="7">
        <v>1.3422999999999999E-2</v>
      </c>
      <c r="BS540" s="7">
        <v>50</v>
      </c>
      <c r="BT540" s="7">
        <v>50</v>
      </c>
      <c r="BU540" s="7">
        <v>1.8519000000000001E-2</v>
      </c>
      <c r="BV540" s="7">
        <v>50</v>
      </c>
      <c r="BW540" s="7">
        <v>50</v>
      </c>
      <c r="BX540" s="4" t="s">
        <v>124</v>
      </c>
      <c r="BY540" s="4" t="s">
        <v>124</v>
      </c>
      <c r="BZ540" s="4" t="s">
        <v>124</v>
      </c>
      <c r="CA540" s="4" t="s">
        <v>124</v>
      </c>
      <c r="CB540" s="4" t="s">
        <v>124</v>
      </c>
      <c r="CC540" s="4" t="s">
        <v>124</v>
      </c>
      <c r="CD540" s="7">
        <v>0.96875</v>
      </c>
      <c r="CE540" s="7">
        <v>50</v>
      </c>
      <c r="CF540" s="7">
        <v>50</v>
      </c>
      <c r="CG540" s="4" t="s">
        <v>124</v>
      </c>
      <c r="CH540" s="4" t="s">
        <v>124</v>
      </c>
      <c r="CI540" s="4" t="s">
        <v>124</v>
      </c>
      <c r="CJ540" s="4" t="s">
        <v>124</v>
      </c>
      <c r="CK540" s="4" t="s">
        <v>124</v>
      </c>
      <c r="CL540" s="4" t="s">
        <v>124</v>
      </c>
      <c r="CM540" s="4" t="s">
        <v>124</v>
      </c>
      <c r="CN540" s="4" t="s">
        <v>124</v>
      </c>
      <c r="CO540" s="4" t="s">
        <v>124</v>
      </c>
      <c r="CP540" s="4" t="s">
        <v>124</v>
      </c>
      <c r="CQ540" s="7">
        <v>0.94827600000000001</v>
      </c>
      <c r="CR540" s="7">
        <v>1</v>
      </c>
      <c r="CS540" s="7">
        <v>50</v>
      </c>
      <c r="CT540" s="7">
        <v>50</v>
      </c>
      <c r="CU540" s="4" t="s">
        <v>124</v>
      </c>
      <c r="CV540" s="4" t="s">
        <v>124</v>
      </c>
      <c r="CW540" s="4" t="s">
        <v>124</v>
      </c>
      <c r="CX540" s="4" t="s">
        <v>124</v>
      </c>
      <c r="CY540" s="4" t="s">
        <v>124</v>
      </c>
      <c r="CZ540" s="4" t="s">
        <v>124</v>
      </c>
      <c r="DA540" s="7">
        <v>15.314097</v>
      </c>
      <c r="DB540" s="7">
        <v>17.400950000000002</v>
      </c>
      <c r="DC540" s="7">
        <v>16.332519999999999</v>
      </c>
      <c r="DD540" s="4" t="s">
        <v>124</v>
      </c>
      <c r="DE540" s="7">
        <v>0</v>
      </c>
      <c r="DF540" s="6"/>
      <c r="DG540" s="6"/>
      <c r="DH540" s="4" t="s">
        <v>331</v>
      </c>
      <c r="DI540" s="4" t="s">
        <v>698</v>
      </c>
      <c r="DJ540" s="7">
        <v>1</v>
      </c>
      <c r="DK540" s="7">
        <v>0</v>
      </c>
      <c r="DL540" s="7">
        <v>0</v>
      </c>
      <c r="DM540" s="7">
        <v>1</v>
      </c>
      <c r="DN540" s="7">
        <v>1</v>
      </c>
      <c r="DO540" s="7">
        <v>0</v>
      </c>
      <c r="DP540" s="6"/>
      <c r="DQ540" s="4" t="s">
        <v>125</v>
      </c>
    </row>
    <row r="541" spans="1:121" ht="20" customHeight="1" x14ac:dyDescent="0.15">
      <c r="A541" s="5">
        <v>2018</v>
      </c>
      <c r="B541" s="3" t="s">
        <v>306</v>
      </c>
      <c r="C541" s="4" t="str">
        <f t="shared" si="176"/>
        <v>0670011</v>
      </c>
      <c r="D541" s="4" t="s">
        <v>699</v>
      </c>
      <c r="E541" s="4" t="str">
        <f>"0670211"</f>
        <v>0670211</v>
      </c>
      <c r="F541" s="4" t="s">
        <v>327</v>
      </c>
      <c r="G541" s="4" t="s">
        <v>328</v>
      </c>
      <c r="H541" s="7">
        <v>2</v>
      </c>
      <c r="I541" s="4" t="s">
        <v>329</v>
      </c>
      <c r="J541" s="4" t="s">
        <v>330</v>
      </c>
      <c r="K541" s="7">
        <v>100</v>
      </c>
      <c r="L541" s="7">
        <v>100</v>
      </c>
      <c r="M541" s="7">
        <v>100</v>
      </c>
      <c r="N541" s="4" t="s">
        <v>124</v>
      </c>
      <c r="O541" s="4" t="s">
        <v>124</v>
      </c>
      <c r="P541" s="4" t="s">
        <v>124</v>
      </c>
      <c r="Q541" s="4" t="s">
        <v>124</v>
      </c>
      <c r="R541" s="4" t="s">
        <v>124</v>
      </c>
      <c r="S541" s="4" t="s">
        <v>124</v>
      </c>
      <c r="T541" s="4" t="s">
        <v>124</v>
      </c>
      <c r="U541" s="4" t="s">
        <v>124</v>
      </c>
      <c r="V541" s="4" t="s">
        <v>124</v>
      </c>
      <c r="W541" s="4" t="s">
        <v>124</v>
      </c>
      <c r="X541" s="4" t="s">
        <v>124</v>
      </c>
      <c r="Y541" s="4" t="s">
        <v>124</v>
      </c>
      <c r="Z541" s="4" t="s">
        <v>124</v>
      </c>
      <c r="AA541" s="4" t="s">
        <v>124</v>
      </c>
      <c r="AB541" s="4" t="s">
        <v>124</v>
      </c>
      <c r="AC541" s="4" t="s">
        <v>124</v>
      </c>
      <c r="AD541" s="4" t="s">
        <v>124</v>
      </c>
      <c r="AE541" s="4" t="s">
        <v>124</v>
      </c>
      <c r="AF541" s="4" t="s">
        <v>124</v>
      </c>
      <c r="AG541" s="4" t="s">
        <v>124</v>
      </c>
      <c r="AH541" s="4" t="s">
        <v>124</v>
      </c>
      <c r="AI541" s="4" t="s">
        <v>124</v>
      </c>
      <c r="AJ541" s="4" t="s">
        <v>124</v>
      </c>
      <c r="AK541" s="4" t="s">
        <v>124</v>
      </c>
      <c r="AL541" s="4" t="s">
        <v>124</v>
      </c>
      <c r="AM541" s="4" t="s">
        <v>124</v>
      </c>
      <c r="AN541" s="4" t="s">
        <v>124</v>
      </c>
      <c r="AO541" s="4" t="s">
        <v>124</v>
      </c>
      <c r="AP541" s="4" t="s">
        <v>124</v>
      </c>
      <c r="AQ541" s="4" t="s">
        <v>124</v>
      </c>
      <c r="AR541" s="4" t="s">
        <v>124</v>
      </c>
      <c r="AS541" s="4" t="s">
        <v>124</v>
      </c>
      <c r="AT541" s="4" t="s">
        <v>124</v>
      </c>
      <c r="AU541" s="4" t="s">
        <v>124</v>
      </c>
      <c r="AV541" s="4" t="s">
        <v>124</v>
      </c>
      <c r="AW541" s="4" t="s">
        <v>124</v>
      </c>
      <c r="AX541" s="4" t="s">
        <v>124</v>
      </c>
      <c r="AY541" s="4" t="s">
        <v>124</v>
      </c>
      <c r="AZ541" s="4" t="s">
        <v>124</v>
      </c>
      <c r="BA541" s="4" t="s">
        <v>124</v>
      </c>
      <c r="BB541" s="4" t="s">
        <v>124</v>
      </c>
      <c r="BC541" s="4" t="s">
        <v>124</v>
      </c>
      <c r="BD541" s="4" t="s">
        <v>124</v>
      </c>
      <c r="BE541" s="4" t="s">
        <v>124</v>
      </c>
      <c r="BF541" s="4" t="s">
        <v>124</v>
      </c>
      <c r="BG541" s="4" t="s">
        <v>124</v>
      </c>
      <c r="BH541" s="4" t="s">
        <v>124</v>
      </c>
      <c r="BI541" s="4" t="s">
        <v>124</v>
      </c>
      <c r="BJ541" s="4" t="s">
        <v>124</v>
      </c>
      <c r="BK541" s="4" t="s">
        <v>124</v>
      </c>
      <c r="BL541" s="4" t="s">
        <v>124</v>
      </c>
      <c r="BM541" s="4" t="s">
        <v>124</v>
      </c>
      <c r="BN541" s="4" t="s">
        <v>124</v>
      </c>
      <c r="BO541" s="4" t="s">
        <v>124</v>
      </c>
      <c r="BP541" s="4" t="s">
        <v>124</v>
      </c>
      <c r="BQ541" s="4" t="s">
        <v>124</v>
      </c>
      <c r="BR541" s="7">
        <v>1.2711999999999999E-2</v>
      </c>
      <c r="BS541" s="7">
        <v>50</v>
      </c>
      <c r="BT541" s="7">
        <v>50</v>
      </c>
      <c r="BU541" s="7">
        <v>2.0833000000000001E-2</v>
      </c>
      <c r="BV541" s="7">
        <v>50</v>
      </c>
      <c r="BW541" s="7">
        <v>50</v>
      </c>
      <c r="BX541" s="4" t="s">
        <v>124</v>
      </c>
      <c r="BY541" s="4" t="s">
        <v>124</v>
      </c>
      <c r="BZ541" s="4" t="s">
        <v>124</v>
      </c>
      <c r="CA541" s="4" t="s">
        <v>124</v>
      </c>
      <c r="CB541" s="4" t="s">
        <v>124</v>
      </c>
      <c r="CC541" s="4" t="s">
        <v>124</v>
      </c>
      <c r="CD541" s="4" t="s">
        <v>124</v>
      </c>
      <c r="CE541" s="4" t="s">
        <v>124</v>
      </c>
      <c r="CF541" s="4" t="s">
        <v>124</v>
      </c>
      <c r="CG541" s="4" t="s">
        <v>124</v>
      </c>
      <c r="CH541" s="4" t="s">
        <v>124</v>
      </c>
      <c r="CI541" s="4" t="s">
        <v>124</v>
      </c>
      <c r="CJ541" s="4" t="s">
        <v>124</v>
      </c>
      <c r="CK541" s="4" t="s">
        <v>124</v>
      </c>
      <c r="CL541" s="4" t="s">
        <v>124</v>
      </c>
      <c r="CM541" s="4" t="s">
        <v>124</v>
      </c>
      <c r="CN541" s="4" t="s">
        <v>124</v>
      </c>
      <c r="CO541" s="4" t="s">
        <v>124</v>
      </c>
      <c r="CP541" s="4" t="s">
        <v>124</v>
      </c>
      <c r="CQ541" s="4" t="s">
        <v>124</v>
      </c>
      <c r="CR541" s="4" t="s">
        <v>124</v>
      </c>
      <c r="CS541" s="4" t="s">
        <v>124</v>
      </c>
      <c r="CT541" s="4" t="s">
        <v>124</v>
      </c>
      <c r="CU541" s="4" t="s">
        <v>124</v>
      </c>
      <c r="CV541" s="4" t="s">
        <v>124</v>
      </c>
      <c r="CW541" s="4" t="s">
        <v>124</v>
      </c>
      <c r="CX541" s="4" t="s">
        <v>124</v>
      </c>
      <c r="CY541" s="4" t="s">
        <v>124</v>
      </c>
      <c r="CZ541" s="4" t="s">
        <v>124</v>
      </c>
      <c r="DA541" s="4" t="s">
        <v>124</v>
      </c>
      <c r="DB541" s="4" t="s">
        <v>124</v>
      </c>
      <c r="DC541" s="4" t="s">
        <v>124</v>
      </c>
      <c r="DD541" s="4" t="s">
        <v>124</v>
      </c>
      <c r="DE541" s="4" t="s">
        <v>124</v>
      </c>
      <c r="DF541" s="6"/>
      <c r="DG541" s="6"/>
      <c r="DH541" s="6"/>
      <c r="DI541" s="6"/>
      <c r="DJ541" s="4" t="s">
        <v>124</v>
      </c>
      <c r="DK541" s="4" t="s">
        <v>124</v>
      </c>
      <c r="DL541" s="4" t="s">
        <v>124</v>
      </c>
      <c r="DM541" s="4" t="s">
        <v>124</v>
      </c>
      <c r="DN541" s="4" t="s">
        <v>124</v>
      </c>
      <c r="DO541" s="4" t="s">
        <v>124</v>
      </c>
      <c r="DP541" s="6"/>
      <c r="DQ541" s="4" t="s">
        <v>125</v>
      </c>
    </row>
    <row r="542" spans="1:121" ht="20" customHeight="1" x14ac:dyDescent="0.15">
      <c r="A542" s="5">
        <v>2018</v>
      </c>
      <c r="B542" s="3" t="s">
        <v>306</v>
      </c>
      <c r="C542" s="4" t="str">
        <f>"0670011"</f>
        <v>0670011</v>
      </c>
      <c r="D542" s="4" t="s">
        <v>700</v>
      </c>
      <c r="E542" s="4" t="str">
        <f>"0670111"</f>
        <v>0670111</v>
      </c>
      <c r="F542" s="4" t="s">
        <v>327</v>
      </c>
      <c r="G542" s="7">
        <v>3</v>
      </c>
      <c r="H542" s="7">
        <v>6</v>
      </c>
      <c r="I542" s="4" t="s">
        <v>329</v>
      </c>
      <c r="J542" s="4" t="s">
        <v>330</v>
      </c>
      <c r="K542" s="7">
        <v>622.48799599999995</v>
      </c>
      <c r="L542" s="7">
        <v>850</v>
      </c>
      <c r="M542" s="7">
        <v>73.233881999999994</v>
      </c>
      <c r="N542" s="7">
        <v>2</v>
      </c>
      <c r="O542" s="7">
        <v>0</v>
      </c>
      <c r="P542" s="7">
        <v>74.062211000000005</v>
      </c>
      <c r="Q542" s="7">
        <v>49.374806999999997</v>
      </c>
      <c r="R542" s="7">
        <v>50</v>
      </c>
      <c r="S542" s="7">
        <v>62.397460000000002</v>
      </c>
      <c r="T542" s="7">
        <v>75</v>
      </c>
      <c r="U542" s="7">
        <v>41.598306000000001</v>
      </c>
      <c r="V542" s="7">
        <v>50</v>
      </c>
      <c r="W542" s="7">
        <v>72.819040999999999</v>
      </c>
      <c r="X542" s="7">
        <v>48.546028</v>
      </c>
      <c r="Y542" s="7">
        <v>50</v>
      </c>
      <c r="Z542" s="7">
        <v>75</v>
      </c>
      <c r="AA542" s="7">
        <v>59.698532999999998</v>
      </c>
      <c r="AB542" s="7">
        <v>39.799022000000001</v>
      </c>
      <c r="AC542" s="7">
        <v>50</v>
      </c>
      <c r="AD542" s="7">
        <v>72.586444</v>
      </c>
      <c r="AE542" s="7">
        <v>48.390962999999999</v>
      </c>
      <c r="AF542" s="7">
        <v>50</v>
      </c>
      <c r="AG542" s="7">
        <v>63</v>
      </c>
      <c r="AH542" s="7">
        <v>75</v>
      </c>
      <c r="AI542" s="7">
        <v>42</v>
      </c>
      <c r="AJ542" s="7">
        <v>50</v>
      </c>
      <c r="AK542" s="7">
        <v>12.6</v>
      </c>
      <c r="AL542" s="7">
        <v>15.3</v>
      </c>
      <c r="AM542" s="7">
        <v>12</v>
      </c>
      <c r="AN542" s="7">
        <v>0.59662800000000005</v>
      </c>
      <c r="AO542" s="7">
        <v>59.662818000000001</v>
      </c>
      <c r="AP542" s="7">
        <v>100</v>
      </c>
      <c r="AQ542" s="7">
        <v>0.66219399999999995</v>
      </c>
      <c r="AR542" s="7">
        <v>66.219419000000002</v>
      </c>
      <c r="AS542" s="7">
        <v>100</v>
      </c>
      <c r="AT542" s="7">
        <v>0.44948199999999999</v>
      </c>
      <c r="AU542" s="7">
        <v>0.66147199999999995</v>
      </c>
      <c r="AV542" s="7">
        <v>44.948163999999998</v>
      </c>
      <c r="AW542" s="7">
        <v>100</v>
      </c>
      <c r="AX542" s="7">
        <v>0.575299</v>
      </c>
      <c r="AY542" s="7">
        <v>0.70048699999999997</v>
      </c>
      <c r="AZ542" s="7">
        <v>57.529864000000003</v>
      </c>
      <c r="BA542" s="7">
        <v>100</v>
      </c>
      <c r="BB542" s="4" t="s">
        <v>124</v>
      </c>
      <c r="BC542" s="4" t="s">
        <v>124</v>
      </c>
      <c r="BD542" s="4" t="s">
        <v>124</v>
      </c>
      <c r="BE542" s="4" t="s">
        <v>124</v>
      </c>
      <c r="BF542" s="4" t="s">
        <v>124</v>
      </c>
      <c r="BG542" s="4" t="s">
        <v>124</v>
      </c>
      <c r="BH542" s="7">
        <v>0</v>
      </c>
      <c r="BI542" s="7">
        <v>1</v>
      </c>
      <c r="BJ542" s="7">
        <v>1</v>
      </c>
      <c r="BK542" s="7">
        <v>1</v>
      </c>
      <c r="BL542" s="7">
        <v>1</v>
      </c>
      <c r="BM542" s="7">
        <v>1</v>
      </c>
      <c r="BN542" s="7">
        <v>1</v>
      </c>
      <c r="BO542" s="7">
        <v>1</v>
      </c>
      <c r="BP542" s="7">
        <v>1</v>
      </c>
      <c r="BQ542" s="7">
        <v>1</v>
      </c>
      <c r="BR542" s="7">
        <v>2.2727000000000001E-2</v>
      </c>
      <c r="BS542" s="7">
        <v>50</v>
      </c>
      <c r="BT542" s="7">
        <v>50</v>
      </c>
      <c r="BU542" s="7">
        <v>3.7383E-2</v>
      </c>
      <c r="BV542" s="7">
        <v>50</v>
      </c>
      <c r="BW542" s="7">
        <v>50</v>
      </c>
      <c r="BX542" s="4" t="s">
        <v>124</v>
      </c>
      <c r="BY542" s="4" t="s">
        <v>124</v>
      </c>
      <c r="BZ542" s="4" t="s">
        <v>124</v>
      </c>
      <c r="CA542" s="4" t="s">
        <v>124</v>
      </c>
      <c r="CB542" s="4" t="s">
        <v>124</v>
      </c>
      <c r="CC542" s="4" t="s">
        <v>124</v>
      </c>
      <c r="CD542" s="4" t="s">
        <v>124</v>
      </c>
      <c r="CE542" s="4" t="s">
        <v>124</v>
      </c>
      <c r="CF542" s="4" t="s">
        <v>124</v>
      </c>
      <c r="CG542" s="4" t="s">
        <v>124</v>
      </c>
      <c r="CH542" s="4" t="s">
        <v>124</v>
      </c>
      <c r="CI542" s="4" t="s">
        <v>124</v>
      </c>
      <c r="CJ542" s="4" t="s">
        <v>124</v>
      </c>
      <c r="CK542" s="4" t="s">
        <v>124</v>
      </c>
      <c r="CL542" s="4" t="s">
        <v>124</v>
      </c>
      <c r="CM542" s="4" t="s">
        <v>124</v>
      </c>
      <c r="CN542" s="4" t="s">
        <v>124</v>
      </c>
      <c r="CO542" s="4" t="s">
        <v>124</v>
      </c>
      <c r="CP542" s="4" t="s">
        <v>124</v>
      </c>
      <c r="CQ542" s="7">
        <v>0.36627900000000002</v>
      </c>
      <c r="CR542" s="7">
        <v>1.011765</v>
      </c>
      <c r="CS542" s="7">
        <v>24.418604999999999</v>
      </c>
      <c r="CT542" s="7">
        <v>50</v>
      </c>
      <c r="CU542" s="4" t="s">
        <v>124</v>
      </c>
      <c r="CV542" s="4" t="s">
        <v>124</v>
      </c>
      <c r="CW542" s="4" t="s">
        <v>124</v>
      </c>
      <c r="CX542" s="4" t="s">
        <v>124</v>
      </c>
      <c r="CY542" s="4" t="s">
        <v>124</v>
      </c>
      <c r="CZ542" s="4" t="s">
        <v>124</v>
      </c>
      <c r="DA542" s="7">
        <v>15.314097</v>
      </c>
      <c r="DB542" s="7">
        <v>17.400950000000002</v>
      </c>
      <c r="DC542" s="7">
        <v>16.332519999999999</v>
      </c>
      <c r="DD542" s="4" t="s">
        <v>124</v>
      </c>
      <c r="DE542" s="7">
        <v>0</v>
      </c>
      <c r="DF542" s="6"/>
      <c r="DG542" s="6"/>
      <c r="DH542" s="6"/>
      <c r="DI542" s="6"/>
      <c r="DJ542" s="7">
        <v>0</v>
      </c>
      <c r="DK542" s="7">
        <v>0</v>
      </c>
      <c r="DL542" s="7">
        <v>0</v>
      </c>
      <c r="DM542" s="7">
        <v>0</v>
      </c>
      <c r="DN542" s="7">
        <v>0</v>
      </c>
      <c r="DO542" s="7">
        <v>0</v>
      </c>
      <c r="DP542" s="6"/>
      <c r="DQ542" s="4" t="s">
        <v>125</v>
      </c>
    </row>
    <row r="543" spans="1:121" ht="20" customHeight="1" x14ac:dyDescent="0.15">
      <c r="A543" s="5">
        <v>2018</v>
      </c>
      <c r="B543" s="3" t="s">
        <v>307</v>
      </c>
      <c r="C543" s="4" t="str">
        <f>"0680011"</f>
        <v>0680011</v>
      </c>
      <c r="D543" s="4" t="s">
        <v>701</v>
      </c>
      <c r="E543" s="4" t="str">
        <f>"0680111"</f>
        <v>0680111</v>
      </c>
      <c r="F543" s="4" t="s">
        <v>327</v>
      </c>
      <c r="G543" s="4" t="s">
        <v>328</v>
      </c>
      <c r="H543" s="7">
        <v>8</v>
      </c>
      <c r="I543" s="4" t="s">
        <v>329</v>
      </c>
      <c r="J543" s="4" t="s">
        <v>330</v>
      </c>
      <c r="K543" s="7">
        <v>639.53706</v>
      </c>
      <c r="L543" s="7">
        <v>800</v>
      </c>
      <c r="M543" s="7">
        <v>79.942132000000001</v>
      </c>
      <c r="N543" s="7">
        <v>2</v>
      </c>
      <c r="O543" s="7">
        <v>0</v>
      </c>
      <c r="P543" s="7">
        <v>85.088340000000002</v>
      </c>
      <c r="Q543" s="7">
        <v>50</v>
      </c>
      <c r="R543" s="7">
        <v>50</v>
      </c>
      <c r="S543" s="7">
        <v>72.490071</v>
      </c>
      <c r="T543" s="7">
        <v>75</v>
      </c>
      <c r="U543" s="7">
        <v>48.326714000000003</v>
      </c>
      <c r="V543" s="7">
        <v>50</v>
      </c>
      <c r="W543" s="7">
        <v>76.283510000000007</v>
      </c>
      <c r="X543" s="7">
        <v>50</v>
      </c>
      <c r="Y543" s="7">
        <v>50</v>
      </c>
      <c r="Z543" s="7">
        <v>75</v>
      </c>
      <c r="AA543" s="7">
        <v>66.952200000000005</v>
      </c>
      <c r="AB543" s="7">
        <v>44.634799999999998</v>
      </c>
      <c r="AC543" s="7">
        <v>50</v>
      </c>
      <c r="AD543" s="7">
        <v>83.709816000000004</v>
      </c>
      <c r="AE543" s="7">
        <v>50</v>
      </c>
      <c r="AF543" s="7">
        <v>50</v>
      </c>
      <c r="AG543" s="4" t="s">
        <v>124</v>
      </c>
      <c r="AH543" s="7">
        <v>75</v>
      </c>
      <c r="AI543" s="4" t="s">
        <v>124</v>
      </c>
      <c r="AJ543" s="4" t="s">
        <v>124</v>
      </c>
      <c r="AK543" s="7">
        <v>2.5</v>
      </c>
      <c r="AL543" s="7">
        <v>8.0399999999999991</v>
      </c>
      <c r="AM543" s="4" t="s">
        <v>124</v>
      </c>
      <c r="AN543" s="7">
        <v>0.72571399999999997</v>
      </c>
      <c r="AO543" s="7">
        <v>72.571365</v>
      </c>
      <c r="AP543" s="7">
        <v>100</v>
      </c>
      <c r="AQ543" s="7">
        <v>0.68511900000000003</v>
      </c>
      <c r="AR543" s="7">
        <v>68.511893999999998</v>
      </c>
      <c r="AS543" s="7">
        <v>100</v>
      </c>
      <c r="AT543" s="7">
        <v>0.55296000000000001</v>
      </c>
      <c r="AU543" s="7">
        <v>0.79907499999999998</v>
      </c>
      <c r="AV543" s="7">
        <v>55.296028999999997</v>
      </c>
      <c r="AW543" s="7">
        <v>100</v>
      </c>
      <c r="AX543" s="7">
        <v>0.62822500000000003</v>
      </c>
      <c r="AY543" s="7">
        <v>0.70927899999999999</v>
      </c>
      <c r="AZ543" s="7">
        <v>62.822519999999997</v>
      </c>
      <c r="BA543" s="7">
        <v>100</v>
      </c>
      <c r="BB543" s="4" t="s">
        <v>124</v>
      </c>
      <c r="BC543" s="4" t="s">
        <v>124</v>
      </c>
      <c r="BD543" s="4" t="s">
        <v>124</v>
      </c>
      <c r="BE543" s="4" t="s">
        <v>124</v>
      </c>
      <c r="BF543" s="4" t="s">
        <v>124</v>
      </c>
      <c r="BG543" s="4" t="s">
        <v>124</v>
      </c>
      <c r="BH543" s="7">
        <v>0</v>
      </c>
      <c r="BI543" s="7">
        <v>0.97080299999999997</v>
      </c>
      <c r="BJ543" s="7">
        <v>0.95121999999999995</v>
      </c>
      <c r="BK543" s="7">
        <v>0.97916700000000001</v>
      </c>
      <c r="BL543" s="7">
        <v>0.97080299999999997</v>
      </c>
      <c r="BM543" s="7">
        <v>0.95121999999999995</v>
      </c>
      <c r="BN543" s="7">
        <v>0.97916700000000001</v>
      </c>
      <c r="BO543" s="7">
        <v>0.98</v>
      </c>
      <c r="BP543" s="4" t="s">
        <v>124</v>
      </c>
      <c r="BQ543" s="7">
        <v>0.97297299999999998</v>
      </c>
      <c r="BR543" s="7">
        <v>2.6041999999999999E-2</v>
      </c>
      <c r="BS543" s="7">
        <v>50</v>
      </c>
      <c r="BT543" s="7">
        <v>50</v>
      </c>
      <c r="BU543" s="7">
        <v>3.5088000000000001E-2</v>
      </c>
      <c r="BV543" s="7">
        <v>50</v>
      </c>
      <c r="BW543" s="7">
        <v>50</v>
      </c>
      <c r="BX543" s="4" t="s">
        <v>124</v>
      </c>
      <c r="BY543" s="4" t="s">
        <v>124</v>
      </c>
      <c r="BZ543" s="4" t="s">
        <v>124</v>
      </c>
      <c r="CA543" s="4" t="s">
        <v>124</v>
      </c>
      <c r="CB543" s="4" t="s">
        <v>124</v>
      </c>
      <c r="CC543" s="4" t="s">
        <v>124</v>
      </c>
      <c r="CD543" s="4" t="s">
        <v>124</v>
      </c>
      <c r="CE543" s="4" t="s">
        <v>124</v>
      </c>
      <c r="CF543" s="4" t="s">
        <v>124</v>
      </c>
      <c r="CG543" s="4" t="s">
        <v>124</v>
      </c>
      <c r="CH543" s="4" t="s">
        <v>124</v>
      </c>
      <c r="CI543" s="4" t="s">
        <v>124</v>
      </c>
      <c r="CJ543" s="4" t="s">
        <v>124</v>
      </c>
      <c r="CK543" s="4" t="s">
        <v>124</v>
      </c>
      <c r="CL543" s="4" t="s">
        <v>124</v>
      </c>
      <c r="CM543" s="4" t="s">
        <v>124</v>
      </c>
      <c r="CN543" s="4" t="s">
        <v>124</v>
      </c>
      <c r="CO543" s="4" t="s">
        <v>124</v>
      </c>
      <c r="CP543" s="4" t="s">
        <v>124</v>
      </c>
      <c r="CQ543" s="7">
        <v>0.56060600000000005</v>
      </c>
      <c r="CR543" s="7">
        <v>0.97058800000000001</v>
      </c>
      <c r="CS543" s="7">
        <v>37.373736999999998</v>
      </c>
      <c r="CT543" s="7">
        <v>50</v>
      </c>
      <c r="CU543" s="4" t="s">
        <v>124</v>
      </c>
      <c r="CV543" s="4" t="s">
        <v>124</v>
      </c>
      <c r="CW543" s="4" t="s">
        <v>124</v>
      </c>
      <c r="CX543" s="4" t="s">
        <v>124</v>
      </c>
      <c r="CY543" s="4" t="s">
        <v>124</v>
      </c>
      <c r="CZ543" s="4" t="s">
        <v>124</v>
      </c>
      <c r="DA543" s="7">
        <v>15.314097</v>
      </c>
      <c r="DB543" s="7">
        <v>17.400950000000002</v>
      </c>
      <c r="DC543" s="7">
        <v>16.332519999999999</v>
      </c>
      <c r="DD543" s="4" t="s">
        <v>124</v>
      </c>
      <c r="DE543" s="7">
        <v>0</v>
      </c>
      <c r="DF543" s="6"/>
      <c r="DG543" s="6"/>
      <c r="DH543" s="6"/>
      <c r="DI543" s="6"/>
      <c r="DJ543" s="7">
        <v>0</v>
      </c>
      <c r="DK543" s="7">
        <v>0</v>
      </c>
      <c r="DL543" s="7">
        <v>0</v>
      </c>
      <c r="DM543" s="7">
        <v>0</v>
      </c>
      <c r="DN543" s="7">
        <v>0</v>
      </c>
      <c r="DO543" s="7">
        <v>0</v>
      </c>
      <c r="DP543" s="6"/>
      <c r="DQ543" s="4" t="s">
        <v>125</v>
      </c>
    </row>
    <row r="544" spans="1:121" ht="20" customHeight="1" x14ac:dyDescent="0.15">
      <c r="A544" s="5">
        <v>2018</v>
      </c>
      <c r="B544" s="3" t="s">
        <v>250</v>
      </c>
      <c r="C544" s="4" t="str">
        <f t="shared" si="125"/>
        <v>0690011</v>
      </c>
      <c r="D544" s="4" t="s">
        <v>702</v>
      </c>
      <c r="E544" s="4" t="str">
        <f>"0690111"</f>
        <v>0690111</v>
      </c>
      <c r="F544" s="4" t="s">
        <v>327</v>
      </c>
      <c r="G544" s="4" t="s">
        <v>328</v>
      </c>
      <c r="H544" s="7">
        <v>1</v>
      </c>
      <c r="I544" s="4" t="s">
        <v>335</v>
      </c>
      <c r="J544" s="4" t="s">
        <v>330</v>
      </c>
      <c r="K544" s="7">
        <v>72.195214000000007</v>
      </c>
      <c r="L544" s="7">
        <v>100</v>
      </c>
      <c r="M544" s="7">
        <v>72.195214000000007</v>
      </c>
      <c r="N544" s="4" t="s">
        <v>124</v>
      </c>
      <c r="O544" s="4" t="s">
        <v>124</v>
      </c>
      <c r="P544" s="4" t="s">
        <v>124</v>
      </c>
      <c r="Q544" s="4" t="s">
        <v>124</v>
      </c>
      <c r="R544" s="4" t="s">
        <v>124</v>
      </c>
      <c r="S544" s="4" t="s">
        <v>124</v>
      </c>
      <c r="T544" s="4" t="s">
        <v>124</v>
      </c>
      <c r="U544" s="4" t="s">
        <v>124</v>
      </c>
      <c r="V544" s="4" t="s">
        <v>124</v>
      </c>
      <c r="W544" s="4" t="s">
        <v>124</v>
      </c>
      <c r="X544" s="4" t="s">
        <v>124</v>
      </c>
      <c r="Y544" s="4" t="s">
        <v>124</v>
      </c>
      <c r="Z544" s="4" t="s">
        <v>124</v>
      </c>
      <c r="AA544" s="4" t="s">
        <v>124</v>
      </c>
      <c r="AB544" s="4" t="s">
        <v>124</v>
      </c>
      <c r="AC544" s="4" t="s">
        <v>124</v>
      </c>
      <c r="AD544" s="4" t="s">
        <v>124</v>
      </c>
      <c r="AE544" s="4" t="s">
        <v>124</v>
      </c>
      <c r="AF544" s="4" t="s">
        <v>124</v>
      </c>
      <c r="AG544" s="4" t="s">
        <v>124</v>
      </c>
      <c r="AH544" s="4" t="s">
        <v>124</v>
      </c>
      <c r="AI544" s="4" t="s">
        <v>124</v>
      </c>
      <c r="AJ544" s="4" t="s">
        <v>124</v>
      </c>
      <c r="AK544" s="4" t="s">
        <v>124</v>
      </c>
      <c r="AL544" s="4" t="s">
        <v>124</v>
      </c>
      <c r="AM544" s="4" t="s">
        <v>124</v>
      </c>
      <c r="AN544" s="4" t="s">
        <v>124</v>
      </c>
      <c r="AO544" s="4" t="s">
        <v>124</v>
      </c>
      <c r="AP544" s="4" t="s">
        <v>124</v>
      </c>
      <c r="AQ544" s="4" t="s">
        <v>124</v>
      </c>
      <c r="AR544" s="4" t="s">
        <v>124</v>
      </c>
      <c r="AS544" s="4" t="s">
        <v>124</v>
      </c>
      <c r="AT544" s="4" t="s">
        <v>124</v>
      </c>
      <c r="AU544" s="4" t="s">
        <v>124</v>
      </c>
      <c r="AV544" s="4" t="s">
        <v>124</v>
      </c>
      <c r="AW544" s="4" t="s">
        <v>124</v>
      </c>
      <c r="AX544" s="4" t="s">
        <v>124</v>
      </c>
      <c r="AY544" s="4" t="s">
        <v>124</v>
      </c>
      <c r="AZ544" s="4" t="s">
        <v>124</v>
      </c>
      <c r="BA544" s="4" t="s">
        <v>124</v>
      </c>
      <c r="BB544" s="4" t="s">
        <v>124</v>
      </c>
      <c r="BC544" s="4" t="s">
        <v>124</v>
      </c>
      <c r="BD544" s="4" t="s">
        <v>124</v>
      </c>
      <c r="BE544" s="4" t="s">
        <v>124</v>
      </c>
      <c r="BF544" s="4" t="s">
        <v>124</v>
      </c>
      <c r="BG544" s="4" t="s">
        <v>124</v>
      </c>
      <c r="BH544" s="4" t="s">
        <v>124</v>
      </c>
      <c r="BI544" s="4" t="s">
        <v>124</v>
      </c>
      <c r="BJ544" s="4" t="s">
        <v>124</v>
      </c>
      <c r="BK544" s="4" t="s">
        <v>124</v>
      </c>
      <c r="BL544" s="4" t="s">
        <v>124</v>
      </c>
      <c r="BM544" s="4" t="s">
        <v>124</v>
      </c>
      <c r="BN544" s="4" t="s">
        <v>124</v>
      </c>
      <c r="BO544" s="4" t="s">
        <v>124</v>
      </c>
      <c r="BP544" s="4" t="s">
        <v>124</v>
      </c>
      <c r="BQ544" s="4" t="s">
        <v>124</v>
      </c>
      <c r="BR544" s="7">
        <v>0.101093</v>
      </c>
      <c r="BS544" s="7">
        <v>39.781421000000002</v>
      </c>
      <c r="BT544" s="7">
        <v>50</v>
      </c>
      <c r="BU544" s="7">
        <v>0.137931</v>
      </c>
      <c r="BV544" s="7">
        <v>32.413792999999998</v>
      </c>
      <c r="BW544" s="7">
        <v>50</v>
      </c>
      <c r="BX544" s="4" t="s">
        <v>124</v>
      </c>
      <c r="BY544" s="4" t="s">
        <v>124</v>
      </c>
      <c r="BZ544" s="4" t="s">
        <v>124</v>
      </c>
      <c r="CA544" s="4" t="s">
        <v>124</v>
      </c>
      <c r="CB544" s="4" t="s">
        <v>124</v>
      </c>
      <c r="CC544" s="4" t="s">
        <v>124</v>
      </c>
      <c r="CD544" s="4" t="s">
        <v>124</v>
      </c>
      <c r="CE544" s="4" t="s">
        <v>124</v>
      </c>
      <c r="CF544" s="4" t="s">
        <v>124</v>
      </c>
      <c r="CG544" s="4" t="s">
        <v>124</v>
      </c>
      <c r="CH544" s="4" t="s">
        <v>124</v>
      </c>
      <c r="CI544" s="4" t="s">
        <v>124</v>
      </c>
      <c r="CJ544" s="4" t="s">
        <v>124</v>
      </c>
      <c r="CK544" s="4" t="s">
        <v>124</v>
      </c>
      <c r="CL544" s="4" t="s">
        <v>124</v>
      </c>
      <c r="CM544" s="4" t="s">
        <v>124</v>
      </c>
      <c r="CN544" s="4" t="s">
        <v>124</v>
      </c>
      <c r="CO544" s="4" t="s">
        <v>124</v>
      </c>
      <c r="CP544" s="4" t="s">
        <v>124</v>
      </c>
      <c r="CQ544" s="4" t="s">
        <v>124</v>
      </c>
      <c r="CR544" s="4" t="s">
        <v>124</v>
      </c>
      <c r="CS544" s="4" t="s">
        <v>124</v>
      </c>
      <c r="CT544" s="4" t="s">
        <v>124</v>
      </c>
      <c r="CU544" s="4" t="s">
        <v>124</v>
      </c>
      <c r="CV544" s="4" t="s">
        <v>124</v>
      </c>
      <c r="CW544" s="4" t="s">
        <v>124</v>
      </c>
      <c r="CX544" s="4" t="s">
        <v>124</v>
      </c>
      <c r="CY544" s="4" t="s">
        <v>124</v>
      </c>
      <c r="CZ544" s="4" t="s">
        <v>124</v>
      </c>
      <c r="DA544" s="4" t="s">
        <v>124</v>
      </c>
      <c r="DB544" s="4" t="s">
        <v>124</v>
      </c>
      <c r="DC544" s="4" t="s">
        <v>124</v>
      </c>
      <c r="DD544" s="4" t="s">
        <v>124</v>
      </c>
      <c r="DE544" s="4" t="s">
        <v>124</v>
      </c>
      <c r="DF544" s="6"/>
      <c r="DG544" s="6"/>
      <c r="DH544" s="6"/>
      <c r="DI544" s="6"/>
      <c r="DJ544" s="4" t="s">
        <v>124</v>
      </c>
      <c r="DK544" s="4" t="s">
        <v>124</v>
      </c>
      <c r="DL544" s="4" t="s">
        <v>124</v>
      </c>
      <c r="DM544" s="4" t="s">
        <v>124</v>
      </c>
      <c r="DN544" s="4" t="s">
        <v>124</v>
      </c>
      <c r="DO544" s="4" t="s">
        <v>124</v>
      </c>
      <c r="DP544" s="6"/>
      <c r="DQ544" s="4" t="s">
        <v>125</v>
      </c>
    </row>
    <row r="545" spans="1:121" ht="20" customHeight="1" x14ac:dyDescent="0.15">
      <c r="A545" s="5">
        <v>2018</v>
      </c>
      <c r="B545" s="3" t="s">
        <v>250</v>
      </c>
      <c r="C545" s="4" t="str">
        <f t="shared" ref="C545:C547" si="212">"0690011"</f>
        <v>0690011</v>
      </c>
      <c r="D545" s="4" t="s">
        <v>703</v>
      </c>
      <c r="E545" s="4" t="str">
        <f>"0696111"</f>
        <v>0696111</v>
      </c>
      <c r="F545" s="4" t="s">
        <v>327</v>
      </c>
      <c r="G545" s="7">
        <v>9</v>
      </c>
      <c r="H545" s="7">
        <v>12</v>
      </c>
      <c r="I545" s="6"/>
      <c r="J545" s="4" t="s">
        <v>330</v>
      </c>
      <c r="K545" s="7">
        <v>1017.55141</v>
      </c>
      <c r="L545" s="7">
        <v>1450</v>
      </c>
      <c r="M545" s="7">
        <v>70.175959000000006</v>
      </c>
      <c r="N545" s="7">
        <v>3</v>
      </c>
      <c r="O545" s="7">
        <v>0</v>
      </c>
      <c r="P545" s="7">
        <v>55.103848999999997</v>
      </c>
      <c r="Q545" s="7">
        <v>110.20769799999999</v>
      </c>
      <c r="R545" s="7">
        <v>150</v>
      </c>
      <c r="S545" s="7">
        <v>51.525874999999999</v>
      </c>
      <c r="T545" s="7">
        <v>58.368749999999999</v>
      </c>
      <c r="U545" s="7">
        <v>103.05175</v>
      </c>
      <c r="V545" s="7">
        <v>150</v>
      </c>
      <c r="W545" s="7">
        <v>49.699710000000003</v>
      </c>
      <c r="X545" s="7">
        <v>99.399418999999995</v>
      </c>
      <c r="Y545" s="7">
        <v>150</v>
      </c>
      <c r="Z545" s="7">
        <v>54.197916999999997</v>
      </c>
      <c r="AA545" s="7">
        <v>44.770167000000001</v>
      </c>
      <c r="AB545" s="7">
        <v>89.540334999999999</v>
      </c>
      <c r="AC545" s="7">
        <v>150</v>
      </c>
      <c r="AD545" s="7">
        <v>55.176124000000002</v>
      </c>
      <c r="AE545" s="7">
        <v>73.568164999999993</v>
      </c>
      <c r="AF545" s="7">
        <v>100</v>
      </c>
      <c r="AG545" s="7">
        <v>50.127602000000003</v>
      </c>
      <c r="AH545" s="7">
        <v>60.161538</v>
      </c>
      <c r="AI545" s="7">
        <v>66.836803000000003</v>
      </c>
      <c r="AJ545" s="7">
        <v>100</v>
      </c>
      <c r="AK545" s="7">
        <v>6.84</v>
      </c>
      <c r="AL545" s="7">
        <v>9.42</v>
      </c>
      <c r="AM545" s="7">
        <v>10.029999999999999</v>
      </c>
      <c r="AN545" s="4" t="s">
        <v>124</v>
      </c>
      <c r="AO545" s="4" t="s">
        <v>124</v>
      </c>
      <c r="AP545" s="4" t="s">
        <v>124</v>
      </c>
      <c r="AQ545" s="4" t="s">
        <v>124</v>
      </c>
      <c r="AR545" s="4" t="s">
        <v>124</v>
      </c>
      <c r="AS545" s="4" t="s">
        <v>124</v>
      </c>
      <c r="AT545" s="4" t="s">
        <v>124</v>
      </c>
      <c r="AU545" s="4" t="s">
        <v>124</v>
      </c>
      <c r="AV545" s="4" t="s">
        <v>124</v>
      </c>
      <c r="AW545" s="4" t="s">
        <v>124</v>
      </c>
      <c r="AX545" s="4" t="s">
        <v>124</v>
      </c>
      <c r="AY545" s="4" t="s">
        <v>124</v>
      </c>
      <c r="AZ545" s="4" t="s">
        <v>124</v>
      </c>
      <c r="BA545" s="4" t="s">
        <v>124</v>
      </c>
      <c r="BB545" s="4" t="s">
        <v>124</v>
      </c>
      <c r="BC545" s="4" t="s">
        <v>124</v>
      </c>
      <c r="BD545" s="4" t="s">
        <v>124</v>
      </c>
      <c r="BE545" s="4" t="s">
        <v>124</v>
      </c>
      <c r="BF545" s="4" t="s">
        <v>124</v>
      </c>
      <c r="BG545" s="4" t="s">
        <v>124</v>
      </c>
      <c r="BH545" s="7">
        <v>1</v>
      </c>
      <c r="BI545" s="7">
        <v>0.93939399999999995</v>
      </c>
      <c r="BJ545" s="7">
        <v>0.89285700000000001</v>
      </c>
      <c r="BK545" s="7">
        <v>0.98765400000000003</v>
      </c>
      <c r="BL545" s="7">
        <v>0.93939399999999995</v>
      </c>
      <c r="BM545" s="7">
        <v>0.89285700000000001</v>
      </c>
      <c r="BN545" s="7">
        <v>0.98765400000000003</v>
      </c>
      <c r="BO545" s="7">
        <v>0.97575800000000001</v>
      </c>
      <c r="BP545" s="7">
        <v>0.96428599999999998</v>
      </c>
      <c r="BQ545" s="7">
        <v>0.98765400000000003</v>
      </c>
      <c r="BR545" s="7">
        <v>0.17774899999999999</v>
      </c>
      <c r="BS545" s="7">
        <v>24.450127999999999</v>
      </c>
      <c r="BT545" s="7">
        <v>50</v>
      </c>
      <c r="BU545" s="7">
        <v>0.26098199999999999</v>
      </c>
      <c r="BV545" s="7">
        <v>7.8036180000000002</v>
      </c>
      <c r="BW545" s="7">
        <v>50</v>
      </c>
      <c r="BX545" s="7">
        <v>0.93370200000000003</v>
      </c>
      <c r="BY545" s="7">
        <v>50</v>
      </c>
      <c r="BZ545" s="7">
        <v>50</v>
      </c>
      <c r="CA545" s="7">
        <v>0.28176800000000002</v>
      </c>
      <c r="CB545" s="7">
        <v>18.78453</v>
      </c>
      <c r="CC545" s="7">
        <v>50</v>
      </c>
      <c r="CD545" s="7">
        <v>0.85909100000000005</v>
      </c>
      <c r="CE545" s="7">
        <v>45.696325000000002</v>
      </c>
      <c r="CF545" s="7">
        <v>50</v>
      </c>
      <c r="CG545" s="7">
        <v>0.86979200000000001</v>
      </c>
      <c r="CH545" s="7">
        <v>92.531028000000006</v>
      </c>
      <c r="CI545" s="7">
        <v>100</v>
      </c>
      <c r="CJ545" s="7">
        <v>1</v>
      </c>
      <c r="CK545" s="7">
        <v>0.82828299999999999</v>
      </c>
      <c r="CL545" s="7">
        <v>88.115194000000002</v>
      </c>
      <c r="CM545" s="7">
        <v>100</v>
      </c>
      <c r="CN545" s="7">
        <v>0.57714299999999996</v>
      </c>
      <c r="CO545" s="7">
        <v>76.952381000000003</v>
      </c>
      <c r="CP545" s="7">
        <v>100</v>
      </c>
      <c r="CQ545" s="7">
        <v>0.618421</v>
      </c>
      <c r="CR545" s="7">
        <v>0.75621899999999997</v>
      </c>
      <c r="CS545" s="7">
        <v>20.614035000000001</v>
      </c>
      <c r="CT545" s="7">
        <v>50</v>
      </c>
      <c r="CU545" s="7">
        <v>0.61636800000000003</v>
      </c>
      <c r="CV545" s="7">
        <v>50</v>
      </c>
      <c r="CW545" s="7">
        <v>50</v>
      </c>
      <c r="CX545" s="7">
        <v>0.82828299999999999</v>
      </c>
      <c r="CY545" s="7">
        <v>0.94</v>
      </c>
      <c r="CZ545" s="7">
        <v>0.111717</v>
      </c>
      <c r="DA545" s="7">
        <v>15.314097</v>
      </c>
      <c r="DB545" s="7">
        <v>17.400950000000002</v>
      </c>
      <c r="DC545" s="7">
        <v>16.332519999999999</v>
      </c>
      <c r="DD545" s="7">
        <v>7.9891730000000001</v>
      </c>
      <c r="DE545" s="7">
        <v>1</v>
      </c>
      <c r="DF545" s="6"/>
      <c r="DG545" s="6"/>
      <c r="DH545" s="6"/>
      <c r="DI545" s="6"/>
      <c r="DJ545" s="7">
        <v>0</v>
      </c>
      <c r="DK545" s="7">
        <v>0</v>
      </c>
      <c r="DL545" s="7">
        <v>0</v>
      </c>
      <c r="DM545" s="7">
        <v>0</v>
      </c>
      <c r="DN545" s="7">
        <v>0</v>
      </c>
      <c r="DO545" s="7">
        <v>0</v>
      </c>
      <c r="DP545" s="6"/>
      <c r="DQ545" s="4" t="s">
        <v>125</v>
      </c>
    </row>
    <row r="546" spans="1:121" ht="20" customHeight="1" x14ac:dyDescent="0.15">
      <c r="A546" s="5">
        <v>2018</v>
      </c>
      <c r="B546" s="3" t="s">
        <v>250</v>
      </c>
      <c r="C546" s="4" t="str">
        <f t="shared" si="212"/>
        <v>0690011</v>
      </c>
      <c r="D546" s="4" t="s">
        <v>704</v>
      </c>
      <c r="E546" s="4" t="str">
        <f>"0695211"</f>
        <v>0695211</v>
      </c>
      <c r="F546" s="4" t="s">
        <v>327</v>
      </c>
      <c r="G546" s="7">
        <v>5</v>
      </c>
      <c r="H546" s="7">
        <v>8</v>
      </c>
      <c r="I546" s="4" t="s">
        <v>335</v>
      </c>
      <c r="J546" s="4" t="s">
        <v>330</v>
      </c>
      <c r="K546" s="7">
        <v>626.87974899999995</v>
      </c>
      <c r="L546" s="7">
        <v>900</v>
      </c>
      <c r="M546" s="7">
        <v>69.653305000000003</v>
      </c>
      <c r="N546" s="7">
        <v>3</v>
      </c>
      <c r="O546" s="7">
        <v>0</v>
      </c>
      <c r="P546" s="7">
        <v>71.008731999999995</v>
      </c>
      <c r="Q546" s="7">
        <v>47.339154999999998</v>
      </c>
      <c r="R546" s="7">
        <v>50</v>
      </c>
      <c r="S546" s="7">
        <v>66.726201000000003</v>
      </c>
      <c r="T546" s="7">
        <v>75</v>
      </c>
      <c r="U546" s="7">
        <v>44.484133999999997</v>
      </c>
      <c r="V546" s="7">
        <v>50</v>
      </c>
      <c r="W546" s="7">
        <v>60.606740000000002</v>
      </c>
      <c r="X546" s="7">
        <v>40.404493000000002</v>
      </c>
      <c r="Y546" s="7">
        <v>50</v>
      </c>
      <c r="Z546" s="7">
        <v>66.294751000000005</v>
      </c>
      <c r="AA546" s="7">
        <v>56.773848000000001</v>
      </c>
      <c r="AB546" s="7">
        <v>37.849232000000001</v>
      </c>
      <c r="AC546" s="7">
        <v>50</v>
      </c>
      <c r="AD546" s="7">
        <v>65.777186999999998</v>
      </c>
      <c r="AE546" s="7">
        <v>43.851458000000001</v>
      </c>
      <c r="AF546" s="7">
        <v>50</v>
      </c>
      <c r="AG546" s="7">
        <v>61.026482999999999</v>
      </c>
      <c r="AH546" s="7">
        <v>71.929177999999993</v>
      </c>
      <c r="AI546" s="7">
        <v>40.684322000000002</v>
      </c>
      <c r="AJ546" s="7">
        <v>50</v>
      </c>
      <c r="AK546" s="7">
        <v>8.27</v>
      </c>
      <c r="AL546" s="7">
        <v>9.52</v>
      </c>
      <c r="AM546" s="7">
        <v>10.9</v>
      </c>
      <c r="AN546" s="7">
        <v>0.65700499999999995</v>
      </c>
      <c r="AO546" s="7">
        <v>65.700475999999995</v>
      </c>
      <c r="AP546" s="7">
        <v>100</v>
      </c>
      <c r="AQ546" s="7">
        <v>0.54081100000000004</v>
      </c>
      <c r="AR546" s="7">
        <v>54.081114999999997</v>
      </c>
      <c r="AS546" s="7">
        <v>100</v>
      </c>
      <c r="AT546" s="7">
        <v>0.63599300000000003</v>
      </c>
      <c r="AU546" s="7">
        <v>0.68592600000000004</v>
      </c>
      <c r="AV546" s="7">
        <v>63.599333000000001</v>
      </c>
      <c r="AW546" s="7">
        <v>100</v>
      </c>
      <c r="AX546" s="7">
        <v>0.57985399999999998</v>
      </c>
      <c r="AY546" s="7">
        <v>0.48658499999999999</v>
      </c>
      <c r="AZ546" s="7">
        <v>57.985377</v>
      </c>
      <c r="BA546" s="7">
        <v>100</v>
      </c>
      <c r="BB546" s="4" t="s">
        <v>124</v>
      </c>
      <c r="BC546" s="4" t="s">
        <v>124</v>
      </c>
      <c r="BD546" s="4" t="s">
        <v>124</v>
      </c>
      <c r="BE546" s="4" t="s">
        <v>124</v>
      </c>
      <c r="BF546" s="4" t="s">
        <v>124</v>
      </c>
      <c r="BG546" s="4" t="s">
        <v>124</v>
      </c>
      <c r="BH546" s="7">
        <v>0</v>
      </c>
      <c r="BI546" s="7">
        <v>0.987842</v>
      </c>
      <c r="BJ546" s="7">
        <v>0.98241199999999995</v>
      </c>
      <c r="BK546" s="7">
        <v>0.99615399999999998</v>
      </c>
      <c r="BL546" s="7">
        <v>0.98325700000000005</v>
      </c>
      <c r="BM546" s="7">
        <v>0.98236800000000002</v>
      </c>
      <c r="BN546" s="7">
        <v>0.98461500000000002</v>
      </c>
      <c r="BO546" s="7">
        <v>0.99107100000000004</v>
      </c>
      <c r="BP546" s="7">
        <v>0.98461500000000002</v>
      </c>
      <c r="BQ546" s="7">
        <v>1</v>
      </c>
      <c r="BR546" s="7">
        <v>0.12042700000000001</v>
      </c>
      <c r="BS546" s="7">
        <v>35.914634</v>
      </c>
      <c r="BT546" s="7">
        <v>50</v>
      </c>
      <c r="BU546" s="7">
        <v>0.176623</v>
      </c>
      <c r="BV546" s="7">
        <v>24.675325000000001</v>
      </c>
      <c r="BW546" s="7">
        <v>50</v>
      </c>
      <c r="BX546" s="4" t="s">
        <v>124</v>
      </c>
      <c r="BY546" s="4" t="s">
        <v>124</v>
      </c>
      <c r="BZ546" s="4" t="s">
        <v>124</v>
      </c>
      <c r="CA546" s="4" t="s">
        <v>124</v>
      </c>
      <c r="CB546" s="4" t="s">
        <v>124</v>
      </c>
      <c r="CC546" s="4" t="s">
        <v>124</v>
      </c>
      <c r="CD546" s="7">
        <v>0.91715999999999998</v>
      </c>
      <c r="CE546" s="7">
        <v>48.785094000000001</v>
      </c>
      <c r="CF546" s="7">
        <v>50</v>
      </c>
      <c r="CG546" s="4" t="s">
        <v>124</v>
      </c>
      <c r="CH546" s="4" t="s">
        <v>124</v>
      </c>
      <c r="CI546" s="4" t="s">
        <v>124</v>
      </c>
      <c r="CJ546" s="4" t="s">
        <v>124</v>
      </c>
      <c r="CK546" s="4" t="s">
        <v>124</v>
      </c>
      <c r="CL546" s="4" t="s">
        <v>124</v>
      </c>
      <c r="CM546" s="4" t="s">
        <v>124</v>
      </c>
      <c r="CN546" s="4" t="s">
        <v>124</v>
      </c>
      <c r="CO546" s="4" t="s">
        <v>124</v>
      </c>
      <c r="CP546" s="4" t="s">
        <v>124</v>
      </c>
      <c r="CQ546" s="7">
        <v>0.322884</v>
      </c>
      <c r="CR546" s="7">
        <v>0.96666700000000005</v>
      </c>
      <c r="CS546" s="7">
        <v>21.525601000000002</v>
      </c>
      <c r="CT546" s="7">
        <v>50</v>
      </c>
      <c r="CU546" s="4" t="s">
        <v>124</v>
      </c>
      <c r="CV546" s="4" t="s">
        <v>124</v>
      </c>
      <c r="CW546" s="4" t="s">
        <v>124</v>
      </c>
      <c r="CX546" s="4" t="s">
        <v>124</v>
      </c>
      <c r="CY546" s="4" t="s">
        <v>124</v>
      </c>
      <c r="CZ546" s="4" t="s">
        <v>124</v>
      </c>
      <c r="DA546" s="7">
        <v>15.314097</v>
      </c>
      <c r="DB546" s="7">
        <v>17.400950000000002</v>
      </c>
      <c r="DC546" s="7">
        <v>16.332519999999999</v>
      </c>
      <c r="DD546" s="4" t="s">
        <v>124</v>
      </c>
      <c r="DE546" s="7">
        <v>0</v>
      </c>
      <c r="DF546" s="6"/>
      <c r="DG546" s="6"/>
      <c r="DH546" s="6"/>
      <c r="DI546" s="6"/>
      <c r="DJ546" s="7">
        <v>0</v>
      </c>
      <c r="DK546" s="7">
        <v>0</v>
      </c>
      <c r="DL546" s="7">
        <v>0</v>
      </c>
      <c r="DM546" s="7">
        <v>0</v>
      </c>
      <c r="DN546" s="7">
        <v>0</v>
      </c>
      <c r="DO546" s="7">
        <v>0</v>
      </c>
      <c r="DP546" s="6"/>
      <c r="DQ546" s="4" t="s">
        <v>125</v>
      </c>
    </row>
    <row r="547" spans="1:121" ht="20" customHeight="1" x14ac:dyDescent="0.15">
      <c r="A547" s="5">
        <v>2018</v>
      </c>
      <c r="B547" s="3" t="s">
        <v>250</v>
      </c>
      <c r="C547" s="4" t="str">
        <f t="shared" si="212"/>
        <v>0690011</v>
      </c>
      <c r="D547" s="4" t="s">
        <v>705</v>
      </c>
      <c r="E547" s="4" t="str">
        <f>"0690311"</f>
        <v>0690311</v>
      </c>
      <c r="F547" s="4" t="s">
        <v>327</v>
      </c>
      <c r="G547" s="7">
        <v>2</v>
      </c>
      <c r="H547" s="7">
        <v>4</v>
      </c>
      <c r="I547" s="4" t="s">
        <v>335</v>
      </c>
      <c r="J547" s="4" t="s">
        <v>330</v>
      </c>
      <c r="K547" s="7">
        <v>533.97296900000003</v>
      </c>
      <c r="L547" s="7">
        <v>850</v>
      </c>
      <c r="M547" s="7">
        <v>62.820349</v>
      </c>
      <c r="N547" s="7">
        <v>3</v>
      </c>
      <c r="O547" s="7">
        <v>0</v>
      </c>
      <c r="P547" s="7">
        <v>68.642391000000003</v>
      </c>
      <c r="Q547" s="7">
        <v>45.761594000000002</v>
      </c>
      <c r="R547" s="7">
        <v>50</v>
      </c>
      <c r="S547" s="7">
        <v>64.076874000000004</v>
      </c>
      <c r="T547" s="7">
        <v>75</v>
      </c>
      <c r="U547" s="7">
        <v>42.717916000000002</v>
      </c>
      <c r="V547" s="7">
        <v>50</v>
      </c>
      <c r="W547" s="7">
        <v>67.084064999999995</v>
      </c>
      <c r="X547" s="7">
        <v>44.722709999999999</v>
      </c>
      <c r="Y547" s="7">
        <v>50</v>
      </c>
      <c r="Z547" s="7">
        <v>75</v>
      </c>
      <c r="AA547" s="7">
        <v>61.898097999999997</v>
      </c>
      <c r="AB547" s="7">
        <v>41.265399000000002</v>
      </c>
      <c r="AC547" s="7">
        <v>50</v>
      </c>
      <c r="AD547" s="4" t="s">
        <v>124</v>
      </c>
      <c r="AE547" s="4" t="s">
        <v>124</v>
      </c>
      <c r="AF547" s="4" t="s">
        <v>124</v>
      </c>
      <c r="AG547" s="4" t="s">
        <v>124</v>
      </c>
      <c r="AH547" s="4" t="s">
        <v>124</v>
      </c>
      <c r="AI547" s="4" t="s">
        <v>124</v>
      </c>
      <c r="AJ547" s="4" t="s">
        <v>124</v>
      </c>
      <c r="AK547" s="7">
        <v>10.92</v>
      </c>
      <c r="AL547" s="7">
        <v>13.1</v>
      </c>
      <c r="AM547" s="4" t="s">
        <v>124</v>
      </c>
      <c r="AN547" s="7">
        <v>0.51617000000000002</v>
      </c>
      <c r="AO547" s="7">
        <v>51.617049999999999</v>
      </c>
      <c r="AP547" s="7">
        <v>100</v>
      </c>
      <c r="AQ547" s="7">
        <v>0.64072200000000001</v>
      </c>
      <c r="AR547" s="7">
        <v>64.072185000000005</v>
      </c>
      <c r="AS547" s="7">
        <v>100</v>
      </c>
      <c r="AT547" s="7">
        <v>0.47849399999999997</v>
      </c>
      <c r="AU547" s="7">
        <v>0.577233</v>
      </c>
      <c r="AV547" s="7">
        <v>47.849386000000003</v>
      </c>
      <c r="AW547" s="7">
        <v>100</v>
      </c>
      <c r="AX547" s="7">
        <v>0.61517200000000005</v>
      </c>
      <c r="AY547" s="7">
        <v>0.68213000000000001</v>
      </c>
      <c r="AZ547" s="7">
        <v>61.517212999999998</v>
      </c>
      <c r="BA547" s="7">
        <v>100</v>
      </c>
      <c r="BB547" s="7">
        <v>0.57841500000000001</v>
      </c>
      <c r="BC547" s="7">
        <v>28.920745</v>
      </c>
      <c r="BD547" s="7">
        <v>50</v>
      </c>
      <c r="BE547" s="7">
        <v>0.18649199999999999</v>
      </c>
      <c r="BF547" s="7">
        <v>9.3246210000000005</v>
      </c>
      <c r="BG547" s="7">
        <v>50</v>
      </c>
      <c r="BH547" s="7">
        <v>0</v>
      </c>
      <c r="BI547" s="7">
        <v>0.99698799999999999</v>
      </c>
      <c r="BJ547" s="7">
        <v>0.99504999999999999</v>
      </c>
      <c r="BK547" s="7">
        <v>1</v>
      </c>
      <c r="BL547" s="7">
        <v>0.99697899999999995</v>
      </c>
      <c r="BM547" s="7">
        <v>0.99502500000000005</v>
      </c>
      <c r="BN547" s="7">
        <v>1</v>
      </c>
      <c r="BO547" s="4" t="s">
        <v>124</v>
      </c>
      <c r="BP547" s="4" t="s">
        <v>124</v>
      </c>
      <c r="BQ547" s="4" t="s">
        <v>124</v>
      </c>
      <c r="BR547" s="7">
        <v>7.4297000000000002E-2</v>
      </c>
      <c r="BS547" s="7">
        <v>45.140562000000003</v>
      </c>
      <c r="BT547" s="7">
        <v>50</v>
      </c>
      <c r="BU547" s="7">
        <v>0.105085</v>
      </c>
      <c r="BV547" s="7">
        <v>38.983051000000003</v>
      </c>
      <c r="BW547" s="7">
        <v>50</v>
      </c>
      <c r="BX547" s="4" t="s">
        <v>124</v>
      </c>
      <c r="BY547" s="4" t="s">
        <v>124</v>
      </c>
      <c r="BZ547" s="4" t="s">
        <v>124</v>
      </c>
      <c r="CA547" s="4" t="s">
        <v>124</v>
      </c>
      <c r="CB547" s="4" t="s">
        <v>124</v>
      </c>
      <c r="CC547" s="4" t="s">
        <v>124</v>
      </c>
      <c r="CD547" s="4" t="s">
        <v>124</v>
      </c>
      <c r="CE547" s="4" t="s">
        <v>124</v>
      </c>
      <c r="CF547" s="4" t="s">
        <v>124</v>
      </c>
      <c r="CG547" s="4" t="s">
        <v>124</v>
      </c>
      <c r="CH547" s="4" t="s">
        <v>124</v>
      </c>
      <c r="CI547" s="4" t="s">
        <v>124</v>
      </c>
      <c r="CJ547" s="4" t="s">
        <v>124</v>
      </c>
      <c r="CK547" s="4" t="s">
        <v>124</v>
      </c>
      <c r="CL547" s="4" t="s">
        <v>124</v>
      </c>
      <c r="CM547" s="4" t="s">
        <v>124</v>
      </c>
      <c r="CN547" s="4" t="s">
        <v>124</v>
      </c>
      <c r="CO547" s="4" t="s">
        <v>124</v>
      </c>
      <c r="CP547" s="4" t="s">
        <v>124</v>
      </c>
      <c r="CQ547" s="7">
        <v>0.18120800000000001</v>
      </c>
      <c r="CR547" s="7">
        <v>0.94303800000000004</v>
      </c>
      <c r="CS547" s="7">
        <v>12.080537</v>
      </c>
      <c r="CT547" s="7">
        <v>50</v>
      </c>
      <c r="CU547" s="4" t="s">
        <v>124</v>
      </c>
      <c r="CV547" s="4" t="s">
        <v>124</v>
      </c>
      <c r="CW547" s="4" t="s">
        <v>124</v>
      </c>
      <c r="CX547" s="4" t="s">
        <v>124</v>
      </c>
      <c r="CY547" s="4" t="s">
        <v>124</v>
      </c>
      <c r="CZ547" s="4" t="s">
        <v>124</v>
      </c>
      <c r="DA547" s="7">
        <v>15.314097</v>
      </c>
      <c r="DB547" s="7">
        <v>17.400950000000002</v>
      </c>
      <c r="DC547" s="7">
        <v>16.332519999999999</v>
      </c>
      <c r="DD547" s="4" t="s">
        <v>124</v>
      </c>
      <c r="DE547" s="7">
        <v>0</v>
      </c>
      <c r="DF547" s="6"/>
      <c r="DG547" s="6"/>
      <c r="DH547" s="6"/>
      <c r="DI547" s="6"/>
      <c r="DJ547" s="7">
        <v>0</v>
      </c>
      <c r="DK547" s="7">
        <v>0</v>
      </c>
      <c r="DL547" s="7">
        <v>0</v>
      </c>
      <c r="DM547" s="7">
        <v>0</v>
      </c>
      <c r="DN547" s="7">
        <v>0</v>
      </c>
      <c r="DO547" s="7">
        <v>0</v>
      </c>
      <c r="DP547" s="6"/>
      <c r="DQ547" s="4" t="s">
        <v>125</v>
      </c>
    </row>
    <row r="548" spans="1:121" ht="20" customHeight="1" x14ac:dyDescent="0.15">
      <c r="A548" s="5">
        <v>2018</v>
      </c>
      <c r="B548" s="3" t="s">
        <v>251</v>
      </c>
      <c r="C548" s="4" t="str">
        <f t="shared" si="126"/>
        <v>0710011</v>
      </c>
      <c r="D548" s="4" t="s">
        <v>706</v>
      </c>
      <c r="E548" s="4" t="str">
        <f>"0710111"</f>
        <v>0710111</v>
      </c>
      <c r="F548" s="4" t="s">
        <v>327</v>
      </c>
      <c r="G548" s="4" t="s">
        <v>328</v>
      </c>
      <c r="H548" s="7">
        <v>4</v>
      </c>
      <c r="I548" s="4" t="s">
        <v>329</v>
      </c>
      <c r="J548" s="4" t="s">
        <v>330</v>
      </c>
      <c r="K548" s="7">
        <v>569.20466899999997</v>
      </c>
      <c r="L548" s="7">
        <v>750</v>
      </c>
      <c r="M548" s="7">
        <v>75.893956000000003</v>
      </c>
      <c r="N548" s="7">
        <v>2</v>
      </c>
      <c r="O548" s="7">
        <v>0</v>
      </c>
      <c r="P548" s="7">
        <v>77.539692000000002</v>
      </c>
      <c r="Q548" s="7">
        <v>50</v>
      </c>
      <c r="R548" s="7">
        <v>50</v>
      </c>
      <c r="S548" s="7">
        <v>67.498633999999996</v>
      </c>
      <c r="T548" s="7">
        <v>75</v>
      </c>
      <c r="U548" s="7">
        <v>44.999088999999998</v>
      </c>
      <c r="V548" s="7">
        <v>50</v>
      </c>
      <c r="W548" s="7">
        <v>70.054829999999995</v>
      </c>
      <c r="X548" s="7">
        <v>46.703220000000002</v>
      </c>
      <c r="Y548" s="7">
        <v>50</v>
      </c>
      <c r="Z548" s="7">
        <v>75</v>
      </c>
      <c r="AA548" s="7">
        <v>60.064473999999997</v>
      </c>
      <c r="AB548" s="7">
        <v>40.042983</v>
      </c>
      <c r="AC548" s="7">
        <v>50</v>
      </c>
      <c r="AD548" s="4" t="s">
        <v>124</v>
      </c>
      <c r="AE548" s="4" t="s">
        <v>124</v>
      </c>
      <c r="AF548" s="4" t="s">
        <v>124</v>
      </c>
      <c r="AG548" s="4" t="s">
        <v>124</v>
      </c>
      <c r="AH548" s="4" t="s">
        <v>124</v>
      </c>
      <c r="AI548" s="4" t="s">
        <v>124</v>
      </c>
      <c r="AJ548" s="4" t="s">
        <v>124</v>
      </c>
      <c r="AK548" s="7">
        <v>7.5</v>
      </c>
      <c r="AL548" s="7">
        <v>14.93</v>
      </c>
      <c r="AM548" s="4" t="s">
        <v>124</v>
      </c>
      <c r="AN548" s="7">
        <v>0.68806100000000003</v>
      </c>
      <c r="AO548" s="7">
        <v>68.806090999999995</v>
      </c>
      <c r="AP548" s="7">
        <v>100</v>
      </c>
      <c r="AQ548" s="7">
        <v>0.70977999999999997</v>
      </c>
      <c r="AR548" s="7">
        <v>70.978043</v>
      </c>
      <c r="AS548" s="7">
        <v>100</v>
      </c>
      <c r="AT548" s="7">
        <v>0.60180900000000004</v>
      </c>
      <c r="AU548" s="7">
        <v>0.74556299999999998</v>
      </c>
      <c r="AV548" s="7">
        <v>60.180852000000002</v>
      </c>
      <c r="AW548" s="7">
        <v>100</v>
      </c>
      <c r="AX548" s="7">
        <v>0.58027899999999999</v>
      </c>
      <c r="AY548" s="7">
        <v>0.79611500000000002</v>
      </c>
      <c r="AZ548" s="7">
        <v>58.027856999999997</v>
      </c>
      <c r="BA548" s="7">
        <v>100</v>
      </c>
      <c r="BB548" s="4" t="s">
        <v>124</v>
      </c>
      <c r="BC548" s="4" t="s">
        <v>124</v>
      </c>
      <c r="BD548" s="4" t="s">
        <v>124</v>
      </c>
      <c r="BE548" s="4" t="s">
        <v>124</v>
      </c>
      <c r="BF548" s="4" t="s">
        <v>124</v>
      </c>
      <c r="BG548" s="4" t="s">
        <v>124</v>
      </c>
      <c r="BH548" s="7">
        <v>0</v>
      </c>
      <c r="BI548" s="7">
        <v>0.98550700000000002</v>
      </c>
      <c r="BJ548" s="7">
        <v>1</v>
      </c>
      <c r="BK548" s="7">
        <v>0.97590399999999999</v>
      </c>
      <c r="BL548" s="7">
        <v>0.98550700000000002</v>
      </c>
      <c r="BM548" s="7">
        <v>1</v>
      </c>
      <c r="BN548" s="7">
        <v>0.97590399999999999</v>
      </c>
      <c r="BO548" s="4" t="s">
        <v>124</v>
      </c>
      <c r="BP548" s="4" t="s">
        <v>124</v>
      </c>
      <c r="BQ548" s="4" t="s">
        <v>124</v>
      </c>
      <c r="BR548" s="7">
        <v>5.0955E-2</v>
      </c>
      <c r="BS548" s="7">
        <v>49.808917000000001</v>
      </c>
      <c r="BT548" s="7">
        <v>50</v>
      </c>
      <c r="BU548" s="7">
        <v>7.0865999999999998E-2</v>
      </c>
      <c r="BV548" s="7">
        <v>45.826771999999998</v>
      </c>
      <c r="BW548" s="7">
        <v>50</v>
      </c>
      <c r="BX548" s="4" t="s">
        <v>124</v>
      </c>
      <c r="BY548" s="4" t="s">
        <v>124</v>
      </c>
      <c r="BZ548" s="4" t="s">
        <v>124</v>
      </c>
      <c r="CA548" s="4" t="s">
        <v>124</v>
      </c>
      <c r="CB548" s="4" t="s">
        <v>124</v>
      </c>
      <c r="CC548" s="4" t="s">
        <v>124</v>
      </c>
      <c r="CD548" s="4" t="s">
        <v>124</v>
      </c>
      <c r="CE548" s="4" t="s">
        <v>124</v>
      </c>
      <c r="CF548" s="4" t="s">
        <v>124</v>
      </c>
      <c r="CG548" s="4" t="s">
        <v>124</v>
      </c>
      <c r="CH548" s="4" t="s">
        <v>124</v>
      </c>
      <c r="CI548" s="4" t="s">
        <v>124</v>
      </c>
      <c r="CJ548" s="4" t="s">
        <v>124</v>
      </c>
      <c r="CK548" s="4" t="s">
        <v>124</v>
      </c>
      <c r="CL548" s="4" t="s">
        <v>124</v>
      </c>
      <c r="CM548" s="4" t="s">
        <v>124</v>
      </c>
      <c r="CN548" s="4" t="s">
        <v>124</v>
      </c>
      <c r="CO548" s="4" t="s">
        <v>124</v>
      </c>
      <c r="CP548" s="4" t="s">
        <v>124</v>
      </c>
      <c r="CQ548" s="7">
        <v>0.507463</v>
      </c>
      <c r="CR548" s="7">
        <v>1</v>
      </c>
      <c r="CS548" s="7">
        <v>33.830846000000001</v>
      </c>
      <c r="CT548" s="7">
        <v>50</v>
      </c>
      <c r="CU548" s="4" t="s">
        <v>124</v>
      </c>
      <c r="CV548" s="4" t="s">
        <v>124</v>
      </c>
      <c r="CW548" s="4" t="s">
        <v>124</v>
      </c>
      <c r="CX548" s="4" t="s">
        <v>124</v>
      </c>
      <c r="CY548" s="4" t="s">
        <v>124</v>
      </c>
      <c r="CZ548" s="4" t="s">
        <v>124</v>
      </c>
      <c r="DA548" s="7">
        <v>15.314097</v>
      </c>
      <c r="DB548" s="7">
        <v>17.400950000000002</v>
      </c>
      <c r="DC548" s="7">
        <v>16.332519999999999</v>
      </c>
      <c r="DD548" s="4" t="s">
        <v>124</v>
      </c>
      <c r="DE548" s="7">
        <v>0</v>
      </c>
      <c r="DF548" s="6"/>
      <c r="DG548" s="6"/>
      <c r="DH548" s="6"/>
      <c r="DI548" s="6"/>
      <c r="DJ548" s="7">
        <v>0</v>
      </c>
      <c r="DK548" s="7">
        <v>0</v>
      </c>
      <c r="DL548" s="7">
        <v>0</v>
      </c>
      <c r="DM548" s="7">
        <v>0</v>
      </c>
      <c r="DN548" s="7">
        <v>0</v>
      </c>
      <c r="DO548" s="7">
        <v>0</v>
      </c>
      <c r="DP548" s="6"/>
      <c r="DQ548" s="4" t="s">
        <v>125</v>
      </c>
    </row>
    <row r="549" spans="1:121" ht="20" customHeight="1" x14ac:dyDescent="0.15">
      <c r="A549" s="5">
        <v>2018</v>
      </c>
      <c r="B549" s="3" t="s">
        <v>251</v>
      </c>
      <c r="C549" s="4" t="str">
        <f t="shared" ref="C549:C550" si="213">"0710011"</f>
        <v>0710011</v>
      </c>
      <c r="D549" s="4" t="s">
        <v>707</v>
      </c>
      <c r="E549" s="4" t="str">
        <f>"0715111"</f>
        <v>0715111</v>
      </c>
      <c r="F549" s="4" t="s">
        <v>327</v>
      </c>
      <c r="G549" s="7">
        <v>5</v>
      </c>
      <c r="H549" s="7">
        <v>8</v>
      </c>
      <c r="I549" s="4" t="s">
        <v>329</v>
      </c>
      <c r="J549" s="4" t="s">
        <v>330</v>
      </c>
      <c r="K549" s="7">
        <v>687.273146</v>
      </c>
      <c r="L549" s="7">
        <v>900</v>
      </c>
      <c r="M549" s="7">
        <v>76.363682999999995</v>
      </c>
      <c r="N549" s="7">
        <v>2</v>
      </c>
      <c r="O549" s="7">
        <v>0</v>
      </c>
      <c r="P549" s="7">
        <v>69.987594999999999</v>
      </c>
      <c r="Q549" s="7">
        <v>46.658397000000001</v>
      </c>
      <c r="R549" s="7">
        <v>50</v>
      </c>
      <c r="S549" s="7">
        <v>64.036439999999999</v>
      </c>
      <c r="T549" s="7">
        <v>73.978369000000001</v>
      </c>
      <c r="U549" s="7">
        <v>42.690959999999997</v>
      </c>
      <c r="V549" s="7">
        <v>50</v>
      </c>
      <c r="W549" s="7">
        <v>67.313342000000006</v>
      </c>
      <c r="X549" s="7">
        <v>44.875560999999998</v>
      </c>
      <c r="Y549" s="7">
        <v>50</v>
      </c>
      <c r="Z549" s="7">
        <v>71.388024000000001</v>
      </c>
      <c r="AA549" s="7">
        <v>61.237062000000002</v>
      </c>
      <c r="AB549" s="7">
        <v>40.824708000000001</v>
      </c>
      <c r="AC549" s="7">
        <v>50</v>
      </c>
      <c r="AD549" s="7">
        <v>67.887118000000001</v>
      </c>
      <c r="AE549" s="7">
        <v>45.258079000000002</v>
      </c>
      <c r="AF549" s="7">
        <v>50</v>
      </c>
      <c r="AG549" s="7">
        <v>69.247801999999993</v>
      </c>
      <c r="AH549" s="7">
        <v>66.962551000000005</v>
      </c>
      <c r="AI549" s="7">
        <v>46.165201000000003</v>
      </c>
      <c r="AJ549" s="7">
        <v>50</v>
      </c>
      <c r="AK549" s="7">
        <v>9.94</v>
      </c>
      <c r="AL549" s="7">
        <v>10.15</v>
      </c>
      <c r="AM549" s="7">
        <v>-2.2799999999999998</v>
      </c>
      <c r="AN549" s="7">
        <v>0.47585499999999997</v>
      </c>
      <c r="AO549" s="7">
        <v>47.585462</v>
      </c>
      <c r="AP549" s="7">
        <v>100</v>
      </c>
      <c r="AQ549" s="7">
        <v>0.62988900000000003</v>
      </c>
      <c r="AR549" s="7">
        <v>62.988916000000003</v>
      </c>
      <c r="AS549" s="7">
        <v>100</v>
      </c>
      <c r="AT549" s="7">
        <v>0.49385499999999999</v>
      </c>
      <c r="AU549" s="7">
        <v>0.46363199999999999</v>
      </c>
      <c r="AV549" s="7">
        <v>49.385522999999999</v>
      </c>
      <c r="AW549" s="7">
        <v>100</v>
      </c>
      <c r="AX549" s="7">
        <v>0.61951500000000004</v>
      </c>
      <c r="AY549" s="7">
        <v>0.63680599999999998</v>
      </c>
      <c r="AZ549" s="7">
        <v>61.951450000000001</v>
      </c>
      <c r="BA549" s="7">
        <v>100</v>
      </c>
      <c r="BB549" s="4" t="s">
        <v>124</v>
      </c>
      <c r="BC549" s="4" t="s">
        <v>124</v>
      </c>
      <c r="BD549" s="4" t="s">
        <v>124</v>
      </c>
      <c r="BE549" s="4" t="s">
        <v>124</v>
      </c>
      <c r="BF549" s="4" t="s">
        <v>124</v>
      </c>
      <c r="BG549" s="4" t="s">
        <v>124</v>
      </c>
      <c r="BH549" s="7">
        <v>0</v>
      </c>
      <c r="BI549" s="7">
        <v>0.96</v>
      </c>
      <c r="BJ549" s="7">
        <v>0.95161300000000004</v>
      </c>
      <c r="BK549" s="7">
        <v>0.96590900000000002</v>
      </c>
      <c r="BL549" s="7">
        <v>0.96</v>
      </c>
      <c r="BM549" s="7">
        <v>0.95161300000000004</v>
      </c>
      <c r="BN549" s="7">
        <v>0.96590900000000002</v>
      </c>
      <c r="BO549" s="7">
        <v>0.97080299999999997</v>
      </c>
      <c r="BP549" s="7">
        <v>0.96491199999999999</v>
      </c>
      <c r="BQ549" s="7">
        <v>0.97499999999999998</v>
      </c>
      <c r="BR549" s="7">
        <v>4.6667E-2</v>
      </c>
      <c r="BS549" s="7">
        <v>50</v>
      </c>
      <c r="BT549" s="7">
        <v>50</v>
      </c>
      <c r="BU549" s="7">
        <v>5.5556000000000001E-2</v>
      </c>
      <c r="BV549" s="7">
        <v>48.888888999999999</v>
      </c>
      <c r="BW549" s="7">
        <v>50</v>
      </c>
      <c r="BX549" s="4" t="s">
        <v>124</v>
      </c>
      <c r="BY549" s="4" t="s">
        <v>124</v>
      </c>
      <c r="BZ549" s="4" t="s">
        <v>124</v>
      </c>
      <c r="CA549" s="4" t="s">
        <v>124</v>
      </c>
      <c r="CB549" s="4" t="s">
        <v>124</v>
      </c>
      <c r="CC549" s="4" t="s">
        <v>124</v>
      </c>
      <c r="CD549" s="7">
        <v>0.98734200000000005</v>
      </c>
      <c r="CE549" s="7">
        <v>50</v>
      </c>
      <c r="CF549" s="7">
        <v>50</v>
      </c>
      <c r="CG549" s="4" t="s">
        <v>124</v>
      </c>
      <c r="CH549" s="4" t="s">
        <v>124</v>
      </c>
      <c r="CI549" s="4" t="s">
        <v>124</v>
      </c>
      <c r="CJ549" s="4" t="s">
        <v>124</v>
      </c>
      <c r="CK549" s="4" t="s">
        <v>124</v>
      </c>
      <c r="CL549" s="4" t="s">
        <v>124</v>
      </c>
      <c r="CM549" s="4" t="s">
        <v>124</v>
      </c>
      <c r="CN549" s="4" t="s">
        <v>124</v>
      </c>
      <c r="CO549" s="4" t="s">
        <v>124</v>
      </c>
      <c r="CP549" s="4" t="s">
        <v>124</v>
      </c>
      <c r="CQ549" s="7">
        <v>0.81410300000000002</v>
      </c>
      <c r="CR549" s="7">
        <v>0.96894400000000003</v>
      </c>
      <c r="CS549" s="7">
        <v>50</v>
      </c>
      <c r="CT549" s="7">
        <v>50</v>
      </c>
      <c r="CU549" s="4" t="s">
        <v>124</v>
      </c>
      <c r="CV549" s="4" t="s">
        <v>124</v>
      </c>
      <c r="CW549" s="4" t="s">
        <v>124</v>
      </c>
      <c r="CX549" s="4" t="s">
        <v>124</v>
      </c>
      <c r="CY549" s="4" t="s">
        <v>124</v>
      </c>
      <c r="CZ549" s="4" t="s">
        <v>124</v>
      </c>
      <c r="DA549" s="7">
        <v>15.314097</v>
      </c>
      <c r="DB549" s="7">
        <v>17.400950000000002</v>
      </c>
      <c r="DC549" s="7">
        <v>16.332519999999999</v>
      </c>
      <c r="DD549" s="4" t="s">
        <v>124</v>
      </c>
      <c r="DE549" s="7">
        <v>0</v>
      </c>
      <c r="DF549" s="6"/>
      <c r="DG549" s="6"/>
      <c r="DH549" s="6"/>
      <c r="DI549" s="6"/>
      <c r="DJ549" s="7">
        <v>0</v>
      </c>
      <c r="DK549" s="7">
        <v>0</v>
      </c>
      <c r="DL549" s="7">
        <v>0</v>
      </c>
      <c r="DM549" s="7">
        <v>0</v>
      </c>
      <c r="DN549" s="7">
        <v>0</v>
      </c>
      <c r="DO549" s="7">
        <v>0</v>
      </c>
      <c r="DP549" s="6"/>
      <c r="DQ549" s="4" t="s">
        <v>125</v>
      </c>
    </row>
    <row r="550" spans="1:121" ht="20" customHeight="1" x14ac:dyDescent="0.15">
      <c r="A550" s="5">
        <v>2018</v>
      </c>
      <c r="B550" s="3" t="s">
        <v>251</v>
      </c>
      <c r="C550" s="4" t="str">
        <f t="shared" si="213"/>
        <v>0710011</v>
      </c>
      <c r="D550" s="4" t="s">
        <v>708</v>
      </c>
      <c r="E550" s="4" t="str">
        <f>"0716211"</f>
        <v>0716211</v>
      </c>
      <c r="F550" s="4" t="s">
        <v>327</v>
      </c>
      <c r="G550" s="7">
        <v>9</v>
      </c>
      <c r="H550" s="7">
        <v>12</v>
      </c>
      <c r="I550" s="6"/>
      <c r="J550" s="4" t="s">
        <v>330</v>
      </c>
      <c r="K550" s="7">
        <v>1099.6924309999999</v>
      </c>
      <c r="L550" s="7">
        <v>1450</v>
      </c>
      <c r="M550" s="7">
        <v>75.840857</v>
      </c>
      <c r="N550" s="7">
        <v>3</v>
      </c>
      <c r="O550" s="7">
        <v>1</v>
      </c>
      <c r="P550" s="7">
        <v>58.763157999999997</v>
      </c>
      <c r="Q550" s="7">
        <v>117.52631599999999</v>
      </c>
      <c r="R550" s="7">
        <v>150</v>
      </c>
      <c r="S550" s="7">
        <v>48.386904999999999</v>
      </c>
      <c r="T550" s="7">
        <v>64.815972000000002</v>
      </c>
      <c r="U550" s="7">
        <v>96.773809999999997</v>
      </c>
      <c r="V550" s="7">
        <v>150</v>
      </c>
      <c r="W550" s="7">
        <v>56.640351000000003</v>
      </c>
      <c r="X550" s="7">
        <v>113.28070200000001</v>
      </c>
      <c r="Y550" s="7">
        <v>150</v>
      </c>
      <c r="Z550" s="7">
        <v>65.006944000000004</v>
      </c>
      <c r="AA550" s="7">
        <v>42.297618999999997</v>
      </c>
      <c r="AB550" s="7">
        <v>84.595237999999995</v>
      </c>
      <c r="AC550" s="7">
        <v>150</v>
      </c>
      <c r="AD550" s="7">
        <v>63.89011</v>
      </c>
      <c r="AE550" s="7">
        <v>85.186813000000001</v>
      </c>
      <c r="AF550" s="7">
        <v>100</v>
      </c>
      <c r="AG550" s="7">
        <v>50.039788000000001</v>
      </c>
      <c r="AH550" s="7">
        <v>72.258013000000005</v>
      </c>
      <c r="AI550" s="7">
        <v>66.719717000000003</v>
      </c>
      <c r="AJ550" s="7">
        <v>100</v>
      </c>
      <c r="AK550" s="7">
        <v>16.420000000000002</v>
      </c>
      <c r="AL550" s="7">
        <v>22.7</v>
      </c>
      <c r="AM550" s="7">
        <v>22.21</v>
      </c>
      <c r="AN550" s="4" t="s">
        <v>124</v>
      </c>
      <c r="AO550" s="4" t="s">
        <v>124</v>
      </c>
      <c r="AP550" s="4" t="s">
        <v>124</v>
      </c>
      <c r="AQ550" s="4" t="s">
        <v>124</v>
      </c>
      <c r="AR550" s="4" t="s">
        <v>124</v>
      </c>
      <c r="AS550" s="4" t="s">
        <v>124</v>
      </c>
      <c r="AT550" s="4" t="s">
        <v>124</v>
      </c>
      <c r="AU550" s="4" t="s">
        <v>124</v>
      </c>
      <c r="AV550" s="4" t="s">
        <v>124</v>
      </c>
      <c r="AW550" s="4" t="s">
        <v>124</v>
      </c>
      <c r="AX550" s="4" t="s">
        <v>124</v>
      </c>
      <c r="AY550" s="4" t="s">
        <v>124</v>
      </c>
      <c r="AZ550" s="4" t="s">
        <v>124</v>
      </c>
      <c r="BA550" s="4" t="s">
        <v>124</v>
      </c>
      <c r="BB550" s="4" t="s">
        <v>124</v>
      </c>
      <c r="BC550" s="4" t="s">
        <v>124</v>
      </c>
      <c r="BD550" s="4" t="s">
        <v>124</v>
      </c>
      <c r="BE550" s="4" t="s">
        <v>124</v>
      </c>
      <c r="BF550" s="4" t="s">
        <v>124</v>
      </c>
      <c r="BG550" s="4" t="s">
        <v>124</v>
      </c>
      <c r="BH550" s="7">
        <v>0</v>
      </c>
      <c r="BI550" s="7">
        <v>0.98717900000000003</v>
      </c>
      <c r="BJ550" s="7">
        <v>1</v>
      </c>
      <c r="BK550" s="7">
        <v>0.97959200000000002</v>
      </c>
      <c r="BL550" s="7">
        <v>0.98717900000000003</v>
      </c>
      <c r="BM550" s="7">
        <v>1</v>
      </c>
      <c r="BN550" s="7">
        <v>0.97959200000000002</v>
      </c>
      <c r="BO550" s="7">
        <v>0.98717900000000003</v>
      </c>
      <c r="BP550" s="7">
        <v>1</v>
      </c>
      <c r="BQ550" s="7">
        <v>0.97959200000000002</v>
      </c>
      <c r="BR550" s="7">
        <v>0.10625</v>
      </c>
      <c r="BS550" s="7">
        <v>38.75</v>
      </c>
      <c r="BT550" s="7">
        <v>50</v>
      </c>
      <c r="BU550" s="7">
        <v>0.21621599999999999</v>
      </c>
      <c r="BV550" s="7">
        <v>16.756757</v>
      </c>
      <c r="BW550" s="7">
        <v>50</v>
      </c>
      <c r="BX550" s="7">
        <v>0.90853700000000004</v>
      </c>
      <c r="BY550" s="7">
        <v>50</v>
      </c>
      <c r="BZ550" s="7">
        <v>50</v>
      </c>
      <c r="CA550" s="7">
        <v>0.481707</v>
      </c>
      <c r="CB550" s="7">
        <v>32.113821000000002</v>
      </c>
      <c r="CC550" s="7">
        <v>50</v>
      </c>
      <c r="CD550" s="7">
        <v>0.97402599999999995</v>
      </c>
      <c r="CE550" s="7">
        <v>50</v>
      </c>
      <c r="CF550" s="7">
        <v>50</v>
      </c>
      <c r="CG550" s="7">
        <v>0.97619</v>
      </c>
      <c r="CH550" s="7">
        <v>100</v>
      </c>
      <c r="CI550" s="7">
        <v>100</v>
      </c>
      <c r="CJ550" s="7">
        <v>0</v>
      </c>
      <c r="CK550" s="7">
        <v>0.88888900000000004</v>
      </c>
      <c r="CL550" s="7">
        <v>94.562647999999996</v>
      </c>
      <c r="CM550" s="7">
        <v>100</v>
      </c>
      <c r="CN550" s="7">
        <v>0.62650600000000001</v>
      </c>
      <c r="CO550" s="7">
        <v>83.534137000000001</v>
      </c>
      <c r="CP550" s="7">
        <v>100</v>
      </c>
      <c r="CQ550" s="7">
        <v>0.59677400000000003</v>
      </c>
      <c r="CR550" s="7">
        <v>0.78481000000000001</v>
      </c>
      <c r="CS550" s="7">
        <v>19.892472999999999</v>
      </c>
      <c r="CT550" s="7">
        <v>50</v>
      </c>
      <c r="CU550" s="7">
        <v>0.609375</v>
      </c>
      <c r="CV550" s="7">
        <v>50</v>
      </c>
      <c r="CW550" s="7">
        <v>50</v>
      </c>
      <c r="CX550" s="7">
        <v>0.88888900000000004</v>
      </c>
      <c r="CY550" s="7">
        <v>0.94</v>
      </c>
      <c r="CZ550" s="7">
        <v>5.1110999999999997E-2</v>
      </c>
      <c r="DA550" s="7">
        <v>15.314097</v>
      </c>
      <c r="DB550" s="7">
        <v>17.400950000000002</v>
      </c>
      <c r="DC550" s="7">
        <v>16.332519999999999</v>
      </c>
      <c r="DD550" s="7">
        <v>7.9891730000000001</v>
      </c>
      <c r="DE550" s="7">
        <v>1</v>
      </c>
      <c r="DF550" s="6"/>
      <c r="DG550" s="6"/>
      <c r="DH550" s="6"/>
      <c r="DI550" s="6"/>
      <c r="DJ550" s="7">
        <v>0</v>
      </c>
      <c r="DK550" s="7">
        <v>0</v>
      </c>
      <c r="DL550" s="7">
        <v>0</v>
      </c>
      <c r="DM550" s="7">
        <v>0</v>
      </c>
      <c r="DN550" s="7">
        <v>0</v>
      </c>
      <c r="DO550" s="7">
        <v>0</v>
      </c>
      <c r="DP550" s="6"/>
      <c r="DQ550" s="4" t="s">
        <v>125</v>
      </c>
    </row>
    <row r="551" spans="1:121" ht="20" customHeight="1" x14ac:dyDescent="0.15">
      <c r="A551" s="5">
        <v>2018</v>
      </c>
      <c r="B551" s="3" t="s">
        <v>252</v>
      </c>
      <c r="C551" s="4" t="str">
        <f t="shared" si="127"/>
        <v>0720011</v>
      </c>
      <c r="D551" s="4" t="s">
        <v>709</v>
      </c>
      <c r="E551" s="4" t="str">
        <f>"0720211"</f>
        <v>0720211</v>
      </c>
      <c r="F551" s="4" t="s">
        <v>327</v>
      </c>
      <c r="G551" s="4" t="s">
        <v>328</v>
      </c>
      <c r="H551" s="7">
        <v>2</v>
      </c>
      <c r="I551" s="4" t="s">
        <v>329</v>
      </c>
      <c r="J551" s="4" t="s">
        <v>330</v>
      </c>
      <c r="K551" s="7">
        <v>100</v>
      </c>
      <c r="L551" s="7">
        <v>100</v>
      </c>
      <c r="M551" s="7">
        <v>100</v>
      </c>
      <c r="N551" s="4" t="s">
        <v>124</v>
      </c>
      <c r="O551" s="4" t="s">
        <v>124</v>
      </c>
      <c r="P551" s="4" t="s">
        <v>124</v>
      </c>
      <c r="Q551" s="4" t="s">
        <v>124</v>
      </c>
      <c r="R551" s="4" t="s">
        <v>124</v>
      </c>
      <c r="S551" s="4" t="s">
        <v>124</v>
      </c>
      <c r="T551" s="4" t="s">
        <v>124</v>
      </c>
      <c r="U551" s="4" t="s">
        <v>124</v>
      </c>
      <c r="V551" s="4" t="s">
        <v>124</v>
      </c>
      <c r="W551" s="4" t="s">
        <v>124</v>
      </c>
      <c r="X551" s="4" t="s">
        <v>124</v>
      </c>
      <c r="Y551" s="4" t="s">
        <v>124</v>
      </c>
      <c r="Z551" s="4" t="s">
        <v>124</v>
      </c>
      <c r="AA551" s="4" t="s">
        <v>124</v>
      </c>
      <c r="AB551" s="4" t="s">
        <v>124</v>
      </c>
      <c r="AC551" s="4" t="s">
        <v>124</v>
      </c>
      <c r="AD551" s="4" t="s">
        <v>124</v>
      </c>
      <c r="AE551" s="4" t="s">
        <v>124</v>
      </c>
      <c r="AF551" s="4" t="s">
        <v>124</v>
      </c>
      <c r="AG551" s="4" t="s">
        <v>124</v>
      </c>
      <c r="AH551" s="4" t="s">
        <v>124</v>
      </c>
      <c r="AI551" s="4" t="s">
        <v>124</v>
      </c>
      <c r="AJ551" s="4" t="s">
        <v>124</v>
      </c>
      <c r="AK551" s="4" t="s">
        <v>124</v>
      </c>
      <c r="AL551" s="4" t="s">
        <v>124</v>
      </c>
      <c r="AM551" s="4" t="s">
        <v>124</v>
      </c>
      <c r="AN551" s="4" t="s">
        <v>124</v>
      </c>
      <c r="AO551" s="4" t="s">
        <v>124</v>
      </c>
      <c r="AP551" s="4" t="s">
        <v>124</v>
      </c>
      <c r="AQ551" s="4" t="s">
        <v>124</v>
      </c>
      <c r="AR551" s="4" t="s">
        <v>124</v>
      </c>
      <c r="AS551" s="4" t="s">
        <v>124</v>
      </c>
      <c r="AT551" s="4" t="s">
        <v>124</v>
      </c>
      <c r="AU551" s="4" t="s">
        <v>124</v>
      </c>
      <c r="AV551" s="4" t="s">
        <v>124</v>
      </c>
      <c r="AW551" s="4" t="s">
        <v>124</v>
      </c>
      <c r="AX551" s="4" t="s">
        <v>124</v>
      </c>
      <c r="AY551" s="4" t="s">
        <v>124</v>
      </c>
      <c r="AZ551" s="4" t="s">
        <v>124</v>
      </c>
      <c r="BA551" s="4" t="s">
        <v>124</v>
      </c>
      <c r="BB551" s="4" t="s">
        <v>124</v>
      </c>
      <c r="BC551" s="4" t="s">
        <v>124</v>
      </c>
      <c r="BD551" s="4" t="s">
        <v>124</v>
      </c>
      <c r="BE551" s="4" t="s">
        <v>124</v>
      </c>
      <c r="BF551" s="4" t="s">
        <v>124</v>
      </c>
      <c r="BG551" s="4" t="s">
        <v>124</v>
      </c>
      <c r="BH551" s="4" t="s">
        <v>124</v>
      </c>
      <c r="BI551" s="4" t="s">
        <v>124</v>
      </c>
      <c r="BJ551" s="4" t="s">
        <v>124</v>
      </c>
      <c r="BK551" s="4" t="s">
        <v>124</v>
      </c>
      <c r="BL551" s="4" t="s">
        <v>124</v>
      </c>
      <c r="BM551" s="4" t="s">
        <v>124</v>
      </c>
      <c r="BN551" s="4" t="s">
        <v>124</v>
      </c>
      <c r="BO551" s="4" t="s">
        <v>124</v>
      </c>
      <c r="BP551" s="4" t="s">
        <v>124</v>
      </c>
      <c r="BQ551" s="4" t="s">
        <v>124</v>
      </c>
      <c r="BR551" s="7">
        <v>2.9267999999999999E-2</v>
      </c>
      <c r="BS551" s="7">
        <v>50</v>
      </c>
      <c r="BT551" s="7">
        <v>50</v>
      </c>
      <c r="BU551" s="7">
        <v>2.7026999999999999E-2</v>
      </c>
      <c r="BV551" s="7">
        <v>50</v>
      </c>
      <c r="BW551" s="7">
        <v>50</v>
      </c>
      <c r="BX551" s="4" t="s">
        <v>124</v>
      </c>
      <c r="BY551" s="4" t="s">
        <v>124</v>
      </c>
      <c r="BZ551" s="4" t="s">
        <v>124</v>
      </c>
      <c r="CA551" s="4" t="s">
        <v>124</v>
      </c>
      <c r="CB551" s="4" t="s">
        <v>124</v>
      </c>
      <c r="CC551" s="4" t="s">
        <v>124</v>
      </c>
      <c r="CD551" s="4" t="s">
        <v>124</v>
      </c>
      <c r="CE551" s="4" t="s">
        <v>124</v>
      </c>
      <c r="CF551" s="4" t="s">
        <v>124</v>
      </c>
      <c r="CG551" s="4" t="s">
        <v>124</v>
      </c>
      <c r="CH551" s="4" t="s">
        <v>124</v>
      </c>
      <c r="CI551" s="4" t="s">
        <v>124</v>
      </c>
      <c r="CJ551" s="4" t="s">
        <v>124</v>
      </c>
      <c r="CK551" s="4" t="s">
        <v>124</v>
      </c>
      <c r="CL551" s="4" t="s">
        <v>124</v>
      </c>
      <c r="CM551" s="4" t="s">
        <v>124</v>
      </c>
      <c r="CN551" s="4" t="s">
        <v>124</v>
      </c>
      <c r="CO551" s="4" t="s">
        <v>124</v>
      </c>
      <c r="CP551" s="4" t="s">
        <v>124</v>
      </c>
      <c r="CQ551" s="4" t="s">
        <v>124</v>
      </c>
      <c r="CR551" s="4" t="s">
        <v>124</v>
      </c>
      <c r="CS551" s="4" t="s">
        <v>124</v>
      </c>
      <c r="CT551" s="4" t="s">
        <v>124</v>
      </c>
      <c r="CU551" s="4" t="s">
        <v>124</v>
      </c>
      <c r="CV551" s="4" t="s">
        <v>124</v>
      </c>
      <c r="CW551" s="4" t="s">
        <v>124</v>
      </c>
      <c r="CX551" s="4" t="s">
        <v>124</v>
      </c>
      <c r="CY551" s="4" t="s">
        <v>124</v>
      </c>
      <c r="CZ551" s="4" t="s">
        <v>124</v>
      </c>
      <c r="DA551" s="4" t="s">
        <v>124</v>
      </c>
      <c r="DB551" s="4" t="s">
        <v>124</v>
      </c>
      <c r="DC551" s="4" t="s">
        <v>124</v>
      </c>
      <c r="DD551" s="4" t="s">
        <v>124</v>
      </c>
      <c r="DE551" s="4" t="s">
        <v>124</v>
      </c>
      <c r="DF551" s="6"/>
      <c r="DG551" s="6"/>
      <c r="DH551" s="6"/>
      <c r="DI551" s="6"/>
      <c r="DJ551" s="4" t="s">
        <v>124</v>
      </c>
      <c r="DK551" s="4" t="s">
        <v>124</v>
      </c>
      <c r="DL551" s="4" t="s">
        <v>124</v>
      </c>
      <c r="DM551" s="4" t="s">
        <v>124</v>
      </c>
      <c r="DN551" s="4" t="s">
        <v>124</v>
      </c>
      <c r="DO551" s="4" t="s">
        <v>124</v>
      </c>
      <c r="DP551" s="6"/>
      <c r="DQ551" s="4" t="s">
        <v>125</v>
      </c>
    </row>
    <row r="552" spans="1:121" ht="20" customHeight="1" x14ac:dyDescent="0.15">
      <c r="A552" s="5">
        <v>2018</v>
      </c>
      <c r="B552" s="3" t="s">
        <v>252</v>
      </c>
      <c r="C552" s="4" t="str">
        <f t="shared" ref="C552:C556" si="214">"0720011"</f>
        <v>0720011</v>
      </c>
      <c r="D552" s="4" t="s">
        <v>710</v>
      </c>
      <c r="E552" s="4" t="str">
        <f>"0720411"</f>
        <v>0720411</v>
      </c>
      <c r="F552" s="4" t="s">
        <v>327</v>
      </c>
      <c r="G552" s="4" t="s">
        <v>328</v>
      </c>
      <c r="H552" s="7">
        <v>6</v>
      </c>
      <c r="I552" s="4" t="s">
        <v>329</v>
      </c>
      <c r="J552" s="4" t="s">
        <v>330</v>
      </c>
      <c r="K552" s="7">
        <v>540.26617399999998</v>
      </c>
      <c r="L552" s="7">
        <v>800</v>
      </c>
      <c r="M552" s="7">
        <v>67.533271999999997</v>
      </c>
      <c r="N552" s="7">
        <v>3</v>
      </c>
      <c r="O552" s="7">
        <v>1</v>
      </c>
      <c r="P552" s="7">
        <v>65.827600000000004</v>
      </c>
      <c r="Q552" s="7">
        <v>43.885066999999999</v>
      </c>
      <c r="R552" s="7">
        <v>50</v>
      </c>
      <c r="S552" s="7">
        <v>59.046999</v>
      </c>
      <c r="T552" s="7">
        <v>74.281336999999994</v>
      </c>
      <c r="U552" s="7">
        <v>39.364666</v>
      </c>
      <c r="V552" s="7">
        <v>50</v>
      </c>
      <c r="W552" s="7">
        <v>61.029654999999998</v>
      </c>
      <c r="X552" s="7">
        <v>40.686436999999998</v>
      </c>
      <c r="Y552" s="7">
        <v>50</v>
      </c>
      <c r="Z552" s="7">
        <v>70.841864000000001</v>
      </c>
      <c r="AA552" s="7">
        <v>53.159447</v>
      </c>
      <c r="AB552" s="7">
        <v>35.439630999999999</v>
      </c>
      <c r="AC552" s="7">
        <v>50</v>
      </c>
      <c r="AD552" s="7">
        <v>63.834574000000003</v>
      </c>
      <c r="AE552" s="7">
        <v>42.556382999999997</v>
      </c>
      <c r="AF552" s="7">
        <v>50</v>
      </c>
      <c r="AG552" s="4" t="s">
        <v>124</v>
      </c>
      <c r="AH552" s="7">
        <v>70.580645000000004</v>
      </c>
      <c r="AI552" s="4" t="s">
        <v>124</v>
      </c>
      <c r="AJ552" s="4" t="s">
        <v>124</v>
      </c>
      <c r="AK552" s="7">
        <v>15.23</v>
      </c>
      <c r="AL552" s="7">
        <v>17.68</v>
      </c>
      <c r="AM552" s="4" t="s">
        <v>124</v>
      </c>
      <c r="AN552" s="7">
        <v>0.51886500000000002</v>
      </c>
      <c r="AO552" s="7">
        <v>51.886462000000002</v>
      </c>
      <c r="AP552" s="7">
        <v>100</v>
      </c>
      <c r="AQ552" s="7">
        <v>0.62900599999999995</v>
      </c>
      <c r="AR552" s="7">
        <v>62.900637000000003</v>
      </c>
      <c r="AS552" s="7">
        <v>100</v>
      </c>
      <c r="AT552" s="7">
        <v>0.44930900000000001</v>
      </c>
      <c r="AU552" s="7">
        <v>0.57720199999999999</v>
      </c>
      <c r="AV552" s="7">
        <v>44.930869999999999</v>
      </c>
      <c r="AW552" s="7">
        <v>100</v>
      </c>
      <c r="AX552" s="7">
        <v>0.59338900000000006</v>
      </c>
      <c r="AY552" s="7">
        <v>0.65887899999999999</v>
      </c>
      <c r="AZ552" s="7">
        <v>59.338912999999998</v>
      </c>
      <c r="BA552" s="7">
        <v>100</v>
      </c>
      <c r="BB552" s="4" t="s">
        <v>124</v>
      </c>
      <c r="BC552" s="4" t="s">
        <v>124</v>
      </c>
      <c r="BD552" s="4" t="s">
        <v>124</v>
      </c>
      <c r="BE552" s="4" t="s">
        <v>124</v>
      </c>
      <c r="BF552" s="4" t="s">
        <v>124</v>
      </c>
      <c r="BG552" s="4" t="s">
        <v>124</v>
      </c>
      <c r="BH552" s="7">
        <v>0</v>
      </c>
      <c r="BI552" s="7">
        <v>0.99438199999999999</v>
      </c>
      <c r="BJ552" s="7">
        <v>0.98969099999999999</v>
      </c>
      <c r="BK552" s="7">
        <v>1</v>
      </c>
      <c r="BL552" s="7">
        <v>0.99438199999999999</v>
      </c>
      <c r="BM552" s="7">
        <v>0.98969099999999999</v>
      </c>
      <c r="BN552" s="7">
        <v>1</v>
      </c>
      <c r="BO552" s="7">
        <v>0.97499999999999998</v>
      </c>
      <c r="BP552" s="4" t="s">
        <v>124</v>
      </c>
      <c r="BQ552" s="7">
        <v>1</v>
      </c>
      <c r="BR552" s="7">
        <v>3.2467999999999997E-2</v>
      </c>
      <c r="BS552" s="7">
        <v>50</v>
      </c>
      <c r="BT552" s="7">
        <v>50</v>
      </c>
      <c r="BU552" s="7">
        <v>2.4389999999999998E-2</v>
      </c>
      <c r="BV552" s="7">
        <v>50</v>
      </c>
      <c r="BW552" s="7">
        <v>50</v>
      </c>
      <c r="BX552" s="4" t="s">
        <v>124</v>
      </c>
      <c r="BY552" s="4" t="s">
        <v>124</v>
      </c>
      <c r="BZ552" s="4" t="s">
        <v>124</v>
      </c>
      <c r="CA552" s="4" t="s">
        <v>124</v>
      </c>
      <c r="CB552" s="4" t="s">
        <v>124</v>
      </c>
      <c r="CC552" s="4" t="s">
        <v>124</v>
      </c>
      <c r="CD552" s="4" t="s">
        <v>124</v>
      </c>
      <c r="CE552" s="4" t="s">
        <v>124</v>
      </c>
      <c r="CF552" s="4" t="s">
        <v>124</v>
      </c>
      <c r="CG552" s="4" t="s">
        <v>124</v>
      </c>
      <c r="CH552" s="4" t="s">
        <v>124</v>
      </c>
      <c r="CI552" s="4" t="s">
        <v>124</v>
      </c>
      <c r="CJ552" s="4" t="s">
        <v>124</v>
      </c>
      <c r="CK552" s="4" t="s">
        <v>124</v>
      </c>
      <c r="CL552" s="4" t="s">
        <v>124</v>
      </c>
      <c r="CM552" s="4" t="s">
        <v>124</v>
      </c>
      <c r="CN552" s="4" t="s">
        <v>124</v>
      </c>
      <c r="CO552" s="4" t="s">
        <v>124</v>
      </c>
      <c r="CP552" s="4" t="s">
        <v>124</v>
      </c>
      <c r="CQ552" s="7">
        <v>0.289157</v>
      </c>
      <c r="CR552" s="7">
        <v>1.012195</v>
      </c>
      <c r="CS552" s="7">
        <v>19.277107999999998</v>
      </c>
      <c r="CT552" s="7">
        <v>50</v>
      </c>
      <c r="CU552" s="4" t="s">
        <v>124</v>
      </c>
      <c r="CV552" s="4" t="s">
        <v>124</v>
      </c>
      <c r="CW552" s="4" t="s">
        <v>124</v>
      </c>
      <c r="CX552" s="4" t="s">
        <v>124</v>
      </c>
      <c r="CY552" s="4" t="s">
        <v>124</v>
      </c>
      <c r="CZ552" s="4" t="s">
        <v>124</v>
      </c>
      <c r="DA552" s="7">
        <v>15.314097</v>
      </c>
      <c r="DB552" s="7">
        <v>17.400950000000002</v>
      </c>
      <c r="DC552" s="7">
        <v>16.332519999999999</v>
      </c>
      <c r="DD552" s="4" t="s">
        <v>124</v>
      </c>
      <c r="DE552" s="7">
        <v>1</v>
      </c>
      <c r="DF552" s="6"/>
      <c r="DG552" s="6"/>
      <c r="DH552" s="6"/>
      <c r="DI552" s="6"/>
      <c r="DJ552" s="7">
        <v>0</v>
      </c>
      <c r="DK552" s="7">
        <v>0</v>
      </c>
      <c r="DL552" s="7">
        <v>0</v>
      </c>
      <c r="DM552" s="7">
        <v>0</v>
      </c>
      <c r="DN552" s="7">
        <v>0</v>
      </c>
      <c r="DO552" s="7">
        <v>0</v>
      </c>
      <c r="DP552" s="6"/>
      <c r="DQ552" s="4" t="s">
        <v>125</v>
      </c>
    </row>
    <row r="553" spans="1:121" ht="20" customHeight="1" x14ac:dyDescent="0.15">
      <c r="A553" s="5">
        <v>2018</v>
      </c>
      <c r="B553" s="3" t="s">
        <v>252</v>
      </c>
      <c r="C553" s="4" t="str">
        <f t="shared" si="214"/>
        <v>0720011</v>
      </c>
      <c r="D553" s="4" t="s">
        <v>711</v>
      </c>
      <c r="E553" s="4" t="str">
        <f>"0720311"</f>
        <v>0720311</v>
      </c>
      <c r="F553" s="4" t="s">
        <v>327</v>
      </c>
      <c r="G553" s="7">
        <v>3</v>
      </c>
      <c r="H553" s="7">
        <v>6</v>
      </c>
      <c r="I553" s="4" t="s">
        <v>329</v>
      </c>
      <c r="J553" s="4" t="s">
        <v>330</v>
      </c>
      <c r="K553" s="7">
        <v>616.01030000000003</v>
      </c>
      <c r="L553" s="7">
        <v>850</v>
      </c>
      <c r="M553" s="7">
        <v>72.471800000000002</v>
      </c>
      <c r="N553" s="7">
        <v>3</v>
      </c>
      <c r="O553" s="7">
        <v>1</v>
      </c>
      <c r="P553" s="7">
        <v>69.113159999999993</v>
      </c>
      <c r="Q553" s="7">
        <v>46.07544</v>
      </c>
      <c r="R553" s="7">
        <v>50</v>
      </c>
      <c r="S553" s="7">
        <v>58.669730999999999</v>
      </c>
      <c r="T553" s="7">
        <v>75</v>
      </c>
      <c r="U553" s="7">
        <v>39.113154000000002</v>
      </c>
      <c r="V553" s="7">
        <v>50</v>
      </c>
      <c r="W553" s="7">
        <v>66.424001000000004</v>
      </c>
      <c r="X553" s="7">
        <v>44.282667000000004</v>
      </c>
      <c r="Y553" s="7">
        <v>50</v>
      </c>
      <c r="Z553" s="7">
        <v>73.733534000000006</v>
      </c>
      <c r="AA553" s="7">
        <v>56.775418000000002</v>
      </c>
      <c r="AB553" s="7">
        <v>37.850279</v>
      </c>
      <c r="AC553" s="7">
        <v>50</v>
      </c>
      <c r="AD553" s="7">
        <v>68.474412999999998</v>
      </c>
      <c r="AE553" s="7">
        <v>45.649608000000001</v>
      </c>
      <c r="AF553" s="7">
        <v>50</v>
      </c>
      <c r="AG553" s="7">
        <v>61.615737000000003</v>
      </c>
      <c r="AH553" s="7">
        <v>74.241934999999998</v>
      </c>
      <c r="AI553" s="7">
        <v>41.077157999999997</v>
      </c>
      <c r="AJ553" s="7">
        <v>50</v>
      </c>
      <c r="AK553" s="7">
        <v>16.329999999999998</v>
      </c>
      <c r="AL553" s="7">
        <v>16.95</v>
      </c>
      <c r="AM553" s="7">
        <v>12.62</v>
      </c>
      <c r="AN553" s="7">
        <v>0.53356000000000003</v>
      </c>
      <c r="AO553" s="7">
        <v>53.355995</v>
      </c>
      <c r="AP553" s="7">
        <v>100</v>
      </c>
      <c r="AQ553" s="7">
        <v>0.58479400000000004</v>
      </c>
      <c r="AR553" s="7">
        <v>58.479408999999997</v>
      </c>
      <c r="AS553" s="7">
        <v>100</v>
      </c>
      <c r="AT553" s="7">
        <v>0.45513999999999999</v>
      </c>
      <c r="AU553" s="7">
        <v>0.59288600000000002</v>
      </c>
      <c r="AV553" s="7">
        <v>45.514023000000002</v>
      </c>
      <c r="AW553" s="7">
        <v>100</v>
      </c>
      <c r="AX553" s="7">
        <v>0.556917</v>
      </c>
      <c r="AY553" s="7">
        <v>0.60588399999999998</v>
      </c>
      <c r="AZ553" s="7">
        <v>55.691704000000001</v>
      </c>
      <c r="BA553" s="7">
        <v>100</v>
      </c>
      <c r="BB553" s="4" t="s">
        <v>124</v>
      </c>
      <c r="BC553" s="4" t="s">
        <v>124</v>
      </c>
      <c r="BD553" s="4" t="s">
        <v>124</v>
      </c>
      <c r="BE553" s="4" t="s">
        <v>124</v>
      </c>
      <c r="BF553" s="4" t="s">
        <v>124</v>
      </c>
      <c r="BG553" s="4" t="s">
        <v>124</v>
      </c>
      <c r="BH553" s="7">
        <v>0</v>
      </c>
      <c r="BI553" s="7">
        <v>1</v>
      </c>
      <c r="BJ553" s="7">
        <v>1</v>
      </c>
      <c r="BK553" s="7">
        <v>1</v>
      </c>
      <c r="BL553" s="7">
        <v>1</v>
      </c>
      <c r="BM553" s="7">
        <v>1</v>
      </c>
      <c r="BN553" s="7">
        <v>1</v>
      </c>
      <c r="BO553" s="7">
        <v>0.98795200000000005</v>
      </c>
      <c r="BP553" s="7">
        <v>1</v>
      </c>
      <c r="BQ553" s="7">
        <v>0.97777800000000004</v>
      </c>
      <c r="BR553" s="7">
        <v>2.6936000000000002E-2</v>
      </c>
      <c r="BS553" s="7">
        <v>50</v>
      </c>
      <c r="BT553" s="7">
        <v>50</v>
      </c>
      <c r="BU553" s="7">
        <v>3.9370000000000002E-2</v>
      </c>
      <c r="BV553" s="7">
        <v>50</v>
      </c>
      <c r="BW553" s="7">
        <v>50</v>
      </c>
      <c r="BX553" s="4" t="s">
        <v>124</v>
      </c>
      <c r="BY553" s="4" t="s">
        <v>124</v>
      </c>
      <c r="BZ553" s="4" t="s">
        <v>124</v>
      </c>
      <c r="CA553" s="4" t="s">
        <v>124</v>
      </c>
      <c r="CB553" s="4" t="s">
        <v>124</v>
      </c>
      <c r="CC553" s="4" t="s">
        <v>124</v>
      </c>
      <c r="CD553" s="4" t="s">
        <v>124</v>
      </c>
      <c r="CE553" s="4" t="s">
        <v>124</v>
      </c>
      <c r="CF553" s="4" t="s">
        <v>124</v>
      </c>
      <c r="CG553" s="4" t="s">
        <v>124</v>
      </c>
      <c r="CH553" s="4" t="s">
        <v>124</v>
      </c>
      <c r="CI553" s="4" t="s">
        <v>124</v>
      </c>
      <c r="CJ553" s="4" t="s">
        <v>124</v>
      </c>
      <c r="CK553" s="4" t="s">
        <v>124</v>
      </c>
      <c r="CL553" s="4" t="s">
        <v>124</v>
      </c>
      <c r="CM553" s="4" t="s">
        <v>124</v>
      </c>
      <c r="CN553" s="4" t="s">
        <v>124</v>
      </c>
      <c r="CO553" s="4" t="s">
        <v>124</v>
      </c>
      <c r="CP553" s="4" t="s">
        <v>124</v>
      </c>
      <c r="CQ553" s="7">
        <v>0.73381300000000005</v>
      </c>
      <c r="CR553" s="7">
        <v>0.972028</v>
      </c>
      <c r="CS553" s="7">
        <v>48.920862999999997</v>
      </c>
      <c r="CT553" s="7">
        <v>50</v>
      </c>
      <c r="CU553" s="4" t="s">
        <v>124</v>
      </c>
      <c r="CV553" s="4" t="s">
        <v>124</v>
      </c>
      <c r="CW553" s="4" t="s">
        <v>124</v>
      </c>
      <c r="CX553" s="4" t="s">
        <v>124</v>
      </c>
      <c r="CY553" s="4" t="s">
        <v>124</v>
      </c>
      <c r="CZ553" s="4" t="s">
        <v>124</v>
      </c>
      <c r="DA553" s="7">
        <v>15.314097</v>
      </c>
      <c r="DB553" s="7">
        <v>17.400950000000002</v>
      </c>
      <c r="DC553" s="7">
        <v>16.332519999999999</v>
      </c>
      <c r="DD553" s="4" t="s">
        <v>124</v>
      </c>
      <c r="DE553" s="7">
        <v>1</v>
      </c>
      <c r="DF553" s="6"/>
      <c r="DG553" s="6"/>
      <c r="DH553" s="6"/>
      <c r="DI553" s="6"/>
      <c r="DJ553" s="7">
        <v>0</v>
      </c>
      <c r="DK553" s="7">
        <v>0</v>
      </c>
      <c r="DL553" s="7">
        <v>0</v>
      </c>
      <c r="DM553" s="7">
        <v>0</v>
      </c>
      <c r="DN553" s="7">
        <v>0</v>
      </c>
      <c r="DO553" s="7">
        <v>0</v>
      </c>
      <c r="DP553" s="6"/>
      <c r="DQ553" s="4" t="s">
        <v>125</v>
      </c>
    </row>
    <row r="554" spans="1:121" ht="20" customHeight="1" x14ac:dyDescent="0.15">
      <c r="A554" s="5">
        <v>2018</v>
      </c>
      <c r="B554" s="3" t="s">
        <v>252</v>
      </c>
      <c r="C554" s="4" t="str">
        <f t="shared" si="214"/>
        <v>0720011</v>
      </c>
      <c r="D554" s="4" t="s">
        <v>712</v>
      </c>
      <c r="E554" s="4" t="str">
        <f>"0720111"</f>
        <v>0720111</v>
      </c>
      <c r="F554" s="4" t="s">
        <v>327</v>
      </c>
      <c r="G554" s="4" t="s">
        <v>338</v>
      </c>
      <c r="H554" s="7">
        <v>6</v>
      </c>
      <c r="I554" s="4" t="s">
        <v>329</v>
      </c>
      <c r="J554" s="4" t="s">
        <v>330</v>
      </c>
      <c r="K554" s="7">
        <v>618.65958000000001</v>
      </c>
      <c r="L554" s="7">
        <v>850</v>
      </c>
      <c r="M554" s="7">
        <v>72.783479999999997</v>
      </c>
      <c r="N554" s="7">
        <v>2</v>
      </c>
      <c r="O554" s="7">
        <v>0</v>
      </c>
      <c r="P554" s="7">
        <v>70.558356000000003</v>
      </c>
      <c r="Q554" s="7">
        <v>47.038904000000002</v>
      </c>
      <c r="R554" s="7">
        <v>50</v>
      </c>
      <c r="S554" s="7">
        <v>60.814554000000001</v>
      </c>
      <c r="T554" s="7">
        <v>75</v>
      </c>
      <c r="U554" s="7">
        <v>40.543036000000001</v>
      </c>
      <c r="V554" s="7">
        <v>50</v>
      </c>
      <c r="W554" s="7">
        <v>66.348862999999994</v>
      </c>
      <c r="X554" s="7">
        <v>44.232574999999997</v>
      </c>
      <c r="Y554" s="7">
        <v>50</v>
      </c>
      <c r="Z554" s="7">
        <v>72.020652999999996</v>
      </c>
      <c r="AA554" s="7">
        <v>56.941991000000002</v>
      </c>
      <c r="AB554" s="7">
        <v>37.961328000000002</v>
      </c>
      <c r="AC554" s="7">
        <v>50</v>
      </c>
      <c r="AD554" s="7">
        <v>66.417456999999999</v>
      </c>
      <c r="AE554" s="7">
        <v>44.278305000000003</v>
      </c>
      <c r="AF554" s="7">
        <v>50</v>
      </c>
      <c r="AG554" s="7">
        <v>61.305211</v>
      </c>
      <c r="AH554" s="7">
        <v>71.734194000000002</v>
      </c>
      <c r="AI554" s="7">
        <v>40.870140999999997</v>
      </c>
      <c r="AJ554" s="7">
        <v>50</v>
      </c>
      <c r="AK554" s="7">
        <v>14.18</v>
      </c>
      <c r="AL554" s="7">
        <v>15.07</v>
      </c>
      <c r="AM554" s="7">
        <v>10.42</v>
      </c>
      <c r="AN554" s="7">
        <v>0.582098</v>
      </c>
      <c r="AO554" s="7">
        <v>58.209772000000001</v>
      </c>
      <c r="AP554" s="7">
        <v>100</v>
      </c>
      <c r="AQ554" s="7">
        <v>0.58623099999999995</v>
      </c>
      <c r="AR554" s="7">
        <v>58.623123999999997</v>
      </c>
      <c r="AS554" s="7">
        <v>100</v>
      </c>
      <c r="AT554" s="7">
        <v>0.49723000000000001</v>
      </c>
      <c r="AU554" s="7">
        <v>0.63232600000000005</v>
      </c>
      <c r="AV554" s="7">
        <v>49.722999999999999</v>
      </c>
      <c r="AW554" s="7">
        <v>100</v>
      </c>
      <c r="AX554" s="7">
        <v>0.60456200000000004</v>
      </c>
      <c r="AY554" s="7">
        <v>0.57538199999999995</v>
      </c>
      <c r="AZ554" s="7">
        <v>60.456232</v>
      </c>
      <c r="BA554" s="7">
        <v>100</v>
      </c>
      <c r="BB554" s="4" t="s">
        <v>124</v>
      </c>
      <c r="BC554" s="4" t="s">
        <v>124</v>
      </c>
      <c r="BD554" s="4" t="s">
        <v>124</v>
      </c>
      <c r="BE554" s="4" t="s">
        <v>124</v>
      </c>
      <c r="BF554" s="4" t="s">
        <v>124</v>
      </c>
      <c r="BG554" s="4" t="s">
        <v>124</v>
      </c>
      <c r="BH554" s="7">
        <v>0</v>
      </c>
      <c r="BI554" s="7">
        <v>0.99567099999999997</v>
      </c>
      <c r="BJ554" s="7">
        <v>1</v>
      </c>
      <c r="BK554" s="7">
        <v>0.99305600000000005</v>
      </c>
      <c r="BL554" s="7">
        <v>0.99567099999999997</v>
      </c>
      <c r="BM554" s="7">
        <v>1</v>
      </c>
      <c r="BN554" s="7">
        <v>0.99305600000000005</v>
      </c>
      <c r="BO554" s="7">
        <v>1</v>
      </c>
      <c r="BP554" s="7">
        <v>1</v>
      </c>
      <c r="BQ554" s="7">
        <v>1</v>
      </c>
      <c r="BR554" s="7">
        <v>2.3622000000000001E-2</v>
      </c>
      <c r="BS554" s="7">
        <v>50</v>
      </c>
      <c r="BT554" s="7">
        <v>50</v>
      </c>
      <c r="BU554" s="7">
        <v>4.7619000000000002E-2</v>
      </c>
      <c r="BV554" s="7">
        <v>50</v>
      </c>
      <c r="BW554" s="7">
        <v>50</v>
      </c>
      <c r="BX554" s="4" t="s">
        <v>124</v>
      </c>
      <c r="BY554" s="4" t="s">
        <v>124</v>
      </c>
      <c r="BZ554" s="4" t="s">
        <v>124</v>
      </c>
      <c r="CA554" s="4" t="s">
        <v>124</v>
      </c>
      <c r="CB554" s="4" t="s">
        <v>124</v>
      </c>
      <c r="CC554" s="4" t="s">
        <v>124</v>
      </c>
      <c r="CD554" s="4" t="s">
        <v>124</v>
      </c>
      <c r="CE554" s="4" t="s">
        <v>124</v>
      </c>
      <c r="CF554" s="4" t="s">
        <v>124</v>
      </c>
      <c r="CG554" s="4" t="s">
        <v>124</v>
      </c>
      <c r="CH554" s="4" t="s">
        <v>124</v>
      </c>
      <c r="CI554" s="4" t="s">
        <v>124</v>
      </c>
      <c r="CJ554" s="4" t="s">
        <v>124</v>
      </c>
      <c r="CK554" s="4" t="s">
        <v>124</v>
      </c>
      <c r="CL554" s="4" t="s">
        <v>124</v>
      </c>
      <c r="CM554" s="4" t="s">
        <v>124</v>
      </c>
      <c r="CN554" s="4" t="s">
        <v>124</v>
      </c>
      <c r="CO554" s="4" t="s">
        <v>124</v>
      </c>
      <c r="CP554" s="4" t="s">
        <v>124</v>
      </c>
      <c r="CQ554" s="7">
        <v>0.55084699999999998</v>
      </c>
      <c r="CR554" s="7">
        <v>0.95935000000000004</v>
      </c>
      <c r="CS554" s="7">
        <v>36.723163999999997</v>
      </c>
      <c r="CT554" s="7">
        <v>50</v>
      </c>
      <c r="CU554" s="4" t="s">
        <v>124</v>
      </c>
      <c r="CV554" s="4" t="s">
        <v>124</v>
      </c>
      <c r="CW554" s="4" t="s">
        <v>124</v>
      </c>
      <c r="CX554" s="4" t="s">
        <v>124</v>
      </c>
      <c r="CY554" s="4" t="s">
        <v>124</v>
      </c>
      <c r="CZ554" s="4" t="s">
        <v>124</v>
      </c>
      <c r="DA554" s="7">
        <v>15.314097</v>
      </c>
      <c r="DB554" s="7">
        <v>17.400950000000002</v>
      </c>
      <c r="DC554" s="7">
        <v>16.332519999999999</v>
      </c>
      <c r="DD554" s="4" t="s">
        <v>124</v>
      </c>
      <c r="DE554" s="7">
        <v>0</v>
      </c>
      <c r="DF554" s="6"/>
      <c r="DG554" s="6"/>
      <c r="DH554" s="6"/>
      <c r="DI554" s="6"/>
      <c r="DJ554" s="7">
        <v>0</v>
      </c>
      <c r="DK554" s="7">
        <v>0</v>
      </c>
      <c r="DL554" s="7">
        <v>0</v>
      </c>
      <c r="DM554" s="7">
        <v>0</v>
      </c>
      <c r="DN554" s="7">
        <v>0</v>
      </c>
      <c r="DO554" s="7">
        <v>0</v>
      </c>
      <c r="DP554" s="6"/>
      <c r="DQ554" s="4" t="s">
        <v>125</v>
      </c>
    </row>
    <row r="555" spans="1:121" ht="20" customHeight="1" x14ac:dyDescent="0.15">
      <c r="A555" s="5">
        <v>2018</v>
      </c>
      <c r="B555" s="3" t="s">
        <v>252</v>
      </c>
      <c r="C555" s="4" t="str">
        <f t="shared" si="214"/>
        <v>0720011</v>
      </c>
      <c r="D555" s="4" t="s">
        <v>713</v>
      </c>
      <c r="E555" s="4" t="str">
        <f>"0726111"</f>
        <v>0726111</v>
      </c>
      <c r="F555" s="4" t="s">
        <v>327</v>
      </c>
      <c r="G555" s="7">
        <v>9</v>
      </c>
      <c r="H555" s="7">
        <v>12</v>
      </c>
      <c r="I555" s="4" t="s">
        <v>329</v>
      </c>
      <c r="J555" s="4" t="s">
        <v>330</v>
      </c>
      <c r="K555" s="7">
        <v>1167.938173</v>
      </c>
      <c r="L555" s="7">
        <v>1450</v>
      </c>
      <c r="M555" s="7">
        <v>80.547460000000001</v>
      </c>
      <c r="N555" s="7">
        <v>2</v>
      </c>
      <c r="O555" s="7">
        <v>0</v>
      </c>
      <c r="P555" s="7">
        <v>58.039039000000002</v>
      </c>
      <c r="Q555" s="7">
        <v>116.078078</v>
      </c>
      <c r="R555" s="7">
        <v>150</v>
      </c>
      <c r="S555" s="7">
        <v>50.539682999999997</v>
      </c>
      <c r="T555" s="7">
        <v>63.385801999999998</v>
      </c>
      <c r="U555" s="7">
        <v>101.079365</v>
      </c>
      <c r="V555" s="7">
        <v>150</v>
      </c>
      <c r="W555" s="7">
        <v>54.606907</v>
      </c>
      <c r="X555" s="7">
        <v>109.213814</v>
      </c>
      <c r="Y555" s="7">
        <v>150</v>
      </c>
      <c r="Z555" s="7">
        <v>60.449074000000003</v>
      </c>
      <c r="AA555" s="7">
        <v>46.412697999999999</v>
      </c>
      <c r="AB555" s="7">
        <v>92.825396999999995</v>
      </c>
      <c r="AC555" s="7">
        <v>150</v>
      </c>
      <c r="AD555" s="7">
        <v>63.286427000000003</v>
      </c>
      <c r="AE555" s="7">
        <v>84.381902999999994</v>
      </c>
      <c r="AF555" s="7">
        <v>100</v>
      </c>
      <c r="AG555" s="7">
        <v>55.5869</v>
      </c>
      <c r="AH555" s="7">
        <v>68.654904999999999</v>
      </c>
      <c r="AI555" s="7">
        <v>74.115866999999994</v>
      </c>
      <c r="AJ555" s="7">
        <v>100</v>
      </c>
      <c r="AK555" s="7">
        <v>12.84</v>
      </c>
      <c r="AL555" s="7">
        <v>14.03</v>
      </c>
      <c r="AM555" s="7">
        <v>13.06</v>
      </c>
      <c r="AN555" s="4" t="s">
        <v>124</v>
      </c>
      <c r="AO555" s="4" t="s">
        <v>124</v>
      </c>
      <c r="AP555" s="4" t="s">
        <v>124</v>
      </c>
      <c r="AQ555" s="4" t="s">
        <v>124</v>
      </c>
      <c r="AR555" s="4" t="s">
        <v>124</v>
      </c>
      <c r="AS555" s="4" t="s">
        <v>124</v>
      </c>
      <c r="AT555" s="4" t="s">
        <v>124</v>
      </c>
      <c r="AU555" s="4" t="s">
        <v>124</v>
      </c>
      <c r="AV555" s="4" t="s">
        <v>124</v>
      </c>
      <c r="AW555" s="4" t="s">
        <v>124</v>
      </c>
      <c r="AX555" s="4" t="s">
        <v>124</v>
      </c>
      <c r="AY555" s="4" t="s">
        <v>124</v>
      </c>
      <c r="AZ555" s="4" t="s">
        <v>124</v>
      </c>
      <c r="BA555" s="4" t="s">
        <v>124</v>
      </c>
      <c r="BB555" s="4" t="s">
        <v>124</v>
      </c>
      <c r="BC555" s="4" t="s">
        <v>124</v>
      </c>
      <c r="BD555" s="4" t="s">
        <v>124</v>
      </c>
      <c r="BE555" s="4" t="s">
        <v>124</v>
      </c>
      <c r="BF555" s="4" t="s">
        <v>124</v>
      </c>
      <c r="BG555" s="4" t="s">
        <v>124</v>
      </c>
      <c r="BH555" s="7">
        <v>0</v>
      </c>
      <c r="BI555" s="7">
        <v>0.97894700000000001</v>
      </c>
      <c r="BJ555" s="7">
        <v>1</v>
      </c>
      <c r="BK555" s="7">
        <v>0.96428599999999998</v>
      </c>
      <c r="BL555" s="7">
        <v>0.97894700000000001</v>
      </c>
      <c r="BM555" s="7">
        <v>1</v>
      </c>
      <c r="BN555" s="7">
        <v>0.96428599999999998</v>
      </c>
      <c r="BO555" s="7">
        <v>0.984043</v>
      </c>
      <c r="BP555" s="7">
        <v>0.98701300000000003</v>
      </c>
      <c r="BQ555" s="7">
        <v>0.98198200000000002</v>
      </c>
      <c r="BR555" s="7">
        <v>1.0753E-2</v>
      </c>
      <c r="BS555" s="7">
        <v>50</v>
      </c>
      <c r="BT555" s="7">
        <v>50</v>
      </c>
      <c r="BU555" s="7">
        <v>1.6501999999999999E-2</v>
      </c>
      <c r="BV555" s="7">
        <v>50</v>
      </c>
      <c r="BW555" s="7">
        <v>50</v>
      </c>
      <c r="BX555" s="7">
        <v>0.804813</v>
      </c>
      <c r="BY555" s="7">
        <v>50</v>
      </c>
      <c r="BZ555" s="7">
        <v>50</v>
      </c>
      <c r="CA555" s="7">
        <v>0.467914</v>
      </c>
      <c r="CB555" s="7">
        <v>31.194296000000001</v>
      </c>
      <c r="CC555" s="7">
        <v>50</v>
      </c>
      <c r="CD555" s="7">
        <v>0.95939099999999999</v>
      </c>
      <c r="CE555" s="7">
        <v>50</v>
      </c>
      <c r="CF555" s="7">
        <v>50</v>
      </c>
      <c r="CG555" s="7">
        <v>0.94791700000000001</v>
      </c>
      <c r="CH555" s="7">
        <v>100</v>
      </c>
      <c r="CI555" s="7">
        <v>100</v>
      </c>
      <c r="CJ555" s="7">
        <v>0</v>
      </c>
      <c r="CK555" s="7">
        <v>0.925373</v>
      </c>
      <c r="CL555" s="7">
        <v>98.443950000000001</v>
      </c>
      <c r="CM555" s="7">
        <v>100</v>
      </c>
      <c r="CN555" s="7">
        <v>0.68254000000000004</v>
      </c>
      <c r="CO555" s="7">
        <v>91.005291</v>
      </c>
      <c r="CP555" s="7">
        <v>100</v>
      </c>
      <c r="CQ555" s="7">
        <v>0.38372099999999998</v>
      </c>
      <c r="CR555" s="7">
        <v>0.99421999999999999</v>
      </c>
      <c r="CS555" s="7">
        <v>25.581395000000001</v>
      </c>
      <c r="CT555" s="7">
        <v>50</v>
      </c>
      <c r="CU555" s="7">
        <v>0.52822599999999997</v>
      </c>
      <c r="CV555" s="7">
        <v>44.018816999999999</v>
      </c>
      <c r="CW555" s="7">
        <v>50</v>
      </c>
      <c r="CX555" s="7">
        <v>0.925373</v>
      </c>
      <c r="CY555" s="7">
        <v>0.94</v>
      </c>
      <c r="CZ555" s="7">
        <v>1.4626999999999999E-2</v>
      </c>
      <c r="DA555" s="7">
        <v>15.314097</v>
      </c>
      <c r="DB555" s="7">
        <v>17.400950000000002</v>
      </c>
      <c r="DC555" s="7">
        <v>16.332519999999999</v>
      </c>
      <c r="DD555" s="7">
        <v>7.9891730000000001</v>
      </c>
      <c r="DE555" s="7">
        <v>0</v>
      </c>
      <c r="DF555" s="6"/>
      <c r="DG555" s="6"/>
      <c r="DH555" s="6"/>
      <c r="DI555" s="6"/>
      <c r="DJ555" s="7">
        <v>0</v>
      </c>
      <c r="DK555" s="7">
        <v>0</v>
      </c>
      <c r="DL555" s="7">
        <v>0</v>
      </c>
      <c r="DM555" s="7">
        <v>0</v>
      </c>
      <c r="DN555" s="7">
        <v>0</v>
      </c>
      <c r="DO555" s="7">
        <v>0</v>
      </c>
      <c r="DP555" s="6"/>
      <c r="DQ555" s="4" t="s">
        <v>125</v>
      </c>
    </row>
    <row r="556" spans="1:121" ht="20" customHeight="1" x14ac:dyDescent="0.15">
      <c r="A556" s="5">
        <v>2018</v>
      </c>
      <c r="B556" s="3" t="s">
        <v>252</v>
      </c>
      <c r="C556" s="4" t="str">
        <f t="shared" si="214"/>
        <v>0720011</v>
      </c>
      <c r="D556" s="4" t="s">
        <v>714</v>
      </c>
      <c r="E556" s="4" t="str">
        <f>"0725111"</f>
        <v>0725111</v>
      </c>
      <c r="F556" s="4" t="s">
        <v>327</v>
      </c>
      <c r="G556" s="7">
        <v>7</v>
      </c>
      <c r="H556" s="7">
        <v>8</v>
      </c>
      <c r="I556" s="4" t="s">
        <v>329</v>
      </c>
      <c r="J556" s="4" t="s">
        <v>330</v>
      </c>
      <c r="K556" s="7">
        <v>646.99261200000001</v>
      </c>
      <c r="L556" s="7">
        <v>900</v>
      </c>
      <c r="M556" s="7">
        <v>71.888068000000004</v>
      </c>
      <c r="N556" s="7">
        <v>3</v>
      </c>
      <c r="O556" s="7">
        <v>1</v>
      </c>
      <c r="P556" s="7">
        <v>64.535480000000007</v>
      </c>
      <c r="Q556" s="7">
        <v>43.023653000000003</v>
      </c>
      <c r="R556" s="7">
        <v>50</v>
      </c>
      <c r="S556" s="7">
        <v>55.067058000000003</v>
      </c>
      <c r="T556" s="7">
        <v>70.949573000000001</v>
      </c>
      <c r="U556" s="7">
        <v>36.711371999999997</v>
      </c>
      <c r="V556" s="7">
        <v>50</v>
      </c>
      <c r="W556" s="7">
        <v>63.856426999999996</v>
      </c>
      <c r="X556" s="7">
        <v>42.570951000000001</v>
      </c>
      <c r="Y556" s="7">
        <v>50</v>
      </c>
      <c r="Z556" s="7">
        <v>71.900831999999994</v>
      </c>
      <c r="AA556" s="7">
        <v>51.955115999999997</v>
      </c>
      <c r="AB556" s="7">
        <v>34.636744</v>
      </c>
      <c r="AC556" s="7">
        <v>50</v>
      </c>
      <c r="AD556" s="7">
        <v>67.069025999999994</v>
      </c>
      <c r="AE556" s="7">
        <v>44.712684000000003</v>
      </c>
      <c r="AF556" s="7">
        <v>50</v>
      </c>
      <c r="AG556" s="7">
        <v>56.286884000000001</v>
      </c>
      <c r="AH556" s="7">
        <v>73.854339999999993</v>
      </c>
      <c r="AI556" s="7">
        <v>37.524588999999999</v>
      </c>
      <c r="AJ556" s="7">
        <v>50</v>
      </c>
      <c r="AK556" s="7">
        <v>15.88</v>
      </c>
      <c r="AL556" s="7">
        <v>19.940000000000001</v>
      </c>
      <c r="AM556" s="7">
        <v>17.559999999999999</v>
      </c>
      <c r="AN556" s="7">
        <v>0.51373500000000005</v>
      </c>
      <c r="AO556" s="7">
        <v>51.373536999999999</v>
      </c>
      <c r="AP556" s="7">
        <v>100</v>
      </c>
      <c r="AQ556" s="7">
        <v>0.61365099999999995</v>
      </c>
      <c r="AR556" s="7">
        <v>61.365124000000002</v>
      </c>
      <c r="AS556" s="7">
        <v>100</v>
      </c>
      <c r="AT556" s="7">
        <v>0.51593800000000001</v>
      </c>
      <c r="AU556" s="7">
        <v>0.51239299999999999</v>
      </c>
      <c r="AV556" s="7">
        <v>51.593789000000001</v>
      </c>
      <c r="AW556" s="7">
        <v>100</v>
      </c>
      <c r="AX556" s="7">
        <v>0.57148600000000005</v>
      </c>
      <c r="AY556" s="7">
        <v>0.63895000000000002</v>
      </c>
      <c r="AZ556" s="7">
        <v>57.148598</v>
      </c>
      <c r="BA556" s="7">
        <v>100</v>
      </c>
      <c r="BB556" s="4" t="s">
        <v>124</v>
      </c>
      <c r="BC556" s="4" t="s">
        <v>124</v>
      </c>
      <c r="BD556" s="4" t="s">
        <v>124</v>
      </c>
      <c r="BE556" s="4" t="s">
        <v>124</v>
      </c>
      <c r="BF556" s="4" t="s">
        <v>124</v>
      </c>
      <c r="BG556" s="4" t="s">
        <v>124</v>
      </c>
      <c r="BH556" s="7">
        <v>0</v>
      </c>
      <c r="BI556" s="7">
        <v>0.98666699999999996</v>
      </c>
      <c r="BJ556" s="7">
        <v>0.97350999999999999</v>
      </c>
      <c r="BK556" s="7">
        <v>0.99553599999999998</v>
      </c>
      <c r="BL556" s="7">
        <v>0.98395699999999997</v>
      </c>
      <c r="BM556" s="7">
        <v>0.973333</v>
      </c>
      <c r="BN556" s="7">
        <v>0.99107100000000004</v>
      </c>
      <c r="BO556" s="7">
        <v>0.98453599999999997</v>
      </c>
      <c r="BP556" s="7">
        <v>0.96052599999999999</v>
      </c>
      <c r="BQ556" s="7">
        <v>1</v>
      </c>
      <c r="BR556" s="7">
        <v>1.0695E-2</v>
      </c>
      <c r="BS556" s="7">
        <v>50</v>
      </c>
      <c r="BT556" s="7">
        <v>50</v>
      </c>
      <c r="BU556" s="7">
        <v>6.711E-3</v>
      </c>
      <c r="BV556" s="7">
        <v>50</v>
      </c>
      <c r="BW556" s="7">
        <v>50</v>
      </c>
      <c r="BX556" s="4" t="s">
        <v>124</v>
      </c>
      <c r="BY556" s="4" t="s">
        <v>124</v>
      </c>
      <c r="BZ556" s="4" t="s">
        <v>124</v>
      </c>
      <c r="CA556" s="4" t="s">
        <v>124</v>
      </c>
      <c r="CB556" s="4" t="s">
        <v>124</v>
      </c>
      <c r="CC556" s="4" t="s">
        <v>124</v>
      </c>
      <c r="CD556" s="7">
        <v>0.96610200000000002</v>
      </c>
      <c r="CE556" s="7">
        <v>50</v>
      </c>
      <c r="CF556" s="7">
        <v>50</v>
      </c>
      <c r="CG556" s="4" t="s">
        <v>124</v>
      </c>
      <c r="CH556" s="4" t="s">
        <v>124</v>
      </c>
      <c r="CI556" s="4" t="s">
        <v>124</v>
      </c>
      <c r="CJ556" s="4" t="s">
        <v>124</v>
      </c>
      <c r="CK556" s="4" t="s">
        <v>124</v>
      </c>
      <c r="CL556" s="4" t="s">
        <v>124</v>
      </c>
      <c r="CM556" s="4" t="s">
        <v>124</v>
      </c>
      <c r="CN556" s="4" t="s">
        <v>124</v>
      </c>
      <c r="CO556" s="4" t="s">
        <v>124</v>
      </c>
      <c r="CP556" s="4" t="s">
        <v>124</v>
      </c>
      <c r="CQ556" s="7">
        <v>0.54497399999999996</v>
      </c>
      <c r="CR556" s="7">
        <v>0.97927500000000001</v>
      </c>
      <c r="CS556" s="7">
        <v>36.331569999999999</v>
      </c>
      <c r="CT556" s="7">
        <v>50</v>
      </c>
      <c r="CU556" s="4" t="s">
        <v>124</v>
      </c>
      <c r="CV556" s="4" t="s">
        <v>124</v>
      </c>
      <c r="CW556" s="4" t="s">
        <v>124</v>
      </c>
      <c r="CX556" s="4" t="s">
        <v>124</v>
      </c>
      <c r="CY556" s="4" t="s">
        <v>124</v>
      </c>
      <c r="CZ556" s="4" t="s">
        <v>124</v>
      </c>
      <c r="DA556" s="7">
        <v>15.314097</v>
      </c>
      <c r="DB556" s="7">
        <v>17.400950000000002</v>
      </c>
      <c r="DC556" s="7">
        <v>16.332519999999999</v>
      </c>
      <c r="DD556" s="4" t="s">
        <v>124</v>
      </c>
      <c r="DE556" s="7">
        <v>1</v>
      </c>
      <c r="DF556" s="6"/>
      <c r="DG556" s="6"/>
      <c r="DH556" s="6"/>
      <c r="DI556" s="6"/>
      <c r="DJ556" s="7">
        <v>0</v>
      </c>
      <c r="DK556" s="7">
        <v>0</v>
      </c>
      <c r="DL556" s="7">
        <v>0</v>
      </c>
      <c r="DM556" s="7">
        <v>0</v>
      </c>
      <c r="DN556" s="7">
        <v>0</v>
      </c>
      <c r="DO556" s="7">
        <v>0</v>
      </c>
      <c r="DP556" s="6"/>
      <c r="DQ556" s="4" t="s">
        <v>125</v>
      </c>
    </row>
    <row r="557" spans="1:121" ht="20" customHeight="1" x14ac:dyDescent="0.15">
      <c r="A557" s="5">
        <v>2018</v>
      </c>
      <c r="B557" s="3" t="s">
        <v>253</v>
      </c>
      <c r="C557" s="4" t="str">
        <f t="shared" si="128"/>
        <v>0730011</v>
      </c>
      <c r="D557" s="4" t="s">
        <v>715</v>
      </c>
      <c r="E557" s="4" t="str">
        <f>"0730111"</f>
        <v>0730111</v>
      </c>
      <c r="F557" s="4" t="s">
        <v>327</v>
      </c>
      <c r="G557" s="4" t="s">
        <v>328</v>
      </c>
      <c r="H557" s="7">
        <v>8</v>
      </c>
      <c r="I557" s="4" t="s">
        <v>329</v>
      </c>
      <c r="J557" s="4" t="s">
        <v>330</v>
      </c>
      <c r="K557" s="7">
        <v>643.65949899999998</v>
      </c>
      <c r="L557" s="7">
        <v>900</v>
      </c>
      <c r="M557" s="7">
        <v>71.517722000000006</v>
      </c>
      <c r="N557" s="7">
        <v>2</v>
      </c>
      <c r="O557" s="7">
        <v>0</v>
      </c>
      <c r="P557" s="7">
        <v>70.086882000000003</v>
      </c>
      <c r="Q557" s="7">
        <v>46.724587999999997</v>
      </c>
      <c r="R557" s="7">
        <v>50</v>
      </c>
      <c r="S557" s="7">
        <v>61.661195999999997</v>
      </c>
      <c r="T557" s="7">
        <v>75</v>
      </c>
      <c r="U557" s="7">
        <v>41.107464</v>
      </c>
      <c r="V557" s="7">
        <v>50</v>
      </c>
      <c r="W557" s="7">
        <v>63.254699000000002</v>
      </c>
      <c r="X557" s="7">
        <v>42.169800000000002</v>
      </c>
      <c r="Y557" s="7">
        <v>50</v>
      </c>
      <c r="Z557" s="7">
        <v>69.594078999999994</v>
      </c>
      <c r="AA557" s="7">
        <v>55.757694000000001</v>
      </c>
      <c r="AB557" s="7">
        <v>37.171796000000001</v>
      </c>
      <c r="AC557" s="7">
        <v>50</v>
      </c>
      <c r="AD557" s="7">
        <v>67.332616000000002</v>
      </c>
      <c r="AE557" s="7">
        <v>44.888410999999998</v>
      </c>
      <c r="AF557" s="7">
        <v>50</v>
      </c>
      <c r="AG557" s="7">
        <v>59.569074000000001</v>
      </c>
      <c r="AH557" s="7">
        <v>75</v>
      </c>
      <c r="AI557" s="7">
        <v>39.712716</v>
      </c>
      <c r="AJ557" s="7">
        <v>50</v>
      </c>
      <c r="AK557" s="7">
        <v>13.33</v>
      </c>
      <c r="AL557" s="7">
        <v>13.83</v>
      </c>
      <c r="AM557" s="7">
        <v>15.43</v>
      </c>
      <c r="AN557" s="7">
        <v>0.55430000000000001</v>
      </c>
      <c r="AO557" s="7">
        <v>55.429988000000002</v>
      </c>
      <c r="AP557" s="7">
        <v>100</v>
      </c>
      <c r="AQ557" s="7">
        <v>0.62160400000000005</v>
      </c>
      <c r="AR557" s="7">
        <v>62.160420000000002</v>
      </c>
      <c r="AS557" s="7">
        <v>100</v>
      </c>
      <c r="AT557" s="7">
        <v>0.45700499999999999</v>
      </c>
      <c r="AU557" s="7">
        <v>0.62727100000000002</v>
      </c>
      <c r="AV557" s="7">
        <v>45.700471</v>
      </c>
      <c r="AW557" s="7">
        <v>100</v>
      </c>
      <c r="AX557" s="7">
        <v>0.58864499999999997</v>
      </c>
      <c r="AY557" s="7">
        <v>0.64625200000000005</v>
      </c>
      <c r="AZ557" s="7">
        <v>58.864458999999997</v>
      </c>
      <c r="BA557" s="7">
        <v>100</v>
      </c>
      <c r="BB557" s="4" t="s">
        <v>124</v>
      </c>
      <c r="BC557" s="4" t="s">
        <v>124</v>
      </c>
      <c r="BD557" s="4" t="s">
        <v>124</v>
      </c>
      <c r="BE557" s="4" t="s">
        <v>124</v>
      </c>
      <c r="BF557" s="4" t="s">
        <v>124</v>
      </c>
      <c r="BG557" s="4" t="s">
        <v>124</v>
      </c>
      <c r="BH557" s="7">
        <v>0</v>
      </c>
      <c r="BI557" s="7">
        <v>1</v>
      </c>
      <c r="BJ557" s="7">
        <v>1</v>
      </c>
      <c r="BK557" s="7">
        <v>1</v>
      </c>
      <c r="BL557" s="7">
        <v>0.99236599999999997</v>
      </c>
      <c r="BM557" s="7">
        <v>0.99180299999999999</v>
      </c>
      <c r="BN557" s="7">
        <v>0.99285699999999999</v>
      </c>
      <c r="BO557" s="7">
        <v>0.99</v>
      </c>
      <c r="BP557" s="7">
        <v>0.980769</v>
      </c>
      <c r="BQ557" s="7">
        <v>1</v>
      </c>
      <c r="BR557" s="7">
        <v>4.4736999999999999E-2</v>
      </c>
      <c r="BS557" s="7">
        <v>50</v>
      </c>
      <c r="BT557" s="7">
        <v>50</v>
      </c>
      <c r="BU557" s="7">
        <v>7.4713000000000002E-2</v>
      </c>
      <c r="BV557" s="7">
        <v>45.057471</v>
      </c>
      <c r="BW557" s="7">
        <v>50</v>
      </c>
      <c r="BX557" s="4" t="s">
        <v>124</v>
      </c>
      <c r="BY557" s="4" t="s">
        <v>124</v>
      </c>
      <c r="BZ557" s="4" t="s">
        <v>124</v>
      </c>
      <c r="CA557" s="4" t="s">
        <v>124</v>
      </c>
      <c r="CB557" s="4" t="s">
        <v>124</v>
      </c>
      <c r="CC557" s="4" t="s">
        <v>124</v>
      </c>
      <c r="CD557" s="7">
        <v>0.97916700000000001</v>
      </c>
      <c r="CE557" s="7">
        <v>50</v>
      </c>
      <c r="CF557" s="7">
        <v>50</v>
      </c>
      <c r="CG557" s="4" t="s">
        <v>124</v>
      </c>
      <c r="CH557" s="4" t="s">
        <v>124</v>
      </c>
      <c r="CI557" s="4" t="s">
        <v>124</v>
      </c>
      <c r="CJ557" s="4" t="s">
        <v>124</v>
      </c>
      <c r="CK557" s="4" t="s">
        <v>124</v>
      </c>
      <c r="CL557" s="4" t="s">
        <v>124</v>
      </c>
      <c r="CM557" s="4" t="s">
        <v>124</v>
      </c>
      <c r="CN557" s="4" t="s">
        <v>124</v>
      </c>
      <c r="CO557" s="4" t="s">
        <v>124</v>
      </c>
      <c r="CP557" s="4" t="s">
        <v>124</v>
      </c>
      <c r="CQ557" s="7">
        <v>0.37007899999999999</v>
      </c>
      <c r="CR557" s="7">
        <v>0.99218799999999996</v>
      </c>
      <c r="CS557" s="7">
        <v>24.671916</v>
      </c>
      <c r="CT557" s="7">
        <v>50</v>
      </c>
      <c r="CU557" s="4" t="s">
        <v>124</v>
      </c>
      <c r="CV557" s="4" t="s">
        <v>124</v>
      </c>
      <c r="CW557" s="4" t="s">
        <v>124</v>
      </c>
      <c r="CX557" s="4" t="s">
        <v>124</v>
      </c>
      <c r="CY557" s="4" t="s">
        <v>124</v>
      </c>
      <c r="CZ557" s="4" t="s">
        <v>124</v>
      </c>
      <c r="DA557" s="7">
        <v>15.314097</v>
      </c>
      <c r="DB557" s="7">
        <v>17.400950000000002</v>
      </c>
      <c r="DC557" s="7">
        <v>16.332519999999999</v>
      </c>
      <c r="DD557" s="4" t="s">
        <v>124</v>
      </c>
      <c r="DE557" s="7">
        <v>0</v>
      </c>
      <c r="DF557" s="6"/>
      <c r="DG557" s="6"/>
      <c r="DH557" s="6"/>
      <c r="DI557" s="6"/>
      <c r="DJ557" s="7">
        <v>0</v>
      </c>
      <c r="DK557" s="7">
        <v>0</v>
      </c>
      <c r="DL557" s="7">
        <v>0</v>
      </c>
      <c r="DM557" s="7">
        <v>0</v>
      </c>
      <c r="DN557" s="7">
        <v>0</v>
      </c>
      <c r="DO557" s="7">
        <v>0</v>
      </c>
      <c r="DP557" s="6"/>
      <c r="DQ557" s="4" t="s">
        <v>125</v>
      </c>
    </row>
    <row r="558" spans="1:121" ht="20" customHeight="1" x14ac:dyDescent="0.15">
      <c r="A558" s="5">
        <v>2018</v>
      </c>
      <c r="B558" s="3" t="s">
        <v>254</v>
      </c>
      <c r="C558" s="4" t="str">
        <f t="shared" si="129"/>
        <v>0740011</v>
      </c>
      <c r="D558" s="4" t="s">
        <v>515</v>
      </c>
      <c r="E558" s="4" t="str">
        <f>"0740211"</f>
        <v>0740211</v>
      </c>
      <c r="F558" s="4" t="s">
        <v>327</v>
      </c>
      <c r="G558" s="4" t="s">
        <v>328</v>
      </c>
      <c r="H558" s="7">
        <v>3</v>
      </c>
      <c r="I558" s="4" t="s">
        <v>329</v>
      </c>
      <c r="J558" s="4" t="s">
        <v>330</v>
      </c>
      <c r="K558" s="7">
        <v>288.09753000000001</v>
      </c>
      <c r="L558" s="7">
        <v>300</v>
      </c>
      <c r="M558" s="7">
        <v>96.032510000000002</v>
      </c>
      <c r="N558" s="7">
        <v>1</v>
      </c>
      <c r="O558" s="7">
        <v>0</v>
      </c>
      <c r="P558" s="7">
        <v>77.293098999999998</v>
      </c>
      <c r="Q558" s="7">
        <v>100</v>
      </c>
      <c r="R558" s="7">
        <v>100</v>
      </c>
      <c r="S558" s="4" t="s">
        <v>124</v>
      </c>
      <c r="T558" s="7">
        <v>75</v>
      </c>
      <c r="U558" s="4" t="s">
        <v>124</v>
      </c>
      <c r="V558" s="4" t="s">
        <v>124</v>
      </c>
      <c r="W558" s="7">
        <v>73.763020999999995</v>
      </c>
      <c r="X558" s="7">
        <v>98.350694000000004</v>
      </c>
      <c r="Y558" s="7">
        <v>100</v>
      </c>
      <c r="Z558" s="7">
        <v>75</v>
      </c>
      <c r="AA558" s="4" t="s">
        <v>124</v>
      </c>
      <c r="AB558" s="4" t="s">
        <v>124</v>
      </c>
      <c r="AC558" s="4" t="s">
        <v>124</v>
      </c>
      <c r="AD558" s="4" t="s">
        <v>124</v>
      </c>
      <c r="AE558" s="4" t="s">
        <v>124</v>
      </c>
      <c r="AF558" s="4" t="s">
        <v>124</v>
      </c>
      <c r="AG558" s="4" t="s">
        <v>124</v>
      </c>
      <c r="AH558" s="4" t="s">
        <v>124</v>
      </c>
      <c r="AI558" s="4" t="s">
        <v>124</v>
      </c>
      <c r="AJ558" s="4" t="s">
        <v>124</v>
      </c>
      <c r="AK558" s="4" t="s">
        <v>124</v>
      </c>
      <c r="AL558" s="4" t="s">
        <v>124</v>
      </c>
      <c r="AM558" s="4" t="s">
        <v>124</v>
      </c>
      <c r="AN558" s="4" t="s">
        <v>124</v>
      </c>
      <c r="AO558" s="4" t="s">
        <v>124</v>
      </c>
      <c r="AP558" s="4" t="s">
        <v>124</v>
      </c>
      <c r="AQ558" s="4" t="s">
        <v>124</v>
      </c>
      <c r="AR558" s="4" t="s">
        <v>124</v>
      </c>
      <c r="AS558" s="4" t="s">
        <v>124</v>
      </c>
      <c r="AT558" s="4" t="s">
        <v>124</v>
      </c>
      <c r="AU558" s="4" t="s">
        <v>124</v>
      </c>
      <c r="AV558" s="4" t="s">
        <v>124</v>
      </c>
      <c r="AW558" s="4" t="s">
        <v>124</v>
      </c>
      <c r="AX558" s="4" t="s">
        <v>124</v>
      </c>
      <c r="AY558" s="4" t="s">
        <v>124</v>
      </c>
      <c r="AZ558" s="4" t="s">
        <v>124</v>
      </c>
      <c r="BA558" s="4" t="s">
        <v>124</v>
      </c>
      <c r="BB558" s="4" t="s">
        <v>124</v>
      </c>
      <c r="BC558" s="4" t="s">
        <v>124</v>
      </c>
      <c r="BD558" s="4" t="s">
        <v>124</v>
      </c>
      <c r="BE558" s="4" t="s">
        <v>124</v>
      </c>
      <c r="BF558" s="4" t="s">
        <v>124</v>
      </c>
      <c r="BG558" s="4" t="s">
        <v>124</v>
      </c>
      <c r="BH558" s="7">
        <v>0</v>
      </c>
      <c r="BI558" s="7">
        <v>1</v>
      </c>
      <c r="BJ558" s="4" t="s">
        <v>124</v>
      </c>
      <c r="BK558" s="7">
        <v>1</v>
      </c>
      <c r="BL558" s="7">
        <v>1</v>
      </c>
      <c r="BM558" s="4" t="s">
        <v>124</v>
      </c>
      <c r="BN558" s="7">
        <v>1</v>
      </c>
      <c r="BO558" s="4" t="s">
        <v>124</v>
      </c>
      <c r="BP558" s="4" t="s">
        <v>124</v>
      </c>
      <c r="BQ558" s="4" t="s">
        <v>124</v>
      </c>
      <c r="BR558" s="7">
        <v>3.6436999999999997E-2</v>
      </c>
      <c r="BS558" s="7">
        <v>50</v>
      </c>
      <c r="BT558" s="7">
        <v>50</v>
      </c>
      <c r="BU558" s="7">
        <v>0.10126599999999999</v>
      </c>
      <c r="BV558" s="7">
        <v>39.746834999999997</v>
      </c>
      <c r="BW558" s="7">
        <v>50</v>
      </c>
      <c r="BX558" s="4" t="s">
        <v>124</v>
      </c>
      <c r="BY558" s="4" t="s">
        <v>124</v>
      </c>
      <c r="BZ558" s="4" t="s">
        <v>124</v>
      </c>
      <c r="CA558" s="4" t="s">
        <v>124</v>
      </c>
      <c r="CB558" s="4" t="s">
        <v>124</v>
      </c>
      <c r="CC558" s="4" t="s">
        <v>124</v>
      </c>
      <c r="CD558" s="4" t="s">
        <v>124</v>
      </c>
      <c r="CE558" s="4" t="s">
        <v>124</v>
      </c>
      <c r="CF558" s="4" t="s">
        <v>124</v>
      </c>
      <c r="CG558" s="4" t="s">
        <v>124</v>
      </c>
      <c r="CH558" s="4" t="s">
        <v>124</v>
      </c>
      <c r="CI558" s="4" t="s">
        <v>124</v>
      </c>
      <c r="CJ558" s="4" t="s">
        <v>124</v>
      </c>
      <c r="CK558" s="4" t="s">
        <v>124</v>
      </c>
      <c r="CL558" s="4" t="s">
        <v>124</v>
      </c>
      <c r="CM558" s="4" t="s">
        <v>124</v>
      </c>
      <c r="CN558" s="4" t="s">
        <v>124</v>
      </c>
      <c r="CO558" s="4" t="s">
        <v>124</v>
      </c>
      <c r="CP558" s="4" t="s">
        <v>124</v>
      </c>
      <c r="CQ558" s="4" t="s">
        <v>124</v>
      </c>
      <c r="CR558" s="4" t="s">
        <v>124</v>
      </c>
      <c r="CS558" s="4" t="s">
        <v>124</v>
      </c>
      <c r="CT558" s="4" t="s">
        <v>124</v>
      </c>
      <c r="CU558" s="4" t="s">
        <v>124</v>
      </c>
      <c r="CV558" s="4" t="s">
        <v>124</v>
      </c>
      <c r="CW558" s="4" t="s">
        <v>124</v>
      </c>
      <c r="CX558" s="4" t="s">
        <v>124</v>
      </c>
      <c r="CY558" s="4" t="s">
        <v>124</v>
      </c>
      <c r="CZ558" s="4" t="s">
        <v>124</v>
      </c>
      <c r="DA558" s="7">
        <v>15.314097</v>
      </c>
      <c r="DB558" s="7">
        <v>17.400950000000002</v>
      </c>
      <c r="DC558" s="7">
        <v>16.332519999999999</v>
      </c>
      <c r="DD558" s="4" t="s">
        <v>124</v>
      </c>
      <c r="DE558" s="7">
        <v>0</v>
      </c>
      <c r="DF558" s="6"/>
      <c r="DG558" s="6"/>
      <c r="DH558" s="4" t="s">
        <v>331</v>
      </c>
      <c r="DI558" s="4" t="s">
        <v>332</v>
      </c>
      <c r="DJ558" s="7">
        <v>1</v>
      </c>
      <c r="DK558" s="7">
        <v>0</v>
      </c>
      <c r="DL558" s="7">
        <v>0</v>
      </c>
      <c r="DM558" s="7">
        <v>0</v>
      </c>
      <c r="DN558" s="7">
        <v>0</v>
      </c>
      <c r="DO558" s="7">
        <v>0</v>
      </c>
      <c r="DP558" s="6"/>
      <c r="DQ558" s="4" t="s">
        <v>125</v>
      </c>
    </row>
    <row r="559" spans="1:121" ht="20" customHeight="1" x14ac:dyDescent="0.15">
      <c r="A559" s="5">
        <v>2018</v>
      </c>
      <c r="B559" s="3" t="s">
        <v>254</v>
      </c>
      <c r="C559" s="4" t="str">
        <f t="shared" ref="C559:C560" si="215">"0740011"</f>
        <v>0740011</v>
      </c>
      <c r="D559" s="4" t="s">
        <v>716</v>
      </c>
      <c r="E559" s="4" t="str">
        <f>"0746111"</f>
        <v>0746111</v>
      </c>
      <c r="F559" s="4" t="s">
        <v>327</v>
      </c>
      <c r="G559" s="7">
        <v>9</v>
      </c>
      <c r="H559" s="7">
        <v>12</v>
      </c>
      <c r="I559" s="6"/>
      <c r="J559" s="4" t="s">
        <v>330</v>
      </c>
      <c r="K559" s="7">
        <v>1089.9665689999999</v>
      </c>
      <c r="L559" s="7">
        <v>1350</v>
      </c>
      <c r="M559" s="7">
        <v>80.738264000000001</v>
      </c>
      <c r="N559" s="7">
        <v>3</v>
      </c>
      <c r="O559" s="7">
        <v>1</v>
      </c>
      <c r="P559" s="7">
        <v>65.196347000000003</v>
      </c>
      <c r="Q559" s="7">
        <v>130.39269400000001</v>
      </c>
      <c r="R559" s="7">
        <v>150</v>
      </c>
      <c r="S559" s="7">
        <v>52.688406000000001</v>
      </c>
      <c r="T559" s="7">
        <v>70.95</v>
      </c>
      <c r="U559" s="7">
        <v>105.376812</v>
      </c>
      <c r="V559" s="7">
        <v>150</v>
      </c>
      <c r="W559" s="7">
        <v>59.671233000000001</v>
      </c>
      <c r="X559" s="7">
        <v>119.342466</v>
      </c>
      <c r="Y559" s="7">
        <v>150</v>
      </c>
      <c r="Z559" s="7">
        <v>65.010000000000005</v>
      </c>
      <c r="AA559" s="7">
        <v>48.065216999999997</v>
      </c>
      <c r="AB559" s="7">
        <v>96.130435000000006</v>
      </c>
      <c r="AC559" s="7">
        <v>150</v>
      </c>
      <c r="AD559" s="7">
        <v>68.455038000000002</v>
      </c>
      <c r="AE559" s="7">
        <v>91.273383999999993</v>
      </c>
      <c r="AF559" s="7">
        <v>100</v>
      </c>
      <c r="AG559" s="7">
        <v>60.217948999999997</v>
      </c>
      <c r="AH559" s="7">
        <v>72.661210999999994</v>
      </c>
      <c r="AI559" s="7">
        <v>80.290598000000003</v>
      </c>
      <c r="AJ559" s="7">
        <v>100</v>
      </c>
      <c r="AK559" s="7">
        <v>18.260000000000002</v>
      </c>
      <c r="AL559" s="7">
        <v>16.940000000000001</v>
      </c>
      <c r="AM559" s="7">
        <v>12.44</v>
      </c>
      <c r="AN559" s="4" t="s">
        <v>124</v>
      </c>
      <c r="AO559" s="4" t="s">
        <v>124</v>
      </c>
      <c r="AP559" s="4" t="s">
        <v>124</v>
      </c>
      <c r="AQ559" s="4" t="s">
        <v>124</v>
      </c>
      <c r="AR559" s="4" t="s">
        <v>124</v>
      </c>
      <c r="AS559" s="4" t="s">
        <v>124</v>
      </c>
      <c r="AT559" s="4" t="s">
        <v>124</v>
      </c>
      <c r="AU559" s="4" t="s">
        <v>124</v>
      </c>
      <c r="AV559" s="4" t="s">
        <v>124</v>
      </c>
      <c r="AW559" s="4" t="s">
        <v>124</v>
      </c>
      <c r="AX559" s="4" t="s">
        <v>124</v>
      </c>
      <c r="AY559" s="4" t="s">
        <v>124</v>
      </c>
      <c r="AZ559" s="4" t="s">
        <v>124</v>
      </c>
      <c r="BA559" s="4" t="s">
        <v>124</v>
      </c>
      <c r="BB559" s="4" t="s">
        <v>124</v>
      </c>
      <c r="BC559" s="4" t="s">
        <v>124</v>
      </c>
      <c r="BD559" s="4" t="s">
        <v>124</v>
      </c>
      <c r="BE559" s="4" t="s">
        <v>124</v>
      </c>
      <c r="BF559" s="4" t="s">
        <v>124</v>
      </c>
      <c r="BG559" s="4" t="s">
        <v>124</v>
      </c>
      <c r="BH559" s="7">
        <v>1</v>
      </c>
      <c r="BI559" s="7">
        <v>1</v>
      </c>
      <c r="BJ559" s="7">
        <v>1</v>
      </c>
      <c r="BK559" s="7">
        <v>1</v>
      </c>
      <c r="BL559" s="7">
        <v>1</v>
      </c>
      <c r="BM559" s="7">
        <v>1</v>
      </c>
      <c r="BN559" s="7">
        <v>1</v>
      </c>
      <c r="BO559" s="7">
        <v>0.94936699999999996</v>
      </c>
      <c r="BP559" s="7">
        <v>0.961538</v>
      </c>
      <c r="BQ559" s="7">
        <v>0.94339600000000001</v>
      </c>
      <c r="BR559" s="7">
        <v>6.7857000000000001E-2</v>
      </c>
      <c r="BS559" s="7">
        <v>46.428570999999998</v>
      </c>
      <c r="BT559" s="7">
        <v>50</v>
      </c>
      <c r="BU559" s="7">
        <v>0.12790699999999999</v>
      </c>
      <c r="BV559" s="7">
        <v>34.418604999999999</v>
      </c>
      <c r="BW559" s="7">
        <v>50</v>
      </c>
      <c r="BX559" s="7">
        <v>0.94736799999999999</v>
      </c>
      <c r="BY559" s="7">
        <v>50</v>
      </c>
      <c r="BZ559" s="7">
        <v>50</v>
      </c>
      <c r="CA559" s="7">
        <v>0.55263200000000001</v>
      </c>
      <c r="CB559" s="7">
        <v>36.842104999999997</v>
      </c>
      <c r="CC559" s="7">
        <v>50</v>
      </c>
      <c r="CD559" s="7">
        <v>1</v>
      </c>
      <c r="CE559" s="7">
        <v>50</v>
      </c>
      <c r="CF559" s="7">
        <v>50</v>
      </c>
      <c r="CG559" s="7">
        <v>0.984375</v>
      </c>
      <c r="CH559" s="7">
        <v>100</v>
      </c>
      <c r="CI559" s="7">
        <v>100</v>
      </c>
      <c r="CJ559" s="7">
        <v>0</v>
      </c>
      <c r="CK559" s="4" t="s">
        <v>124</v>
      </c>
      <c r="CL559" s="4" t="s">
        <v>124</v>
      </c>
      <c r="CM559" s="4" t="s">
        <v>124</v>
      </c>
      <c r="CN559" s="7">
        <v>0.74603200000000003</v>
      </c>
      <c r="CO559" s="7">
        <v>99.470899000000003</v>
      </c>
      <c r="CP559" s="7">
        <v>100</v>
      </c>
      <c r="CQ559" s="7">
        <v>0.9</v>
      </c>
      <c r="CR559" s="7">
        <v>0.30769200000000002</v>
      </c>
      <c r="CS559" s="7">
        <v>0</v>
      </c>
      <c r="CT559" s="7">
        <v>50</v>
      </c>
      <c r="CU559" s="7">
        <v>0.72499999999999998</v>
      </c>
      <c r="CV559" s="7">
        <v>50</v>
      </c>
      <c r="CW559" s="7">
        <v>50</v>
      </c>
      <c r="CX559" s="4" t="s">
        <v>124</v>
      </c>
      <c r="CY559" s="4" t="s">
        <v>124</v>
      </c>
      <c r="CZ559" s="4" t="s">
        <v>124</v>
      </c>
      <c r="DA559" s="7">
        <v>15.314097</v>
      </c>
      <c r="DB559" s="7">
        <v>17.400950000000002</v>
      </c>
      <c r="DC559" s="7">
        <v>16.332519999999999</v>
      </c>
      <c r="DD559" s="7">
        <v>7.9891730000000001</v>
      </c>
      <c r="DE559" s="7">
        <v>1</v>
      </c>
      <c r="DF559" s="6"/>
      <c r="DG559" s="6"/>
      <c r="DH559" s="6"/>
      <c r="DI559" s="6"/>
      <c r="DJ559" s="7">
        <v>0</v>
      </c>
      <c r="DK559" s="7">
        <v>0</v>
      </c>
      <c r="DL559" s="7">
        <v>0</v>
      </c>
      <c r="DM559" s="7">
        <v>0</v>
      </c>
      <c r="DN559" s="7">
        <v>0</v>
      </c>
      <c r="DO559" s="7">
        <v>0</v>
      </c>
      <c r="DP559" s="6"/>
      <c r="DQ559" s="4" t="s">
        <v>125</v>
      </c>
    </row>
    <row r="560" spans="1:121" ht="20" customHeight="1" x14ac:dyDescent="0.15">
      <c r="A560" s="5">
        <v>2018</v>
      </c>
      <c r="B560" s="3" t="s">
        <v>254</v>
      </c>
      <c r="C560" s="4" t="str">
        <f t="shared" si="215"/>
        <v>0740011</v>
      </c>
      <c r="D560" s="4" t="s">
        <v>717</v>
      </c>
      <c r="E560" s="4" t="str">
        <f>"0740311"</f>
        <v>0740311</v>
      </c>
      <c r="F560" s="4" t="s">
        <v>327</v>
      </c>
      <c r="G560" s="7">
        <v>4</v>
      </c>
      <c r="H560" s="7">
        <v>6</v>
      </c>
      <c r="I560" s="4" t="s">
        <v>329</v>
      </c>
      <c r="J560" s="4" t="s">
        <v>330</v>
      </c>
      <c r="K560" s="7">
        <v>695.61914400000001</v>
      </c>
      <c r="L560" s="7">
        <v>850</v>
      </c>
      <c r="M560" s="7">
        <v>81.837546000000003</v>
      </c>
      <c r="N560" s="7">
        <v>2</v>
      </c>
      <c r="O560" s="7">
        <v>0</v>
      </c>
      <c r="P560" s="7">
        <v>78.559732999999994</v>
      </c>
      <c r="Q560" s="7">
        <v>50</v>
      </c>
      <c r="R560" s="7">
        <v>50</v>
      </c>
      <c r="S560" s="7">
        <v>70.574512999999996</v>
      </c>
      <c r="T560" s="7">
        <v>75</v>
      </c>
      <c r="U560" s="7">
        <v>47.049675000000001</v>
      </c>
      <c r="V560" s="7">
        <v>50</v>
      </c>
      <c r="W560" s="7">
        <v>78.264748999999995</v>
      </c>
      <c r="X560" s="7">
        <v>50</v>
      </c>
      <c r="Y560" s="7">
        <v>50</v>
      </c>
      <c r="Z560" s="7">
        <v>75</v>
      </c>
      <c r="AA560" s="7">
        <v>69.806190000000001</v>
      </c>
      <c r="AB560" s="7">
        <v>46.537460000000003</v>
      </c>
      <c r="AC560" s="7">
        <v>50</v>
      </c>
      <c r="AD560" s="7">
        <v>77.153353999999993</v>
      </c>
      <c r="AE560" s="7">
        <v>50</v>
      </c>
      <c r="AF560" s="7">
        <v>50</v>
      </c>
      <c r="AG560" s="7">
        <v>68.461405999999997</v>
      </c>
      <c r="AH560" s="7">
        <v>75</v>
      </c>
      <c r="AI560" s="7">
        <v>45.640937000000001</v>
      </c>
      <c r="AJ560" s="7">
        <v>50</v>
      </c>
      <c r="AK560" s="7">
        <v>4.42</v>
      </c>
      <c r="AL560" s="7">
        <v>5.19</v>
      </c>
      <c r="AM560" s="7">
        <v>6.53</v>
      </c>
      <c r="AN560" s="7">
        <v>0.65974100000000002</v>
      </c>
      <c r="AO560" s="7">
        <v>65.974103999999997</v>
      </c>
      <c r="AP560" s="7">
        <v>100</v>
      </c>
      <c r="AQ560" s="7">
        <v>0.77661000000000002</v>
      </c>
      <c r="AR560" s="7">
        <v>77.661033000000003</v>
      </c>
      <c r="AS560" s="7">
        <v>100</v>
      </c>
      <c r="AT560" s="7">
        <v>0.59193300000000004</v>
      </c>
      <c r="AU560" s="7">
        <v>0.70165900000000003</v>
      </c>
      <c r="AV560" s="7">
        <v>59.193278999999997</v>
      </c>
      <c r="AW560" s="7">
        <v>100</v>
      </c>
      <c r="AX560" s="7">
        <v>0.69571300000000003</v>
      </c>
      <c r="AY560" s="7">
        <v>0.82661899999999999</v>
      </c>
      <c r="AZ560" s="7">
        <v>69.571337999999997</v>
      </c>
      <c r="BA560" s="7">
        <v>100</v>
      </c>
      <c r="BB560" s="4" t="s">
        <v>124</v>
      </c>
      <c r="BC560" s="4" t="s">
        <v>124</v>
      </c>
      <c r="BD560" s="4" t="s">
        <v>124</v>
      </c>
      <c r="BE560" s="4" t="s">
        <v>124</v>
      </c>
      <c r="BF560" s="4" t="s">
        <v>124</v>
      </c>
      <c r="BG560" s="4" t="s">
        <v>124</v>
      </c>
      <c r="BH560" s="7">
        <v>0</v>
      </c>
      <c r="BI560" s="7">
        <v>0.96858599999999995</v>
      </c>
      <c r="BJ560" s="7">
        <v>0.97297299999999998</v>
      </c>
      <c r="BK560" s="7">
        <v>0.965812</v>
      </c>
      <c r="BL560" s="7">
        <v>0.96858599999999995</v>
      </c>
      <c r="BM560" s="7">
        <v>0.97297299999999998</v>
      </c>
      <c r="BN560" s="7">
        <v>0.965812</v>
      </c>
      <c r="BO560" s="7">
        <v>0.984375</v>
      </c>
      <c r="BP560" s="7">
        <v>1</v>
      </c>
      <c r="BQ560" s="7">
        <v>0.97222200000000003</v>
      </c>
      <c r="BR560" s="7">
        <v>4.7120000000000002E-2</v>
      </c>
      <c r="BS560" s="7">
        <v>50</v>
      </c>
      <c r="BT560" s="7">
        <v>50</v>
      </c>
      <c r="BU560" s="7">
        <v>9.5890000000000003E-2</v>
      </c>
      <c r="BV560" s="7">
        <v>40.821917999999997</v>
      </c>
      <c r="BW560" s="7">
        <v>50</v>
      </c>
      <c r="BX560" s="4" t="s">
        <v>124</v>
      </c>
      <c r="BY560" s="4" t="s">
        <v>124</v>
      </c>
      <c r="BZ560" s="4" t="s">
        <v>124</v>
      </c>
      <c r="CA560" s="4" t="s">
        <v>124</v>
      </c>
      <c r="CB560" s="4" t="s">
        <v>124</v>
      </c>
      <c r="CC560" s="4" t="s">
        <v>124</v>
      </c>
      <c r="CD560" s="4" t="s">
        <v>124</v>
      </c>
      <c r="CE560" s="4" t="s">
        <v>124</v>
      </c>
      <c r="CF560" s="4" t="s">
        <v>124</v>
      </c>
      <c r="CG560" s="4" t="s">
        <v>124</v>
      </c>
      <c r="CH560" s="4" t="s">
        <v>124</v>
      </c>
      <c r="CI560" s="4" t="s">
        <v>124</v>
      </c>
      <c r="CJ560" s="4" t="s">
        <v>124</v>
      </c>
      <c r="CK560" s="4" t="s">
        <v>124</v>
      </c>
      <c r="CL560" s="4" t="s">
        <v>124</v>
      </c>
      <c r="CM560" s="4" t="s">
        <v>124</v>
      </c>
      <c r="CN560" s="4" t="s">
        <v>124</v>
      </c>
      <c r="CO560" s="4" t="s">
        <v>124</v>
      </c>
      <c r="CP560" s="4" t="s">
        <v>124</v>
      </c>
      <c r="CQ560" s="7">
        <v>0.64754100000000003</v>
      </c>
      <c r="CR560" s="7">
        <v>0.96062999999999998</v>
      </c>
      <c r="CS560" s="7">
        <v>43.169398999999999</v>
      </c>
      <c r="CT560" s="7">
        <v>50</v>
      </c>
      <c r="CU560" s="4" t="s">
        <v>124</v>
      </c>
      <c r="CV560" s="4" t="s">
        <v>124</v>
      </c>
      <c r="CW560" s="4" t="s">
        <v>124</v>
      </c>
      <c r="CX560" s="4" t="s">
        <v>124</v>
      </c>
      <c r="CY560" s="4" t="s">
        <v>124</v>
      </c>
      <c r="CZ560" s="4" t="s">
        <v>124</v>
      </c>
      <c r="DA560" s="7">
        <v>15.314097</v>
      </c>
      <c r="DB560" s="7">
        <v>17.400950000000002</v>
      </c>
      <c r="DC560" s="7">
        <v>16.332519999999999</v>
      </c>
      <c r="DD560" s="4" t="s">
        <v>124</v>
      </c>
      <c r="DE560" s="7">
        <v>0</v>
      </c>
      <c r="DF560" s="6"/>
      <c r="DG560" s="6"/>
      <c r="DH560" s="6"/>
      <c r="DI560" s="6"/>
      <c r="DJ560" s="7">
        <v>0</v>
      </c>
      <c r="DK560" s="7">
        <v>0</v>
      </c>
      <c r="DL560" s="7">
        <v>0</v>
      </c>
      <c r="DM560" s="7">
        <v>0</v>
      </c>
      <c r="DN560" s="7">
        <v>0</v>
      </c>
      <c r="DO560" s="7">
        <v>0</v>
      </c>
      <c r="DP560" s="6"/>
      <c r="DQ560" s="4" t="s">
        <v>125</v>
      </c>
    </row>
    <row r="561" spans="1:121" ht="20" customHeight="1" x14ac:dyDescent="0.15">
      <c r="A561" s="5">
        <v>2018</v>
      </c>
      <c r="B561" s="3" t="s">
        <v>254</v>
      </c>
      <c r="C561" s="4" t="str">
        <f>"0740011"</f>
        <v>0740011</v>
      </c>
      <c r="D561" s="4" t="s">
        <v>718</v>
      </c>
      <c r="E561" s="4" t="str">
        <f>"0746011"</f>
        <v>0746011</v>
      </c>
      <c r="F561" s="4" t="s">
        <v>327</v>
      </c>
      <c r="G561" s="7">
        <v>7</v>
      </c>
      <c r="H561" s="7">
        <v>8</v>
      </c>
      <c r="I561" s="6"/>
      <c r="J561" s="4" t="s">
        <v>330</v>
      </c>
      <c r="K561" s="7">
        <v>696.77307599999995</v>
      </c>
      <c r="L561" s="7">
        <v>900</v>
      </c>
      <c r="M561" s="7">
        <v>77.419230999999996</v>
      </c>
      <c r="N561" s="7">
        <v>3</v>
      </c>
      <c r="O561" s="7">
        <v>0</v>
      </c>
      <c r="P561" s="7">
        <v>76.907588000000004</v>
      </c>
      <c r="Q561" s="7">
        <v>50</v>
      </c>
      <c r="R561" s="7">
        <v>50</v>
      </c>
      <c r="S561" s="7">
        <v>65.438980999999998</v>
      </c>
      <c r="T561" s="7">
        <v>75</v>
      </c>
      <c r="U561" s="7">
        <v>43.625987000000002</v>
      </c>
      <c r="V561" s="7">
        <v>50</v>
      </c>
      <c r="W561" s="7">
        <v>74.866074999999995</v>
      </c>
      <c r="X561" s="7">
        <v>49.910716999999998</v>
      </c>
      <c r="Y561" s="7">
        <v>50</v>
      </c>
      <c r="Z561" s="7">
        <v>75</v>
      </c>
      <c r="AA561" s="7">
        <v>62.279806000000001</v>
      </c>
      <c r="AB561" s="7">
        <v>41.519871000000002</v>
      </c>
      <c r="AC561" s="7">
        <v>50</v>
      </c>
      <c r="AD561" s="7">
        <v>77.425286999999997</v>
      </c>
      <c r="AE561" s="7">
        <v>50</v>
      </c>
      <c r="AF561" s="7">
        <v>50</v>
      </c>
      <c r="AG561" s="7">
        <v>70.187585999999996</v>
      </c>
      <c r="AH561" s="7">
        <v>75</v>
      </c>
      <c r="AI561" s="7">
        <v>46.791724000000002</v>
      </c>
      <c r="AJ561" s="7">
        <v>50</v>
      </c>
      <c r="AK561" s="7">
        <v>9.56</v>
      </c>
      <c r="AL561" s="7">
        <v>12.72</v>
      </c>
      <c r="AM561" s="7">
        <v>4.8099999999999996</v>
      </c>
      <c r="AN561" s="7">
        <v>0.58304</v>
      </c>
      <c r="AO561" s="7">
        <v>58.303972000000002</v>
      </c>
      <c r="AP561" s="7">
        <v>100</v>
      </c>
      <c r="AQ561" s="7">
        <v>0.64676100000000003</v>
      </c>
      <c r="AR561" s="7">
        <v>64.676148999999995</v>
      </c>
      <c r="AS561" s="7">
        <v>100</v>
      </c>
      <c r="AT561" s="7">
        <v>0.55899100000000002</v>
      </c>
      <c r="AU561" s="7">
        <v>0.59424399999999999</v>
      </c>
      <c r="AV561" s="7">
        <v>55.899101999999999</v>
      </c>
      <c r="AW561" s="7">
        <v>100</v>
      </c>
      <c r="AX561" s="7">
        <v>0.54956199999999999</v>
      </c>
      <c r="AY561" s="7">
        <v>0.69204699999999997</v>
      </c>
      <c r="AZ561" s="7">
        <v>54.956226999999998</v>
      </c>
      <c r="BA561" s="7">
        <v>100</v>
      </c>
      <c r="BB561" s="4" t="s">
        <v>124</v>
      </c>
      <c r="BC561" s="4" t="s">
        <v>124</v>
      </c>
      <c r="BD561" s="4" t="s">
        <v>124</v>
      </c>
      <c r="BE561" s="4" t="s">
        <v>124</v>
      </c>
      <c r="BF561" s="4" t="s">
        <v>124</v>
      </c>
      <c r="BG561" s="4" t="s">
        <v>124</v>
      </c>
      <c r="BH561" s="7">
        <v>1</v>
      </c>
      <c r="BI561" s="7">
        <v>0.97101400000000004</v>
      </c>
      <c r="BJ561" s="7">
        <v>0.95454499999999998</v>
      </c>
      <c r="BK561" s="7">
        <v>0.97872300000000001</v>
      </c>
      <c r="BL561" s="7">
        <v>0.97101400000000004</v>
      </c>
      <c r="BM561" s="7">
        <v>0.95454499999999998</v>
      </c>
      <c r="BN561" s="7">
        <v>0.97872300000000001</v>
      </c>
      <c r="BO561" s="7">
        <v>0.95652199999999998</v>
      </c>
      <c r="BP561" s="7">
        <v>0.92592600000000003</v>
      </c>
      <c r="BQ561" s="7">
        <v>0.97619</v>
      </c>
      <c r="BR561" s="7">
        <v>5.0724999999999999E-2</v>
      </c>
      <c r="BS561" s="7">
        <v>49.855072</v>
      </c>
      <c r="BT561" s="7">
        <v>50</v>
      </c>
      <c r="BU561" s="7">
        <v>0.12766</v>
      </c>
      <c r="BV561" s="7">
        <v>34.468085000000002</v>
      </c>
      <c r="BW561" s="7">
        <v>50</v>
      </c>
      <c r="BX561" s="4" t="s">
        <v>124</v>
      </c>
      <c r="BY561" s="4" t="s">
        <v>124</v>
      </c>
      <c r="BZ561" s="4" t="s">
        <v>124</v>
      </c>
      <c r="CA561" s="4" t="s">
        <v>124</v>
      </c>
      <c r="CB561" s="4" t="s">
        <v>124</v>
      </c>
      <c r="CC561" s="4" t="s">
        <v>124</v>
      </c>
      <c r="CD561" s="7">
        <v>1</v>
      </c>
      <c r="CE561" s="7">
        <v>50</v>
      </c>
      <c r="CF561" s="7">
        <v>50</v>
      </c>
      <c r="CG561" s="4" t="s">
        <v>124</v>
      </c>
      <c r="CH561" s="4" t="s">
        <v>124</v>
      </c>
      <c r="CI561" s="4" t="s">
        <v>124</v>
      </c>
      <c r="CJ561" s="4" t="s">
        <v>124</v>
      </c>
      <c r="CK561" s="4" t="s">
        <v>124</v>
      </c>
      <c r="CL561" s="4" t="s">
        <v>124</v>
      </c>
      <c r="CM561" s="4" t="s">
        <v>124</v>
      </c>
      <c r="CN561" s="4" t="s">
        <v>124</v>
      </c>
      <c r="CO561" s="4" t="s">
        <v>124</v>
      </c>
      <c r="CP561" s="4" t="s">
        <v>124</v>
      </c>
      <c r="CQ561" s="7">
        <v>0.70149300000000003</v>
      </c>
      <c r="CR561" s="7">
        <v>0.97101400000000004</v>
      </c>
      <c r="CS561" s="7">
        <v>46.766168999999998</v>
      </c>
      <c r="CT561" s="7">
        <v>50</v>
      </c>
      <c r="CU561" s="4" t="s">
        <v>124</v>
      </c>
      <c r="CV561" s="4" t="s">
        <v>124</v>
      </c>
      <c r="CW561" s="4" t="s">
        <v>124</v>
      </c>
      <c r="CX561" s="4" t="s">
        <v>124</v>
      </c>
      <c r="CY561" s="4" t="s">
        <v>124</v>
      </c>
      <c r="CZ561" s="4" t="s">
        <v>124</v>
      </c>
      <c r="DA561" s="7">
        <v>15.314097</v>
      </c>
      <c r="DB561" s="7">
        <v>17.400950000000002</v>
      </c>
      <c r="DC561" s="7">
        <v>16.332519999999999</v>
      </c>
      <c r="DD561" s="4" t="s">
        <v>124</v>
      </c>
      <c r="DE561" s="7">
        <v>1</v>
      </c>
      <c r="DF561" s="6"/>
      <c r="DG561" s="6"/>
      <c r="DH561" s="6"/>
      <c r="DI561" s="6"/>
      <c r="DJ561" s="7">
        <v>0</v>
      </c>
      <c r="DK561" s="7">
        <v>0</v>
      </c>
      <c r="DL561" s="7">
        <v>0</v>
      </c>
      <c r="DM561" s="7">
        <v>0</v>
      </c>
      <c r="DN561" s="7">
        <v>0</v>
      </c>
      <c r="DO561" s="7">
        <v>0</v>
      </c>
      <c r="DP561" s="6"/>
      <c r="DQ561" s="4" t="s">
        <v>125</v>
      </c>
    </row>
    <row r="562" spans="1:121" ht="20" customHeight="1" x14ac:dyDescent="0.15">
      <c r="A562" s="5">
        <v>2018</v>
      </c>
      <c r="B562" s="3" t="s">
        <v>255</v>
      </c>
      <c r="C562" s="4" t="str">
        <f>"0760011"</f>
        <v>0760011</v>
      </c>
      <c r="D562" s="4" t="s">
        <v>719</v>
      </c>
      <c r="E562" s="4" t="str">
        <f>"0766111"</f>
        <v>0766111</v>
      </c>
      <c r="F562" s="4" t="s">
        <v>327</v>
      </c>
      <c r="G562" s="7">
        <v>9</v>
      </c>
      <c r="H562" s="7">
        <v>12</v>
      </c>
      <c r="I562" s="6"/>
      <c r="J562" s="4" t="s">
        <v>330</v>
      </c>
      <c r="K562" s="7">
        <v>1250.8029220000001</v>
      </c>
      <c r="L562" s="7">
        <v>1450</v>
      </c>
      <c r="M562" s="7">
        <v>86.262270000000001</v>
      </c>
      <c r="N562" s="7">
        <v>2</v>
      </c>
      <c r="O562" s="7">
        <v>1</v>
      </c>
      <c r="P562" s="7">
        <v>69.586484999999996</v>
      </c>
      <c r="Q562" s="7">
        <v>139.17297099999999</v>
      </c>
      <c r="R562" s="7">
        <v>150</v>
      </c>
      <c r="S562" s="7">
        <v>53.937831000000003</v>
      </c>
      <c r="T562" s="7">
        <v>72.325000000000003</v>
      </c>
      <c r="U562" s="7">
        <v>107.87566099999999</v>
      </c>
      <c r="V562" s="7">
        <v>150</v>
      </c>
      <c r="W562" s="7">
        <v>69.564814999999996</v>
      </c>
      <c r="X562" s="7">
        <v>139.12962999999999</v>
      </c>
      <c r="Y562" s="7">
        <v>150</v>
      </c>
      <c r="Z562" s="7">
        <v>72.752778000000006</v>
      </c>
      <c r="AA562" s="7">
        <v>51.347884000000001</v>
      </c>
      <c r="AB562" s="7">
        <v>102.695767</v>
      </c>
      <c r="AC562" s="7">
        <v>150</v>
      </c>
      <c r="AD562" s="7">
        <v>61.829956000000003</v>
      </c>
      <c r="AE562" s="7">
        <v>82.439941000000005</v>
      </c>
      <c r="AF562" s="7">
        <v>100</v>
      </c>
      <c r="AG562" s="7">
        <v>45.878422999999998</v>
      </c>
      <c r="AH562" s="7">
        <v>64.621474000000006</v>
      </c>
      <c r="AI562" s="7">
        <v>61.171230999999999</v>
      </c>
      <c r="AJ562" s="7">
        <v>100</v>
      </c>
      <c r="AK562" s="7">
        <v>18.38</v>
      </c>
      <c r="AL562" s="7">
        <v>21.4</v>
      </c>
      <c r="AM562" s="7">
        <v>18.739999999999998</v>
      </c>
      <c r="AN562" s="4" t="s">
        <v>124</v>
      </c>
      <c r="AO562" s="4" t="s">
        <v>124</v>
      </c>
      <c r="AP562" s="4" t="s">
        <v>124</v>
      </c>
      <c r="AQ562" s="4" t="s">
        <v>124</v>
      </c>
      <c r="AR562" s="4" t="s">
        <v>124</v>
      </c>
      <c r="AS562" s="4" t="s">
        <v>124</v>
      </c>
      <c r="AT562" s="4" t="s">
        <v>124</v>
      </c>
      <c r="AU562" s="4" t="s">
        <v>124</v>
      </c>
      <c r="AV562" s="4" t="s">
        <v>124</v>
      </c>
      <c r="AW562" s="4" t="s">
        <v>124</v>
      </c>
      <c r="AX562" s="4" t="s">
        <v>124</v>
      </c>
      <c r="AY562" s="4" t="s">
        <v>124</v>
      </c>
      <c r="AZ562" s="4" t="s">
        <v>124</v>
      </c>
      <c r="BA562" s="4" t="s">
        <v>124</v>
      </c>
      <c r="BB562" s="4" t="s">
        <v>124</v>
      </c>
      <c r="BC562" s="4" t="s">
        <v>124</v>
      </c>
      <c r="BD562" s="4" t="s">
        <v>124</v>
      </c>
      <c r="BE562" s="4" t="s">
        <v>124</v>
      </c>
      <c r="BF562" s="4" t="s">
        <v>124</v>
      </c>
      <c r="BG562" s="4" t="s">
        <v>124</v>
      </c>
      <c r="BH562" s="7">
        <v>1</v>
      </c>
      <c r="BI562" s="7">
        <v>0.98947399999999996</v>
      </c>
      <c r="BJ562" s="7">
        <v>0.93333299999999997</v>
      </c>
      <c r="BK562" s="7">
        <v>1</v>
      </c>
      <c r="BL562" s="7">
        <v>0.98947399999999996</v>
      </c>
      <c r="BM562" s="7">
        <v>0.93333299999999997</v>
      </c>
      <c r="BN562" s="7">
        <v>1</v>
      </c>
      <c r="BO562" s="7">
        <v>0.98947399999999996</v>
      </c>
      <c r="BP562" s="7">
        <v>0.93333299999999997</v>
      </c>
      <c r="BQ562" s="7">
        <v>1</v>
      </c>
      <c r="BR562" s="7">
        <v>1.3146E-2</v>
      </c>
      <c r="BS562" s="7">
        <v>50</v>
      </c>
      <c r="BT562" s="7">
        <v>50</v>
      </c>
      <c r="BU562" s="7">
        <v>6.4285999999999996E-2</v>
      </c>
      <c r="BV562" s="7">
        <v>47.142856999999999</v>
      </c>
      <c r="BW562" s="7">
        <v>50</v>
      </c>
      <c r="BX562" s="7">
        <v>0.87884300000000004</v>
      </c>
      <c r="BY562" s="7">
        <v>50</v>
      </c>
      <c r="BZ562" s="7">
        <v>50</v>
      </c>
      <c r="CA562" s="7">
        <v>0.75768500000000005</v>
      </c>
      <c r="CB562" s="7">
        <v>50</v>
      </c>
      <c r="CC562" s="7">
        <v>50</v>
      </c>
      <c r="CD562" s="7">
        <v>1</v>
      </c>
      <c r="CE562" s="7">
        <v>50</v>
      </c>
      <c r="CF562" s="7">
        <v>50</v>
      </c>
      <c r="CG562" s="7">
        <v>0.98269899999999999</v>
      </c>
      <c r="CH562" s="7">
        <v>100</v>
      </c>
      <c r="CI562" s="7">
        <v>100</v>
      </c>
      <c r="CJ562" s="7">
        <v>0</v>
      </c>
      <c r="CK562" s="7">
        <v>0.94339600000000001</v>
      </c>
      <c r="CL562" s="7">
        <v>100</v>
      </c>
      <c r="CM562" s="7">
        <v>100</v>
      </c>
      <c r="CN562" s="7">
        <v>0.88421099999999997</v>
      </c>
      <c r="CO562" s="7">
        <v>100</v>
      </c>
      <c r="CP562" s="7">
        <v>100</v>
      </c>
      <c r="CQ562" s="7">
        <v>0.63524599999999998</v>
      </c>
      <c r="CR562" s="7">
        <v>0.85017399999999999</v>
      </c>
      <c r="CS562" s="7">
        <v>21.174862999999998</v>
      </c>
      <c r="CT562" s="7">
        <v>50</v>
      </c>
      <c r="CU562" s="7">
        <v>0.67793400000000004</v>
      </c>
      <c r="CV562" s="7">
        <v>50</v>
      </c>
      <c r="CW562" s="7">
        <v>50</v>
      </c>
      <c r="CX562" s="7">
        <v>0.94339600000000001</v>
      </c>
      <c r="CY562" s="7">
        <v>0.94</v>
      </c>
      <c r="CZ562" s="7">
        <v>-3.3960000000000001E-3</v>
      </c>
      <c r="DA562" s="7">
        <v>15.314097</v>
      </c>
      <c r="DB562" s="7">
        <v>17.400950000000002</v>
      </c>
      <c r="DC562" s="7">
        <v>16.332519999999999</v>
      </c>
      <c r="DD562" s="7">
        <v>7.9891730000000001</v>
      </c>
      <c r="DE562" s="7">
        <v>1</v>
      </c>
      <c r="DF562" s="6"/>
      <c r="DG562" s="6"/>
      <c r="DH562" s="6"/>
      <c r="DI562" s="6"/>
      <c r="DJ562" s="7">
        <v>0</v>
      </c>
      <c r="DK562" s="7">
        <v>0</v>
      </c>
      <c r="DL562" s="7">
        <v>0</v>
      </c>
      <c r="DM562" s="7">
        <v>0</v>
      </c>
      <c r="DN562" s="7">
        <v>0</v>
      </c>
      <c r="DO562" s="7">
        <v>0</v>
      </c>
      <c r="DP562" s="6"/>
      <c r="DQ562" s="4" t="s">
        <v>125</v>
      </c>
    </row>
    <row r="563" spans="1:121" ht="20" customHeight="1" x14ac:dyDescent="0.15">
      <c r="A563" s="5">
        <v>2018</v>
      </c>
      <c r="B563" s="3" t="s">
        <v>255</v>
      </c>
      <c r="C563" s="4" t="str">
        <f>"0760011"</f>
        <v>0760011</v>
      </c>
      <c r="D563" s="4" t="s">
        <v>720</v>
      </c>
      <c r="E563" s="4" t="str">
        <f>"0760611"</f>
        <v>0760611</v>
      </c>
      <c r="F563" s="4" t="s">
        <v>327</v>
      </c>
      <c r="G563" s="7">
        <v>5</v>
      </c>
      <c r="H563" s="7">
        <v>6</v>
      </c>
      <c r="I563" s="4" t="s">
        <v>329</v>
      </c>
      <c r="J563" s="4" t="s">
        <v>330</v>
      </c>
      <c r="K563" s="7">
        <v>615.76839399999994</v>
      </c>
      <c r="L563" s="7">
        <v>850</v>
      </c>
      <c r="M563" s="7">
        <v>72.443340000000006</v>
      </c>
      <c r="N563" s="7">
        <v>4</v>
      </c>
      <c r="O563" s="7">
        <v>1</v>
      </c>
      <c r="P563" s="7">
        <v>76.608187000000001</v>
      </c>
      <c r="Q563" s="7">
        <v>50</v>
      </c>
      <c r="R563" s="7">
        <v>50</v>
      </c>
      <c r="S563" s="7">
        <v>58.850886000000003</v>
      </c>
      <c r="T563" s="7">
        <v>75</v>
      </c>
      <c r="U563" s="7">
        <v>39.233924000000002</v>
      </c>
      <c r="V563" s="7">
        <v>50</v>
      </c>
      <c r="W563" s="7">
        <v>73.596603000000002</v>
      </c>
      <c r="X563" s="7">
        <v>49.064402000000001</v>
      </c>
      <c r="Y563" s="7">
        <v>50</v>
      </c>
      <c r="Z563" s="7">
        <v>75</v>
      </c>
      <c r="AA563" s="7">
        <v>58.013810999999997</v>
      </c>
      <c r="AB563" s="7">
        <v>38.675874</v>
      </c>
      <c r="AC563" s="7">
        <v>50</v>
      </c>
      <c r="AD563" s="7">
        <v>76.013364999999993</v>
      </c>
      <c r="AE563" s="7">
        <v>50</v>
      </c>
      <c r="AF563" s="7">
        <v>50</v>
      </c>
      <c r="AG563" s="7">
        <v>60.187618999999998</v>
      </c>
      <c r="AH563" s="7">
        <v>75</v>
      </c>
      <c r="AI563" s="7">
        <v>40.125078999999999</v>
      </c>
      <c r="AJ563" s="7">
        <v>50</v>
      </c>
      <c r="AK563" s="7">
        <v>16.14</v>
      </c>
      <c r="AL563" s="7">
        <v>16.98</v>
      </c>
      <c r="AM563" s="7">
        <v>14.81</v>
      </c>
      <c r="AN563" s="7">
        <v>0.57512799999999997</v>
      </c>
      <c r="AO563" s="7">
        <v>57.512805999999998</v>
      </c>
      <c r="AP563" s="7">
        <v>100</v>
      </c>
      <c r="AQ563" s="7">
        <v>0.54466599999999998</v>
      </c>
      <c r="AR563" s="7">
        <v>54.466647000000002</v>
      </c>
      <c r="AS563" s="7">
        <v>100</v>
      </c>
      <c r="AT563" s="7">
        <v>0.48410300000000001</v>
      </c>
      <c r="AU563" s="7">
        <v>0.59293700000000005</v>
      </c>
      <c r="AV563" s="7">
        <v>48.410336999999998</v>
      </c>
      <c r="AW563" s="7">
        <v>100</v>
      </c>
      <c r="AX563" s="7">
        <v>0.48587599999999997</v>
      </c>
      <c r="AY563" s="7">
        <v>0.556253</v>
      </c>
      <c r="AZ563" s="7">
        <v>48.587609999999998</v>
      </c>
      <c r="BA563" s="7">
        <v>100</v>
      </c>
      <c r="BB563" s="4" t="s">
        <v>124</v>
      </c>
      <c r="BC563" s="4" t="s">
        <v>124</v>
      </c>
      <c r="BD563" s="4" t="s">
        <v>124</v>
      </c>
      <c r="BE563" s="4" t="s">
        <v>124</v>
      </c>
      <c r="BF563" s="4" t="s">
        <v>124</v>
      </c>
      <c r="BG563" s="4" t="s">
        <v>124</v>
      </c>
      <c r="BH563" s="7">
        <v>1</v>
      </c>
      <c r="BI563" s="7">
        <v>0.93085099999999998</v>
      </c>
      <c r="BJ563" s="7">
        <v>0.84506999999999999</v>
      </c>
      <c r="BK563" s="7">
        <v>0.95082</v>
      </c>
      <c r="BL563" s="7">
        <v>0.92553200000000002</v>
      </c>
      <c r="BM563" s="7">
        <v>0.84506999999999999</v>
      </c>
      <c r="BN563" s="7">
        <v>0.94426200000000005</v>
      </c>
      <c r="BO563" s="7">
        <v>0.93782399999999999</v>
      </c>
      <c r="BP563" s="7">
        <v>0.92307700000000004</v>
      </c>
      <c r="BQ563" s="7">
        <v>0.94155800000000001</v>
      </c>
      <c r="BR563" s="7">
        <v>2.3935999999999999E-2</v>
      </c>
      <c r="BS563" s="7">
        <v>50</v>
      </c>
      <c r="BT563" s="7">
        <v>50</v>
      </c>
      <c r="BU563" s="7">
        <v>4.4776000000000003E-2</v>
      </c>
      <c r="BV563" s="7">
        <v>50</v>
      </c>
      <c r="BW563" s="7">
        <v>50</v>
      </c>
      <c r="BX563" s="4" t="s">
        <v>124</v>
      </c>
      <c r="BY563" s="4" t="s">
        <v>124</v>
      </c>
      <c r="BZ563" s="4" t="s">
        <v>124</v>
      </c>
      <c r="CA563" s="4" t="s">
        <v>124</v>
      </c>
      <c r="CB563" s="4" t="s">
        <v>124</v>
      </c>
      <c r="CC563" s="4" t="s">
        <v>124</v>
      </c>
      <c r="CD563" s="4" t="s">
        <v>124</v>
      </c>
      <c r="CE563" s="4" t="s">
        <v>124</v>
      </c>
      <c r="CF563" s="4" t="s">
        <v>124</v>
      </c>
      <c r="CG563" s="4" t="s">
        <v>124</v>
      </c>
      <c r="CH563" s="4" t="s">
        <v>124</v>
      </c>
      <c r="CI563" s="4" t="s">
        <v>124</v>
      </c>
      <c r="CJ563" s="4" t="s">
        <v>124</v>
      </c>
      <c r="CK563" s="4" t="s">
        <v>124</v>
      </c>
      <c r="CL563" s="4" t="s">
        <v>124</v>
      </c>
      <c r="CM563" s="4" t="s">
        <v>124</v>
      </c>
      <c r="CN563" s="4" t="s">
        <v>124</v>
      </c>
      <c r="CO563" s="4" t="s">
        <v>124</v>
      </c>
      <c r="CP563" s="4" t="s">
        <v>124</v>
      </c>
      <c r="CQ563" s="7">
        <v>0.59537600000000002</v>
      </c>
      <c r="CR563" s="7">
        <v>0.94535499999999995</v>
      </c>
      <c r="CS563" s="7">
        <v>39.691715000000002</v>
      </c>
      <c r="CT563" s="7">
        <v>50</v>
      </c>
      <c r="CU563" s="4" t="s">
        <v>124</v>
      </c>
      <c r="CV563" s="4" t="s">
        <v>124</v>
      </c>
      <c r="CW563" s="4" t="s">
        <v>124</v>
      </c>
      <c r="CX563" s="4" t="s">
        <v>124</v>
      </c>
      <c r="CY563" s="4" t="s">
        <v>124</v>
      </c>
      <c r="CZ563" s="4" t="s">
        <v>124</v>
      </c>
      <c r="DA563" s="7">
        <v>15.314097</v>
      </c>
      <c r="DB563" s="7">
        <v>17.400950000000002</v>
      </c>
      <c r="DC563" s="7">
        <v>16.332519999999999</v>
      </c>
      <c r="DD563" s="4" t="s">
        <v>124</v>
      </c>
      <c r="DE563" s="7">
        <v>1</v>
      </c>
      <c r="DF563" s="4" t="s">
        <v>384</v>
      </c>
      <c r="DG563" s="4" t="s">
        <v>417</v>
      </c>
      <c r="DH563" s="6"/>
      <c r="DI563" s="6"/>
      <c r="DJ563" s="7">
        <v>0</v>
      </c>
      <c r="DK563" s="7">
        <v>0</v>
      </c>
      <c r="DL563" s="7">
        <v>0</v>
      </c>
      <c r="DM563" s="7">
        <v>0</v>
      </c>
      <c r="DN563" s="7">
        <v>0</v>
      </c>
      <c r="DO563" s="7">
        <v>0</v>
      </c>
      <c r="DP563" s="6"/>
      <c r="DQ563" s="4" t="s">
        <v>125</v>
      </c>
    </row>
    <row r="564" spans="1:121" ht="20" customHeight="1" x14ac:dyDescent="0.15">
      <c r="A564" s="5">
        <v>2018</v>
      </c>
      <c r="B564" s="3" t="s">
        <v>255</v>
      </c>
      <c r="C564" s="4" t="str">
        <f t="shared" si="130"/>
        <v>0760011</v>
      </c>
      <c r="D564" s="4" t="s">
        <v>721</v>
      </c>
      <c r="E564" s="4" t="str">
        <f>"0760211"</f>
        <v>0760211</v>
      </c>
      <c r="F564" s="4" t="s">
        <v>327</v>
      </c>
      <c r="G564" s="4" t="s">
        <v>338</v>
      </c>
      <c r="H564" s="7">
        <v>4</v>
      </c>
      <c r="I564" s="4" t="s">
        <v>329</v>
      </c>
      <c r="J564" s="4" t="s">
        <v>330</v>
      </c>
      <c r="K564" s="7">
        <v>478.897153</v>
      </c>
      <c r="L564" s="7">
        <v>550</v>
      </c>
      <c r="M564" s="7">
        <v>87.072209999999998</v>
      </c>
      <c r="N564" s="7">
        <v>2</v>
      </c>
      <c r="O564" s="7">
        <v>1</v>
      </c>
      <c r="P564" s="7">
        <v>79.734005999999994</v>
      </c>
      <c r="Q564" s="7">
        <v>50</v>
      </c>
      <c r="R564" s="7">
        <v>50</v>
      </c>
      <c r="S564" s="7">
        <v>68.365076000000002</v>
      </c>
      <c r="T564" s="7">
        <v>75</v>
      </c>
      <c r="U564" s="7">
        <v>45.576718</v>
      </c>
      <c r="V564" s="7">
        <v>50</v>
      </c>
      <c r="W564" s="7">
        <v>75.375532000000007</v>
      </c>
      <c r="X564" s="7">
        <v>50</v>
      </c>
      <c r="Y564" s="7">
        <v>50</v>
      </c>
      <c r="Z564" s="7">
        <v>75</v>
      </c>
      <c r="AA564" s="7">
        <v>56.334947</v>
      </c>
      <c r="AB564" s="7">
        <v>37.556631000000003</v>
      </c>
      <c r="AC564" s="7">
        <v>50</v>
      </c>
      <c r="AD564" s="4" t="s">
        <v>124</v>
      </c>
      <c r="AE564" s="4" t="s">
        <v>124</v>
      </c>
      <c r="AF564" s="4" t="s">
        <v>124</v>
      </c>
      <c r="AG564" s="4" t="s">
        <v>124</v>
      </c>
      <c r="AH564" s="4" t="s">
        <v>124</v>
      </c>
      <c r="AI564" s="4" t="s">
        <v>124</v>
      </c>
      <c r="AJ564" s="4" t="s">
        <v>124</v>
      </c>
      <c r="AK564" s="7">
        <v>6.63</v>
      </c>
      <c r="AL564" s="7">
        <v>18.66</v>
      </c>
      <c r="AM564" s="4" t="s">
        <v>124</v>
      </c>
      <c r="AN564" s="7">
        <v>0.84387800000000002</v>
      </c>
      <c r="AO564" s="7">
        <v>84.387776000000002</v>
      </c>
      <c r="AP564" s="7">
        <v>100</v>
      </c>
      <c r="AQ564" s="7">
        <v>0.85921499999999995</v>
      </c>
      <c r="AR564" s="7">
        <v>85.921482999999995</v>
      </c>
      <c r="AS564" s="7">
        <v>100</v>
      </c>
      <c r="AT564" s="4" t="s">
        <v>124</v>
      </c>
      <c r="AU564" s="7">
        <v>0.84187000000000001</v>
      </c>
      <c r="AV564" s="4" t="s">
        <v>124</v>
      </c>
      <c r="AW564" s="4" t="s">
        <v>124</v>
      </c>
      <c r="AX564" s="4" t="s">
        <v>124</v>
      </c>
      <c r="AY564" s="7">
        <v>0.86374799999999996</v>
      </c>
      <c r="AZ564" s="4" t="s">
        <v>124</v>
      </c>
      <c r="BA564" s="4" t="s">
        <v>124</v>
      </c>
      <c r="BB564" s="4" t="s">
        <v>124</v>
      </c>
      <c r="BC564" s="4" t="s">
        <v>124</v>
      </c>
      <c r="BD564" s="4" t="s">
        <v>124</v>
      </c>
      <c r="BE564" s="4" t="s">
        <v>124</v>
      </c>
      <c r="BF564" s="4" t="s">
        <v>124</v>
      </c>
      <c r="BG564" s="4" t="s">
        <v>124</v>
      </c>
      <c r="BH564" s="7">
        <v>1</v>
      </c>
      <c r="BI564" s="7">
        <v>0.953704</v>
      </c>
      <c r="BJ564" s="7">
        <v>0.84</v>
      </c>
      <c r="BK564" s="7">
        <v>0.98795200000000005</v>
      </c>
      <c r="BL564" s="7">
        <v>0.953704</v>
      </c>
      <c r="BM564" s="7">
        <v>0.84</v>
      </c>
      <c r="BN564" s="7">
        <v>0.98795200000000005</v>
      </c>
      <c r="BO564" s="4" t="s">
        <v>124</v>
      </c>
      <c r="BP564" s="4" t="s">
        <v>124</v>
      </c>
      <c r="BQ564" s="4" t="s">
        <v>124</v>
      </c>
      <c r="BR564" s="7">
        <v>2.3529000000000001E-2</v>
      </c>
      <c r="BS564" s="7">
        <v>50</v>
      </c>
      <c r="BT564" s="7">
        <v>50</v>
      </c>
      <c r="BU564" s="7">
        <v>0.02</v>
      </c>
      <c r="BV564" s="7">
        <v>50</v>
      </c>
      <c r="BW564" s="7">
        <v>50</v>
      </c>
      <c r="BX564" s="4" t="s">
        <v>124</v>
      </c>
      <c r="BY564" s="4" t="s">
        <v>124</v>
      </c>
      <c r="BZ564" s="4" t="s">
        <v>124</v>
      </c>
      <c r="CA564" s="4" t="s">
        <v>124</v>
      </c>
      <c r="CB564" s="4" t="s">
        <v>124</v>
      </c>
      <c r="CC564" s="4" t="s">
        <v>124</v>
      </c>
      <c r="CD564" s="4" t="s">
        <v>124</v>
      </c>
      <c r="CE564" s="4" t="s">
        <v>124</v>
      </c>
      <c r="CF564" s="4" t="s">
        <v>124</v>
      </c>
      <c r="CG564" s="4" t="s">
        <v>124</v>
      </c>
      <c r="CH564" s="4" t="s">
        <v>124</v>
      </c>
      <c r="CI564" s="4" t="s">
        <v>124</v>
      </c>
      <c r="CJ564" s="4" t="s">
        <v>124</v>
      </c>
      <c r="CK564" s="4" t="s">
        <v>124</v>
      </c>
      <c r="CL564" s="4" t="s">
        <v>124</v>
      </c>
      <c r="CM564" s="4" t="s">
        <v>124</v>
      </c>
      <c r="CN564" s="4" t="s">
        <v>124</v>
      </c>
      <c r="CO564" s="4" t="s">
        <v>124</v>
      </c>
      <c r="CP564" s="4" t="s">
        <v>124</v>
      </c>
      <c r="CQ564" s="7">
        <v>0.38181799999999999</v>
      </c>
      <c r="CR564" s="7">
        <v>1.0784309999999999</v>
      </c>
      <c r="CS564" s="7">
        <v>25.454545</v>
      </c>
      <c r="CT564" s="7">
        <v>50</v>
      </c>
      <c r="CU564" s="4" t="s">
        <v>124</v>
      </c>
      <c r="CV564" s="4" t="s">
        <v>124</v>
      </c>
      <c r="CW564" s="4" t="s">
        <v>124</v>
      </c>
      <c r="CX564" s="4" t="s">
        <v>124</v>
      </c>
      <c r="CY564" s="4" t="s">
        <v>124</v>
      </c>
      <c r="CZ564" s="4" t="s">
        <v>124</v>
      </c>
      <c r="DA564" s="7">
        <v>15.314097</v>
      </c>
      <c r="DB564" s="7">
        <v>17.400950000000002</v>
      </c>
      <c r="DC564" s="7">
        <v>16.332519999999999</v>
      </c>
      <c r="DD564" s="4" t="s">
        <v>124</v>
      </c>
      <c r="DE564" s="7">
        <v>1</v>
      </c>
      <c r="DF564" s="6"/>
      <c r="DG564" s="6"/>
      <c r="DH564" s="6"/>
      <c r="DI564" s="6"/>
      <c r="DJ564" s="7">
        <v>0</v>
      </c>
      <c r="DK564" s="7">
        <v>0</v>
      </c>
      <c r="DL564" s="7">
        <v>0</v>
      </c>
      <c r="DM564" s="7">
        <v>0</v>
      </c>
      <c r="DN564" s="7">
        <v>0</v>
      </c>
      <c r="DO564" s="7">
        <v>0</v>
      </c>
      <c r="DP564" s="6"/>
      <c r="DQ564" s="4" t="s">
        <v>125</v>
      </c>
    </row>
    <row r="565" spans="1:121" ht="20" customHeight="1" x14ac:dyDescent="0.15">
      <c r="A565" s="5">
        <v>2018</v>
      </c>
      <c r="B565" s="3" t="s">
        <v>255</v>
      </c>
      <c r="C565" s="4" t="str">
        <f t="shared" ref="C565:C567" si="216">"0760011"</f>
        <v>0760011</v>
      </c>
      <c r="D565" s="4" t="s">
        <v>722</v>
      </c>
      <c r="E565" s="4" t="str">
        <f>"0760111"</f>
        <v>0760111</v>
      </c>
      <c r="F565" s="4" t="s">
        <v>327</v>
      </c>
      <c r="G565" s="4" t="s">
        <v>338</v>
      </c>
      <c r="H565" s="7">
        <v>4</v>
      </c>
      <c r="I565" s="6"/>
      <c r="J565" s="4" t="s">
        <v>330</v>
      </c>
      <c r="K565" s="7">
        <v>625.27945699999998</v>
      </c>
      <c r="L565" s="7">
        <v>750</v>
      </c>
      <c r="M565" s="7">
        <v>83.370593999999997</v>
      </c>
      <c r="N565" s="7">
        <v>2</v>
      </c>
      <c r="O565" s="7">
        <v>0</v>
      </c>
      <c r="P565" s="7">
        <v>79.54692</v>
      </c>
      <c r="Q565" s="7">
        <v>50</v>
      </c>
      <c r="R565" s="7">
        <v>50</v>
      </c>
      <c r="S565" s="7">
        <v>68.169222000000005</v>
      </c>
      <c r="T565" s="7">
        <v>75</v>
      </c>
      <c r="U565" s="7">
        <v>45.446148000000001</v>
      </c>
      <c r="V565" s="7">
        <v>50</v>
      </c>
      <c r="W565" s="7">
        <v>76.745165999999998</v>
      </c>
      <c r="X565" s="7">
        <v>50</v>
      </c>
      <c r="Y565" s="7">
        <v>50</v>
      </c>
      <c r="Z565" s="7">
        <v>75</v>
      </c>
      <c r="AA565" s="7">
        <v>66.658856999999998</v>
      </c>
      <c r="AB565" s="7">
        <v>44.439238000000003</v>
      </c>
      <c r="AC565" s="7">
        <v>50</v>
      </c>
      <c r="AD565" s="4" t="s">
        <v>124</v>
      </c>
      <c r="AE565" s="4" t="s">
        <v>124</v>
      </c>
      <c r="AF565" s="4" t="s">
        <v>124</v>
      </c>
      <c r="AG565" s="4" t="s">
        <v>124</v>
      </c>
      <c r="AH565" s="4" t="s">
        <v>124</v>
      </c>
      <c r="AI565" s="4" t="s">
        <v>124</v>
      </c>
      <c r="AJ565" s="4" t="s">
        <v>124</v>
      </c>
      <c r="AK565" s="7">
        <v>6.83</v>
      </c>
      <c r="AL565" s="7">
        <v>8.34</v>
      </c>
      <c r="AM565" s="4" t="s">
        <v>124</v>
      </c>
      <c r="AN565" s="7">
        <v>0.74894899999999998</v>
      </c>
      <c r="AO565" s="7">
        <v>74.894869999999997</v>
      </c>
      <c r="AP565" s="7">
        <v>100</v>
      </c>
      <c r="AQ565" s="7">
        <v>0.83688200000000001</v>
      </c>
      <c r="AR565" s="7">
        <v>83.688248000000002</v>
      </c>
      <c r="AS565" s="7">
        <v>100</v>
      </c>
      <c r="AT565" s="7">
        <v>0.56948900000000002</v>
      </c>
      <c r="AU565" s="7">
        <v>0.82682699999999998</v>
      </c>
      <c r="AV565" s="7">
        <v>56.948909999999998</v>
      </c>
      <c r="AW565" s="7">
        <v>100</v>
      </c>
      <c r="AX565" s="7">
        <v>0.76240600000000003</v>
      </c>
      <c r="AY565" s="7">
        <v>0.86920200000000003</v>
      </c>
      <c r="AZ565" s="7">
        <v>76.240644000000003</v>
      </c>
      <c r="BA565" s="7">
        <v>100</v>
      </c>
      <c r="BB565" s="4" t="s">
        <v>124</v>
      </c>
      <c r="BC565" s="4" t="s">
        <v>124</v>
      </c>
      <c r="BD565" s="4" t="s">
        <v>124</v>
      </c>
      <c r="BE565" s="4" t="s">
        <v>124</v>
      </c>
      <c r="BF565" s="4" t="s">
        <v>124</v>
      </c>
      <c r="BG565" s="4" t="s">
        <v>124</v>
      </c>
      <c r="BH565" s="7">
        <v>0</v>
      </c>
      <c r="BI565" s="7">
        <v>0.99285699999999999</v>
      </c>
      <c r="BJ565" s="7">
        <v>1</v>
      </c>
      <c r="BK565" s="7">
        <v>0.98979600000000001</v>
      </c>
      <c r="BL565" s="7">
        <v>0.99285699999999999</v>
      </c>
      <c r="BM565" s="7">
        <v>1</v>
      </c>
      <c r="BN565" s="7">
        <v>0.98979600000000001</v>
      </c>
      <c r="BO565" s="4" t="s">
        <v>124</v>
      </c>
      <c r="BP565" s="4" t="s">
        <v>124</v>
      </c>
      <c r="BQ565" s="4" t="s">
        <v>124</v>
      </c>
      <c r="BR565" s="7">
        <v>2.3120999999999999E-2</v>
      </c>
      <c r="BS565" s="7">
        <v>50</v>
      </c>
      <c r="BT565" s="7">
        <v>50</v>
      </c>
      <c r="BU565" s="7">
        <v>4.5455000000000002E-2</v>
      </c>
      <c r="BV565" s="7">
        <v>50</v>
      </c>
      <c r="BW565" s="7">
        <v>50</v>
      </c>
      <c r="BX565" s="4" t="s">
        <v>124</v>
      </c>
      <c r="BY565" s="4" t="s">
        <v>124</v>
      </c>
      <c r="BZ565" s="4" t="s">
        <v>124</v>
      </c>
      <c r="CA565" s="4" t="s">
        <v>124</v>
      </c>
      <c r="CB565" s="4" t="s">
        <v>124</v>
      </c>
      <c r="CC565" s="4" t="s">
        <v>124</v>
      </c>
      <c r="CD565" s="4" t="s">
        <v>124</v>
      </c>
      <c r="CE565" s="4" t="s">
        <v>124</v>
      </c>
      <c r="CF565" s="4" t="s">
        <v>124</v>
      </c>
      <c r="CG565" s="4" t="s">
        <v>124</v>
      </c>
      <c r="CH565" s="4" t="s">
        <v>124</v>
      </c>
      <c r="CI565" s="4" t="s">
        <v>124</v>
      </c>
      <c r="CJ565" s="4" t="s">
        <v>124</v>
      </c>
      <c r="CK565" s="4" t="s">
        <v>124</v>
      </c>
      <c r="CL565" s="4" t="s">
        <v>124</v>
      </c>
      <c r="CM565" s="4" t="s">
        <v>124</v>
      </c>
      <c r="CN565" s="4" t="s">
        <v>124</v>
      </c>
      <c r="CO565" s="4" t="s">
        <v>124</v>
      </c>
      <c r="CP565" s="4" t="s">
        <v>124</v>
      </c>
      <c r="CQ565" s="7">
        <v>0.65432100000000004</v>
      </c>
      <c r="CR565" s="7">
        <v>1</v>
      </c>
      <c r="CS565" s="7">
        <v>43.621398999999997</v>
      </c>
      <c r="CT565" s="7">
        <v>50</v>
      </c>
      <c r="CU565" s="4" t="s">
        <v>124</v>
      </c>
      <c r="CV565" s="4" t="s">
        <v>124</v>
      </c>
      <c r="CW565" s="4" t="s">
        <v>124</v>
      </c>
      <c r="CX565" s="4" t="s">
        <v>124</v>
      </c>
      <c r="CY565" s="4" t="s">
        <v>124</v>
      </c>
      <c r="CZ565" s="4" t="s">
        <v>124</v>
      </c>
      <c r="DA565" s="7">
        <v>15.314097</v>
      </c>
      <c r="DB565" s="7">
        <v>17.400950000000002</v>
      </c>
      <c r="DC565" s="7">
        <v>16.332519999999999</v>
      </c>
      <c r="DD565" s="4" t="s">
        <v>124</v>
      </c>
      <c r="DE565" s="7">
        <v>0</v>
      </c>
      <c r="DF565" s="6"/>
      <c r="DG565" s="6"/>
      <c r="DH565" s="6"/>
      <c r="DI565" s="6"/>
      <c r="DJ565" s="7">
        <v>0</v>
      </c>
      <c r="DK565" s="7">
        <v>0</v>
      </c>
      <c r="DL565" s="7">
        <v>0</v>
      </c>
      <c r="DM565" s="7">
        <v>0</v>
      </c>
      <c r="DN565" s="7">
        <v>0</v>
      </c>
      <c r="DO565" s="7">
        <v>0</v>
      </c>
      <c r="DP565" s="6"/>
      <c r="DQ565" s="4" t="s">
        <v>125</v>
      </c>
    </row>
    <row r="566" spans="1:121" ht="20" customHeight="1" x14ac:dyDescent="0.15">
      <c r="A566" s="5">
        <v>2018</v>
      </c>
      <c r="B566" s="3" t="s">
        <v>255</v>
      </c>
      <c r="C566" s="4" t="str">
        <f t="shared" si="216"/>
        <v>0760011</v>
      </c>
      <c r="D566" s="4" t="s">
        <v>723</v>
      </c>
      <c r="E566" s="4" t="str">
        <f>"0760311"</f>
        <v>0760311</v>
      </c>
      <c r="F566" s="4" t="s">
        <v>327</v>
      </c>
      <c r="G566" s="4" t="s">
        <v>338</v>
      </c>
      <c r="H566" s="7">
        <v>4</v>
      </c>
      <c r="I566" s="4" t="s">
        <v>329</v>
      </c>
      <c r="J566" s="4" t="s">
        <v>330</v>
      </c>
      <c r="K566" s="7">
        <v>415.23185100000001</v>
      </c>
      <c r="L566" s="7">
        <v>450</v>
      </c>
      <c r="M566" s="7">
        <v>92.273745000000005</v>
      </c>
      <c r="N566" s="7">
        <v>1</v>
      </c>
      <c r="O566" s="7">
        <v>0</v>
      </c>
      <c r="P566" s="7">
        <v>83.258026000000001</v>
      </c>
      <c r="Q566" s="7">
        <v>50</v>
      </c>
      <c r="R566" s="7">
        <v>50</v>
      </c>
      <c r="S566" s="4" t="s">
        <v>124</v>
      </c>
      <c r="T566" s="7">
        <v>75</v>
      </c>
      <c r="U566" s="4" t="s">
        <v>124</v>
      </c>
      <c r="V566" s="4" t="s">
        <v>124</v>
      </c>
      <c r="W566" s="7">
        <v>80.533961000000005</v>
      </c>
      <c r="X566" s="7">
        <v>50</v>
      </c>
      <c r="Y566" s="7">
        <v>50</v>
      </c>
      <c r="Z566" s="7">
        <v>75</v>
      </c>
      <c r="AA566" s="4" t="s">
        <v>124</v>
      </c>
      <c r="AB566" s="4" t="s">
        <v>124</v>
      </c>
      <c r="AC566" s="4" t="s">
        <v>124</v>
      </c>
      <c r="AD566" s="4" t="s">
        <v>124</v>
      </c>
      <c r="AE566" s="4" t="s">
        <v>124</v>
      </c>
      <c r="AF566" s="4" t="s">
        <v>124</v>
      </c>
      <c r="AG566" s="4" t="s">
        <v>124</v>
      </c>
      <c r="AH566" s="4" t="s">
        <v>124</v>
      </c>
      <c r="AI566" s="4" t="s">
        <v>124</v>
      </c>
      <c r="AJ566" s="4" t="s">
        <v>124</v>
      </c>
      <c r="AK566" s="4" t="s">
        <v>124</v>
      </c>
      <c r="AL566" s="4" t="s">
        <v>124</v>
      </c>
      <c r="AM566" s="4" t="s">
        <v>124</v>
      </c>
      <c r="AN566" s="7">
        <v>0.75876600000000005</v>
      </c>
      <c r="AO566" s="7">
        <v>75.876614000000004</v>
      </c>
      <c r="AP566" s="7">
        <v>100</v>
      </c>
      <c r="AQ566" s="7">
        <v>0.90232400000000001</v>
      </c>
      <c r="AR566" s="7">
        <v>90.232429999999994</v>
      </c>
      <c r="AS566" s="7">
        <v>100</v>
      </c>
      <c r="AT566" s="4" t="s">
        <v>124</v>
      </c>
      <c r="AU566" s="7">
        <v>0.76546400000000003</v>
      </c>
      <c r="AV566" s="4" t="s">
        <v>124</v>
      </c>
      <c r="AW566" s="4" t="s">
        <v>124</v>
      </c>
      <c r="AX566" s="4" t="s">
        <v>124</v>
      </c>
      <c r="AY566" s="7">
        <v>0.88255700000000004</v>
      </c>
      <c r="AZ566" s="4" t="s">
        <v>124</v>
      </c>
      <c r="BA566" s="4" t="s">
        <v>124</v>
      </c>
      <c r="BB566" s="4" t="s">
        <v>124</v>
      </c>
      <c r="BC566" s="4" t="s">
        <v>124</v>
      </c>
      <c r="BD566" s="4" t="s">
        <v>124</v>
      </c>
      <c r="BE566" s="4" t="s">
        <v>124</v>
      </c>
      <c r="BF566" s="4" t="s">
        <v>124</v>
      </c>
      <c r="BG566" s="4" t="s">
        <v>124</v>
      </c>
      <c r="BH566" s="7">
        <v>0</v>
      </c>
      <c r="BI566" s="7">
        <v>0.961538</v>
      </c>
      <c r="BJ566" s="4" t="s">
        <v>124</v>
      </c>
      <c r="BK566" s="7">
        <v>0.96923099999999995</v>
      </c>
      <c r="BL566" s="7">
        <v>0.961538</v>
      </c>
      <c r="BM566" s="4" t="s">
        <v>124</v>
      </c>
      <c r="BN566" s="7">
        <v>0.96923099999999995</v>
      </c>
      <c r="BO566" s="4" t="s">
        <v>124</v>
      </c>
      <c r="BP566" s="4" t="s">
        <v>124</v>
      </c>
      <c r="BQ566" s="4" t="s">
        <v>124</v>
      </c>
      <c r="BR566" s="7">
        <v>2.0725E-2</v>
      </c>
      <c r="BS566" s="7">
        <v>50</v>
      </c>
      <c r="BT566" s="7">
        <v>50</v>
      </c>
      <c r="BU566" s="7">
        <v>3.125E-2</v>
      </c>
      <c r="BV566" s="7">
        <v>50</v>
      </c>
      <c r="BW566" s="7">
        <v>50</v>
      </c>
      <c r="BX566" s="4" t="s">
        <v>124</v>
      </c>
      <c r="BY566" s="4" t="s">
        <v>124</v>
      </c>
      <c r="BZ566" s="4" t="s">
        <v>124</v>
      </c>
      <c r="CA566" s="4" t="s">
        <v>124</v>
      </c>
      <c r="CB566" s="4" t="s">
        <v>124</v>
      </c>
      <c r="CC566" s="4" t="s">
        <v>124</v>
      </c>
      <c r="CD566" s="4" t="s">
        <v>124</v>
      </c>
      <c r="CE566" s="4" t="s">
        <v>124</v>
      </c>
      <c r="CF566" s="4" t="s">
        <v>124</v>
      </c>
      <c r="CG566" s="4" t="s">
        <v>124</v>
      </c>
      <c r="CH566" s="4" t="s">
        <v>124</v>
      </c>
      <c r="CI566" s="4" t="s">
        <v>124</v>
      </c>
      <c r="CJ566" s="4" t="s">
        <v>124</v>
      </c>
      <c r="CK566" s="4" t="s">
        <v>124</v>
      </c>
      <c r="CL566" s="4" t="s">
        <v>124</v>
      </c>
      <c r="CM566" s="4" t="s">
        <v>124</v>
      </c>
      <c r="CN566" s="4" t="s">
        <v>124</v>
      </c>
      <c r="CO566" s="4" t="s">
        <v>124</v>
      </c>
      <c r="CP566" s="4" t="s">
        <v>124</v>
      </c>
      <c r="CQ566" s="7">
        <v>0.736842</v>
      </c>
      <c r="CR566" s="7">
        <v>1</v>
      </c>
      <c r="CS566" s="7">
        <v>49.122807000000002</v>
      </c>
      <c r="CT566" s="7">
        <v>50</v>
      </c>
      <c r="CU566" s="4" t="s">
        <v>124</v>
      </c>
      <c r="CV566" s="4" t="s">
        <v>124</v>
      </c>
      <c r="CW566" s="4" t="s">
        <v>124</v>
      </c>
      <c r="CX566" s="4" t="s">
        <v>124</v>
      </c>
      <c r="CY566" s="4" t="s">
        <v>124</v>
      </c>
      <c r="CZ566" s="4" t="s">
        <v>124</v>
      </c>
      <c r="DA566" s="7">
        <v>15.314097</v>
      </c>
      <c r="DB566" s="7">
        <v>17.400950000000002</v>
      </c>
      <c r="DC566" s="7">
        <v>16.332519999999999</v>
      </c>
      <c r="DD566" s="4" t="s">
        <v>124</v>
      </c>
      <c r="DE566" s="7">
        <v>0</v>
      </c>
      <c r="DF566" s="6"/>
      <c r="DG566" s="6"/>
      <c r="DH566" s="4" t="s">
        <v>331</v>
      </c>
      <c r="DI566" s="4" t="s">
        <v>545</v>
      </c>
      <c r="DJ566" s="7">
        <v>1</v>
      </c>
      <c r="DK566" s="7">
        <v>0</v>
      </c>
      <c r="DL566" s="7">
        <v>1</v>
      </c>
      <c r="DM566" s="7">
        <v>0</v>
      </c>
      <c r="DN566" s="7">
        <v>0</v>
      </c>
      <c r="DO566" s="7">
        <v>0</v>
      </c>
      <c r="DP566" s="6"/>
      <c r="DQ566" s="4" t="s">
        <v>125</v>
      </c>
    </row>
    <row r="567" spans="1:121" ht="20" customHeight="1" x14ac:dyDescent="0.15">
      <c r="A567" s="5">
        <v>2018</v>
      </c>
      <c r="B567" s="3" t="s">
        <v>255</v>
      </c>
      <c r="C567" s="4" t="str">
        <f t="shared" si="216"/>
        <v>0760011</v>
      </c>
      <c r="D567" s="4" t="s">
        <v>724</v>
      </c>
      <c r="E567" s="4" t="str">
        <f>"0765211"</f>
        <v>0765211</v>
      </c>
      <c r="F567" s="4" t="s">
        <v>327</v>
      </c>
      <c r="G567" s="7">
        <v>7</v>
      </c>
      <c r="H567" s="7">
        <v>8</v>
      </c>
      <c r="I567" s="4" t="s">
        <v>329</v>
      </c>
      <c r="J567" s="4" t="s">
        <v>330</v>
      </c>
      <c r="K567" s="7">
        <v>621.72877800000003</v>
      </c>
      <c r="L567" s="7">
        <v>900</v>
      </c>
      <c r="M567" s="7">
        <v>69.080974999999995</v>
      </c>
      <c r="N567" s="7">
        <v>4</v>
      </c>
      <c r="O567" s="7">
        <v>1</v>
      </c>
      <c r="P567" s="7">
        <v>69.416567000000001</v>
      </c>
      <c r="Q567" s="7">
        <v>46.277710999999996</v>
      </c>
      <c r="R567" s="7">
        <v>50</v>
      </c>
      <c r="S567" s="7">
        <v>50.893568999999999</v>
      </c>
      <c r="T567" s="7">
        <v>73.590763999999993</v>
      </c>
      <c r="U567" s="7">
        <v>33.929046</v>
      </c>
      <c r="V567" s="7">
        <v>50</v>
      </c>
      <c r="W567" s="7">
        <v>68.085115000000002</v>
      </c>
      <c r="X567" s="7">
        <v>45.390076999999998</v>
      </c>
      <c r="Y567" s="7">
        <v>50</v>
      </c>
      <c r="Z567" s="7">
        <v>71.841823000000005</v>
      </c>
      <c r="AA567" s="7">
        <v>51.209744999999998</v>
      </c>
      <c r="AB567" s="7">
        <v>34.139830000000003</v>
      </c>
      <c r="AC567" s="7">
        <v>50</v>
      </c>
      <c r="AD567" s="7">
        <v>64.871551999999994</v>
      </c>
      <c r="AE567" s="7">
        <v>43.247700999999999</v>
      </c>
      <c r="AF567" s="7">
        <v>50</v>
      </c>
      <c r="AG567" s="7">
        <v>50.782961</v>
      </c>
      <c r="AH567" s="7">
        <v>68.673235000000005</v>
      </c>
      <c r="AI567" s="7">
        <v>33.855308000000001</v>
      </c>
      <c r="AJ567" s="7">
        <v>50</v>
      </c>
      <c r="AK567" s="7">
        <v>22.69</v>
      </c>
      <c r="AL567" s="7">
        <v>20.63</v>
      </c>
      <c r="AM567" s="7">
        <v>17.89</v>
      </c>
      <c r="AN567" s="7">
        <v>0.48893399999999998</v>
      </c>
      <c r="AO567" s="7">
        <v>48.893405000000001</v>
      </c>
      <c r="AP567" s="7">
        <v>100</v>
      </c>
      <c r="AQ567" s="7">
        <v>0.60929500000000003</v>
      </c>
      <c r="AR567" s="7">
        <v>60.929474999999996</v>
      </c>
      <c r="AS567" s="7">
        <v>100</v>
      </c>
      <c r="AT567" s="7">
        <v>0.46915200000000001</v>
      </c>
      <c r="AU567" s="7">
        <v>0.49324699999999999</v>
      </c>
      <c r="AV567" s="7">
        <v>46.915197999999997</v>
      </c>
      <c r="AW567" s="7">
        <v>100</v>
      </c>
      <c r="AX567" s="7">
        <v>0.52109000000000005</v>
      </c>
      <c r="AY567" s="7">
        <v>0.62860000000000005</v>
      </c>
      <c r="AZ567" s="7">
        <v>52.108983000000002</v>
      </c>
      <c r="BA567" s="7">
        <v>100</v>
      </c>
      <c r="BB567" s="4" t="s">
        <v>124</v>
      </c>
      <c r="BC567" s="4" t="s">
        <v>124</v>
      </c>
      <c r="BD567" s="4" t="s">
        <v>124</v>
      </c>
      <c r="BE567" s="4" t="s">
        <v>124</v>
      </c>
      <c r="BF567" s="4" t="s">
        <v>124</v>
      </c>
      <c r="BG567" s="4" t="s">
        <v>124</v>
      </c>
      <c r="BH567" s="7">
        <v>1</v>
      </c>
      <c r="BI567" s="7">
        <v>0.82978700000000005</v>
      </c>
      <c r="BJ567" s="7">
        <v>0.881579</v>
      </c>
      <c r="BK567" s="7">
        <v>0.81844399999999995</v>
      </c>
      <c r="BL567" s="7">
        <v>0.82505899999999999</v>
      </c>
      <c r="BM567" s="7">
        <v>0.868421</v>
      </c>
      <c r="BN567" s="7">
        <v>0.81556200000000001</v>
      </c>
      <c r="BO567" s="7">
        <v>0.74536999999999998</v>
      </c>
      <c r="BP567" s="7">
        <v>0.85365899999999995</v>
      </c>
      <c r="BQ567" s="7">
        <v>0.72</v>
      </c>
      <c r="BR567" s="7">
        <v>4.0284E-2</v>
      </c>
      <c r="BS567" s="7">
        <v>50</v>
      </c>
      <c r="BT567" s="7">
        <v>50</v>
      </c>
      <c r="BU567" s="7">
        <v>9.5890000000000003E-2</v>
      </c>
      <c r="BV567" s="7">
        <v>40.821917999999997</v>
      </c>
      <c r="BW567" s="7">
        <v>50</v>
      </c>
      <c r="BX567" s="4" t="s">
        <v>124</v>
      </c>
      <c r="BY567" s="4" t="s">
        <v>124</v>
      </c>
      <c r="BZ567" s="4" t="s">
        <v>124</v>
      </c>
      <c r="CA567" s="4" t="s">
        <v>124</v>
      </c>
      <c r="CB567" s="4" t="s">
        <v>124</v>
      </c>
      <c r="CC567" s="4" t="s">
        <v>124</v>
      </c>
      <c r="CD567" s="7">
        <v>1</v>
      </c>
      <c r="CE567" s="7">
        <v>50</v>
      </c>
      <c r="CF567" s="7">
        <v>50</v>
      </c>
      <c r="CG567" s="4" t="s">
        <v>124</v>
      </c>
      <c r="CH567" s="4" t="s">
        <v>124</v>
      </c>
      <c r="CI567" s="4" t="s">
        <v>124</v>
      </c>
      <c r="CJ567" s="4" t="s">
        <v>124</v>
      </c>
      <c r="CK567" s="4" t="s">
        <v>124</v>
      </c>
      <c r="CL567" s="4" t="s">
        <v>124</v>
      </c>
      <c r="CM567" s="4" t="s">
        <v>124</v>
      </c>
      <c r="CN567" s="4" t="s">
        <v>124</v>
      </c>
      <c r="CO567" s="4" t="s">
        <v>124</v>
      </c>
      <c r="CP567" s="4" t="s">
        <v>124</v>
      </c>
      <c r="CQ567" s="7">
        <v>0.52830200000000005</v>
      </c>
      <c r="CR567" s="7">
        <v>0.98604700000000001</v>
      </c>
      <c r="CS567" s="7">
        <v>35.220126</v>
      </c>
      <c r="CT567" s="7">
        <v>50</v>
      </c>
      <c r="CU567" s="4" t="s">
        <v>124</v>
      </c>
      <c r="CV567" s="4" t="s">
        <v>124</v>
      </c>
      <c r="CW567" s="4" t="s">
        <v>124</v>
      </c>
      <c r="CX567" s="4" t="s">
        <v>124</v>
      </c>
      <c r="CY567" s="4" t="s">
        <v>124</v>
      </c>
      <c r="CZ567" s="4" t="s">
        <v>124</v>
      </c>
      <c r="DA567" s="7">
        <v>15.314097</v>
      </c>
      <c r="DB567" s="7">
        <v>17.400950000000002</v>
      </c>
      <c r="DC567" s="7">
        <v>16.332519999999999</v>
      </c>
      <c r="DD567" s="4" t="s">
        <v>124</v>
      </c>
      <c r="DE567" s="7">
        <v>1</v>
      </c>
      <c r="DF567" s="4" t="s">
        <v>384</v>
      </c>
      <c r="DG567" s="4" t="s">
        <v>647</v>
      </c>
      <c r="DH567" s="6"/>
      <c r="DI567" s="6"/>
      <c r="DJ567" s="7">
        <v>0</v>
      </c>
      <c r="DK567" s="7">
        <v>0</v>
      </c>
      <c r="DL567" s="7">
        <v>0</v>
      </c>
      <c r="DM567" s="7">
        <v>0</v>
      </c>
      <c r="DN567" s="7">
        <v>0</v>
      </c>
      <c r="DO567" s="7">
        <v>0</v>
      </c>
      <c r="DP567" s="6"/>
      <c r="DQ567" s="4" t="s">
        <v>125</v>
      </c>
    </row>
    <row r="568" spans="1:121" ht="20" customHeight="1" x14ac:dyDescent="0.15">
      <c r="A568" s="5">
        <v>2018</v>
      </c>
      <c r="B568" s="3" t="s">
        <v>256</v>
      </c>
      <c r="C568" s="4" t="str">
        <f t="shared" si="131"/>
        <v>0770011</v>
      </c>
      <c r="D568" s="4" t="s">
        <v>725</v>
      </c>
      <c r="E568" s="4" t="str">
        <f>"0770111"</f>
        <v>0770111</v>
      </c>
      <c r="F568" s="4" t="s">
        <v>327</v>
      </c>
      <c r="G568" s="4" t="s">
        <v>338</v>
      </c>
      <c r="H568" s="7">
        <v>4</v>
      </c>
      <c r="I568" s="6"/>
      <c r="J568" s="4" t="s">
        <v>330</v>
      </c>
      <c r="K568" s="7">
        <v>505.601091</v>
      </c>
      <c r="L568" s="7">
        <v>750</v>
      </c>
      <c r="M568" s="7">
        <v>67.413478999999995</v>
      </c>
      <c r="N568" s="7">
        <v>3</v>
      </c>
      <c r="O568" s="7">
        <v>1</v>
      </c>
      <c r="P568" s="7">
        <v>67.198155</v>
      </c>
      <c r="Q568" s="7">
        <v>44.798769999999998</v>
      </c>
      <c r="R568" s="7">
        <v>50</v>
      </c>
      <c r="S568" s="7">
        <v>59.675711999999997</v>
      </c>
      <c r="T568" s="7">
        <v>75</v>
      </c>
      <c r="U568" s="7">
        <v>39.783808000000001</v>
      </c>
      <c r="V568" s="7">
        <v>50</v>
      </c>
      <c r="W568" s="7">
        <v>60.194071000000001</v>
      </c>
      <c r="X568" s="7">
        <v>40.129381000000002</v>
      </c>
      <c r="Y568" s="7">
        <v>50</v>
      </c>
      <c r="Z568" s="7">
        <v>74.842732999999996</v>
      </c>
      <c r="AA568" s="7">
        <v>51.577212000000003</v>
      </c>
      <c r="AB568" s="7">
        <v>34.384808</v>
      </c>
      <c r="AC568" s="7">
        <v>50</v>
      </c>
      <c r="AD568" s="4" t="s">
        <v>124</v>
      </c>
      <c r="AE568" s="4" t="s">
        <v>124</v>
      </c>
      <c r="AF568" s="4" t="s">
        <v>124</v>
      </c>
      <c r="AG568" s="4" t="s">
        <v>124</v>
      </c>
      <c r="AH568" s="4" t="s">
        <v>124</v>
      </c>
      <c r="AI568" s="4" t="s">
        <v>124</v>
      </c>
      <c r="AJ568" s="4" t="s">
        <v>124</v>
      </c>
      <c r="AK568" s="7">
        <v>15.32</v>
      </c>
      <c r="AL568" s="7">
        <v>23.26</v>
      </c>
      <c r="AM568" s="4" t="s">
        <v>124</v>
      </c>
      <c r="AN568" s="7">
        <v>0.70860900000000004</v>
      </c>
      <c r="AO568" s="7">
        <v>70.860887000000005</v>
      </c>
      <c r="AP568" s="7">
        <v>100</v>
      </c>
      <c r="AQ568" s="7">
        <v>0.73680999999999996</v>
      </c>
      <c r="AR568" s="7">
        <v>73.680995999999993</v>
      </c>
      <c r="AS568" s="7">
        <v>100</v>
      </c>
      <c r="AT568" s="7">
        <v>0.62271699999999996</v>
      </c>
      <c r="AU568" s="7">
        <v>0.84405399999999997</v>
      </c>
      <c r="AV568" s="7">
        <v>62.271681999999998</v>
      </c>
      <c r="AW568" s="7">
        <v>100</v>
      </c>
      <c r="AX568" s="7">
        <v>0.67295400000000005</v>
      </c>
      <c r="AY568" s="7">
        <v>0.83013800000000004</v>
      </c>
      <c r="AZ568" s="7">
        <v>67.295395999999997</v>
      </c>
      <c r="BA568" s="7">
        <v>100</v>
      </c>
      <c r="BB568" s="4" t="s">
        <v>124</v>
      </c>
      <c r="BC568" s="4" t="s">
        <v>124</v>
      </c>
      <c r="BD568" s="4" t="s">
        <v>124</v>
      </c>
      <c r="BE568" s="4" t="s">
        <v>124</v>
      </c>
      <c r="BF568" s="4" t="s">
        <v>124</v>
      </c>
      <c r="BG568" s="4" t="s">
        <v>124</v>
      </c>
      <c r="BH568" s="7">
        <v>0</v>
      </c>
      <c r="BI568" s="7">
        <v>0.98701300000000003</v>
      </c>
      <c r="BJ568" s="7">
        <v>0.98</v>
      </c>
      <c r="BK568" s="7">
        <v>1</v>
      </c>
      <c r="BL568" s="7">
        <v>0.98051900000000003</v>
      </c>
      <c r="BM568" s="7">
        <v>0.97</v>
      </c>
      <c r="BN568" s="7">
        <v>1</v>
      </c>
      <c r="BO568" s="4" t="s">
        <v>124</v>
      </c>
      <c r="BP568" s="4" t="s">
        <v>124</v>
      </c>
      <c r="BQ568" s="4" t="s">
        <v>124</v>
      </c>
      <c r="BR568" s="7">
        <v>0.16569800000000001</v>
      </c>
      <c r="BS568" s="7">
        <v>26.860465000000001</v>
      </c>
      <c r="BT568" s="7">
        <v>50</v>
      </c>
      <c r="BU568" s="7">
        <v>0.23214299999999999</v>
      </c>
      <c r="BV568" s="7">
        <v>13.571429</v>
      </c>
      <c r="BW568" s="7">
        <v>50</v>
      </c>
      <c r="BX568" s="4" t="s">
        <v>124</v>
      </c>
      <c r="BY568" s="4" t="s">
        <v>124</v>
      </c>
      <c r="BZ568" s="4" t="s">
        <v>124</v>
      </c>
      <c r="CA568" s="4" t="s">
        <v>124</v>
      </c>
      <c r="CB568" s="4" t="s">
        <v>124</v>
      </c>
      <c r="CC568" s="4" t="s">
        <v>124</v>
      </c>
      <c r="CD568" s="4" t="s">
        <v>124</v>
      </c>
      <c r="CE568" s="4" t="s">
        <v>124</v>
      </c>
      <c r="CF568" s="4" t="s">
        <v>124</v>
      </c>
      <c r="CG568" s="4" t="s">
        <v>124</v>
      </c>
      <c r="CH568" s="4" t="s">
        <v>124</v>
      </c>
      <c r="CI568" s="4" t="s">
        <v>124</v>
      </c>
      <c r="CJ568" s="4" t="s">
        <v>124</v>
      </c>
      <c r="CK568" s="4" t="s">
        <v>124</v>
      </c>
      <c r="CL568" s="4" t="s">
        <v>124</v>
      </c>
      <c r="CM568" s="4" t="s">
        <v>124</v>
      </c>
      <c r="CN568" s="4" t="s">
        <v>124</v>
      </c>
      <c r="CO568" s="4" t="s">
        <v>124</v>
      </c>
      <c r="CP568" s="4" t="s">
        <v>124</v>
      </c>
      <c r="CQ568" s="7">
        <v>0.47945199999999999</v>
      </c>
      <c r="CR568" s="7">
        <v>0.96052599999999999</v>
      </c>
      <c r="CS568" s="7">
        <v>31.963470000000001</v>
      </c>
      <c r="CT568" s="7">
        <v>50</v>
      </c>
      <c r="CU568" s="4" t="s">
        <v>124</v>
      </c>
      <c r="CV568" s="4" t="s">
        <v>124</v>
      </c>
      <c r="CW568" s="4" t="s">
        <v>124</v>
      </c>
      <c r="CX568" s="4" t="s">
        <v>124</v>
      </c>
      <c r="CY568" s="4" t="s">
        <v>124</v>
      </c>
      <c r="CZ568" s="4" t="s">
        <v>124</v>
      </c>
      <c r="DA568" s="7">
        <v>15.314097</v>
      </c>
      <c r="DB568" s="7">
        <v>17.400950000000002</v>
      </c>
      <c r="DC568" s="7">
        <v>16.332519999999999</v>
      </c>
      <c r="DD568" s="4" t="s">
        <v>124</v>
      </c>
      <c r="DE568" s="7">
        <v>1</v>
      </c>
      <c r="DF568" s="6"/>
      <c r="DG568" s="6"/>
      <c r="DH568" s="6"/>
      <c r="DI568" s="6"/>
      <c r="DJ568" s="7">
        <v>0</v>
      </c>
      <c r="DK568" s="7">
        <v>0</v>
      </c>
      <c r="DL568" s="7">
        <v>0</v>
      </c>
      <c r="DM568" s="7">
        <v>0</v>
      </c>
      <c r="DN568" s="7">
        <v>0</v>
      </c>
      <c r="DO568" s="7">
        <v>0</v>
      </c>
      <c r="DP568" s="6"/>
      <c r="DQ568" s="4" t="s">
        <v>125</v>
      </c>
    </row>
    <row r="569" spans="1:121" ht="20" customHeight="1" x14ac:dyDescent="0.15">
      <c r="A569" s="5">
        <v>2018</v>
      </c>
      <c r="B569" s="3" t="s">
        <v>256</v>
      </c>
      <c r="C569" s="4" t="str">
        <f t="shared" ref="C569:C578" si="217">"0770011"</f>
        <v>0770011</v>
      </c>
      <c r="D569" s="4" t="s">
        <v>726</v>
      </c>
      <c r="E569" s="4" t="str">
        <f>"0770311"</f>
        <v>0770311</v>
      </c>
      <c r="F569" s="4" t="s">
        <v>327</v>
      </c>
      <c r="G569" s="4" t="s">
        <v>328</v>
      </c>
      <c r="H569" s="7">
        <v>4</v>
      </c>
      <c r="I569" s="6"/>
      <c r="J569" s="4" t="s">
        <v>330</v>
      </c>
      <c r="K569" s="7">
        <v>440.20245</v>
      </c>
      <c r="L569" s="7">
        <v>750</v>
      </c>
      <c r="M569" s="7">
        <v>58.693660000000001</v>
      </c>
      <c r="N569" s="7">
        <v>3</v>
      </c>
      <c r="O569" s="7">
        <v>0</v>
      </c>
      <c r="P569" s="7">
        <v>67.713592000000006</v>
      </c>
      <c r="Q569" s="7">
        <v>45.142395</v>
      </c>
      <c r="R569" s="7">
        <v>50</v>
      </c>
      <c r="S569" s="7">
        <v>63.466504</v>
      </c>
      <c r="T569" s="7">
        <v>73.187617000000003</v>
      </c>
      <c r="U569" s="7">
        <v>42.311002000000002</v>
      </c>
      <c r="V569" s="7">
        <v>50</v>
      </c>
      <c r="W569" s="7">
        <v>64.507814999999994</v>
      </c>
      <c r="X569" s="7">
        <v>43.005209999999998</v>
      </c>
      <c r="Y569" s="7">
        <v>50</v>
      </c>
      <c r="Z569" s="7">
        <v>68.777806999999996</v>
      </c>
      <c r="AA569" s="7">
        <v>61.194890999999998</v>
      </c>
      <c r="AB569" s="7">
        <v>40.796593999999999</v>
      </c>
      <c r="AC569" s="7">
        <v>50</v>
      </c>
      <c r="AD569" s="4" t="s">
        <v>124</v>
      </c>
      <c r="AE569" s="4" t="s">
        <v>124</v>
      </c>
      <c r="AF569" s="4" t="s">
        <v>124</v>
      </c>
      <c r="AG569" s="4" t="s">
        <v>124</v>
      </c>
      <c r="AH569" s="4" t="s">
        <v>124</v>
      </c>
      <c r="AI569" s="4" t="s">
        <v>124</v>
      </c>
      <c r="AJ569" s="4" t="s">
        <v>124</v>
      </c>
      <c r="AK569" s="7">
        <v>9.7200000000000006</v>
      </c>
      <c r="AL569" s="7">
        <v>7.58</v>
      </c>
      <c r="AM569" s="4" t="s">
        <v>124</v>
      </c>
      <c r="AN569" s="7">
        <v>0.42630000000000001</v>
      </c>
      <c r="AO569" s="7">
        <v>42.629955000000002</v>
      </c>
      <c r="AP569" s="7">
        <v>100</v>
      </c>
      <c r="AQ569" s="7">
        <v>0.36864799999999998</v>
      </c>
      <c r="AR569" s="7">
        <v>36.864818999999997</v>
      </c>
      <c r="AS569" s="7">
        <v>100</v>
      </c>
      <c r="AT569" s="7">
        <v>0.39202700000000001</v>
      </c>
      <c r="AU569" s="7">
        <v>0.48284899999999997</v>
      </c>
      <c r="AV569" s="7">
        <v>39.202745999999998</v>
      </c>
      <c r="AW569" s="7">
        <v>100</v>
      </c>
      <c r="AX569" s="7">
        <v>0.349275</v>
      </c>
      <c r="AY569" s="7">
        <v>0.400613</v>
      </c>
      <c r="AZ569" s="7">
        <v>34.927543999999997</v>
      </c>
      <c r="BA569" s="7">
        <v>100</v>
      </c>
      <c r="BB569" s="4" t="s">
        <v>124</v>
      </c>
      <c r="BC569" s="4" t="s">
        <v>124</v>
      </c>
      <c r="BD569" s="4" t="s">
        <v>124</v>
      </c>
      <c r="BE569" s="4" t="s">
        <v>124</v>
      </c>
      <c r="BF569" s="4" t="s">
        <v>124</v>
      </c>
      <c r="BG569" s="4" t="s">
        <v>124</v>
      </c>
      <c r="BH569" s="7">
        <v>0</v>
      </c>
      <c r="BI569" s="7">
        <v>0.97345099999999996</v>
      </c>
      <c r="BJ569" s="7">
        <v>0.98461500000000002</v>
      </c>
      <c r="BK569" s="7">
        <v>0.95833299999999999</v>
      </c>
      <c r="BL569" s="7">
        <v>0.97345099999999996</v>
      </c>
      <c r="BM569" s="7">
        <v>0.98461500000000002</v>
      </c>
      <c r="BN569" s="7">
        <v>0.95833299999999999</v>
      </c>
      <c r="BO569" s="4" t="s">
        <v>124</v>
      </c>
      <c r="BP569" s="4" t="s">
        <v>124</v>
      </c>
      <c r="BQ569" s="4" t="s">
        <v>124</v>
      </c>
      <c r="BR569" s="7">
        <v>8.5470000000000004E-2</v>
      </c>
      <c r="BS569" s="7">
        <v>42.905982999999999</v>
      </c>
      <c r="BT569" s="7">
        <v>50</v>
      </c>
      <c r="BU569" s="7">
        <v>0.123711</v>
      </c>
      <c r="BV569" s="7">
        <v>35.257731999999997</v>
      </c>
      <c r="BW569" s="7">
        <v>50</v>
      </c>
      <c r="BX569" s="4" t="s">
        <v>124</v>
      </c>
      <c r="BY569" s="4" t="s">
        <v>124</v>
      </c>
      <c r="BZ569" s="4" t="s">
        <v>124</v>
      </c>
      <c r="CA569" s="4" t="s">
        <v>124</v>
      </c>
      <c r="CB569" s="4" t="s">
        <v>124</v>
      </c>
      <c r="CC569" s="4" t="s">
        <v>124</v>
      </c>
      <c r="CD569" s="4" t="s">
        <v>124</v>
      </c>
      <c r="CE569" s="4" t="s">
        <v>124</v>
      </c>
      <c r="CF569" s="4" t="s">
        <v>124</v>
      </c>
      <c r="CG569" s="4" t="s">
        <v>124</v>
      </c>
      <c r="CH569" s="4" t="s">
        <v>124</v>
      </c>
      <c r="CI569" s="4" t="s">
        <v>124</v>
      </c>
      <c r="CJ569" s="4" t="s">
        <v>124</v>
      </c>
      <c r="CK569" s="4" t="s">
        <v>124</v>
      </c>
      <c r="CL569" s="4" t="s">
        <v>124</v>
      </c>
      <c r="CM569" s="4" t="s">
        <v>124</v>
      </c>
      <c r="CN569" s="4" t="s">
        <v>124</v>
      </c>
      <c r="CO569" s="4" t="s">
        <v>124</v>
      </c>
      <c r="CP569" s="4" t="s">
        <v>124</v>
      </c>
      <c r="CQ569" s="7">
        <v>0.55737700000000001</v>
      </c>
      <c r="CR569" s="7">
        <v>1</v>
      </c>
      <c r="CS569" s="7">
        <v>37.158470000000001</v>
      </c>
      <c r="CT569" s="7">
        <v>50</v>
      </c>
      <c r="CU569" s="4" t="s">
        <v>124</v>
      </c>
      <c r="CV569" s="4" t="s">
        <v>124</v>
      </c>
      <c r="CW569" s="4" t="s">
        <v>124</v>
      </c>
      <c r="CX569" s="4" t="s">
        <v>124</v>
      </c>
      <c r="CY569" s="4" t="s">
        <v>124</v>
      </c>
      <c r="CZ569" s="4" t="s">
        <v>124</v>
      </c>
      <c r="DA569" s="7">
        <v>15.314097</v>
      </c>
      <c r="DB569" s="7">
        <v>17.400950000000002</v>
      </c>
      <c r="DC569" s="7">
        <v>16.332519999999999</v>
      </c>
      <c r="DD569" s="4" t="s">
        <v>124</v>
      </c>
      <c r="DE569" s="7">
        <v>0</v>
      </c>
      <c r="DF569" s="6"/>
      <c r="DG569" s="6"/>
      <c r="DH569" s="6"/>
      <c r="DI569" s="6"/>
      <c r="DJ569" s="7">
        <v>0</v>
      </c>
      <c r="DK569" s="7">
        <v>0</v>
      </c>
      <c r="DL569" s="7">
        <v>0</v>
      </c>
      <c r="DM569" s="7">
        <v>0</v>
      </c>
      <c r="DN569" s="7">
        <v>0</v>
      </c>
      <c r="DO569" s="7">
        <v>0</v>
      </c>
      <c r="DP569" s="6"/>
      <c r="DQ569" s="4" t="s">
        <v>125</v>
      </c>
    </row>
    <row r="570" spans="1:121" ht="20" customHeight="1" x14ac:dyDescent="0.15">
      <c r="A570" s="5">
        <v>2018</v>
      </c>
      <c r="B570" s="3" t="s">
        <v>256</v>
      </c>
      <c r="C570" s="4" t="str">
        <f t="shared" si="217"/>
        <v>0770011</v>
      </c>
      <c r="D570" s="4" t="s">
        <v>727</v>
      </c>
      <c r="E570" s="4" t="str">
        <f>"0771711"</f>
        <v>0771711</v>
      </c>
      <c r="F570" s="4" t="s">
        <v>327</v>
      </c>
      <c r="G570" s="7">
        <v>5</v>
      </c>
      <c r="H570" s="7">
        <v>6</v>
      </c>
      <c r="I570" s="6"/>
      <c r="J570" s="4" t="s">
        <v>330</v>
      </c>
      <c r="K570" s="7">
        <v>536.66882099999998</v>
      </c>
      <c r="L570" s="7">
        <v>950</v>
      </c>
      <c r="M570" s="7">
        <v>56.491455000000002</v>
      </c>
      <c r="N570" s="7">
        <v>4</v>
      </c>
      <c r="O570" s="7">
        <v>1</v>
      </c>
      <c r="P570" s="7">
        <v>57.338740999999999</v>
      </c>
      <c r="Q570" s="7">
        <v>38.225827000000002</v>
      </c>
      <c r="R570" s="7">
        <v>50</v>
      </c>
      <c r="S570" s="7">
        <v>52.294071000000002</v>
      </c>
      <c r="T570" s="7">
        <v>68.684415000000001</v>
      </c>
      <c r="U570" s="7">
        <v>34.862713999999997</v>
      </c>
      <c r="V570" s="7">
        <v>50</v>
      </c>
      <c r="W570" s="7">
        <v>54.699212000000003</v>
      </c>
      <c r="X570" s="7">
        <v>36.466141</v>
      </c>
      <c r="Y570" s="7">
        <v>50</v>
      </c>
      <c r="Z570" s="7">
        <v>67.599335999999994</v>
      </c>
      <c r="AA570" s="7">
        <v>48.878425</v>
      </c>
      <c r="AB570" s="7">
        <v>32.585616999999999</v>
      </c>
      <c r="AC570" s="7">
        <v>50</v>
      </c>
      <c r="AD570" s="7">
        <v>57.601280000000003</v>
      </c>
      <c r="AE570" s="7">
        <v>38.400852999999998</v>
      </c>
      <c r="AF570" s="7">
        <v>50</v>
      </c>
      <c r="AG570" s="7">
        <v>53.078622000000003</v>
      </c>
      <c r="AH570" s="7">
        <v>66.939429000000004</v>
      </c>
      <c r="AI570" s="7">
        <v>35.385748</v>
      </c>
      <c r="AJ570" s="7">
        <v>50</v>
      </c>
      <c r="AK570" s="7">
        <v>16.39</v>
      </c>
      <c r="AL570" s="7">
        <v>18.72</v>
      </c>
      <c r="AM570" s="7">
        <v>13.86</v>
      </c>
      <c r="AN570" s="7">
        <v>0.46182800000000002</v>
      </c>
      <c r="AO570" s="7">
        <v>46.182831999999998</v>
      </c>
      <c r="AP570" s="7">
        <v>100</v>
      </c>
      <c r="AQ570" s="7">
        <v>0.54562200000000005</v>
      </c>
      <c r="AR570" s="7">
        <v>54.562201999999999</v>
      </c>
      <c r="AS570" s="7">
        <v>100</v>
      </c>
      <c r="AT570" s="7">
        <v>0.44768000000000002</v>
      </c>
      <c r="AU570" s="7">
        <v>0.49229299999999998</v>
      </c>
      <c r="AV570" s="7">
        <v>44.768036000000002</v>
      </c>
      <c r="AW570" s="7">
        <v>100</v>
      </c>
      <c r="AX570" s="7">
        <v>0.50680700000000001</v>
      </c>
      <c r="AY570" s="7">
        <v>0.62744900000000003</v>
      </c>
      <c r="AZ570" s="7">
        <v>50.680652000000002</v>
      </c>
      <c r="BA570" s="7">
        <v>100</v>
      </c>
      <c r="BB570" s="7">
        <v>0.37858599999999998</v>
      </c>
      <c r="BC570" s="7">
        <v>18.929293999999999</v>
      </c>
      <c r="BD570" s="7">
        <v>50</v>
      </c>
      <c r="BE570" s="7">
        <v>0.40090700000000001</v>
      </c>
      <c r="BF570" s="7">
        <v>20.045325999999999</v>
      </c>
      <c r="BG570" s="7">
        <v>50</v>
      </c>
      <c r="BH570" s="7">
        <v>0</v>
      </c>
      <c r="BI570" s="7">
        <v>0.98235899999999998</v>
      </c>
      <c r="BJ570" s="7">
        <v>0.98119100000000004</v>
      </c>
      <c r="BK570" s="7">
        <v>0.98512999999999995</v>
      </c>
      <c r="BL570" s="7">
        <v>0.96578399999999998</v>
      </c>
      <c r="BM570" s="7">
        <v>0.960754</v>
      </c>
      <c r="BN570" s="7">
        <v>0.97769499999999998</v>
      </c>
      <c r="BO570" s="7">
        <v>0.96753199999999995</v>
      </c>
      <c r="BP570" s="7">
        <v>0.96214500000000003</v>
      </c>
      <c r="BQ570" s="7">
        <v>0.97931000000000001</v>
      </c>
      <c r="BR570" s="7">
        <v>0.142541</v>
      </c>
      <c r="BS570" s="7">
        <v>31.491713000000001</v>
      </c>
      <c r="BT570" s="7">
        <v>50</v>
      </c>
      <c r="BU570" s="7">
        <v>0.181529</v>
      </c>
      <c r="BV570" s="7">
        <v>23.694268000000001</v>
      </c>
      <c r="BW570" s="7">
        <v>50</v>
      </c>
      <c r="BX570" s="4" t="s">
        <v>124</v>
      </c>
      <c r="BY570" s="4" t="s">
        <v>124</v>
      </c>
      <c r="BZ570" s="4" t="s">
        <v>124</v>
      </c>
      <c r="CA570" s="4" t="s">
        <v>124</v>
      </c>
      <c r="CB570" s="4" t="s">
        <v>124</v>
      </c>
      <c r="CC570" s="4" t="s">
        <v>124</v>
      </c>
      <c r="CD570" s="4" t="s">
        <v>124</v>
      </c>
      <c r="CE570" s="4" t="s">
        <v>124</v>
      </c>
      <c r="CF570" s="4" t="s">
        <v>124</v>
      </c>
      <c r="CG570" s="4" t="s">
        <v>124</v>
      </c>
      <c r="CH570" s="4" t="s">
        <v>124</v>
      </c>
      <c r="CI570" s="4" t="s">
        <v>124</v>
      </c>
      <c r="CJ570" s="4" t="s">
        <v>124</v>
      </c>
      <c r="CK570" s="4" t="s">
        <v>124</v>
      </c>
      <c r="CL570" s="4" t="s">
        <v>124</v>
      </c>
      <c r="CM570" s="4" t="s">
        <v>124</v>
      </c>
      <c r="CN570" s="4" t="s">
        <v>124</v>
      </c>
      <c r="CO570" s="4" t="s">
        <v>124</v>
      </c>
      <c r="CP570" s="4" t="s">
        <v>124</v>
      </c>
      <c r="CQ570" s="7">
        <v>0.455814</v>
      </c>
      <c r="CR570" s="7">
        <v>0.96629200000000004</v>
      </c>
      <c r="CS570" s="7">
        <v>30.387597</v>
      </c>
      <c r="CT570" s="7">
        <v>50</v>
      </c>
      <c r="CU570" s="4" t="s">
        <v>124</v>
      </c>
      <c r="CV570" s="4" t="s">
        <v>124</v>
      </c>
      <c r="CW570" s="4" t="s">
        <v>124</v>
      </c>
      <c r="CX570" s="4" t="s">
        <v>124</v>
      </c>
      <c r="CY570" s="4" t="s">
        <v>124</v>
      </c>
      <c r="CZ570" s="4" t="s">
        <v>124</v>
      </c>
      <c r="DA570" s="7">
        <v>15.314097</v>
      </c>
      <c r="DB570" s="7">
        <v>17.400950000000002</v>
      </c>
      <c r="DC570" s="7">
        <v>16.332519999999999</v>
      </c>
      <c r="DD570" s="4" t="s">
        <v>124</v>
      </c>
      <c r="DE570" s="7">
        <v>1</v>
      </c>
      <c r="DF570" s="4" t="s">
        <v>384</v>
      </c>
      <c r="DG570" s="4" t="s">
        <v>647</v>
      </c>
      <c r="DH570" s="6"/>
      <c r="DI570" s="6"/>
      <c r="DJ570" s="7">
        <v>0</v>
      </c>
      <c r="DK570" s="7">
        <v>0</v>
      </c>
      <c r="DL570" s="7">
        <v>0</v>
      </c>
      <c r="DM570" s="7">
        <v>0</v>
      </c>
      <c r="DN570" s="7">
        <v>0</v>
      </c>
      <c r="DO570" s="7">
        <v>0</v>
      </c>
      <c r="DP570" s="6"/>
      <c r="DQ570" s="4" t="s">
        <v>125</v>
      </c>
    </row>
    <row r="571" spans="1:121" ht="20" customHeight="1" x14ac:dyDescent="0.15">
      <c r="A571" s="5">
        <v>2018</v>
      </c>
      <c r="B571" s="3" t="s">
        <v>256</v>
      </c>
      <c r="C571" s="4" t="str">
        <f t="shared" si="217"/>
        <v>0770011</v>
      </c>
      <c r="D571" s="4" t="s">
        <v>728</v>
      </c>
      <c r="E571" s="4" t="str">
        <f>"0770411"</f>
        <v>0770411</v>
      </c>
      <c r="F571" s="4" t="s">
        <v>327</v>
      </c>
      <c r="G571" s="4" t="s">
        <v>338</v>
      </c>
      <c r="H571" s="7">
        <v>4</v>
      </c>
      <c r="I571" s="6"/>
      <c r="J571" s="4" t="s">
        <v>330</v>
      </c>
      <c r="K571" s="7">
        <v>559.99419899999998</v>
      </c>
      <c r="L571" s="7">
        <v>750</v>
      </c>
      <c r="M571" s="7">
        <v>74.665892999999997</v>
      </c>
      <c r="N571" s="7">
        <v>3</v>
      </c>
      <c r="O571" s="7">
        <v>1</v>
      </c>
      <c r="P571" s="7">
        <v>67.880921000000001</v>
      </c>
      <c r="Q571" s="7">
        <v>45.253948000000001</v>
      </c>
      <c r="R571" s="7">
        <v>50</v>
      </c>
      <c r="S571" s="7">
        <v>58.654415999999998</v>
      </c>
      <c r="T571" s="7">
        <v>75</v>
      </c>
      <c r="U571" s="7">
        <v>39.102944000000001</v>
      </c>
      <c r="V571" s="7">
        <v>50</v>
      </c>
      <c r="W571" s="7">
        <v>66.279781999999997</v>
      </c>
      <c r="X571" s="7">
        <v>44.186520999999999</v>
      </c>
      <c r="Y571" s="7">
        <v>50</v>
      </c>
      <c r="Z571" s="7">
        <v>75</v>
      </c>
      <c r="AA571" s="7">
        <v>54.316898999999999</v>
      </c>
      <c r="AB571" s="7">
        <v>36.211266000000002</v>
      </c>
      <c r="AC571" s="7">
        <v>50</v>
      </c>
      <c r="AD571" s="4" t="s">
        <v>124</v>
      </c>
      <c r="AE571" s="4" t="s">
        <v>124</v>
      </c>
      <c r="AF571" s="4" t="s">
        <v>124</v>
      </c>
      <c r="AG571" s="4" t="s">
        <v>124</v>
      </c>
      <c r="AH571" s="4" t="s">
        <v>124</v>
      </c>
      <c r="AI571" s="4" t="s">
        <v>124</v>
      </c>
      <c r="AJ571" s="4" t="s">
        <v>124</v>
      </c>
      <c r="AK571" s="7">
        <v>16.34</v>
      </c>
      <c r="AL571" s="7">
        <v>20.68</v>
      </c>
      <c r="AM571" s="4" t="s">
        <v>124</v>
      </c>
      <c r="AN571" s="7">
        <v>0.59204599999999996</v>
      </c>
      <c r="AO571" s="7">
        <v>59.204599000000002</v>
      </c>
      <c r="AP571" s="7">
        <v>100</v>
      </c>
      <c r="AQ571" s="7">
        <v>0.85797900000000005</v>
      </c>
      <c r="AR571" s="7">
        <v>85.797875000000005</v>
      </c>
      <c r="AS571" s="7">
        <v>100</v>
      </c>
      <c r="AT571" s="7">
        <v>0.61369899999999999</v>
      </c>
      <c r="AU571" s="4" t="s">
        <v>124</v>
      </c>
      <c r="AV571" s="7">
        <v>61.369942000000002</v>
      </c>
      <c r="AW571" s="7">
        <v>100</v>
      </c>
      <c r="AX571" s="7">
        <v>0.85289400000000004</v>
      </c>
      <c r="AY571" s="4" t="s">
        <v>124</v>
      </c>
      <c r="AZ571" s="7">
        <v>85.289402999999993</v>
      </c>
      <c r="BA571" s="7">
        <v>100</v>
      </c>
      <c r="BB571" s="4" t="s">
        <v>124</v>
      </c>
      <c r="BC571" s="4" t="s">
        <v>124</v>
      </c>
      <c r="BD571" s="4" t="s">
        <v>124</v>
      </c>
      <c r="BE571" s="4" t="s">
        <v>124</v>
      </c>
      <c r="BF571" s="4" t="s">
        <v>124</v>
      </c>
      <c r="BG571" s="4" t="s">
        <v>124</v>
      </c>
      <c r="BH571" s="7">
        <v>0</v>
      </c>
      <c r="BI571" s="7">
        <v>0.98750000000000004</v>
      </c>
      <c r="BJ571" s="7">
        <v>0.97619</v>
      </c>
      <c r="BK571" s="7">
        <v>1</v>
      </c>
      <c r="BL571" s="7">
        <v>0.98734200000000005</v>
      </c>
      <c r="BM571" s="7">
        <v>0.97560999999999998</v>
      </c>
      <c r="BN571" s="7">
        <v>1</v>
      </c>
      <c r="BO571" s="4" t="s">
        <v>124</v>
      </c>
      <c r="BP571" s="4" t="s">
        <v>124</v>
      </c>
      <c r="BQ571" s="4" t="s">
        <v>124</v>
      </c>
      <c r="BR571" s="7">
        <v>7.8260999999999997E-2</v>
      </c>
      <c r="BS571" s="7">
        <v>44.347825999999998</v>
      </c>
      <c r="BT571" s="7">
        <v>50</v>
      </c>
      <c r="BU571" s="7">
        <v>0.12096800000000001</v>
      </c>
      <c r="BV571" s="7">
        <v>35.806452</v>
      </c>
      <c r="BW571" s="7">
        <v>50</v>
      </c>
      <c r="BX571" s="4" t="s">
        <v>124</v>
      </c>
      <c r="BY571" s="4" t="s">
        <v>124</v>
      </c>
      <c r="BZ571" s="4" t="s">
        <v>124</v>
      </c>
      <c r="CA571" s="4" t="s">
        <v>124</v>
      </c>
      <c r="CB571" s="4" t="s">
        <v>124</v>
      </c>
      <c r="CC571" s="4" t="s">
        <v>124</v>
      </c>
      <c r="CD571" s="4" t="s">
        <v>124</v>
      </c>
      <c r="CE571" s="4" t="s">
        <v>124</v>
      </c>
      <c r="CF571" s="4" t="s">
        <v>124</v>
      </c>
      <c r="CG571" s="4" t="s">
        <v>124</v>
      </c>
      <c r="CH571" s="4" t="s">
        <v>124</v>
      </c>
      <c r="CI571" s="4" t="s">
        <v>124</v>
      </c>
      <c r="CJ571" s="4" t="s">
        <v>124</v>
      </c>
      <c r="CK571" s="4" t="s">
        <v>124</v>
      </c>
      <c r="CL571" s="4" t="s">
        <v>124</v>
      </c>
      <c r="CM571" s="4" t="s">
        <v>124</v>
      </c>
      <c r="CN571" s="4" t="s">
        <v>124</v>
      </c>
      <c r="CO571" s="4" t="s">
        <v>124</v>
      </c>
      <c r="CP571" s="4" t="s">
        <v>124</v>
      </c>
      <c r="CQ571" s="7">
        <v>0.35135100000000002</v>
      </c>
      <c r="CR571" s="7">
        <v>0.92500000000000004</v>
      </c>
      <c r="CS571" s="7">
        <v>23.423423</v>
      </c>
      <c r="CT571" s="7">
        <v>50</v>
      </c>
      <c r="CU571" s="4" t="s">
        <v>124</v>
      </c>
      <c r="CV571" s="4" t="s">
        <v>124</v>
      </c>
      <c r="CW571" s="4" t="s">
        <v>124</v>
      </c>
      <c r="CX571" s="4" t="s">
        <v>124</v>
      </c>
      <c r="CY571" s="4" t="s">
        <v>124</v>
      </c>
      <c r="CZ571" s="4" t="s">
        <v>124</v>
      </c>
      <c r="DA571" s="7">
        <v>15.314097</v>
      </c>
      <c r="DB571" s="7">
        <v>17.400950000000002</v>
      </c>
      <c r="DC571" s="7">
        <v>16.332519999999999</v>
      </c>
      <c r="DD571" s="4" t="s">
        <v>124</v>
      </c>
      <c r="DE571" s="7">
        <v>1</v>
      </c>
      <c r="DF571" s="6"/>
      <c r="DG571" s="6"/>
      <c r="DH571" s="6"/>
      <c r="DI571" s="6"/>
      <c r="DJ571" s="7">
        <v>0</v>
      </c>
      <c r="DK571" s="7">
        <v>0</v>
      </c>
      <c r="DL571" s="7">
        <v>0</v>
      </c>
      <c r="DM571" s="7">
        <v>0</v>
      </c>
      <c r="DN571" s="7">
        <v>0</v>
      </c>
      <c r="DO571" s="7">
        <v>0</v>
      </c>
      <c r="DP571" s="6"/>
      <c r="DQ571" s="4" t="s">
        <v>125</v>
      </c>
    </row>
    <row r="572" spans="1:121" ht="20" customHeight="1" x14ac:dyDescent="0.15">
      <c r="A572" s="5">
        <v>2018</v>
      </c>
      <c r="B572" s="3" t="s">
        <v>256</v>
      </c>
      <c r="C572" s="4" t="str">
        <f t="shared" si="217"/>
        <v>0770011</v>
      </c>
      <c r="D572" s="4" t="s">
        <v>729</v>
      </c>
      <c r="E572" s="4" t="str">
        <f>"0775311"</f>
        <v>0775311</v>
      </c>
      <c r="F572" s="4" t="s">
        <v>327</v>
      </c>
      <c r="G572" s="7">
        <v>7</v>
      </c>
      <c r="H572" s="7">
        <v>8</v>
      </c>
      <c r="I572" s="6"/>
      <c r="J572" s="4" t="s">
        <v>330</v>
      </c>
      <c r="K572" s="7">
        <v>554.373288</v>
      </c>
      <c r="L572" s="7">
        <v>1000</v>
      </c>
      <c r="M572" s="7">
        <v>55.437328999999998</v>
      </c>
      <c r="N572" s="7">
        <v>4</v>
      </c>
      <c r="O572" s="7">
        <v>1</v>
      </c>
      <c r="P572" s="7">
        <v>56.128217999999997</v>
      </c>
      <c r="Q572" s="7">
        <v>37.418812000000003</v>
      </c>
      <c r="R572" s="7">
        <v>50</v>
      </c>
      <c r="S572" s="7">
        <v>49.993659000000001</v>
      </c>
      <c r="T572" s="7">
        <v>67.418670000000006</v>
      </c>
      <c r="U572" s="7">
        <v>33.329106000000003</v>
      </c>
      <c r="V572" s="7">
        <v>50</v>
      </c>
      <c r="W572" s="7">
        <v>49.120275999999997</v>
      </c>
      <c r="X572" s="7">
        <v>32.746850999999999</v>
      </c>
      <c r="Y572" s="7">
        <v>50</v>
      </c>
      <c r="Z572" s="7">
        <v>61.496136</v>
      </c>
      <c r="AA572" s="7">
        <v>42.202764999999999</v>
      </c>
      <c r="AB572" s="7">
        <v>28.135176000000001</v>
      </c>
      <c r="AC572" s="7">
        <v>50</v>
      </c>
      <c r="AD572" s="7">
        <v>52.615077999999997</v>
      </c>
      <c r="AE572" s="7">
        <v>35.076718999999997</v>
      </c>
      <c r="AF572" s="7">
        <v>50</v>
      </c>
      <c r="AG572" s="7">
        <v>47.187018000000002</v>
      </c>
      <c r="AH572" s="7">
        <v>62.246823999999997</v>
      </c>
      <c r="AI572" s="7">
        <v>31.458012</v>
      </c>
      <c r="AJ572" s="7">
        <v>50</v>
      </c>
      <c r="AK572" s="7">
        <v>17.420000000000002</v>
      </c>
      <c r="AL572" s="7">
        <v>19.29</v>
      </c>
      <c r="AM572" s="7">
        <v>15.05</v>
      </c>
      <c r="AN572" s="7">
        <v>0.50490299999999999</v>
      </c>
      <c r="AO572" s="7">
        <v>50.490256000000002</v>
      </c>
      <c r="AP572" s="7">
        <v>100</v>
      </c>
      <c r="AQ572" s="7">
        <v>0.49061100000000002</v>
      </c>
      <c r="AR572" s="7">
        <v>49.061067999999999</v>
      </c>
      <c r="AS572" s="7">
        <v>100</v>
      </c>
      <c r="AT572" s="7">
        <v>0.48782799999999998</v>
      </c>
      <c r="AU572" s="7">
        <v>0.53458300000000003</v>
      </c>
      <c r="AV572" s="7">
        <v>48.782775000000001</v>
      </c>
      <c r="AW572" s="7">
        <v>100</v>
      </c>
      <c r="AX572" s="7">
        <v>0.46888800000000003</v>
      </c>
      <c r="AY572" s="7">
        <v>0.52724099999999996</v>
      </c>
      <c r="AZ572" s="7">
        <v>46.888818999999998</v>
      </c>
      <c r="BA572" s="7">
        <v>100</v>
      </c>
      <c r="BB572" s="7">
        <v>0.525034</v>
      </c>
      <c r="BC572" s="7">
        <v>26.251722000000001</v>
      </c>
      <c r="BD572" s="7">
        <v>50</v>
      </c>
      <c r="BE572" s="7">
        <v>0.50497000000000003</v>
      </c>
      <c r="BF572" s="7">
        <v>25.248517</v>
      </c>
      <c r="BG572" s="7">
        <v>50</v>
      </c>
      <c r="BH572" s="7">
        <v>1</v>
      </c>
      <c r="BI572" s="7">
        <v>0.97018599999999999</v>
      </c>
      <c r="BJ572" s="7">
        <v>0.96804500000000004</v>
      </c>
      <c r="BK572" s="7">
        <v>0.97435899999999998</v>
      </c>
      <c r="BL572" s="7">
        <v>0.94906800000000002</v>
      </c>
      <c r="BM572" s="7">
        <v>0.93984999999999996</v>
      </c>
      <c r="BN572" s="7">
        <v>0.96703300000000003</v>
      </c>
      <c r="BO572" s="7">
        <v>0.96585399999999999</v>
      </c>
      <c r="BP572" s="7">
        <v>0.96309999999999996</v>
      </c>
      <c r="BQ572" s="7">
        <v>0.97122299999999995</v>
      </c>
      <c r="BR572" s="7">
        <v>0.164794</v>
      </c>
      <c r="BS572" s="7">
        <v>27.041198999999999</v>
      </c>
      <c r="BT572" s="7">
        <v>50</v>
      </c>
      <c r="BU572" s="7">
        <v>0.22433500000000001</v>
      </c>
      <c r="BV572" s="7">
        <v>15.13308</v>
      </c>
      <c r="BW572" s="7">
        <v>50</v>
      </c>
      <c r="BX572" s="4" t="s">
        <v>124</v>
      </c>
      <c r="BY572" s="4" t="s">
        <v>124</v>
      </c>
      <c r="BZ572" s="4" t="s">
        <v>124</v>
      </c>
      <c r="CA572" s="4" t="s">
        <v>124</v>
      </c>
      <c r="CB572" s="4" t="s">
        <v>124</v>
      </c>
      <c r="CC572" s="4" t="s">
        <v>124</v>
      </c>
      <c r="CD572" s="7">
        <v>0.90977399999999997</v>
      </c>
      <c r="CE572" s="7">
        <v>48.392257000000001</v>
      </c>
      <c r="CF572" s="7">
        <v>50</v>
      </c>
      <c r="CG572" s="4" t="s">
        <v>124</v>
      </c>
      <c r="CH572" s="4" t="s">
        <v>124</v>
      </c>
      <c r="CI572" s="4" t="s">
        <v>124</v>
      </c>
      <c r="CJ572" s="4" t="s">
        <v>124</v>
      </c>
      <c r="CK572" s="4" t="s">
        <v>124</v>
      </c>
      <c r="CL572" s="4" t="s">
        <v>124</v>
      </c>
      <c r="CM572" s="4" t="s">
        <v>124</v>
      </c>
      <c r="CN572" s="4" t="s">
        <v>124</v>
      </c>
      <c r="CO572" s="4" t="s">
        <v>124</v>
      </c>
      <c r="CP572" s="4" t="s">
        <v>124</v>
      </c>
      <c r="CQ572" s="7">
        <v>0.28378399999999998</v>
      </c>
      <c r="CR572" s="7">
        <v>0.90024300000000002</v>
      </c>
      <c r="CS572" s="7">
        <v>18.918918999999999</v>
      </c>
      <c r="CT572" s="7">
        <v>50</v>
      </c>
      <c r="CU572" s="4" t="s">
        <v>124</v>
      </c>
      <c r="CV572" s="4" t="s">
        <v>124</v>
      </c>
      <c r="CW572" s="4" t="s">
        <v>124</v>
      </c>
      <c r="CX572" s="4" t="s">
        <v>124</v>
      </c>
      <c r="CY572" s="4" t="s">
        <v>124</v>
      </c>
      <c r="CZ572" s="4" t="s">
        <v>124</v>
      </c>
      <c r="DA572" s="7">
        <v>15.314097</v>
      </c>
      <c r="DB572" s="7">
        <v>17.400950000000002</v>
      </c>
      <c r="DC572" s="7">
        <v>16.332519999999999</v>
      </c>
      <c r="DD572" s="4" t="s">
        <v>124</v>
      </c>
      <c r="DE572" s="7">
        <v>1</v>
      </c>
      <c r="DF572" s="4" t="s">
        <v>375</v>
      </c>
      <c r="DG572" s="4" t="s">
        <v>376</v>
      </c>
      <c r="DH572" s="6"/>
      <c r="DI572" s="6"/>
      <c r="DJ572" s="7">
        <v>0</v>
      </c>
      <c r="DK572" s="7">
        <v>0</v>
      </c>
      <c r="DL572" s="7">
        <v>0</v>
      </c>
      <c r="DM572" s="7">
        <v>0</v>
      </c>
      <c r="DN572" s="7">
        <v>0</v>
      </c>
      <c r="DO572" s="7">
        <v>0</v>
      </c>
      <c r="DP572" s="6"/>
      <c r="DQ572" s="4" t="s">
        <v>125</v>
      </c>
    </row>
    <row r="573" spans="1:121" ht="20" customHeight="1" x14ac:dyDescent="0.15">
      <c r="A573" s="5">
        <v>2018</v>
      </c>
      <c r="B573" s="3" t="s">
        <v>256</v>
      </c>
      <c r="C573" s="4" t="str">
        <f t="shared" si="217"/>
        <v>0770011</v>
      </c>
      <c r="D573" s="4" t="s">
        <v>730</v>
      </c>
      <c r="E573" s="4" t="str">
        <f>"0770611"</f>
        <v>0770611</v>
      </c>
      <c r="F573" s="4" t="s">
        <v>327</v>
      </c>
      <c r="G573" s="4" t="s">
        <v>328</v>
      </c>
      <c r="H573" s="7">
        <v>4</v>
      </c>
      <c r="I573" s="6"/>
      <c r="J573" s="4" t="s">
        <v>330</v>
      </c>
      <c r="K573" s="7">
        <v>426.83587499999999</v>
      </c>
      <c r="L573" s="7">
        <v>750</v>
      </c>
      <c r="M573" s="7">
        <v>56.911450000000002</v>
      </c>
      <c r="N573" s="7">
        <v>4</v>
      </c>
      <c r="O573" s="7">
        <v>1</v>
      </c>
      <c r="P573" s="7">
        <v>66.167996000000002</v>
      </c>
      <c r="Q573" s="7">
        <v>44.111997000000002</v>
      </c>
      <c r="R573" s="7">
        <v>50</v>
      </c>
      <c r="S573" s="7">
        <v>59.049793000000001</v>
      </c>
      <c r="T573" s="7">
        <v>75</v>
      </c>
      <c r="U573" s="7">
        <v>39.366529</v>
      </c>
      <c r="V573" s="7">
        <v>50</v>
      </c>
      <c r="W573" s="7">
        <v>59.872740999999998</v>
      </c>
      <c r="X573" s="7">
        <v>39.91516</v>
      </c>
      <c r="Y573" s="7">
        <v>50</v>
      </c>
      <c r="Z573" s="7">
        <v>72.239198000000002</v>
      </c>
      <c r="AA573" s="7">
        <v>51.710878999999998</v>
      </c>
      <c r="AB573" s="7">
        <v>34.473919000000002</v>
      </c>
      <c r="AC573" s="7">
        <v>50</v>
      </c>
      <c r="AD573" s="4" t="s">
        <v>124</v>
      </c>
      <c r="AE573" s="4" t="s">
        <v>124</v>
      </c>
      <c r="AF573" s="4" t="s">
        <v>124</v>
      </c>
      <c r="AG573" s="4" t="s">
        <v>124</v>
      </c>
      <c r="AH573" s="4" t="s">
        <v>124</v>
      </c>
      <c r="AI573" s="4" t="s">
        <v>124</v>
      </c>
      <c r="AJ573" s="4" t="s">
        <v>124</v>
      </c>
      <c r="AK573" s="7">
        <v>15.95</v>
      </c>
      <c r="AL573" s="7">
        <v>20.52</v>
      </c>
      <c r="AM573" s="4" t="s">
        <v>124</v>
      </c>
      <c r="AN573" s="7">
        <v>0.59339699999999995</v>
      </c>
      <c r="AO573" s="7">
        <v>59.339727000000003</v>
      </c>
      <c r="AP573" s="7">
        <v>100</v>
      </c>
      <c r="AQ573" s="7">
        <v>0.52836399999999994</v>
      </c>
      <c r="AR573" s="7">
        <v>52.836371999999997</v>
      </c>
      <c r="AS573" s="7">
        <v>100</v>
      </c>
      <c r="AT573" s="7">
        <v>0.53384200000000004</v>
      </c>
      <c r="AU573" s="4" t="s">
        <v>124</v>
      </c>
      <c r="AV573" s="7">
        <v>53.384196000000003</v>
      </c>
      <c r="AW573" s="7">
        <v>100</v>
      </c>
      <c r="AX573" s="7">
        <v>0.47098200000000001</v>
      </c>
      <c r="AY573" s="4" t="s">
        <v>124</v>
      </c>
      <c r="AZ573" s="7">
        <v>47.098180999999997</v>
      </c>
      <c r="BA573" s="7">
        <v>100</v>
      </c>
      <c r="BB573" s="4" t="s">
        <v>124</v>
      </c>
      <c r="BC573" s="4" t="s">
        <v>124</v>
      </c>
      <c r="BD573" s="4" t="s">
        <v>124</v>
      </c>
      <c r="BE573" s="4" t="s">
        <v>124</v>
      </c>
      <c r="BF573" s="4" t="s">
        <v>124</v>
      </c>
      <c r="BG573" s="4" t="s">
        <v>124</v>
      </c>
      <c r="BH573" s="7">
        <v>1</v>
      </c>
      <c r="BI573" s="7">
        <v>0.97</v>
      </c>
      <c r="BJ573" s="7">
        <v>0.95161300000000004</v>
      </c>
      <c r="BK573" s="7">
        <v>1</v>
      </c>
      <c r="BL573" s="7">
        <v>0.94898000000000005</v>
      </c>
      <c r="BM573" s="7">
        <v>0.93548399999999998</v>
      </c>
      <c r="BN573" s="7">
        <v>0.97222200000000003</v>
      </c>
      <c r="BO573" s="4" t="s">
        <v>124</v>
      </c>
      <c r="BP573" s="4" t="s">
        <v>124</v>
      </c>
      <c r="BQ573" s="4" t="s">
        <v>124</v>
      </c>
      <c r="BR573" s="7">
        <v>0.13944200000000001</v>
      </c>
      <c r="BS573" s="7">
        <v>32.111553999999998</v>
      </c>
      <c r="BT573" s="7">
        <v>50</v>
      </c>
      <c r="BU573" s="7">
        <v>0.223881</v>
      </c>
      <c r="BV573" s="7">
        <v>15.223881</v>
      </c>
      <c r="BW573" s="7">
        <v>50</v>
      </c>
      <c r="BX573" s="4" t="s">
        <v>124</v>
      </c>
      <c r="BY573" s="4" t="s">
        <v>124</v>
      </c>
      <c r="BZ573" s="4" t="s">
        <v>124</v>
      </c>
      <c r="CA573" s="4" t="s">
        <v>124</v>
      </c>
      <c r="CB573" s="4" t="s">
        <v>124</v>
      </c>
      <c r="CC573" s="4" t="s">
        <v>124</v>
      </c>
      <c r="CD573" s="4" t="s">
        <v>124</v>
      </c>
      <c r="CE573" s="4" t="s">
        <v>124</v>
      </c>
      <c r="CF573" s="4" t="s">
        <v>124</v>
      </c>
      <c r="CG573" s="4" t="s">
        <v>124</v>
      </c>
      <c r="CH573" s="4" t="s">
        <v>124</v>
      </c>
      <c r="CI573" s="4" t="s">
        <v>124</v>
      </c>
      <c r="CJ573" s="4" t="s">
        <v>124</v>
      </c>
      <c r="CK573" s="4" t="s">
        <v>124</v>
      </c>
      <c r="CL573" s="4" t="s">
        <v>124</v>
      </c>
      <c r="CM573" s="4" t="s">
        <v>124</v>
      </c>
      <c r="CN573" s="4" t="s">
        <v>124</v>
      </c>
      <c r="CO573" s="4" t="s">
        <v>124</v>
      </c>
      <c r="CP573" s="4" t="s">
        <v>124</v>
      </c>
      <c r="CQ573" s="7">
        <v>0.13461500000000001</v>
      </c>
      <c r="CR573" s="7">
        <v>1.04</v>
      </c>
      <c r="CS573" s="7">
        <v>8.9743589999999998</v>
      </c>
      <c r="CT573" s="7">
        <v>50</v>
      </c>
      <c r="CU573" s="4" t="s">
        <v>124</v>
      </c>
      <c r="CV573" s="4" t="s">
        <v>124</v>
      </c>
      <c r="CW573" s="4" t="s">
        <v>124</v>
      </c>
      <c r="CX573" s="4" t="s">
        <v>124</v>
      </c>
      <c r="CY573" s="4" t="s">
        <v>124</v>
      </c>
      <c r="CZ573" s="4" t="s">
        <v>124</v>
      </c>
      <c r="DA573" s="7">
        <v>15.314097</v>
      </c>
      <c r="DB573" s="7">
        <v>17.400950000000002</v>
      </c>
      <c r="DC573" s="7">
        <v>16.332519999999999</v>
      </c>
      <c r="DD573" s="4" t="s">
        <v>124</v>
      </c>
      <c r="DE573" s="7">
        <v>1</v>
      </c>
      <c r="DF573" s="4" t="s">
        <v>384</v>
      </c>
      <c r="DG573" s="4" t="s">
        <v>417</v>
      </c>
      <c r="DH573" s="6"/>
      <c r="DI573" s="6"/>
      <c r="DJ573" s="7">
        <v>0</v>
      </c>
      <c r="DK573" s="7">
        <v>0</v>
      </c>
      <c r="DL573" s="7">
        <v>0</v>
      </c>
      <c r="DM573" s="7">
        <v>0</v>
      </c>
      <c r="DN573" s="7">
        <v>0</v>
      </c>
      <c r="DO573" s="7">
        <v>0</v>
      </c>
      <c r="DP573" s="6"/>
      <c r="DQ573" s="4" t="s">
        <v>125</v>
      </c>
    </row>
    <row r="574" spans="1:121" ht="20" customHeight="1" x14ac:dyDescent="0.15">
      <c r="A574" s="5">
        <v>2018</v>
      </c>
      <c r="B574" s="3" t="s">
        <v>256</v>
      </c>
      <c r="C574" s="4" t="str">
        <f t="shared" si="217"/>
        <v>0770011</v>
      </c>
      <c r="D574" s="4" t="s">
        <v>731</v>
      </c>
      <c r="E574" s="4" t="str">
        <f>"0776111"</f>
        <v>0776111</v>
      </c>
      <c r="F574" s="4" t="s">
        <v>327</v>
      </c>
      <c r="G574" s="7">
        <v>9</v>
      </c>
      <c r="H574" s="7">
        <v>12</v>
      </c>
      <c r="I574" s="6"/>
      <c r="J574" s="4" t="s">
        <v>330</v>
      </c>
      <c r="K574" s="7">
        <v>1058.644053</v>
      </c>
      <c r="L574" s="7">
        <v>1550</v>
      </c>
      <c r="M574" s="7">
        <v>68.299616</v>
      </c>
      <c r="N574" s="7">
        <v>3</v>
      </c>
      <c r="O574" s="7">
        <v>0</v>
      </c>
      <c r="P574" s="7">
        <v>52.547795000000001</v>
      </c>
      <c r="Q574" s="7">
        <v>105.095591</v>
      </c>
      <c r="R574" s="7">
        <v>150</v>
      </c>
      <c r="S574" s="7">
        <v>47.210011999999999</v>
      </c>
      <c r="T574" s="7">
        <v>59.852130000000002</v>
      </c>
      <c r="U574" s="7">
        <v>94.420023999999998</v>
      </c>
      <c r="V574" s="7">
        <v>150</v>
      </c>
      <c r="W574" s="7">
        <v>50.867725</v>
      </c>
      <c r="X574" s="7">
        <v>101.73545</v>
      </c>
      <c r="Y574" s="7">
        <v>150</v>
      </c>
      <c r="Z574" s="7">
        <v>58.184210999999998</v>
      </c>
      <c r="AA574" s="7">
        <v>45.521062000000001</v>
      </c>
      <c r="AB574" s="7">
        <v>91.042124999999999</v>
      </c>
      <c r="AC574" s="7">
        <v>150</v>
      </c>
      <c r="AD574" s="7">
        <v>47.938927</v>
      </c>
      <c r="AE574" s="7">
        <v>63.918568999999998</v>
      </c>
      <c r="AF574" s="7">
        <v>100</v>
      </c>
      <c r="AG574" s="7">
        <v>44.096314999999997</v>
      </c>
      <c r="AH574" s="7">
        <v>53.301378</v>
      </c>
      <c r="AI574" s="7">
        <v>58.795087000000002</v>
      </c>
      <c r="AJ574" s="7">
        <v>100</v>
      </c>
      <c r="AK574" s="7">
        <v>12.64</v>
      </c>
      <c r="AL574" s="7">
        <v>12.66</v>
      </c>
      <c r="AM574" s="7">
        <v>9.1999999999999993</v>
      </c>
      <c r="AN574" s="4" t="s">
        <v>124</v>
      </c>
      <c r="AO574" s="4" t="s">
        <v>124</v>
      </c>
      <c r="AP574" s="4" t="s">
        <v>124</v>
      </c>
      <c r="AQ574" s="4" t="s">
        <v>124</v>
      </c>
      <c r="AR574" s="4" t="s">
        <v>124</v>
      </c>
      <c r="AS574" s="4" t="s">
        <v>124</v>
      </c>
      <c r="AT574" s="4" t="s">
        <v>124</v>
      </c>
      <c r="AU574" s="4" t="s">
        <v>124</v>
      </c>
      <c r="AV574" s="4" t="s">
        <v>124</v>
      </c>
      <c r="AW574" s="4" t="s">
        <v>124</v>
      </c>
      <c r="AX574" s="4" t="s">
        <v>124</v>
      </c>
      <c r="AY574" s="4" t="s">
        <v>124</v>
      </c>
      <c r="AZ574" s="4" t="s">
        <v>124</v>
      </c>
      <c r="BA574" s="4" t="s">
        <v>124</v>
      </c>
      <c r="BB574" s="7">
        <v>0.51513399999999998</v>
      </c>
      <c r="BC574" s="7">
        <v>25.756719</v>
      </c>
      <c r="BD574" s="7">
        <v>50</v>
      </c>
      <c r="BE574" s="7">
        <v>0.58374300000000001</v>
      </c>
      <c r="BF574" s="7">
        <v>29.187159000000001</v>
      </c>
      <c r="BG574" s="7">
        <v>50</v>
      </c>
      <c r="BH574" s="7">
        <v>1</v>
      </c>
      <c r="BI574" s="7">
        <v>0.93820199999999998</v>
      </c>
      <c r="BJ574" s="7">
        <v>0.92924499999999999</v>
      </c>
      <c r="BK574" s="7">
        <v>0.95138900000000004</v>
      </c>
      <c r="BL574" s="7">
        <v>0.93820199999999998</v>
      </c>
      <c r="BM574" s="7">
        <v>0.92924499999999999</v>
      </c>
      <c r="BN574" s="7">
        <v>0.95138900000000004</v>
      </c>
      <c r="BO574" s="7">
        <v>0.96056299999999994</v>
      </c>
      <c r="BP574" s="7">
        <v>0.95734600000000003</v>
      </c>
      <c r="BQ574" s="7">
        <v>0.96527799999999997</v>
      </c>
      <c r="BR574" s="7">
        <v>0.18847800000000001</v>
      </c>
      <c r="BS574" s="7">
        <v>22.304321000000002</v>
      </c>
      <c r="BT574" s="7">
        <v>50</v>
      </c>
      <c r="BU574" s="7">
        <v>0.25077700000000003</v>
      </c>
      <c r="BV574" s="7">
        <v>9.8445599999999995</v>
      </c>
      <c r="BW574" s="7">
        <v>50</v>
      </c>
      <c r="BX574" s="7">
        <v>0.937581</v>
      </c>
      <c r="BY574" s="7">
        <v>50</v>
      </c>
      <c r="BZ574" s="7">
        <v>50</v>
      </c>
      <c r="CA574" s="7">
        <v>0.31729499999999999</v>
      </c>
      <c r="CB574" s="7">
        <v>21.153013000000001</v>
      </c>
      <c r="CC574" s="7">
        <v>50</v>
      </c>
      <c r="CD574" s="7">
        <v>0.84666699999999995</v>
      </c>
      <c r="CE574" s="7">
        <v>45.035460999999998</v>
      </c>
      <c r="CF574" s="7">
        <v>50</v>
      </c>
      <c r="CG574" s="7">
        <v>0.88828300000000004</v>
      </c>
      <c r="CH574" s="7">
        <v>94.498232000000002</v>
      </c>
      <c r="CI574" s="7">
        <v>100</v>
      </c>
      <c r="CJ574" s="7">
        <v>0</v>
      </c>
      <c r="CK574" s="7">
        <v>0.90825699999999998</v>
      </c>
      <c r="CL574" s="7">
        <v>96.623071999999993</v>
      </c>
      <c r="CM574" s="7">
        <v>100</v>
      </c>
      <c r="CN574" s="7">
        <v>0.60177000000000003</v>
      </c>
      <c r="CO574" s="7">
        <v>80.235988000000006</v>
      </c>
      <c r="CP574" s="7">
        <v>100</v>
      </c>
      <c r="CQ574" s="7">
        <v>0.41898099999999999</v>
      </c>
      <c r="CR574" s="7">
        <v>1.125</v>
      </c>
      <c r="CS574" s="7">
        <v>27.932099000000001</v>
      </c>
      <c r="CT574" s="7">
        <v>50</v>
      </c>
      <c r="CU574" s="7">
        <v>0.49279899999999999</v>
      </c>
      <c r="CV574" s="7">
        <v>41.066583000000001</v>
      </c>
      <c r="CW574" s="7">
        <v>50</v>
      </c>
      <c r="CX574" s="7">
        <v>0.90825699999999998</v>
      </c>
      <c r="CY574" s="7">
        <v>0.94</v>
      </c>
      <c r="CZ574" s="7">
        <v>3.1743E-2</v>
      </c>
      <c r="DA574" s="7">
        <v>15.314097</v>
      </c>
      <c r="DB574" s="7">
        <v>17.400950000000002</v>
      </c>
      <c r="DC574" s="7">
        <v>16.332519999999999</v>
      </c>
      <c r="DD574" s="7">
        <v>7.9891730000000001</v>
      </c>
      <c r="DE574" s="7">
        <v>1</v>
      </c>
      <c r="DF574" s="6"/>
      <c r="DG574" s="6"/>
      <c r="DH574" s="6"/>
      <c r="DI574" s="6"/>
      <c r="DJ574" s="7">
        <v>0</v>
      </c>
      <c r="DK574" s="7">
        <v>0</v>
      </c>
      <c r="DL574" s="7">
        <v>0</v>
      </c>
      <c r="DM574" s="7">
        <v>0</v>
      </c>
      <c r="DN574" s="7">
        <v>0</v>
      </c>
      <c r="DO574" s="7">
        <v>0</v>
      </c>
      <c r="DP574" s="6"/>
      <c r="DQ574" s="4" t="s">
        <v>125</v>
      </c>
    </row>
    <row r="575" spans="1:121" ht="20" customHeight="1" x14ac:dyDescent="0.15">
      <c r="A575" s="5">
        <v>2018</v>
      </c>
      <c r="B575" s="3" t="s">
        <v>256</v>
      </c>
      <c r="C575" s="4" t="str">
        <f t="shared" si="217"/>
        <v>0770011</v>
      </c>
      <c r="D575" s="4" t="s">
        <v>732</v>
      </c>
      <c r="E575" s="4" t="str">
        <f>"0771611"</f>
        <v>0771611</v>
      </c>
      <c r="F575" s="4" t="s">
        <v>327</v>
      </c>
      <c r="G575" s="4" t="s">
        <v>338</v>
      </c>
      <c r="H575" s="7">
        <v>4</v>
      </c>
      <c r="I575" s="4" t="s">
        <v>335</v>
      </c>
      <c r="J575" s="4" t="s">
        <v>330</v>
      </c>
      <c r="K575" s="7">
        <v>430.24796600000002</v>
      </c>
      <c r="L575" s="7">
        <v>750</v>
      </c>
      <c r="M575" s="7">
        <v>57.366396000000002</v>
      </c>
      <c r="N575" s="7">
        <v>3</v>
      </c>
      <c r="O575" s="7">
        <v>1</v>
      </c>
      <c r="P575" s="7">
        <v>62.817709999999998</v>
      </c>
      <c r="Q575" s="7">
        <v>41.878473999999997</v>
      </c>
      <c r="R575" s="7">
        <v>50</v>
      </c>
      <c r="S575" s="7">
        <v>56.386062000000003</v>
      </c>
      <c r="T575" s="7">
        <v>73.411012999999997</v>
      </c>
      <c r="U575" s="7">
        <v>37.590707999999999</v>
      </c>
      <c r="V575" s="7">
        <v>50</v>
      </c>
      <c r="W575" s="7">
        <v>55.879508000000001</v>
      </c>
      <c r="X575" s="7">
        <v>37.253005000000002</v>
      </c>
      <c r="Y575" s="7">
        <v>50</v>
      </c>
      <c r="Z575" s="7">
        <v>67.767149000000003</v>
      </c>
      <c r="AA575" s="7">
        <v>48.662011</v>
      </c>
      <c r="AB575" s="7">
        <v>32.441339999999997</v>
      </c>
      <c r="AC575" s="7">
        <v>50</v>
      </c>
      <c r="AD575" s="4" t="s">
        <v>124</v>
      </c>
      <c r="AE575" s="4" t="s">
        <v>124</v>
      </c>
      <c r="AF575" s="4" t="s">
        <v>124</v>
      </c>
      <c r="AG575" s="4" t="s">
        <v>124</v>
      </c>
      <c r="AH575" s="4" t="s">
        <v>124</v>
      </c>
      <c r="AI575" s="4" t="s">
        <v>124</v>
      </c>
      <c r="AJ575" s="4" t="s">
        <v>124</v>
      </c>
      <c r="AK575" s="7">
        <v>17.02</v>
      </c>
      <c r="AL575" s="7">
        <v>19.100000000000001</v>
      </c>
      <c r="AM575" s="4" t="s">
        <v>124</v>
      </c>
      <c r="AN575" s="7">
        <v>0.57325700000000002</v>
      </c>
      <c r="AO575" s="7">
        <v>57.325727000000001</v>
      </c>
      <c r="AP575" s="7">
        <v>100</v>
      </c>
      <c r="AQ575" s="7">
        <v>0.482435</v>
      </c>
      <c r="AR575" s="7">
        <v>48.243504000000001</v>
      </c>
      <c r="AS575" s="7">
        <v>100</v>
      </c>
      <c r="AT575" s="7">
        <v>0.56198300000000001</v>
      </c>
      <c r="AU575" s="4" t="s">
        <v>124</v>
      </c>
      <c r="AV575" s="7">
        <v>56.198338</v>
      </c>
      <c r="AW575" s="7">
        <v>100</v>
      </c>
      <c r="AX575" s="7">
        <v>0.51362300000000005</v>
      </c>
      <c r="AY575" s="4" t="s">
        <v>124</v>
      </c>
      <c r="AZ575" s="7">
        <v>51.362336999999997</v>
      </c>
      <c r="BA575" s="7">
        <v>100</v>
      </c>
      <c r="BB575" s="4" t="s">
        <v>124</v>
      </c>
      <c r="BC575" s="4" t="s">
        <v>124</v>
      </c>
      <c r="BD575" s="4" t="s">
        <v>124</v>
      </c>
      <c r="BE575" s="4" t="s">
        <v>124</v>
      </c>
      <c r="BF575" s="4" t="s">
        <v>124</v>
      </c>
      <c r="BG575" s="4" t="s">
        <v>124</v>
      </c>
      <c r="BH575" s="7">
        <v>0</v>
      </c>
      <c r="BI575" s="7">
        <v>0.97938099999999995</v>
      </c>
      <c r="BJ575" s="7">
        <v>0.98387100000000005</v>
      </c>
      <c r="BK575" s="7">
        <v>0.97142899999999999</v>
      </c>
      <c r="BL575" s="7">
        <v>0.97959200000000002</v>
      </c>
      <c r="BM575" s="7">
        <v>0.98387100000000005</v>
      </c>
      <c r="BN575" s="7">
        <v>0.97222200000000003</v>
      </c>
      <c r="BO575" s="4" t="s">
        <v>124</v>
      </c>
      <c r="BP575" s="4" t="s">
        <v>124</v>
      </c>
      <c r="BQ575" s="4" t="s">
        <v>124</v>
      </c>
      <c r="BR575" s="7">
        <v>0.144737</v>
      </c>
      <c r="BS575" s="7">
        <v>31.052631999999999</v>
      </c>
      <c r="BT575" s="7">
        <v>50</v>
      </c>
      <c r="BU575" s="7">
        <v>0.175676</v>
      </c>
      <c r="BV575" s="7">
        <v>24.864865000000002</v>
      </c>
      <c r="BW575" s="7">
        <v>50</v>
      </c>
      <c r="BX575" s="4" t="s">
        <v>124</v>
      </c>
      <c r="BY575" s="4" t="s">
        <v>124</v>
      </c>
      <c r="BZ575" s="4" t="s">
        <v>124</v>
      </c>
      <c r="CA575" s="4" t="s">
        <v>124</v>
      </c>
      <c r="CB575" s="4" t="s">
        <v>124</v>
      </c>
      <c r="CC575" s="4" t="s">
        <v>124</v>
      </c>
      <c r="CD575" s="4" t="s">
        <v>124</v>
      </c>
      <c r="CE575" s="4" t="s">
        <v>124</v>
      </c>
      <c r="CF575" s="4" t="s">
        <v>124</v>
      </c>
      <c r="CG575" s="4" t="s">
        <v>124</v>
      </c>
      <c r="CH575" s="4" t="s">
        <v>124</v>
      </c>
      <c r="CI575" s="4" t="s">
        <v>124</v>
      </c>
      <c r="CJ575" s="4" t="s">
        <v>124</v>
      </c>
      <c r="CK575" s="4" t="s">
        <v>124</v>
      </c>
      <c r="CL575" s="4" t="s">
        <v>124</v>
      </c>
      <c r="CM575" s="4" t="s">
        <v>124</v>
      </c>
      <c r="CN575" s="4" t="s">
        <v>124</v>
      </c>
      <c r="CO575" s="4" t="s">
        <v>124</v>
      </c>
      <c r="CP575" s="4" t="s">
        <v>124</v>
      </c>
      <c r="CQ575" s="7">
        <v>0.36111100000000002</v>
      </c>
      <c r="CR575" s="7">
        <v>0.8</v>
      </c>
      <c r="CS575" s="7">
        <v>12.037037</v>
      </c>
      <c r="CT575" s="7">
        <v>50</v>
      </c>
      <c r="CU575" s="4" t="s">
        <v>124</v>
      </c>
      <c r="CV575" s="4" t="s">
        <v>124</v>
      </c>
      <c r="CW575" s="4" t="s">
        <v>124</v>
      </c>
      <c r="CX575" s="4" t="s">
        <v>124</v>
      </c>
      <c r="CY575" s="4" t="s">
        <v>124</v>
      </c>
      <c r="CZ575" s="4" t="s">
        <v>124</v>
      </c>
      <c r="DA575" s="7">
        <v>15.314097</v>
      </c>
      <c r="DB575" s="7">
        <v>17.400950000000002</v>
      </c>
      <c r="DC575" s="7">
        <v>16.332519999999999</v>
      </c>
      <c r="DD575" s="4" t="s">
        <v>124</v>
      </c>
      <c r="DE575" s="7">
        <v>1</v>
      </c>
      <c r="DF575" s="6"/>
      <c r="DG575" s="6"/>
      <c r="DH575" s="6"/>
      <c r="DI575" s="6"/>
      <c r="DJ575" s="7">
        <v>0</v>
      </c>
      <c r="DK575" s="7">
        <v>0</v>
      </c>
      <c r="DL575" s="7">
        <v>0</v>
      </c>
      <c r="DM575" s="7">
        <v>0</v>
      </c>
      <c r="DN575" s="7">
        <v>0</v>
      </c>
      <c r="DO575" s="7">
        <v>0</v>
      </c>
      <c r="DP575" s="6"/>
      <c r="DQ575" s="4" t="s">
        <v>125</v>
      </c>
    </row>
    <row r="576" spans="1:121" ht="20" customHeight="1" x14ac:dyDescent="0.15">
      <c r="A576" s="5">
        <v>2018</v>
      </c>
      <c r="B576" s="3" t="s">
        <v>256</v>
      </c>
      <c r="C576" s="4" t="str">
        <f t="shared" si="217"/>
        <v>0770011</v>
      </c>
      <c r="D576" s="4" t="s">
        <v>733</v>
      </c>
      <c r="E576" s="4" t="str">
        <f>"0771211"</f>
        <v>0771211</v>
      </c>
      <c r="F576" s="4" t="s">
        <v>327</v>
      </c>
      <c r="G576" s="4" t="s">
        <v>338</v>
      </c>
      <c r="H576" s="7">
        <v>4</v>
      </c>
      <c r="I576" s="4" t="s">
        <v>335</v>
      </c>
      <c r="J576" s="4" t="s">
        <v>330</v>
      </c>
      <c r="K576" s="7">
        <v>523.54920800000002</v>
      </c>
      <c r="L576" s="7">
        <v>850</v>
      </c>
      <c r="M576" s="7">
        <v>61.594023999999997</v>
      </c>
      <c r="N576" s="7">
        <v>3</v>
      </c>
      <c r="O576" s="7">
        <v>0</v>
      </c>
      <c r="P576" s="7">
        <v>59.886710999999998</v>
      </c>
      <c r="Q576" s="7">
        <v>39.924473999999996</v>
      </c>
      <c r="R576" s="7">
        <v>50</v>
      </c>
      <c r="S576" s="7">
        <v>58.992750000000001</v>
      </c>
      <c r="T576" s="4" t="s">
        <v>124</v>
      </c>
      <c r="U576" s="7">
        <v>39.328499999999998</v>
      </c>
      <c r="V576" s="7">
        <v>50</v>
      </c>
      <c r="W576" s="7">
        <v>57.059632999999998</v>
      </c>
      <c r="X576" s="7">
        <v>38.039755</v>
      </c>
      <c r="Y576" s="7">
        <v>50</v>
      </c>
      <c r="Z576" s="4" t="s">
        <v>124</v>
      </c>
      <c r="AA576" s="7">
        <v>56.189943999999997</v>
      </c>
      <c r="AB576" s="7">
        <v>37.459963000000002</v>
      </c>
      <c r="AC576" s="7">
        <v>50</v>
      </c>
      <c r="AD576" s="4" t="s">
        <v>124</v>
      </c>
      <c r="AE576" s="4" t="s">
        <v>124</v>
      </c>
      <c r="AF576" s="4" t="s">
        <v>124</v>
      </c>
      <c r="AG576" s="4" t="s">
        <v>124</v>
      </c>
      <c r="AH576" s="4" t="s">
        <v>124</v>
      </c>
      <c r="AI576" s="4" t="s">
        <v>124</v>
      </c>
      <c r="AJ576" s="4" t="s">
        <v>124</v>
      </c>
      <c r="AK576" s="4" t="s">
        <v>124</v>
      </c>
      <c r="AL576" s="4" t="s">
        <v>124</v>
      </c>
      <c r="AM576" s="4" t="s">
        <v>124</v>
      </c>
      <c r="AN576" s="7">
        <v>0.53774</v>
      </c>
      <c r="AO576" s="7">
        <v>53.774006</v>
      </c>
      <c r="AP576" s="7">
        <v>100</v>
      </c>
      <c r="AQ576" s="7">
        <v>0.72628599999999999</v>
      </c>
      <c r="AR576" s="7">
        <v>72.628641999999999</v>
      </c>
      <c r="AS576" s="7">
        <v>100</v>
      </c>
      <c r="AT576" s="7">
        <v>0.53854400000000002</v>
      </c>
      <c r="AU576" s="4" t="s">
        <v>124</v>
      </c>
      <c r="AV576" s="7">
        <v>53.854435000000002</v>
      </c>
      <c r="AW576" s="7">
        <v>100</v>
      </c>
      <c r="AX576" s="7">
        <v>0.74183600000000005</v>
      </c>
      <c r="AY576" s="4" t="s">
        <v>124</v>
      </c>
      <c r="AZ576" s="7">
        <v>74.18356</v>
      </c>
      <c r="BA576" s="7">
        <v>100</v>
      </c>
      <c r="BB576" s="7">
        <v>0.757853</v>
      </c>
      <c r="BC576" s="7">
        <v>37.892654999999998</v>
      </c>
      <c r="BD576" s="7">
        <v>50</v>
      </c>
      <c r="BE576" s="7">
        <v>0.559388</v>
      </c>
      <c r="BF576" s="7">
        <v>27.969414</v>
      </c>
      <c r="BG576" s="7">
        <v>50</v>
      </c>
      <c r="BH576" s="7">
        <v>0</v>
      </c>
      <c r="BI576" s="7">
        <v>0.96774199999999999</v>
      </c>
      <c r="BJ576" s="7">
        <v>0.97196300000000002</v>
      </c>
      <c r="BK576" s="4" t="s">
        <v>124</v>
      </c>
      <c r="BL576" s="7">
        <v>0.96748000000000001</v>
      </c>
      <c r="BM576" s="7">
        <v>0.97169799999999995</v>
      </c>
      <c r="BN576" s="4" t="s">
        <v>124</v>
      </c>
      <c r="BO576" s="4" t="s">
        <v>124</v>
      </c>
      <c r="BP576" s="4" t="s">
        <v>124</v>
      </c>
      <c r="BQ576" s="4" t="s">
        <v>124</v>
      </c>
      <c r="BR576" s="7">
        <v>0.20608099999999999</v>
      </c>
      <c r="BS576" s="7">
        <v>18.783784000000001</v>
      </c>
      <c r="BT576" s="7">
        <v>50</v>
      </c>
      <c r="BU576" s="7">
        <v>0.21317800000000001</v>
      </c>
      <c r="BV576" s="7">
        <v>17.364341</v>
      </c>
      <c r="BW576" s="7">
        <v>50</v>
      </c>
      <c r="BX576" s="4" t="s">
        <v>124</v>
      </c>
      <c r="BY576" s="4" t="s">
        <v>124</v>
      </c>
      <c r="BZ576" s="4" t="s">
        <v>124</v>
      </c>
      <c r="CA576" s="4" t="s">
        <v>124</v>
      </c>
      <c r="CB576" s="4" t="s">
        <v>124</v>
      </c>
      <c r="CC576" s="4" t="s">
        <v>124</v>
      </c>
      <c r="CD576" s="4" t="s">
        <v>124</v>
      </c>
      <c r="CE576" s="4" t="s">
        <v>124</v>
      </c>
      <c r="CF576" s="4" t="s">
        <v>124</v>
      </c>
      <c r="CG576" s="4" t="s">
        <v>124</v>
      </c>
      <c r="CH576" s="4" t="s">
        <v>124</v>
      </c>
      <c r="CI576" s="4" t="s">
        <v>124</v>
      </c>
      <c r="CJ576" s="4" t="s">
        <v>124</v>
      </c>
      <c r="CK576" s="4" t="s">
        <v>124</v>
      </c>
      <c r="CL576" s="4" t="s">
        <v>124</v>
      </c>
      <c r="CM576" s="4" t="s">
        <v>124</v>
      </c>
      <c r="CN576" s="4" t="s">
        <v>124</v>
      </c>
      <c r="CO576" s="4" t="s">
        <v>124</v>
      </c>
      <c r="CP576" s="4" t="s">
        <v>124</v>
      </c>
      <c r="CQ576" s="7">
        <v>0.18518499999999999</v>
      </c>
      <c r="CR576" s="7">
        <v>0.91525400000000001</v>
      </c>
      <c r="CS576" s="7">
        <v>12.345679000000001</v>
      </c>
      <c r="CT576" s="7">
        <v>50</v>
      </c>
      <c r="CU576" s="4" t="s">
        <v>124</v>
      </c>
      <c r="CV576" s="4" t="s">
        <v>124</v>
      </c>
      <c r="CW576" s="4" t="s">
        <v>124</v>
      </c>
      <c r="CX576" s="4" t="s">
        <v>124</v>
      </c>
      <c r="CY576" s="4" t="s">
        <v>124</v>
      </c>
      <c r="CZ576" s="4" t="s">
        <v>124</v>
      </c>
      <c r="DA576" s="7">
        <v>15.314097</v>
      </c>
      <c r="DB576" s="7">
        <v>17.400950000000002</v>
      </c>
      <c r="DC576" s="7">
        <v>16.332519999999999</v>
      </c>
      <c r="DD576" s="4" t="s">
        <v>124</v>
      </c>
      <c r="DE576" s="7">
        <v>0</v>
      </c>
      <c r="DF576" s="6"/>
      <c r="DG576" s="6"/>
      <c r="DH576" s="6"/>
      <c r="DI576" s="6"/>
      <c r="DJ576" s="7">
        <v>0</v>
      </c>
      <c r="DK576" s="7">
        <v>0</v>
      </c>
      <c r="DL576" s="7">
        <v>0</v>
      </c>
      <c r="DM576" s="7">
        <v>0</v>
      </c>
      <c r="DN576" s="7">
        <v>0</v>
      </c>
      <c r="DO576" s="7">
        <v>0</v>
      </c>
      <c r="DP576" s="6"/>
      <c r="DQ576" s="4" t="s">
        <v>125</v>
      </c>
    </row>
    <row r="577" spans="1:121" ht="20" customHeight="1" x14ac:dyDescent="0.15">
      <c r="A577" s="5">
        <v>2018</v>
      </c>
      <c r="B577" s="3" t="s">
        <v>256</v>
      </c>
      <c r="C577" s="4" t="str">
        <f t="shared" si="217"/>
        <v>0770011</v>
      </c>
      <c r="D577" s="4" t="s">
        <v>734</v>
      </c>
      <c r="E577" s="4" t="str">
        <f>"0771311"</f>
        <v>0771311</v>
      </c>
      <c r="F577" s="4" t="s">
        <v>327</v>
      </c>
      <c r="G577" s="4" t="s">
        <v>338</v>
      </c>
      <c r="H577" s="7">
        <v>4</v>
      </c>
      <c r="I577" s="4" t="s">
        <v>335</v>
      </c>
      <c r="J577" s="4" t="s">
        <v>330</v>
      </c>
      <c r="K577" s="7">
        <v>606.61823600000002</v>
      </c>
      <c r="L577" s="7">
        <v>850</v>
      </c>
      <c r="M577" s="7">
        <v>71.366850999999997</v>
      </c>
      <c r="N577" s="7">
        <v>2</v>
      </c>
      <c r="O577" s="7">
        <v>0</v>
      </c>
      <c r="P577" s="7">
        <v>66.914694999999995</v>
      </c>
      <c r="Q577" s="7">
        <v>44.609797</v>
      </c>
      <c r="R577" s="7">
        <v>50</v>
      </c>
      <c r="S577" s="7">
        <v>64.529223000000002</v>
      </c>
      <c r="T577" s="7">
        <v>74.342187999999993</v>
      </c>
      <c r="U577" s="7">
        <v>43.019482000000004</v>
      </c>
      <c r="V577" s="7">
        <v>50</v>
      </c>
      <c r="W577" s="7">
        <v>62.150078999999998</v>
      </c>
      <c r="X577" s="7">
        <v>41.433385999999999</v>
      </c>
      <c r="Y577" s="7">
        <v>50</v>
      </c>
      <c r="Z577" s="7">
        <v>70.030843000000004</v>
      </c>
      <c r="AA577" s="7">
        <v>59.581533999999998</v>
      </c>
      <c r="AB577" s="7">
        <v>39.721023000000002</v>
      </c>
      <c r="AC577" s="7">
        <v>50</v>
      </c>
      <c r="AD577" s="4" t="s">
        <v>124</v>
      </c>
      <c r="AE577" s="4" t="s">
        <v>124</v>
      </c>
      <c r="AF577" s="4" t="s">
        <v>124</v>
      </c>
      <c r="AG577" s="4" t="s">
        <v>124</v>
      </c>
      <c r="AH577" s="4" t="s">
        <v>124</v>
      </c>
      <c r="AI577" s="4" t="s">
        <v>124</v>
      </c>
      <c r="AJ577" s="4" t="s">
        <v>124</v>
      </c>
      <c r="AK577" s="7">
        <v>9.81</v>
      </c>
      <c r="AL577" s="7">
        <v>10.44</v>
      </c>
      <c r="AM577" s="4" t="s">
        <v>124</v>
      </c>
      <c r="AN577" s="7">
        <v>0.67233600000000004</v>
      </c>
      <c r="AO577" s="7">
        <v>67.233591000000004</v>
      </c>
      <c r="AP577" s="7">
        <v>100</v>
      </c>
      <c r="AQ577" s="7">
        <v>0.75229199999999996</v>
      </c>
      <c r="AR577" s="7">
        <v>75.229202000000001</v>
      </c>
      <c r="AS577" s="7">
        <v>100</v>
      </c>
      <c r="AT577" s="7">
        <v>0.68907099999999999</v>
      </c>
      <c r="AU577" s="7">
        <v>0.62770899999999996</v>
      </c>
      <c r="AV577" s="7">
        <v>68.907105999999999</v>
      </c>
      <c r="AW577" s="7">
        <v>100</v>
      </c>
      <c r="AX577" s="7">
        <v>0.74759100000000001</v>
      </c>
      <c r="AY577" s="7">
        <v>0.76465499999999997</v>
      </c>
      <c r="AZ577" s="7">
        <v>74.759056000000001</v>
      </c>
      <c r="BA577" s="7">
        <v>100</v>
      </c>
      <c r="BB577" s="7">
        <v>0.773617</v>
      </c>
      <c r="BC577" s="7">
        <v>38.680852999999999</v>
      </c>
      <c r="BD577" s="7">
        <v>50</v>
      </c>
      <c r="BE577" s="7">
        <v>0.63238899999999998</v>
      </c>
      <c r="BF577" s="7">
        <v>31.619458999999999</v>
      </c>
      <c r="BG577" s="7">
        <v>50</v>
      </c>
      <c r="BH577" s="7">
        <v>0</v>
      </c>
      <c r="BI577" s="7">
        <v>0.99484499999999998</v>
      </c>
      <c r="BJ577" s="7">
        <v>1</v>
      </c>
      <c r="BK577" s="7">
        <v>0.98</v>
      </c>
      <c r="BL577" s="7">
        <v>0.98963699999999999</v>
      </c>
      <c r="BM577" s="7">
        <v>0.99300699999999997</v>
      </c>
      <c r="BN577" s="7">
        <v>0.98</v>
      </c>
      <c r="BO577" s="4" t="s">
        <v>124</v>
      </c>
      <c r="BP577" s="4" t="s">
        <v>124</v>
      </c>
      <c r="BQ577" s="4" t="s">
        <v>124</v>
      </c>
      <c r="BR577" s="7">
        <v>0.140044</v>
      </c>
      <c r="BS577" s="7">
        <v>31.991247000000001</v>
      </c>
      <c r="BT577" s="7">
        <v>50</v>
      </c>
      <c r="BU577" s="7">
        <v>0.165079</v>
      </c>
      <c r="BV577" s="7">
        <v>26.984127000000001</v>
      </c>
      <c r="BW577" s="7">
        <v>50</v>
      </c>
      <c r="BX577" s="4" t="s">
        <v>124</v>
      </c>
      <c r="BY577" s="4" t="s">
        <v>124</v>
      </c>
      <c r="BZ577" s="4" t="s">
        <v>124</v>
      </c>
      <c r="CA577" s="4" t="s">
        <v>124</v>
      </c>
      <c r="CB577" s="4" t="s">
        <v>124</v>
      </c>
      <c r="CC577" s="4" t="s">
        <v>124</v>
      </c>
      <c r="CD577" s="4" t="s">
        <v>124</v>
      </c>
      <c r="CE577" s="4" t="s">
        <v>124</v>
      </c>
      <c r="CF577" s="4" t="s">
        <v>124</v>
      </c>
      <c r="CG577" s="4" t="s">
        <v>124</v>
      </c>
      <c r="CH577" s="4" t="s">
        <v>124</v>
      </c>
      <c r="CI577" s="4" t="s">
        <v>124</v>
      </c>
      <c r="CJ577" s="4" t="s">
        <v>124</v>
      </c>
      <c r="CK577" s="4" t="s">
        <v>124</v>
      </c>
      <c r="CL577" s="4" t="s">
        <v>124</v>
      </c>
      <c r="CM577" s="4" t="s">
        <v>124</v>
      </c>
      <c r="CN577" s="4" t="s">
        <v>124</v>
      </c>
      <c r="CO577" s="4" t="s">
        <v>124</v>
      </c>
      <c r="CP577" s="4" t="s">
        <v>124</v>
      </c>
      <c r="CQ577" s="7">
        <v>0.336449</v>
      </c>
      <c r="CR577" s="7">
        <v>1.0094339999999999</v>
      </c>
      <c r="CS577" s="7">
        <v>22.429907</v>
      </c>
      <c r="CT577" s="7">
        <v>50</v>
      </c>
      <c r="CU577" s="4" t="s">
        <v>124</v>
      </c>
      <c r="CV577" s="4" t="s">
        <v>124</v>
      </c>
      <c r="CW577" s="4" t="s">
        <v>124</v>
      </c>
      <c r="CX577" s="4" t="s">
        <v>124</v>
      </c>
      <c r="CY577" s="4" t="s">
        <v>124</v>
      </c>
      <c r="CZ577" s="4" t="s">
        <v>124</v>
      </c>
      <c r="DA577" s="7">
        <v>15.314097</v>
      </c>
      <c r="DB577" s="7">
        <v>17.400950000000002</v>
      </c>
      <c r="DC577" s="7">
        <v>16.332519999999999</v>
      </c>
      <c r="DD577" s="4" t="s">
        <v>124</v>
      </c>
      <c r="DE577" s="7">
        <v>0</v>
      </c>
      <c r="DF577" s="6"/>
      <c r="DG577" s="6"/>
      <c r="DH577" s="6"/>
      <c r="DI577" s="6"/>
      <c r="DJ577" s="7">
        <v>0</v>
      </c>
      <c r="DK577" s="7">
        <v>0</v>
      </c>
      <c r="DL577" s="7">
        <v>0</v>
      </c>
      <c r="DM577" s="7">
        <v>0</v>
      </c>
      <c r="DN577" s="7">
        <v>0</v>
      </c>
      <c r="DO577" s="7">
        <v>0</v>
      </c>
      <c r="DP577" s="6"/>
      <c r="DQ577" s="4" t="s">
        <v>125</v>
      </c>
    </row>
    <row r="578" spans="1:121" ht="20" customHeight="1" x14ac:dyDescent="0.15">
      <c r="A578" s="5">
        <v>2018</v>
      </c>
      <c r="B578" s="3" t="s">
        <v>256</v>
      </c>
      <c r="C578" s="4" t="str">
        <f t="shared" si="217"/>
        <v>0770011</v>
      </c>
      <c r="D578" s="4" t="s">
        <v>735</v>
      </c>
      <c r="E578" s="4" t="str">
        <f>"0771411"</f>
        <v>0771411</v>
      </c>
      <c r="F578" s="4" t="s">
        <v>327</v>
      </c>
      <c r="G578" s="4" t="s">
        <v>338</v>
      </c>
      <c r="H578" s="7">
        <v>4</v>
      </c>
      <c r="I578" s="4" t="s">
        <v>335</v>
      </c>
      <c r="J578" s="4" t="s">
        <v>330</v>
      </c>
      <c r="K578" s="7">
        <v>330.95710600000001</v>
      </c>
      <c r="L578" s="7">
        <v>750</v>
      </c>
      <c r="M578" s="7">
        <v>44.127614000000001</v>
      </c>
      <c r="N578" s="7">
        <v>5</v>
      </c>
      <c r="O578" s="7">
        <v>0</v>
      </c>
      <c r="P578" s="7">
        <v>51.852469999999997</v>
      </c>
      <c r="Q578" s="7">
        <v>34.568313000000003</v>
      </c>
      <c r="R578" s="7">
        <v>50</v>
      </c>
      <c r="S578" s="7">
        <v>49.845723</v>
      </c>
      <c r="T578" s="4" t="s">
        <v>124</v>
      </c>
      <c r="U578" s="7">
        <v>33.230482000000002</v>
      </c>
      <c r="V578" s="7">
        <v>50</v>
      </c>
      <c r="W578" s="7">
        <v>45.830258000000001</v>
      </c>
      <c r="X578" s="7">
        <v>30.553505000000001</v>
      </c>
      <c r="Y578" s="7">
        <v>50</v>
      </c>
      <c r="Z578" s="4" t="s">
        <v>124</v>
      </c>
      <c r="AA578" s="7">
        <v>44.133589000000001</v>
      </c>
      <c r="AB578" s="7">
        <v>29.422393</v>
      </c>
      <c r="AC578" s="7">
        <v>50</v>
      </c>
      <c r="AD578" s="4" t="s">
        <v>124</v>
      </c>
      <c r="AE578" s="4" t="s">
        <v>124</v>
      </c>
      <c r="AF578" s="4" t="s">
        <v>124</v>
      </c>
      <c r="AG578" s="4" t="s">
        <v>124</v>
      </c>
      <c r="AH578" s="4" t="s">
        <v>124</v>
      </c>
      <c r="AI578" s="4" t="s">
        <v>124</v>
      </c>
      <c r="AJ578" s="4" t="s">
        <v>124</v>
      </c>
      <c r="AK578" s="4" t="s">
        <v>124</v>
      </c>
      <c r="AL578" s="4" t="s">
        <v>124</v>
      </c>
      <c r="AM578" s="4" t="s">
        <v>124</v>
      </c>
      <c r="AN578" s="7">
        <v>0.38918399999999997</v>
      </c>
      <c r="AO578" s="7">
        <v>38.918368999999998</v>
      </c>
      <c r="AP578" s="7">
        <v>100</v>
      </c>
      <c r="AQ578" s="7">
        <v>0.43664500000000001</v>
      </c>
      <c r="AR578" s="7">
        <v>43.664450000000002</v>
      </c>
      <c r="AS578" s="7">
        <v>100</v>
      </c>
      <c r="AT578" s="7">
        <v>0.384932</v>
      </c>
      <c r="AU578" s="4" t="s">
        <v>124</v>
      </c>
      <c r="AV578" s="7">
        <v>38.493226999999997</v>
      </c>
      <c r="AW578" s="7">
        <v>100</v>
      </c>
      <c r="AX578" s="7">
        <v>0.42810199999999998</v>
      </c>
      <c r="AY578" s="4" t="s">
        <v>124</v>
      </c>
      <c r="AZ578" s="7">
        <v>42.810189999999999</v>
      </c>
      <c r="BA578" s="7">
        <v>100</v>
      </c>
      <c r="BB578" s="4" t="s">
        <v>124</v>
      </c>
      <c r="BC578" s="4" t="s">
        <v>124</v>
      </c>
      <c r="BD578" s="4" t="s">
        <v>124</v>
      </c>
      <c r="BE578" s="4" t="s">
        <v>124</v>
      </c>
      <c r="BF578" s="4" t="s">
        <v>124</v>
      </c>
      <c r="BG578" s="4" t="s">
        <v>124</v>
      </c>
      <c r="BH578" s="7">
        <v>0</v>
      </c>
      <c r="BI578" s="7">
        <v>0.99099099999999996</v>
      </c>
      <c r="BJ578" s="7">
        <v>0.98989899999999997</v>
      </c>
      <c r="BK578" s="4" t="s">
        <v>124</v>
      </c>
      <c r="BL578" s="7">
        <v>0.98198200000000002</v>
      </c>
      <c r="BM578" s="7">
        <v>0.97979799999999995</v>
      </c>
      <c r="BN578" s="4" t="s">
        <v>124</v>
      </c>
      <c r="BO578" s="4" t="s">
        <v>124</v>
      </c>
      <c r="BP578" s="4" t="s">
        <v>124</v>
      </c>
      <c r="BQ578" s="4" t="s">
        <v>124</v>
      </c>
      <c r="BR578" s="7">
        <v>0.24576300000000001</v>
      </c>
      <c r="BS578" s="7">
        <v>10.847458</v>
      </c>
      <c r="BT578" s="7">
        <v>50</v>
      </c>
      <c r="BU578" s="7">
        <v>0.26442300000000002</v>
      </c>
      <c r="BV578" s="7">
        <v>7.1153849999999998</v>
      </c>
      <c r="BW578" s="7">
        <v>50</v>
      </c>
      <c r="BX578" s="4" t="s">
        <v>124</v>
      </c>
      <c r="BY578" s="4" t="s">
        <v>124</v>
      </c>
      <c r="BZ578" s="4" t="s">
        <v>124</v>
      </c>
      <c r="CA578" s="4" t="s">
        <v>124</v>
      </c>
      <c r="CB578" s="4" t="s">
        <v>124</v>
      </c>
      <c r="CC578" s="4" t="s">
        <v>124</v>
      </c>
      <c r="CD578" s="4" t="s">
        <v>124</v>
      </c>
      <c r="CE578" s="4" t="s">
        <v>124</v>
      </c>
      <c r="CF578" s="4" t="s">
        <v>124</v>
      </c>
      <c r="CG578" s="4" t="s">
        <v>124</v>
      </c>
      <c r="CH578" s="4" t="s">
        <v>124</v>
      </c>
      <c r="CI578" s="4" t="s">
        <v>124</v>
      </c>
      <c r="CJ578" s="4" t="s">
        <v>124</v>
      </c>
      <c r="CK578" s="4" t="s">
        <v>124</v>
      </c>
      <c r="CL578" s="4" t="s">
        <v>124</v>
      </c>
      <c r="CM578" s="4" t="s">
        <v>124</v>
      </c>
      <c r="CN578" s="4" t="s">
        <v>124</v>
      </c>
      <c r="CO578" s="4" t="s">
        <v>124</v>
      </c>
      <c r="CP578" s="4" t="s">
        <v>124</v>
      </c>
      <c r="CQ578" s="7">
        <v>0.32</v>
      </c>
      <c r="CR578" s="7">
        <v>0.961538</v>
      </c>
      <c r="CS578" s="7">
        <v>21.333333</v>
      </c>
      <c r="CT578" s="7">
        <v>50</v>
      </c>
      <c r="CU578" s="4" t="s">
        <v>124</v>
      </c>
      <c r="CV578" s="4" t="s">
        <v>124</v>
      </c>
      <c r="CW578" s="4" t="s">
        <v>124</v>
      </c>
      <c r="CX578" s="4" t="s">
        <v>124</v>
      </c>
      <c r="CY578" s="4" t="s">
        <v>124</v>
      </c>
      <c r="CZ578" s="4" t="s">
        <v>124</v>
      </c>
      <c r="DA578" s="7">
        <v>15.314097</v>
      </c>
      <c r="DB578" s="7">
        <v>17.400950000000002</v>
      </c>
      <c r="DC578" s="7">
        <v>16.332519999999999</v>
      </c>
      <c r="DD578" s="4" t="s">
        <v>124</v>
      </c>
      <c r="DE578" s="7">
        <v>0</v>
      </c>
      <c r="DF578" s="4" t="s">
        <v>375</v>
      </c>
      <c r="DG578" s="4" t="s">
        <v>376</v>
      </c>
      <c r="DH578" s="6"/>
      <c r="DI578" s="6"/>
      <c r="DJ578" s="7">
        <v>0</v>
      </c>
      <c r="DK578" s="7">
        <v>0</v>
      </c>
      <c r="DL578" s="7">
        <v>0</v>
      </c>
      <c r="DM578" s="7">
        <v>0</v>
      </c>
      <c r="DN578" s="7">
        <v>0</v>
      </c>
      <c r="DO578" s="7">
        <v>0</v>
      </c>
      <c r="DP578" s="6"/>
      <c r="DQ578" s="4" t="s">
        <v>125</v>
      </c>
    </row>
    <row r="579" spans="1:121" ht="20" customHeight="1" x14ac:dyDescent="0.15">
      <c r="A579" s="5">
        <v>2018</v>
      </c>
      <c r="B579" s="3" t="s">
        <v>168</v>
      </c>
      <c r="C579" s="4" t="str">
        <f t="shared" si="43"/>
        <v>0780011</v>
      </c>
      <c r="D579" s="4" t="s">
        <v>736</v>
      </c>
      <c r="E579" s="4" t="str">
        <f>"0780411"</f>
        <v>0780411</v>
      </c>
      <c r="F579" s="4" t="s">
        <v>327</v>
      </c>
      <c r="G579" s="4" t="s">
        <v>328</v>
      </c>
      <c r="H579" s="7">
        <v>4</v>
      </c>
      <c r="I579" s="6"/>
      <c r="J579" s="4" t="s">
        <v>330</v>
      </c>
      <c r="K579" s="7">
        <v>519.47027500000002</v>
      </c>
      <c r="L579" s="7">
        <v>550</v>
      </c>
      <c r="M579" s="7">
        <v>94.449140999999997</v>
      </c>
      <c r="N579" s="7">
        <v>1</v>
      </c>
      <c r="O579" s="7">
        <v>0</v>
      </c>
      <c r="P579" s="7">
        <v>81.688913999999997</v>
      </c>
      <c r="Q579" s="7">
        <v>50</v>
      </c>
      <c r="R579" s="7">
        <v>50</v>
      </c>
      <c r="S579" s="7">
        <v>72.183718999999996</v>
      </c>
      <c r="T579" s="7">
        <v>75</v>
      </c>
      <c r="U579" s="7">
        <v>48.122478999999998</v>
      </c>
      <c r="V579" s="7">
        <v>50</v>
      </c>
      <c r="W579" s="7">
        <v>80.319424999999995</v>
      </c>
      <c r="X579" s="7">
        <v>50</v>
      </c>
      <c r="Y579" s="7">
        <v>50</v>
      </c>
      <c r="Z579" s="7">
        <v>75</v>
      </c>
      <c r="AA579" s="7">
        <v>70.766228999999996</v>
      </c>
      <c r="AB579" s="7">
        <v>47.177486000000002</v>
      </c>
      <c r="AC579" s="7">
        <v>50</v>
      </c>
      <c r="AD579" s="4" t="s">
        <v>124</v>
      </c>
      <c r="AE579" s="4" t="s">
        <v>124</v>
      </c>
      <c r="AF579" s="4" t="s">
        <v>124</v>
      </c>
      <c r="AG579" s="4" t="s">
        <v>124</v>
      </c>
      <c r="AH579" s="4" t="s">
        <v>124</v>
      </c>
      <c r="AI579" s="4" t="s">
        <v>124</v>
      </c>
      <c r="AJ579" s="4" t="s">
        <v>124</v>
      </c>
      <c r="AK579" s="7">
        <v>2.81</v>
      </c>
      <c r="AL579" s="7">
        <v>4.2300000000000004</v>
      </c>
      <c r="AM579" s="4" t="s">
        <v>124</v>
      </c>
      <c r="AN579" s="7">
        <v>0.787802</v>
      </c>
      <c r="AO579" s="7">
        <v>78.780238999999995</v>
      </c>
      <c r="AP579" s="7">
        <v>100</v>
      </c>
      <c r="AQ579" s="7">
        <v>1</v>
      </c>
      <c r="AR579" s="7">
        <v>100</v>
      </c>
      <c r="AS579" s="7">
        <v>100</v>
      </c>
      <c r="AT579" s="4" t="s">
        <v>124</v>
      </c>
      <c r="AU579" s="7">
        <v>0.86624299999999999</v>
      </c>
      <c r="AV579" s="4" t="s">
        <v>124</v>
      </c>
      <c r="AW579" s="4" t="s">
        <v>124</v>
      </c>
      <c r="AX579" s="4" t="s">
        <v>124</v>
      </c>
      <c r="AY579" s="7">
        <v>1</v>
      </c>
      <c r="AZ579" s="4" t="s">
        <v>124</v>
      </c>
      <c r="BA579" s="4" t="s">
        <v>124</v>
      </c>
      <c r="BB579" s="4" t="s">
        <v>124</v>
      </c>
      <c r="BC579" s="4" t="s">
        <v>124</v>
      </c>
      <c r="BD579" s="4" t="s">
        <v>124</v>
      </c>
      <c r="BE579" s="4" t="s">
        <v>124</v>
      </c>
      <c r="BF579" s="4" t="s">
        <v>124</v>
      </c>
      <c r="BG579" s="4" t="s">
        <v>124</v>
      </c>
      <c r="BH579" s="7">
        <v>0</v>
      </c>
      <c r="BI579" s="7">
        <v>0.99019599999999997</v>
      </c>
      <c r="BJ579" s="7">
        <v>1</v>
      </c>
      <c r="BK579" s="7">
        <v>0.98360700000000001</v>
      </c>
      <c r="BL579" s="7">
        <v>0.99019599999999997</v>
      </c>
      <c r="BM579" s="7">
        <v>1</v>
      </c>
      <c r="BN579" s="7">
        <v>0.98360700000000001</v>
      </c>
      <c r="BO579" s="4" t="s">
        <v>124</v>
      </c>
      <c r="BP579" s="4" t="s">
        <v>124</v>
      </c>
      <c r="BQ579" s="4" t="s">
        <v>124</v>
      </c>
      <c r="BR579" s="7">
        <v>1.4218E-2</v>
      </c>
      <c r="BS579" s="7">
        <v>50</v>
      </c>
      <c r="BT579" s="7">
        <v>50</v>
      </c>
      <c r="BU579" s="7">
        <v>2.3255999999999999E-2</v>
      </c>
      <c r="BV579" s="7">
        <v>50</v>
      </c>
      <c r="BW579" s="7">
        <v>50</v>
      </c>
      <c r="BX579" s="4" t="s">
        <v>124</v>
      </c>
      <c r="BY579" s="4" t="s">
        <v>124</v>
      </c>
      <c r="BZ579" s="4" t="s">
        <v>124</v>
      </c>
      <c r="CA579" s="4" t="s">
        <v>124</v>
      </c>
      <c r="CB579" s="4" t="s">
        <v>124</v>
      </c>
      <c r="CC579" s="4" t="s">
        <v>124</v>
      </c>
      <c r="CD579" s="4" t="s">
        <v>124</v>
      </c>
      <c r="CE579" s="4" t="s">
        <v>124</v>
      </c>
      <c r="CF579" s="4" t="s">
        <v>124</v>
      </c>
      <c r="CG579" s="4" t="s">
        <v>124</v>
      </c>
      <c r="CH579" s="4" t="s">
        <v>124</v>
      </c>
      <c r="CI579" s="4" t="s">
        <v>124</v>
      </c>
      <c r="CJ579" s="4" t="s">
        <v>124</v>
      </c>
      <c r="CK579" s="4" t="s">
        <v>124</v>
      </c>
      <c r="CL579" s="4" t="s">
        <v>124</v>
      </c>
      <c r="CM579" s="4" t="s">
        <v>124</v>
      </c>
      <c r="CN579" s="4" t="s">
        <v>124</v>
      </c>
      <c r="CO579" s="4" t="s">
        <v>124</v>
      </c>
      <c r="CP579" s="4" t="s">
        <v>124</v>
      </c>
      <c r="CQ579" s="7">
        <v>0.68085099999999998</v>
      </c>
      <c r="CR579" s="7">
        <v>0.97916700000000001</v>
      </c>
      <c r="CS579" s="7">
        <v>45.390070999999999</v>
      </c>
      <c r="CT579" s="7">
        <v>50</v>
      </c>
      <c r="CU579" s="4" t="s">
        <v>124</v>
      </c>
      <c r="CV579" s="4" t="s">
        <v>124</v>
      </c>
      <c r="CW579" s="4" t="s">
        <v>124</v>
      </c>
      <c r="CX579" s="4" t="s">
        <v>124</v>
      </c>
      <c r="CY579" s="4" t="s">
        <v>124</v>
      </c>
      <c r="CZ579" s="4" t="s">
        <v>124</v>
      </c>
      <c r="DA579" s="7">
        <v>15.314097</v>
      </c>
      <c r="DB579" s="7">
        <v>17.400950000000002</v>
      </c>
      <c r="DC579" s="7">
        <v>16.332519999999999</v>
      </c>
      <c r="DD579" s="4" t="s">
        <v>124</v>
      </c>
      <c r="DE579" s="7">
        <v>0</v>
      </c>
      <c r="DF579" s="6"/>
      <c r="DG579" s="6"/>
      <c r="DH579" s="4" t="s">
        <v>331</v>
      </c>
      <c r="DI579" s="4" t="s">
        <v>497</v>
      </c>
      <c r="DJ579" s="7">
        <v>1</v>
      </c>
      <c r="DK579" s="7">
        <v>1</v>
      </c>
      <c r="DL579" s="7">
        <v>1</v>
      </c>
      <c r="DM579" s="7">
        <v>0</v>
      </c>
      <c r="DN579" s="7">
        <v>0</v>
      </c>
      <c r="DO579" s="7">
        <v>0</v>
      </c>
      <c r="DP579" s="6"/>
      <c r="DQ579" s="4" t="s">
        <v>125</v>
      </c>
    </row>
    <row r="580" spans="1:121" ht="20" customHeight="1" x14ac:dyDescent="0.15">
      <c r="A580" s="5">
        <v>2018</v>
      </c>
      <c r="B580" s="3" t="s">
        <v>168</v>
      </c>
      <c r="C580" s="4" t="str">
        <f t="shared" ref="C580:C582" si="218">"0780011"</f>
        <v>0780011</v>
      </c>
      <c r="D580" s="4" t="s">
        <v>737</v>
      </c>
      <c r="E580" s="4" t="str">
        <f>"0780211"</f>
        <v>0780211</v>
      </c>
      <c r="F580" s="4" t="s">
        <v>327</v>
      </c>
      <c r="G580" s="4" t="s">
        <v>328</v>
      </c>
      <c r="H580" s="7">
        <v>4</v>
      </c>
      <c r="I580" s="4" t="s">
        <v>329</v>
      </c>
      <c r="J580" s="4" t="s">
        <v>330</v>
      </c>
      <c r="K580" s="7">
        <v>485.133466</v>
      </c>
      <c r="L580" s="7">
        <v>550</v>
      </c>
      <c r="M580" s="7">
        <v>88.206085000000002</v>
      </c>
      <c r="N580" s="7">
        <v>1</v>
      </c>
      <c r="O580" s="7">
        <v>0</v>
      </c>
      <c r="P580" s="7">
        <v>83.282987000000006</v>
      </c>
      <c r="Q580" s="7">
        <v>50</v>
      </c>
      <c r="R580" s="7">
        <v>50</v>
      </c>
      <c r="S580" s="7">
        <v>70.509737999999999</v>
      </c>
      <c r="T580" s="7">
        <v>75</v>
      </c>
      <c r="U580" s="7">
        <v>47.006492000000001</v>
      </c>
      <c r="V580" s="7">
        <v>50</v>
      </c>
      <c r="W580" s="7">
        <v>80.182851999999997</v>
      </c>
      <c r="X580" s="7">
        <v>50</v>
      </c>
      <c r="Y580" s="7">
        <v>50</v>
      </c>
      <c r="Z580" s="7">
        <v>75</v>
      </c>
      <c r="AA580" s="7">
        <v>66.677629999999994</v>
      </c>
      <c r="AB580" s="7">
        <v>44.451752999999997</v>
      </c>
      <c r="AC580" s="7">
        <v>50</v>
      </c>
      <c r="AD580" s="4" t="s">
        <v>124</v>
      </c>
      <c r="AE580" s="4" t="s">
        <v>124</v>
      </c>
      <c r="AF580" s="4" t="s">
        <v>124</v>
      </c>
      <c r="AG580" s="4" t="s">
        <v>124</v>
      </c>
      <c r="AH580" s="4" t="s">
        <v>124</v>
      </c>
      <c r="AI580" s="4" t="s">
        <v>124</v>
      </c>
      <c r="AJ580" s="4" t="s">
        <v>124</v>
      </c>
      <c r="AK580" s="7">
        <v>4.49</v>
      </c>
      <c r="AL580" s="7">
        <v>8.32</v>
      </c>
      <c r="AM580" s="4" t="s">
        <v>124</v>
      </c>
      <c r="AN580" s="7">
        <v>0.81720899999999996</v>
      </c>
      <c r="AO580" s="7">
        <v>81.720855</v>
      </c>
      <c r="AP580" s="7">
        <v>100</v>
      </c>
      <c r="AQ580" s="7">
        <v>0.83065500000000003</v>
      </c>
      <c r="AR580" s="7">
        <v>83.065476000000004</v>
      </c>
      <c r="AS580" s="7">
        <v>100</v>
      </c>
      <c r="AT580" s="4" t="s">
        <v>124</v>
      </c>
      <c r="AU580" s="7">
        <v>0.896007</v>
      </c>
      <c r="AV580" s="4" t="s">
        <v>124</v>
      </c>
      <c r="AW580" s="4" t="s">
        <v>124</v>
      </c>
      <c r="AX580" s="4" t="s">
        <v>124</v>
      </c>
      <c r="AY580" s="7">
        <v>0.83851399999999998</v>
      </c>
      <c r="AZ580" s="4" t="s">
        <v>124</v>
      </c>
      <c r="BA580" s="4" t="s">
        <v>124</v>
      </c>
      <c r="BB580" s="4" t="s">
        <v>124</v>
      </c>
      <c r="BC580" s="4" t="s">
        <v>124</v>
      </c>
      <c r="BD580" s="4" t="s">
        <v>124</v>
      </c>
      <c r="BE580" s="4" t="s">
        <v>124</v>
      </c>
      <c r="BF580" s="4" t="s">
        <v>124</v>
      </c>
      <c r="BG580" s="4" t="s">
        <v>124</v>
      </c>
      <c r="BH580" s="7">
        <v>0</v>
      </c>
      <c r="BI580" s="7">
        <v>1</v>
      </c>
      <c r="BJ580" s="7">
        <v>1</v>
      </c>
      <c r="BK580" s="7">
        <v>1</v>
      </c>
      <c r="BL580" s="7">
        <v>1</v>
      </c>
      <c r="BM580" s="7">
        <v>1</v>
      </c>
      <c r="BN580" s="7">
        <v>1</v>
      </c>
      <c r="BO580" s="4" t="s">
        <v>124</v>
      </c>
      <c r="BP580" s="4" t="s">
        <v>124</v>
      </c>
      <c r="BQ580" s="4" t="s">
        <v>124</v>
      </c>
      <c r="BR580" s="7">
        <v>3.7267000000000002E-2</v>
      </c>
      <c r="BS580" s="7">
        <v>50</v>
      </c>
      <c r="BT580" s="7">
        <v>50</v>
      </c>
      <c r="BU580" s="7">
        <v>3.0303E-2</v>
      </c>
      <c r="BV580" s="7">
        <v>50</v>
      </c>
      <c r="BW580" s="7">
        <v>50</v>
      </c>
      <c r="BX580" s="4" t="s">
        <v>124</v>
      </c>
      <c r="BY580" s="4" t="s">
        <v>124</v>
      </c>
      <c r="BZ580" s="4" t="s">
        <v>124</v>
      </c>
      <c r="CA580" s="4" t="s">
        <v>124</v>
      </c>
      <c r="CB580" s="4" t="s">
        <v>124</v>
      </c>
      <c r="CC580" s="4" t="s">
        <v>124</v>
      </c>
      <c r="CD580" s="4" t="s">
        <v>124</v>
      </c>
      <c r="CE580" s="4" t="s">
        <v>124</v>
      </c>
      <c r="CF580" s="4" t="s">
        <v>124</v>
      </c>
      <c r="CG580" s="4" t="s">
        <v>124</v>
      </c>
      <c r="CH580" s="4" t="s">
        <v>124</v>
      </c>
      <c r="CI580" s="4" t="s">
        <v>124</v>
      </c>
      <c r="CJ580" s="4" t="s">
        <v>124</v>
      </c>
      <c r="CK580" s="4" t="s">
        <v>124</v>
      </c>
      <c r="CL580" s="4" t="s">
        <v>124</v>
      </c>
      <c r="CM580" s="4" t="s">
        <v>124</v>
      </c>
      <c r="CN580" s="4" t="s">
        <v>124</v>
      </c>
      <c r="CO580" s="4" t="s">
        <v>124</v>
      </c>
      <c r="CP580" s="4" t="s">
        <v>124</v>
      </c>
      <c r="CQ580" s="7">
        <v>0.43333300000000002</v>
      </c>
      <c r="CR580" s="7">
        <v>0.90909099999999998</v>
      </c>
      <c r="CS580" s="7">
        <v>28.888888999999999</v>
      </c>
      <c r="CT580" s="7">
        <v>50</v>
      </c>
      <c r="CU580" s="4" t="s">
        <v>124</v>
      </c>
      <c r="CV580" s="4" t="s">
        <v>124</v>
      </c>
      <c r="CW580" s="4" t="s">
        <v>124</v>
      </c>
      <c r="CX580" s="4" t="s">
        <v>124</v>
      </c>
      <c r="CY580" s="4" t="s">
        <v>124</v>
      </c>
      <c r="CZ580" s="4" t="s">
        <v>124</v>
      </c>
      <c r="DA580" s="7">
        <v>15.314097</v>
      </c>
      <c r="DB580" s="7">
        <v>17.400950000000002</v>
      </c>
      <c r="DC580" s="7">
        <v>16.332519999999999</v>
      </c>
      <c r="DD580" s="4" t="s">
        <v>124</v>
      </c>
      <c r="DE580" s="7">
        <v>0</v>
      </c>
      <c r="DF580" s="6"/>
      <c r="DG580" s="6"/>
      <c r="DH580" s="4" t="s">
        <v>331</v>
      </c>
      <c r="DI580" s="4" t="s">
        <v>738</v>
      </c>
      <c r="DJ580" s="7">
        <v>1</v>
      </c>
      <c r="DK580" s="7">
        <v>1</v>
      </c>
      <c r="DL580" s="7">
        <v>0</v>
      </c>
      <c r="DM580" s="7">
        <v>0</v>
      </c>
      <c r="DN580" s="7">
        <v>0</v>
      </c>
      <c r="DO580" s="7">
        <v>0</v>
      </c>
      <c r="DP580" s="6"/>
      <c r="DQ580" s="4" t="s">
        <v>125</v>
      </c>
    </row>
    <row r="581" spans="1:121" ht="20" customHeight="1" x14ac:dyDescent="0.15">
      <c r="A581" s="5">
        <v>2018</v>
      </c>
      <c r="B581" s="3" t="s">
        <v>168</v>
      </c>
      <c r="C581" s="4" t="str">
        <f t="shared" si="218"/>
        <v>0780011</v>
      </c>
      <c r="D581" s="4" t="s">
        <v>739</v>
      </c>
      <c r="E581" s="4" t="str">
        <f>"0785111"</f>
        <v>0785111</v>
      </c>
      <c r="F581" s="4" t="s">
        <v>327</v>
      </c>
      <c r="G581" s="7">
        <v>5</v>
      </c>
      <c r="H581" s="7">
        <v>8</v>
      </c>
      <c r="I581" s="4" t="s">
        <v>329</v>
      </c>
      <c r="J581" s="4" t="s">
        <v>330</v>
      </c>
      <c r="K581" s="7">
        <v>738.79109300000005</v>
      </c>
      <c r="L581" s="7">
        <v>900</v>
      </c>
      <c r="M581" s="7">
        <v>82.087898999999993</v>
      </c>
      <c r="N581" s="7">
        <v>3</v>
      </c>
      <c r="O581" s="7">
        <v>0</v>
      </c>
      <c r="P581" s="7">
        <v>80.125366999999997</v>
      </c>
      <c r="Q581" s="7">
        <v>50</v>
      </c>
      <c r="R581" s="7">
        <v>50</v>
      </c>
      <c r="S581" s="7">
        <v>70.419347000000002</v>
      </c>
      <c r="T581" s="7">
        <v>75</v>
      </c>
      <c r="U581" s="7">
        <v>46.946232000000002</v>
      </c>
      <c r="V581" s="7">
        <v>50</v>
      </c>
      <c r="W581" s="7">
        <v>76.996583999999999</v>
      </c>
      <c r="X581" s="7">
        <v>50</v>
      </c>
      <c r="Y581" s="7">
        <v>50</v>
      </c>
      <c r="Z581" s="7">
        <v>75</v>
      </c>
      <c r="AA581" s="7">
        <v>67.622316999999995</v>
      </c>
      <c r="AB581" s="7">
        <v>45.081544999999998</v>
      </c>
      <c r="AC581" s="7">
        <v>50</v>
      </c>
      <c r="AD581" s="7">
        <v>81.581680000000006</v>
      </c>
      <c r="AE581" s="7">
        <v>50</v>
      </c>
      <c r="AF581" s="7">
        <v>50</v>
      </c>
      <c r="AG581" s="7">
        <v>72.166256000000004</v>
      </c>
      <c r="AH581" s="7">
        <v>75</v>
      </c>
      <c r="AI581" s="7">
        <v>48.110836999999997</v>
      </c>
      <c r="AJ581" s="7">
        <v>50</v>
      </c>
      <c r="AK581" s="7">
        <v>4.58</v>
      </c>
      <c r="AL581" s="7">
        <v>7.37</v>
      </c>
      <c r="AM581" s="7">
        <v>2.83</v>
      </c>
      <c r="AN581" s="7">
        <v>0.68298400000000004</v>
      </c>
      <c r="AO581" s="7">
        <v>68.298396999999994</v>
      </c>
      <c r="AP581" s="7">
        <v>100</v>
      </c>
      <c r="AQ581" s="7">
        <v>0.75260899999999997</v>
      </c>
      <c r="AR581" s="7">
        <v>75.260863999999998</v>
      </c>
      <c r="AS581" s="7">
        <v>100</v>
      </c>
      <c r="AT581" s="7">
        <v>0.62692199999999998</v>
      </c>
      <c r="AU581" s="7">
        <v>0.71191400000000005</v>
      </c>
      <c r="AV581" s="7">
        <v>62.692160999999999</v>
      </c>
      <c r="AW581" s="7">
        <v>100</v>
      </c>
      <c r="AX581" s="7">
        <v>0.67832899999999996</v>
      </c>
      <c r="AY581" s="7">
        <v>0.79082300000000005</v>
      </c>
      <c r="AZ581" s="7">
        <v>67.832874000000004</v>
      </c>
      <c r="BA581" s="7">
        <v>100</v>
      </c>
      <c r="BB581" s="4" t="s">
        <v>124</v>
      </c>
      <c r="BC581" s="4" t="s">
        <v>124</v>
      </c>
      <c r="BD581" s="4" t="s">
        <v>124</v>
      </c>
      <c r="BE581" s="4" t="s">
        <v>124</v>
      </c>
      <c r="BF581" s="4" t="s">
        <v>124</v>
      </c>
      <c r="BG581" s="4" t="s">
        <v>124</v>
      </c>
      <c r="BH581" s="7">
        <v>1</v>
      </c>
      <c r="BI581" s="7">
        <v>0.94254899999999997</v>
      </c>
      <c r="BJ581" s="7">
        <v>0.96618400000000004</v>
      </c>
      <c r="BK581" s="7">
        <v>0.92857100000000004</v>
      </c>
      <c r="BL581" s="7">
        <v>0.93895899999999999</v>
      </c>
      <c r="BM581" s="7">
        <v>0.96135300000000001</v>
      </c>
      <c r="BN581" s="7">
        <v>0.92571400000000004</v>
      </c>
      <c r="BO581" s="7">
        <v>0.92941200000000002</v>
      </c>
      <c r="BP581" s="7">
        <v>0.94505499999999998</v>
      </c>
      <c r="BQ581" s="7">
        <v>0.92073199999999999</v>
      </c>
      <c r="BR581" s="7">
        <v>5.0632999999999997E-2</v>
      </c>
      <c r="BS581" s="7">
        <v>49.873418000000001</v>
      </c>
      <c r="BT581" s="7">
        <v>50</v>
      </c>
      <c r="BU581" s="7">
        <v>8.7179000000000006E-2</v>
      </c>
      <c r="BV581" s="7">
        <v>42.564103000000003</v>
      </c>
      <c r="BW581" s="7">
        <v>50</v>
      </c>
      <c r="BX581" s="4" t="s">
        <v>124</v>
      </c>
      <c r="BY581" s="4" t="s">
        <v>124</v>
      </c>
      <c r="BZ581" s="4" t="s">
        <v>124</v>
      </c>
      <c r="CA581" s="4" t="s">
        <v>124</v>
      </c>
      <c r="CB581" s="4" t="s">
        <v>124</v>
      </c>
      <c r="CC581" s="4" t="s">
        <v>124</v>
      </c>
      <c r="CD581" s="7">
        <v>0.92660600000000004</v>
      </c>
      <c r="CE581" s="7">
        <v>49.287526999999997</v>
      </c>
      <c r="CF581" s="7">
        <v>50</v>
      </c>
      <c r="CG581" s="4" t="s">
        <v>124</v>
      </c>
      <c r="CH581" s="4" t="s">
        <v>124</v>
      </c>
      <c r="CI581" s="4" t="s">
        <v>124</v>
      </c>
      <c r="CJ581" s="4" t="s">
        <v>124</v>
      </c>
      <c r="CK581" s="4" t="s">
        <v>124</v>
      </c>
      <c r="CL581" s="4" t="s">
        <v>124</v>
      </c>
      <c r="CM581" s="4" t="s">
        <v>124</v>
      </c>
      <c r="CN581" s="4" t="s">
        <v>124</v>
      </c>
      <c r="CO581" s="4" t="s">
        <v>124</v>
      </c>
      <c r="CP581" s="4" t="s">
        <v>124</v>
      </c>
      <c r="CQ581" s="7">
        <v>0.492647</v>
      </c>
      <c r="CR581" s="7">
        <v>0.95438599999999996</v>
      </c>
      <c r="CS581" s="7">
        <v>32.843136999999999</v>
      </c>
      <c r="CT581" s="7">
        <v>50</v>
      </c>
      <c r="CU581" s="4" t="s">
        <v>124</v>
      </c>
      <c r="CV581" s="4" t="s">
        <v>124</v>
      </c>
      <c r="CW581" s="4" t="s">
        <v>124</v>
      </c>
      <c r="CX581" s="4" t="s">
        <v>124</v>
      </c>
      <c r="CY581" s="4" t="s">
        <v>124</v>
      </c>
      <c r="CZ581" s="4" t="s">
        <v>124</v>
      </c>
      <c r="DA581" s="7">
        <v>15.314097</v>
      </c>
      <c r="DB581" s="7">
        <v>17.400950000000002</v>
      </c>
      <c r="DC581" s="7">
        <v>16.332519999999999</v>
      </c>
      <c r="DD581" s="4" t="s">
        <v>124</v>
      </c>
      <c r="DE581" s="7">
        <v>1</v>
      </c>
      <c r="DF581" s="6"/>
      <c r="DG581" s="6"/>
      <c r="DH581" s="6"/>
      <c r="DI581" s="6"/>
      <c r="DJ581" s="7">
        <v>0</v>
      </c>
      <c r="DK581" s="7">
        <v>0</v>
      </c>
      <c r="DL581" s="7">
        <v>0</v>
      </c>
      <c r="DM581" s="7">
        <v>0</v>
      </c>
      <c r="DN581" s="7">
        <v>0</v>
      </c>
      <c r="DO581" s="7">
        <v>0</v>
      </c>
      <c r="DP581" s="6"/>
      <c r="DQ581" s="4" t="s">
        <v>125</v>
      </c>
    </row>
    <row r="582" spans="1:121" ht="20" customHeight="1" x14ac:dyDescent="0.15">
      <c r="A582" s="5">
        <v>2018</v>
      </c>
      <c r="B582" s="3" t="s">
        <v>168</v>
      </c>
      <c r="C582" s="4" t="str">
        <f t="shared" si="218"/>
        <v>0780011</v>
      </c>
      <c r="D582" s="4" t="s">
        <v>740</v>
      </c>
      <c r="E582" s="4" t="str">
        <f>"0780511"</f>
        <v>0780511</v>
      </c>
      <c r="F582" s="4" t="s">
        <v>327</v>
      </c>
      <c r="G582" s="4" t="s">
        <v>328</v>
      </c>
      <c r="H582" s="7">
        <v>4</v>
      </c>
      <c r="I582" s="6"/>
      <c r="J582" s="4" t="s">
        <v>330</v>
      </c>
      <c r="K582" s="7">
        <v>450.05164600000001</v>
      </c>
      <c r="L582" s="7">
        <v>550</v>
      </c>
      <c r="M582" s="7">
        <v>81.827572000000004</v>
      </c>
      <c r="N582" s="7">
        <v>2</v>
      </c>
      <c r="O582" s="7">
        <v>0</v>
      </c>
      <c r="P582" s="7">
        <v>77.486984000000007</v>
      </c>
      <c r="Q582" s="7">
        <v>50</v>
      </c>
      <c r="R582" s="7">
        <v>50</v>
      </c>
      <c r="S582" s="7">
        <v>71.544713999999999</v>
      </c>
      <c r="T582" s="7">
        <v>75</v>
      </c>
      <c r="U582" s="7">
        <v>47.696475999999997</v>
      </c>
      <c r="V582" s="7">
        <v>50</v>
      </c>
      <c r="W582" s="7">
        <v>74.763976</v>
      </c>
      <c r="X582" s="7">
        <v>49.842650999999996</v>
      </c>
      <c r="Y582" s="7">
        <v>50</v>
      </c>
      <c r="Z582" s="7">
        <v>75</v>
      </c>
      <c r="AA582" s="7">
        <v>66.372495000000001</v>
      </c>
      <c r="AB582" s="7">
        <v>44.248330000000003</v>
      </c>
      <c r="AC582" s="7">
        <v>50</v>
      </c>
      <c r="AD582" s="4" t="s">
        <v>124</v>
      </c>
      <c r="AE582" s="4" t="s">
        <v>124</v>
      </c>
      <c r="AF582" s="4" t="s">
        <v>124</v>
      </c>
      <c r="AG582" s="4" t="s">
        <v>124</v>
      </c>
      <c r="AH582" s="4" t="s">
        <v>124</v>
      </c>
      <c r="AI582" s="4" t="s">
        <v>124</v>
      </c>
      <c r="AJ582" s="4" t="s">
        <v>124</v>
      </c>
      <c r="AK582" s="7">
        <v>3.45</v>
      </c>
      <c r="AL582" s="7">
        <v>8.6199999999999992</v>
      </c>
      <c r="AM582" s="4" t="s">
        <v>124</v>
      </c>
      <c r="AN582" s="7">
        <v>0.55549300000000001</v>
      </c>
      <c r="AO582" s="7">
        <v>55.549340999999998</v>
      </c>
      <c r="AP582" s="7">
        <v>100</v>
      </c>
      <c r="AQ582" s="7">
        <v>0.62420699999999996</v>
      </c>
      <c r="AR582" s="7">
        <v>62.420731000000004</v>
      </c>
      <c r="AS582" s="7">
        <v>100</v>
      </c>
      <c r="AT582" s="4" t="s">
        <v>124</v>
      </c>
      <c r="AU582" s="7">
        <v>0.48975400000000002</v>
      </c>
      <c r="AV582" s="4" t="s">
        <v>124</v>
      </c>
      <c r="AW582" s="4" t="s">
        <v>124</v>
      </c>
      <c r="AX582" s="4" t="s">
        <v>124</v>
      </c>
      <c r="AY582" s="7">
        <v>0.62092899999999995</v>
      </c>
      <c r="AZ582" s="4" t="s">
        <v>124</v>
      </c>
      <c r="BA582" s="4" t="s">
        <v>124</v>
      </c>
      <c r="BB582" s="4" t="s">
        <v>124</v>
      </c>
      <c r="BC582" s="4" t="s">
        <v>124</v>
      </c>
      <c r="BD582" s="4" t="s">
        <v>124</v>
      </c>
      <c r="BE582" s="4" t="s">
        <v>124</v>
      </c>
      <c r="BF582" s="4" t="s">
        <v>124</v>
      </c>
      <c r="BG582" s="4" t="s">
        <v>124</v>
      </c>
      <c r="BH582" s="7">
        <v>0</v>
      </c>
      <c r="BI582" s="7">
        <v>1</v>
      </c>
      <c r="BJ582" s="7">
        <v>1</v>
      </c>
      <c r="BK582" s="7">
        <v>1</v>
      </c>
      <c r="BL582" s="7">
        <v>1</v>
      </c>
      <c r="BM582" s="7">
        <v>1</v>
      </c>
      <c r="BN582" s="7">
        <v>1</v>
      </c>
      <c r="BO582" s="4" t="s">
        <v>124</v>
      </c>
      <c r="BP582" s="4" t="s">
        <v>124</v>
      </c>
      <c r="BQ582" s="4" t="s">
        <v>124</v>
      </c>
      <c r="BR582" s="7">
        <v>4.4872000000000002E-2</v>
      </c>
      <c r="BS582" s="7">
        <v>50</v>
      </c>
      <c r="BT582" s="7">
        <v>50</v>
      </c>
      <c r="BU582" s="7">
        <v>7.3528999999999997E-2</v>
      </c>
      <c r="BV582" s="7">
        <v>45.294117999999997</v>
      </c>
      <c r="BW582" s="7">
        <v>50</v>
      </c>
      <c r="BX582" s="4" t="s">
        <v>124</v>
      </c>
      <c r="BY582" s="4" t="s">
        <v>124</v>
      </c>
      <c r="BZ582" s="4" t="s">
        <v>124</v>
      </c>
      <c r="CA582" s="4" t="s">
        <v>124</v>
      </c>
      <c r="CB582" s="4" t="s">
        <v>124</v>
      </c>
      <c r="CC582" s="4" t="s">
        <v>124</v>
      </c>
      <c r="CD582" s="4" t="s">
        <v>124</v>
      </c>
      <c r="CE582" s="4" t="s">
        <v>124</v>
      </c>
      <c r="CF582" s="4" t="s">
        <v>124</v>
      </c>
      <c r="CG582" s="4" t="s">
        <v>124</v>
      </c>
      <c r="CH582" s="4" t="s">
        <v>124</v>
      </c>
      <c r="CI582" s="4" t="s">
        <v>124</v>
      </c>
      <c r="CJ582" s="4" t="s">
        <v>124</v>
      </c>
      <c r="CK582" s="4" t="s">
        <v>124</v>
      </c>
      <c r="CL582" s="4" t="s">
        <v>124</v>
      </c>
      <c r="CM582" s="4" t="s">
        <v>124</v>
      </c>
      <c r="CN582" s="4" t="s">
        <v>124</v>
      </c>
      <c r="CO582" s="4" t="s">
        <v>124</v>
      </c>
      <c r="CP582" s="4" t="s">
        <v>124</v>
      </c>
      <c r="CQ582" s="7">
        <v>0.67500000000000004</v>
      </c>
      <c r="CR582" s="7">
        <v>0.97560999999999998</v>
      </c>
      <c r="CS582" s="7">
        <v>45</v>
      </c>
      <c r="CT582" s="7">
        <v>50</v>
      </c>
      <c r="CU582" s="4" t="s">
        <v>124</v>
      </c>
      <c r="CV582" s="4" t="s">
        <v>124</v>
      </c>
      <c r="CW582" s="4" t="s">
        <v>124</v>
      </c>
      <c r="CX582" s="4" t="s">
        <v>124</v>
      </c>
      <c r="CY582" s="4" t="s">
        <v>124</v>
      </c>
      <c r="CZ582" s="4" t="s">
        <v>124</v>
      </c>
      <c r="DA582" s="7">
        <v>15.314097</v>
      </c>
      <c r="DB582" s="7">
        <v>17.400950000000002</v>
      </c>
      <c r="DC582" s="7">
        <v>16.332519999999999</v>
      </c>
      <c r="DD582" s="4" t="s">
        <v>124</v>
      </c>
      <c r="DE582" s="7">
        <v>0</v>
      </c>
      <c r="DF582" s="6"/>
      <c r="DG582" s="6"/>
      <c r="DH582" s="6"/>
      <c r="DI582" s="6"/>
      <c r="DJ582" s="7">
        <v>0</v>
      </c>
      <c r="DK582" s="7">
        <v>0</v>
      </c>
      <c r="DL582" s="7">
        <v>0</v>
      </c>
      <c r="DM582" s="7">
        <v>0</v>
      </c>
      <c r="DN582" s="7">
        <v>0</v>
      </c>
      <c r="DO582" s="7">
        <v>0</v>
      </c>
      <c r="DP582" s="6"/>
      <c r="DQ582" s="4" t="s">
        <v>125</v>
      </c>
    </row>
    <row r="583" spans="1:121" ht="20" customHeight="1" x14ac:dyDescent="0.15">
      <c r="A583" s="5">
        <v>2018</v>
      </c>
      <c r="B583" s="3" t="s">
        <v>182</v>
      </c>
      <c r="C583" s="4" t="str">
        <f t="shared" si="57"/>
        <v>0790011</v>
      </c>
      <c r="D583" s="4" t="s">
        <v>741</v>
      </c>
      <c r="E583" s="4" t="str">
        <f>"0790111"</f>
        <v>0790111</v>
      </c>
      <c r="F583" s="4" t="s">
        <v>327</v>
      </c>
      <c r="G583" s="4" t="s">
        <v>328</v>
      </c>
      <c r="H583" s="7">
        <v>6</v>
      </c>
      <c r="I583" s="4" t="s">
        <v>329</v>
      </c>
      <c r="J583" s="4" t="s">
        <v>330</v>
      </c>
      <c r="K583" s="7">
        <v>623.10528499999998</v>
      </c>
      <c r="L583" s="7">
        <v>800</v>
      </c>
      <c r="M583" s="7">
        <v>77.888160999999997</v>
      </c>
      <c r="N583" s="7">
        <v>2</v>
      </c>
      <c r="O583" s="7">
        <v>0</v>
      </c>
      <c r="P583" s="7">
        <v>75.383343999999994</v>
      </c>
      <c r="Q583" s="7">
        <v>50</v>
      </c>
      <c r="R583" s="7">
        <v>50</v>
      </c>
      <c r="S583" s="7">
        <v>66.819124000000002</v>
      </c>
      <c r="T583" s="7">
        <v>75</v>
      </c>
      <c r="U583" s="7">
        <v>44.546083000000003</v>
      </c>
      <c r="V583" s="7">
        <v>50</v>
      </c>
      <c r="W583" s="7">
        <v>73.686048999999997</v>
      </c>
      <c r="X583" s="7">
        <v>49.124032999999997</v>
      </c>
      <c r="Y583" s="7">
        <v>50</v>
      </c>
      <c r="Z583" s="7">
        <v>75</v>
      </c>
      <c r="AA583" s="7">
        <v>63.096532000000003</v>
      </c>
      <c r="AB583" s="7">
        <v>42.064354999999999</v>
      </c>
      <c r="AC583" s="7">
        <v>50</v>
      </c>
      <c r="AD583" s="7">
        <v>84.285281999999995</v>
      </c>
      <c r="AE583" s="7">
        <v>50</v>
      </c>
      <c r="AF583" s="7">
        <v>50</v>
      </c>
      <c r="AG583" s="4" t="s">
        <v>124</v>
      </c>
      <c r="AH583" s="7">
        <v>75</v>
      </c>
      <c r="AI583" s="4" t="s">
        <v>124</v>
      </c>
      <c r="AJ583" s="4" t="s">
        <v>124</v>
      </c>
      <c r="AK583" s="7">
        <v>8.18</v>
      </c>
      <c r="AL583" s="7">
        <v>11.9</v>
      </c>
      <c r="AM583" s="4" t="s">
        <v>124</v>
      </c>
      <c r="AN583" s="7">
        <v>0.64568499999999995</v>
      </c>
      <c r="AO583" s="7">
        <v>64.568483000000001</v>
      </c>
      <c r="AP583" s="7">
        <v>100</v>
      </c>
      <c r="AQ583" s="7">
        <v>0.82001400000000002</v>
      </c>
      <c r="AR583" s="7">
        <v>82.001407</v>
      </c>
      <c r="AS583" s="7">
        <v>100</v>
      </c>
      <c r="AT583" s="7">
        <v>0.55845299999999998</v>
      </c>
      <c r="AU583" s="7">
        <v>0.67457299999999998</v>
      </c>
      <c r="AV583" s="7">
        <v>55.845291000000003</v>
      </c>
      <c r="AW583" s="7">
        <v>100</v>
      </c>
      <c r="AX583" s="7">
        <v>0.67462599999999995</v>
      </c>
      <c r="AY583" s="7">
        <v>0.86816199999999999</v>
      </c>
      <c r="AZ583" s="7">
        <v>67.462585000000004</v>
      </c>
      <c r="BA583" s="7">
        <v>100</v>
      </c>
      <c r="BB583" s="4" t="s">
        <v>124</v>
      </c>
      <c r="BC583" s="4" t="s">
        <v>124</v>
      </c>
      <c r="BD583" s="4" t="s">
        <v>124</v>
      </c>
      <c r="BE583" s="4" t="s">
        <v>124</v>
      </c>
      <c r="BF583" s="4" t="s">
        <v>124</v>
      </c>
      <c r="BG583" s="4" t="s">
        <v>124</v>
      </c>
      <c r="BH583" s="7">
        <v>0</v>
      </c>
      <c r="BI583" s="7">
        <v>0.99641599999999997</v>
      </c>
      <c r="BJ583" s="7">
        <v>0.98717900000000003</v>
      </c>
      <c r="BK583" s="7">
        <v>1</v>
      </c>
      <c r="BL583" s="7">
        <v>0.99642900000000001</v>
      </c>
      <c r="BM583" s="7">
        <v>0.98734200000000005</v>
      </c>
      <c r="BN583" s="7">
        <v>1</v>
      </c>
      <c r="BO583" s="7">
        <v>1</v>
      </c>
      <c r="BP583" s="4" t="s">
        <v>124</v>
      </c>
      <c r="BQ583" s="7">
        <v>1</v>
      </c>
      <c r="BR583" s="7">
        <v>0.103926</v>
      </c>
      <c r="BS583" s="7">
        <v>39.214781000000002</v>
      </c>
      <c r="BT583" s="7">
        <v>50</v>
      </c>
      <c r="BU583" s="7">
        <v>0.154472</v>
      </c>
      <c r="BV583" s="7">
        <v>29.105691</v>
      </c>
      <c r="BW583" s="7">
        <v>50</v>
      </c>
      <c r="BX583" s="4" t="s">
        <v>124</v>
      </c>
      <c r="BY583" s="4" t="s">
        <v>124</v>
      </c>
      <c r="BZ583" s="4" t="s">
        <v>124</v>
      </c>
      <c r="CA583" s="4" t="s">
        <v>124</v>
      </c>
      <c r="CB583" s="4" t="s">
        <v>124</v>
      </c>
      <c r="CC583" s="4" t="s">
        <v>124</v>
      </c>
      <c r="CD583" s="4" t="s">
        <v>124</v>
      </c>
      <c r="CE583" s="4" t="s">
        <v>124</v>
      </c>
      <c r="CF583" s="4" t="s">
        <v>124</v>
      </c>
      <c r="CG583" s="4" t="s">
        <v>124</v>
      </c>
      <c r="CH583" s="4" t="s">
        <v>124</v>
      </c>
      <c r="CI583" s="4" t="s">
        <v>124</v>
      </c>
      <c r="CJ583" s="4" t="s">
        <v>124</v>
      </c>
      <c r="CK583" s="4" t="s">
        <v>124</v>
      </c>
      <c r="CL583" s="4" t="s">
        <v>124</v>
      </c>
      <c r="CM583" s="4" t="s">
        <v>124</v>
      </c>
      <c r="CN583" s="4" t="s">
        <v>124</v>
      </c>
      <c r="CO583" s="4" t="s">
        <v>124</v>
      </c>
      <c r="CP583" s="4" t="s">
        <v>124</v>
      </c>
      <c r="CQ583" s="7">
        <v>0.73758900000000005</v>
      </c>
      <c r="CR583" s="7">
        <v>0.95270299999999997</v>
      </c>
      <c r="CS583" s="7">
        <v>49.172576999999997</v>
      </c>
      <c r="CT583" s="7">
        <v>50</v>
      </c>
      <c r="CU583" s="4" t="s">
        <v>124</v>
      </c>
      <c r="CV583" s="4" t="s">
        <v>124</v>
      </c>
      <c r="CW583" s="4" t="s">
        <v>124</v>
      </c>
      <c r="CX583" s="4" t="s">
        <v>124</v>
      </c>
      <c r="CY583" s="4" t="s">
        <v>124</v>
      </c>
      <c r="CZ583" s="4" t="s">
        <v>124</v>
      </c>
      <c r="DA583" s="7">
        <v>15.314097</v>
      </c>
      <c r="DB583" s="7">
        <v>17.400950000000002</v>
      </c>
      <c r="DC583" s="7">
        <v>16.332519999999999</v>
      </c>
      <c r="DD583" s="4" t="s">
        <v>124</v>
      </c>
      <c r="DE583" s="7">
        <v>0</v>
      </c>
      <c r="DF583" s="6"/>
      <c r="DG583" s="6"/>
      <c r="DH583" s="6"/>
      <c r="DI583" s="6"/>
      <c r="DJ583" s="7">
        <v>0</v>
      </c>
      <c r="DK583" s="7">
        <v>0</v>
      </c>
      <c r="DL583" s="7">
        <v>0</v>
      </c>
      <c r="DM583" s="7">
        <v>0</v>
      </c>
      <c r="DN583" s="7">
        <v>0</v>
      </c>
      <c r="DO583" s="7">
        <v>0</v>
      </c>
      <c r="DP583" s="6"/>
      <c r="DQ583" s="4" t="s">
        <v>125</v>
      </c>
    </row>
    <row r="584" spans="1:121" ht="20" customHeight="1" x14ac:dyDescent="0.15">
      <c r="A584" s="5">
        <v>2018</v>
      </c>
      <c r="B584" s="3" t="s">
        <v>183</v>
      </c>
      <c r="C584" s="4" t="str">
        <f t="shared" si="58"/>
        <v>0800011</v>
      </c>
      <c r="D584" s="4" t="s">
        <v>742</v>
      </c>
      <c r="E584" s="4" t="str">
        <f>"0800111"</f>
        <v>0800111</v>
      </c>
      <c r="F584" s="4" t="s">
        <v>327</v>
      </c>
      <c r="G584" s="4" t="s">
        <v>328</v>
      </c>
      <c r="H584" s="7">
        <v>5</v>
      </c>
      <c r="I584" s="4" t="s">
        <v>335</v>
      </c>
      <c r="J584" s="4" t="s">
        <v>330</v>
      </c>
      <c r="K584" s="7">
        <v>743.805522</v>
      </c>
      <c r="L584" s="7">
        <v>950</v>
      </c>
      <c r="M584" s="7">
        <v>78.295317999999995</v>
      </c>
      <c r="N584" s="7">
        <v>2</v>
      </c>
      <c r="O584" s="7">
        <v>0</v>
      </c>
      <c r="P584" s="7">
        <v>71.952019000000007</v>
      </c>
      <c r="Q584" s="7">
        <v>47.968012999999999</v>
      </c>
      <c r="R584" s="7">
        <v>50</v>
      </c>
      <c r="S584" s="7">
        <v>69.748028000000005</v>
      </c>
      <c r="T584" s="7">
        <v>75</v>
      </c>
      <c r="U584" s="7">
        <v>46.498685000000002</v>
      </c>
      <c r="V584" s="7">
        <v>50</v>
      </c>
      <c r="W584" s="7">
        <v>63.741909999999997</v>
      </c>
      <c r="X584" s="7">
        <v>42.494607000000002</v>
      </c>
      <c r="Y584" s="7">
        <v>50</v>
      </c>
      <c r="Z584" s="7">
        <v>75</v>
      </c>
      <c r="AA584" s="7">
        <v>61.368392999999998</v>
      </c>
      <c r="AB584" s="7">
        <v>40.912261999999998</v>
      </c>
      <c r="AC584" s="7">
        <v>50</v>
      </c>
      <c r="AD584" s="7">
        <v>64.270161000000002</v>
      </c>
      <c r="AE584" s="7">
        <v>42.846774000000003</v>
      </c>
      <c r="AF584" s="7">
        <v>50</v>
      </c>
      <c r="AG584" s="7">
        <v>62.096774000000003</v>
      </c>
      <c r="AH584" s="4" t="s">
        <v>124</v>
      </c>
      <c r="AI584" s="7">
        <v>41.397849000000001</v>
      </c>
      <c r="AJ584" s="7">
        <v>50</v>
      </c>
      <c r="AK584" s="7">
        <v>5.25</v>
      </c>
      <c r="AL584" s="7">
        <v>13.63</v>
      </c>
      <c r="AM584" s="4" t="s">
        <v>124</v>
      </c>
      <c r="AN584" s="7">
        <v>0.78682600000000003</v>
      </c>
      <c r="AO584" s="7">
        <v>78.682580000000002</v>
      </c>
      <c r="AP584" s="7">
        <v>100</v>
      </c>
      <c r="AQ584" s="7">
        <v>0.75505900000000004</v>
      </c>
      <c r="AR584" s="7">
        <v>75.505849999999995</v>
      </c>
      <c r="AS584" s="7">
        <v>100</v>
      </c>
      <c r="AT584" s="7">
        <v>0.78291599999999995</v>
      </c>
      <c r="AU584" s="4" t="s">
        <v>124</v>
      </c>
      <c r="AV584" s="7">
        <v>78.291634999999999</v>
      </c>
      <c r="AW584" s="7">
        <v>100</v>
      </c>
      <c r="AX584" s="7">
        <v>0.72707900000000003</v>
      </c>
      <c r="AY584" s="4" t="s">
        <v>124</v>
      </c>
      <c r="AZ584" s="7">
        <v>72.707899999999995</v>
      </c>
      <c r="BA584" s="7">
        <v>100</v>
      </c>
      <c r="BB584" s="7">
        <v>0.68836600000000003</v>
      </c>
      <c r="BC584" s="7">
        <v>34.418298999999998</v>
      </c>
      <c r="BD584" s="7">
        <v>50</v>
      </c>
      <c r="BE584" s="7">
        <v>0.373587</v>
      </c>
      <c r="BF584" s="7">
        <v>18.679338999999999</v>
      </c>
      <c r="BG584" s="7">
        <v>50</v>
      </c>
      <c r="BH584" s="7">
        <v>0</v>
      </c>
      <c r="BI584" s="7">
        <v>1</v>
      </c>
      <c r="BJ584" s="7">
        <v>1</v>
      </c>
      <c r="BK584" s="7">
        <v>1</v>
      </c>
      <c r="BL584" s="7">
        <v>1</v>
      </c>
      <c r="BM584" s="7">
        <v>1</v>
      </c>
      <c r="BN584" s="7">
        <v>1</v>
      </c>
      <c r="BO584" s="7">
        <v>1</v>
      </c>
      <c r="BP584" s="7">
        <v>1</v>
      </c>
      <c r="BQ584" s="4" t="s">
        <v>124</v>
      </c>
      <c r="BR584" s="7">
        <v>9.0651999999999996E-2</v>
      </c>
      <c r="BS584" s="7">
        <v>41.869687999999996</v>
      </c>
      <c r="BT584" s="7">
        <v>50</v>
      </c>
      <c r="BU584" s="7">
        <v>0.10545499999999999</v>
      </c>
      <c r="BV584" s="7">
        <v>38.909090999999997</v>
      </c>
      <c r="BW584" s="7">
        <v>50</v>
      </c>
      <c r="BX584" s="4" t="s">
        <v>124</v>
      </c>
      <c r="BY584" s="4" t="s">
        <v>124</v>
      </c>
      <c r="BZ584" s="4" t="s">
        <v>124</v>
      </c>
      <c r="CA584" s="4" t="s">
        <v>124</v>
      </c>
      <c r="CB584" s="4" t="s">
        <v>124</v>
      </c>
      <c r="CC584" s="4" t="s">
        <v>124</v>
      </c>
      <c r="CD584" s="4" t="s">
        <v>124</v>
      </c>
      <c r="CE584" s="4" t="s">
        <v>124</v>
      </c>
      <c r="CF584" s="4" t="s">
        <v>124</v>
      </c>
      <c r="CG584" s="4" t="s">
        <v>124</v>
      </c>
      <c r="CH584" s="4" t="s">
        <v>124</v>
      </c>
      <c r="CI584" s="4" t="s">
        <v>124</v>
      </c>
      <c r="CJ584" s="4" t="s">
        <v>124</v>
      </c>
      <c r="CK584" s="4" t="s">
        <v>124</v>
      </c>
      <c r="CL584" s="4" t="s">
        <v>124</v>
      </c>
      <c r="CM584" s="4" t="s">
        <v>124</v>
      </c>
      <c r="CN584" s="4" t="s">
        <v>124</v>
      </c>
      <c r="CO584" s="4" t="s">
        <v>124</v>
      </c>
      <c r="CP584" s="4" t="s">
        <v>124</v>
      </c>
      <c r="CQ584" s="7">
        <v>0.63934400000000002</v>
      </c>
      <c r="CR584" s="7">
        <v>0.96825399999999995</v>
      </c>
      <c r="CS584" s="7">
        <v>42.622951</v>
      </c>
      <c r="CT584" s="7">
        <v>50</v>
      </c>
      <c r="CU584" s="4" t="s">
        <v>124</v>
      </c>
      <c r="CV584" s="4" t="s">
        <v>124</v>
      </c>
      <c r="CW584" s="4" t="s">
        <v>124</v>
      </c>
      <c r="CX584" s="4" t="s">
        <v>124</v>
      </c>
      <c r="CY584" s="4" t="s">
        <v>124</v>
      </c>
      <c r="CZ584" s="4" t="s">
        <v>124</v>
      </c>
      <c r="DA584" s="7">
        <v>15.314097</v>
      </c>
      <c r="DB584" s="7">
        <v>17.400950000000002</v>
      </c>
      <c r="DC584" s="7">
        <v>16.332519999999999</v>
      </c>
      <c r="DD584" s="4" t="s">
        <v>124</v>
      </c>
      <c r="DE584" s="7">
        <v>0</v>
      </c>
      <c r="DF584" s="6"/>
      <c r="DG584" s="6"/>
      <c r="DH584" s="4" t="s">
        <v>331</v>
      </c>
      <c r="DI584" s="4" t="s">
        <v>528</v>
      </c>
      <c r="DJ584" s="7">
        <v>0</v>
      </c>
      <c r="DK584" s="7">
        <v>1</v>
      </c>
      <c r="DL584" s="7">
        <v>0</v>
      </c>
      <c r="DM584" s="7">
        <v>1</v>
      </c>
      <c r="DN584" s="7">
        <v>0</v>
      </c>
      <c r="DO584" s="7">
        <v>0</v>
      </c>
      <c r="DP584" s="6"/>
      <c r="DQ584" s="4" t="s">
        <v>125</v>
      </c>
    </row>
    <row r="585" spans="1:121" ht="20" customHeight="1" x14ac:dyDescent="0.15">
      <c r="A585" s="5">
        <v>2018</v>
      </c>
      <c r="B585" s="3" t="s">
        <v>183</v>
      </c>
      <c r="C585" s="4" t="str">
        <f t="shared" ref="C585:C595" si="219">"0800011"</f>
        <v>0800011</v>
      </c>
      <c r="D585" s="4" t="s">
        <v>743</v>
      </c>
      <c r="E585" s="4" t="str">
        <f>"0801111"</f>
        <v>0801111</v>
      </c>
      <c r="F585" s="4" t="s">
        <v>327</v>
      </c>
      <c r="G585" s="4" t="s">
        <v>328</v>
      </c>
      <c r="H585" s="7">
        <v>5</v>
      </c>
      <c r="I585" s="4" t="s">
        <v>335</v>
      </c>
      <c r="J585" s="4" t="s">
        <v>330</v>
      </c>
      <c r="K585" s="7">
        <v>730.57846600000005</v>
      </c>
      <c r="L585" s="7">
        <v>950</v>
      </c>
      <c r="M585" s="7">
        <v>76.902996000000002</v>
      </c>
      <c r="N585" s="7">
        <v>2</v>
      </c>
      <c r="O585" s="7">
        <v>0</v>
      </c>
      <c r="P585" s="7">
        <v>68.012563</v>
      </c>
      <c r="Q585" s="7">
        <v>45.341709000000002</v>
      </c>
      <c r="R585" s="7">
        <v>50</v>
      </c>
      <c r="S585" s="7">
        <v>66.850065999999998</v>
      </c>
      <c r="T585" s="7">
        <v>75</v>
      </c>
      <c r="U585" s="7">
        <v>44.566710999999998</v>
      </c>
      <c r="V585" s="7">
        <v>50</v>
      </c>
      <c r="W585" s="7">
        <v>66.483155999999994</v>
      </c>
      <c r="X585" s="7">
        <v>44.322104000000003</v>
      </c>
      <c r="Y585" s="7">
        <v>50</v>
      </c>
      <c r="Z585" s="7">
        <v>74.951560000000001</v>
      </c>
      <c r="AA585" s="7">
        <v>65.475762000000003</v>
      </c>
      <c r="AB585" s="7">
        <v>43.650508000000002</v>
      </c>
      <c r="AC585" s="7">
        <v>50</v>
      </c>
      <c r="AD585" s="7">
        <v>62.659497999999999</v>
      </c>
      <c r="AE585" s="7">
        <v>41.772998999999999</v>
      </c>
      <c r="AF585" s="7">
        <v>50</v>
      </c>
      <c r="AG585" s="7">
        <v>62.146287000000001</v>
      </c>
      <c r="AH585" s="4" t="s">
        <v>124</v>
      </c>
      <c r="AI585" s="7">
        <v>41.430858000000001</v>
      </c>
      <c r="AJ585" s="7">
        <v>50</v>
      </c>
      <c r="AK585" s="7">
        <v>8.14</v>
      </c>
      <c r="AL585" s="7">
        <v>9.4700000000000006</v>
      </c>
      <c r="AM585" s="4" t="s">
        <v>124</v>
      </c>
      <c r="AN585" s="7">
        <v>0.70698099999999997</v>
      </c>
      <c r="AO585" s="7">
        <v>70.698069000000004</v>
      </c>
      <c r="AP585" s="7">
        <v>100</v>
      </c>
      <c r="AQ585" s="7">
        <v>0.77442100000000003</v>
      </c>
      <c r="AR585" s="7">
        <v>77.442120000000003</v>
      </c>
      <c r="AS585" s="7">
        <v>100</v>
      </c>
      <c r="AT585" s="7">
        <v>0.70700700000000005</v>
      </c>
      <c r="AU585" s="7">
        <v>0.70674899999999996</v>
      </c>
      <c r="AV585" s="7">
        <v>70.700715000000002</v>
      </c>
      <c r="AW585" s="7">
        <v>100</v>
      </c>
      <c r="AX585" s="7">
        <v>0.77941700000000003</v>
      </c>
      <c r="AY585" s="7">
        <v>0.73070900000000005</v>
      </c>
      <c r="AZ585" s="7">
        <v>77.941687999999999</v>
      </c>
      <c r="BA585" s="7">
        <v>100</v>
      </c>
      <c r="BB585" s="7">
        <v>0.53710800000000003</v>
      </c>
      <c r="BC585" s="7">
        <v>26.855404</v>
      </c>
      <c r="BD585" s="7">
        <v>50</v>
      </c>
      <c r="BE585" s="7">
        <v>0.44253500000000001</v>
      </c>
      <c r="BF585" s="7">
        <v>22.126774000000001</v>
      </c>
      <c r="BG585" s="7">
        <v>50</v>
      </c>
      <c r="BH585" s="7">
        <v>0</v>
      </c>
      <c r="BI585" s="7">
        <v>0.99690400000000001</v>
      </c>
      <c r="BJ585" s="7">
        <v>0.99656400000000001</v>
      </c>
      <c r="BK585" s="7">
        <v>1</v>
      </c>
      <c r="BL585" s="7">
        <v>0.99380800000000002</v>
      </c>
      <c r="BM585" s="7">
        <v>0.99312699999999998</v>
      </c>
      <c r="BN585" s="7">
        <v>1</v>
      </c>
      <c r="BO585" s="7">
        <v>1</v>
      </c>
      <c r="BP585" s="7">
        <v>1</v>
      </c>
      <c r="BQ585" s="4" t="s">
        <v>124</v>
      </c>
      <c r="BR585" s="7">
        <v>0.10101</v>
      </c>
      <c r="BS585" s="7">
        <v>39.797980000000003</v>
      </c>
      <c r="BT585" s="7">
        <v>50</v>
      </c>
      <c r="BU585" s="7">
        <v>0.103647</v>
      </c>
      <c r="BV585" s="7">
        <v>39.270632999999997</v>
      </c>
      <c r="BW585" s="7">
        <v>50</v>
      </c>
      <c r="BX585" s="4" t="s">
        <v>124</v>
      </c>
      <c r="BY585" s="4" t="s">
        <v>124</v>
      </c>
      <c r="BZ585" s="4" t="s">
        <v>124</v>
      </c>
      <c r="CA585" s="4" t="s">
        <v>124</v>
      </c>
      <c r="CB585" s="4" t="s">
        <v>124</v>
      </c>
      <c r="CC585" s="4" t="s">
        <v>124</v>
      </c>
      <c r="CD585" s="4" t="s">
        <v>124</v>
      </c>
      <c r="CE585" s="4" t="s">
        <v>124</v>
      </c>
      <c r="CF585" s="4" t="s">
        <v>124</v>
      </c>
      <c r="CG585" s="4" t="s">
        <v>124</v>
      </c>
      <c r="CH585" s="4" t="s">
        <v>124</v>
      </c>
      <c r="CI585" s="4" t="s">
        <v>124</v>
      </c>
      <c r="CJ585" s="4" t="s">
        <v>124</v>
      </c>
      <c r="CK585" s="4" t="s">
        <v>124</v>
      </c>
      <c r="CL585" s="4" t="s">
        <v>124</v>
      </c>
      <c r="CM585" s="4" t="s">
        <v>124</v>
      </c>
      <c r="CN585" s="4" t="s">
        <v>124</v>
      </c>
      <c r="CO585" s="4" t="s">
        <v>124</v>
      </c>
      <c r="CP585" s="4" t="s">
        <v>124</v>
      </c>
      <c r="CQ585" s="7">
        <v>0.66990300000000003</v>
      </c>
      <c r="CR585" s="7">
        <v>1</v>
      </c>
      <c r="CS585" s="7">
        <v>44.660193999999997</v>
      </c>
      <c r="CT585" s="7">
        <v>50</v>
      </c>
      <c r="CU585" s="4" t="s">
        <v>124</v>
      </c>
      <c r="CV585" s="4" t="s">
        <v>124</v>
      </c>
      <c r="CW585" s="4" t="s">
        <v>124</v>
      </c>
      <c r="CX585" s="4" t="s">
        <v>124</v>
      </c>
      <c r="CY585" s="4" t="s">
        <v>124</v>
      </c>
      <c r="CZ585" s="4" t="s">
        <v>124</v>
      </c>
      <c r="DA585" s="7">
        <v>15.314097</v>
      </c>
      <c r="DB585" s="7">
        <v>17.400950000000002</v>
      </c>
      <c r="DC585" s="7">
        <v>16.332519999999999</v>
      </c>
      <c r="DD585" s="4" t="s">
        <v>124</v>
      </c>
      <c r="DE585" s="7">
        <v>0</v>
      </c>
      <c r="DF585" s="6"/>
      <c r="DG585" s="6"/>
      <c r="DH585" s="6"/>
      <c r="DI585" s="6"/>
      <c r="DJ585" s="7">
        <v>0</v>
      </c>
      <c r="DK585" s="7">
        <v>0</v>
      </c>
      <c r="DL585" s="7">
        <v>0</v>
      </c>
      <c r="DM585" s="7">
        <v>0</v>
      </c>
      <c r="DN585" s="7">
        <v>0</v>
      </c>
      <c r="DO585" s="7">
        <v>0</v>
      </c>
      <c r="DP585" s="6"/>
      <c r="DQ585" s="4" t="s">
        <v>125</v>
      </c>
    </row>
    <row r="586" spans="1:121" ht="20" customHeight="1" x14ac:dyDescent="0.15">
      <c r="A586" s="5">
        <v>2018</v>
      </c>
      <c r="B586" s="3" t="s">
        <v>183</v>
      </c>
      <c r="C586" s="4" t="str">
        <f>"0800011"</f>
        <v>0800011</v>
      </c>
      <c r="D586" s="4" t="s">
        <v>744</v>
      </c>
      <c r="E586" s="4" t="str">
        <f>"0806111"</f>
        <v>0806111</v>
      </c>
      <c r="F586" s="4" t="s">
        <v>327</v>
      </c>
      <c r="G586" s="7">
        <v>9</v>
      </c>
      <c r="H586" s="7">
        <v>12</v>
      </c>
      <c r="I586" s="6"/>
      <c r="J586" s="4" t="s">
        <v>330</v>
      </c>
      <c r="K586" s="7">
        <v>1032.3412069999999</v>
      </c>
      <c r="L586" s="7">
        <v>1550</v>
      </c>
      <c r="M586" s="7">
        <v>66.602658000000005</v>
      </c>
      <c r="N586" s="7">
        <v>3</v>
      </c>
      <c r="O586" s="7">
        <v>0</v>
      </c>
      <c r="P586" s="7">
        <v>48.263227999999998</v>
      </c>
      <c r="Q586" s="7">
        <v>96.526454999999999</v>
      </c>
      <c r="R586" s="7">
        <v>150</v>
      </c>
      <c r="S586" s="7">
        <v>45.268467999999999</v>
      </c>
      <c r="T586" s="7">
        <v>56.532338000000003</v>
      </c>
      <c r="U586" s="7">
        <v>90.536936999999995</v>
      </c>
      <c r="V586" s="7">
        <v>150</v>
      </c>
      <c r="W586" s="7">
        <v>42.566799000000003</v>
      </c>
      <c r="X586" s="7">
        <v>85.133598000000006</v>
      </c>
      <c r="Y586" s="7">
        <v>150</v>
      </c>
      <c r="Z586" s="7">
        <v>49.007463000000001</v>
      </c>
      <c r="AA586" s="7">
        <v>40.234234000000001</v>
      </c>
      <c r="AB586" s="7">
        <v>80.468468000000001</v>
      </c>
      <c r="AC586" s="7">
        <v>150</v>
      </c>
      <c r="AD586" s="7">
        <v>48.765127999999997</v>
      </c>
      <c r="AE586" s="7">
        <v>65.020171000000005</v>
      </c>
      <c r="AF586" s="7">
        <v>100</v>
      </c>
      <c r="AG586" s="7">
        <v>46.400758000000003</v>
      </c>
      <c r="AH586" s="7">
        <v>55.5</v>
      </c>
      <c r="AI586" s="7">
        <v>61.867677</v>
      </c>
      <c r="AJ586" s="7">
        <v>100</v>
      </c>
      <c r="AK586" s="7">
        <v>11.26</v>
      </c>
      <c r="AL586" s="7">
        <v>8.77</v>
      </c>
      <c r="AM586" s="7">
        <v>9.09</v>
      </c>
      <c r="AN586" s="4" t="s">
        <v>124</v>
      </c>
      <c r="AO586" s="4" t="s">
        <v>124</v>
      </c>
      <c r="AP586" s="4" t="s">
        <v>124</v>
      </c>
      <c r="AQ586" s="4" t="s">
        <v>124</v>
      </c>
      <c r="AR586" s="4" t="s">
        <v>124</v>
      </c>
      <c r="AS586" s="4" t="s">
        <v>124</v>
      </c>
      <c r="AT586" s="4" t="s">
        <v>124</v>
      </c>
      <c r="AU586" s="4" t="s">
        <v>124</v>
      </c>
      <c r="AV586" s="4" t="s">
        <v>124</v>
      </c>
      <c r="AW586" s="4" t="s">
        <v>124</v>
      </c>
      <c r="AX586" s="4" t="s">
        <v>124</v>
      </c>
      <c r="AY586" s="4" t="s">
        <v>124</v>
      </c>
      <c r="AZ586" s="4" t="s">
        <v>124</v>
      </c>
      <c r="BA586" s="4" t="s">
        <v>124</v>
      </c>
      <c r="BB586" s="7">
        <v>0.39486500000000002</v>
      </c>
      <c r="BC586" s="7">
        <v>19.743248000000001</v>
      </c>
      <c r="BD586" s="7">
        <v>50</v>
      </c>
      <c r="BE586" s="7">
        <v>0.46752300000000002</v>
      </c>
      <c r="BF586" s="7">
        <v>23.376127</v>
      </c>
      <c r="BG586" s="7">
        <v>50</v>
      </c>
      <c r="BH586" s="7">
        <v>1</v>
      </c>
      <c r="BI586" s="7">
        <v>0.95138900000000004</v>
      </c>
      <c r="BJ586" s="7">
        <v>0.93488400000000005</v>
      </c>
      <c r="BK586" s="7">
        <v>1</v>
      </c>
      <c r="BL586" s="7">
        <v>0.95138900000000004</v>
      </c>
      <c r="BM586" s="7">
        <v>0.93488400000000005</v>
      </c>
      <c r="BN586" s="7">
        <v>1</v>
      </c>
      <c r="BO586" s="7">
        <v>0.96180600000000005</v>
      </c>
      <c r="BP586" s="7">
        <v>0.953704</v>
      </c>
      <c r="BQ586" s="7">
        <v>0.98611099999999996</v>
      </c>
      <c r="BR586" s="7">
        <v>0.155219</v>
      </c>
      <c r="BS586" s="7">
        <v>28.956289000000002</v>
      </c>
      <c r="BT586" s="7">
        <v>50</v>
      </c>
      <c r="BU586" s="7">
        <v>0.18437100000000001</v>
      </c>
      <c r="BV586" s="7">
        <v>23.125762999999999</v>
      </c>
      <c r="BW586" s="7">
        <v>50</v>
      </c>
      <c r="BX586" s="7">
        <v>0.74606300000000003</v>
      </c>
      <c r="BY586" s="7">
        <v>49.737532999999999</v>
      </c>
      <c r="BZ586" s="7">
        <v>50</v>
      </c>
      <c r="CA586" s="7">
        <v>0.18897600000000001</v>
      </c>
      <c r="CB586" s="7">
        <v>12.598425000000001</v>
      </c>
      <c r="CC586" s="7">
        <v>50</v>
      </c>
      <c r="CD586" s="7">
        <v>0.95665599999999995</v>
      </c>
      <c r="CE586" s="7">
        <v>50</v>
      </c>
      <c r="CF586" s="7">
        <v>50</v>
      </c>
      <c r="CG586" s="7">
        <v>0.90584399999999998</v>
      </c>
      <c r="CH586" s="7">
        <v>96.366399999999999</v>
      </c>
      <c r="CI586" s="7">
        <v>100</v>
      </c>
      <c r="CJ586" s="7">
        <v>1</v>
      </c>
      <c r="CK586" s="7">
        <v>0.76683900000000005</v>
      </c>
      <c r="CL586" s="7">
        <v>81.578657000000007</v>
      </c>
      <c r="CM586" s="7">
        <v>100</v>
      </c>
      <c r="CN586" s="7">
        <v>0.57839700000000005</v>
      </c>
      <c r="CO586" s="7">
        <v>77.119628000000006</v>
      </c>
      <c r="CP586" s="7">
        <v>100</v>
      </c>
      <c r="CQ586" s="7">
        <v>0.60278699999999996</v>
      </c>
      <c r="CR586" s="7">
        <v>0.98965499999999995</v>
      </c>
      <c r="CS586" s="7">
        <v>40.185830000000003</v>
      </c>
      <c r="CT586" s="7">
        <v>50</v>
      </c>
      <c r="CU586" s="7">
        <v>0.60660099999999995</v>
      </c>
      <c r="CV586" s="7">
        <v>50</v>
      </c>
      <c r="CW586" s="7">
        <v>50</v>
      </c>
      <c r="CX586" s="7">
        <v>0.76683900000000005</v>
      </c>
      <c r="CY586" s="7">
        <v>0.94</v>
      </c>
      <c r="CZ586" s="7">
        <v>0.17316100000000001</v>
      </c>
      <c r="DA586" s="7">
        <v>15.314097</v>
      </c>
      <c r="DB586" s="7">
        <v>17.400950000000002</v>
      </c>
      <c r="DC586" s="7">
        <v>16.332519999999999</v>
      </c>
      <c r="DD586" s="7">
        <v>7.9891730000000001</v>
      </c>
      <c r="DE586" s="7">
        <v>1</v>
      </c>
      <c r="DF586" s="6"/>
      <c r="DG586" s="6"/>
      <c r="DH586" s="6"/>
      <c r="DI586" s="6"/>
      <c r="DJ586" s="7">
        <v>0</v>
      </c>
      <c r="DK586" s="7">
        <v>0</v>
      </c>
      <c r="DL586" s="7">
        <v>0</v>
      </c>
      <c r="DM586" s="7">
        <v>0</v>
      </c>
      <c r="DN586" s="7">
        <v>0</v>
      </c>
      <c r="DO586" s="7">
        <v>0</v>
      </c>
      <c r="DP586" s="6"/>
      <c r="DQ586" s="4" t="s">
        <v>125</v>
      </c>
    </row>
    <row r="587" spans="1:121" ht="20" customHeight="1" x14ac:dyDescent="0.15">
      <c r="A587" s="5">
        <v>2018</v>
      </c>
      <c r="B587" s="3" t="s">
        <v>183</v>
      </c>
      <c r="C587" s="4" t="str">
        <f t="shared" si="219"/>
        <v>0800011</v>
      </c>
      <c r="D587" s="4" t="s">
        <v>745</v>
      </c>
      <c r="E587" s="4" t="str">
        <f>"0800311"</f>
        <v>0800311</v>
      </c>
      <c r="F587" s="4" t="s">
        <v>327</v>
      </c>
      <c r="G587" s="4" t="s">
        <v>328</v>
      </c>
      <c r="H587" s="7">
        <v>5</v>
      </c>
      <c r="I587" s="4" t="s">
        <v>335</v>
      </c>
      <c r="J587" s="4" t="s">
        <v>330</v>
      </c>
      <c r="K587" s="7">
        <v>745.36253599999998</v>
      </c>
      <c r="L587" s="7">
        <v>950</v>
      </c>
      <c r="M587" s="7">
        <v>78.459214000000003</v>
      </c>
      <c r="N587" s="7">
        <v>2</v>
      </c>
      <c r="O587" s="7">
        <v>0</v>
      </c>
      <c r="P587" s="7">
        <v>68.593756999999997</v>
      </c>
      <c r="Q587" s="7">
        <v>45.729171000000001</v>
      </c>
      <c r="R587" s="7">
        <v>50</v>
      </c>
      <c r="S587" s="7">
        <v>66.384943000000007</v>
      </c>
      <c r="T587" s="7">
        <v>75</v>
      </c>
      <c r="U587" s="7">
        <v>44.256628999999997</v>
      </c>
      <c r="V587" s="7">
        <v>50</v>
      </c>
      <c r="W587" s="7">
        <v>64.883656000000002</v>
      </c>
      <c r="X587" s="7">
        <v>43.255771000000003</v>
      </c>
      <c r="Y587" s="7">
        <v>50</v>
      </c>
      <c r="Z587" s="7">
        <v>75</v>
      </c>
      <c r="AA587" s="7">
        <v>61.820853</v>
      </c>
      <c r="AB587" s="7">
        <v>41.213901999999997</v>
      </c>
      <c r="AC587" s="7">
        <v>50</v>
      </c>
      <c r="AD587" s="7">
        <v>62.522776999999998</v>
      </c>
      <c r="AE587" s="7">
        <v>41.681851000000002</v>
      </c>
      <c r="AF587" s="7">
        <v>50</v>
      </c>
      <c r="AG587" s="7">
        <v>61.000695</v>
      </c>
      <c r="AH587" s="4" t="s">
        <v>124</v>
      </c>
      <c r="AI587" s="7">
        <v>40.66713</v>
      </c>
      <c r="AJ587" s="7">
        <v>50</v>
      </c>
      <c r="AK587" s="7">
        <v>8.61</v>
      </c>
      <c r="AL587" s="7">
        <v>13.17</v>
      </c>
      <c r="AM587" s="4" t="s">
        <v>124</v>
      </c>
      <c r="AN587" s="7">
        <v>0.67506100000000002</v>
      </c>
      <c r="AO587" s="7">
        <v>67.506056999999998</v>
      </c>
      <c r="AP587" s="7">
        <v>100</v>
      </c>
      <c r="AQ587" s="7">
        <v>0.71911099999999994</v>
      </c>
      <c r="AR587" s="7">
        <v>71.911068</v>
      </c>
      <c r="AS587" s="7">
        <v>100</v>
      </c>
      <c r="AT587" s="7">
        <v>0.70136299999999996</v>
      </c>
      <c r="AU587" s="7">
        <v>0.57934699999999995</v>
      </c>
      <c r="AV587" s="7">
        <v>70.136342999999997</v>
      </c>
      <c r="AW587" s="7">
        <v>100</v>
      </c>
      <c r="AX587" s="7">
        <v>0.68751700000000004</v>
      </c>
      <c r="AY587" s="7">
        <v>0.83319900000000002</v>
      </c>
      <c r="AZ587" s="7">
        <v>68.751701999999995</v>
      </c>
      <c r="BA587" s="7">
        <v>100</v>
      </c>
      <c r="BB587" s="7">
        <v>0.82974099999999995</v>
      </c>
      <c r="BC587" s="7">
        <v>41.487073000000002</v>
      </c>
      <c r="BD587" s="7">
        <v>50</v>
      </c>
      <c r="BE587" s="7">
        <v>0.58681899999999998</v>
      </c>
      <c r="BF587" s="7">
        <v>29.340973999999999</v>
      </c>
      <c r="BG587" s="7">
        <v>50</v>
      </c>
      <c r="BH587" s="7">
        <v>0</v>
      </c>
      <c r="BI587" s="7">
        <v>0.99624100000000004</v>
      </c>
      <c r="BJ587" s="7">
        <v>0.99528300000000003</v>
      </c>
      <c r="BK587" s="7">
        <v>1</v>
      </c>
      <c r="BL587" s="7">
        <v>0.99248099999999995</v>
      </c>
      <c r="BM587" s="7">
        <v>0.99056599999999995</v>
      </c>
      <c r="BN587" s="7">
        <v>1</v>
      </c>
      <c r="BO587" s="7">
        <v>0.97802199999999995</v>
      </c>
      <c r="BP587" s="7">
        <v>0.97297299999999998</v>
      </c>
      <c r="BQ587" s="4" t="s">
        <v>124</v>
      </c>
      <c r="BR587" s="7">
        <v>5.4851999999999998E-2</v>
      </c>
      <c r="BS587" s="7">
        <v>49.029536</v>
      </c>
      <c r="BT587" s="7">
        <v>50</v>
      </c>
      <c r="BU587" s="7">
        <v>6.4689999999999998E-2</v>
      </c>
      <c r="BV587" s="7">
        <v>47.061995000000003</v>
      </c>
      <c r="BW587" s="7">
        <v>50</v>
      </c>
      <c r="BX587" s="4" t="s">
        <v>124</v>
      </c>
      <c r="BY587" s="4" t="s">
        <v>124</v>
      </c>
      <c r="BZ587" s="4" t="s">
        <v>124</v>
      </c>
      <c r="CA587" s="4" t="s">
        <v>124</v>
      </c>
      <c r="CB587" s="4" t="s">
        <v>124</v>
      </c>
      <c r="CC587" s="4" t="s">
        <v>124</v>
      </c>
      <c r="CD587" s="4" t="s">
        <v>124</v>
      </c>
      <c r="CE587" s="4" t="s">
        <v>124</v>
      </c>
      <c r="CF587" s="4" t="s">
        <v>124</v>
      </c>
      <c r="CG587" s="4" t="s">
        <v>124</v>
      </c>
      <c r="CH587" s="4" t="s">
        <v>124</v>
      </c>
      <c r="CI587" s="4" t="s">
        <v>124</v>
      </c>
      <c r="CJ587" s="4" t="s">
        <v>124</v>
      </c>
      <c r="CK587" s="4" t="s">
        <v>124</v>
      </c>
      <c r="CL587" s="4" t="s">
        <v>124</v>
      </c>
      <c r="CM587" s="4" t="s">
        <v>124</v>
      </c>
      <c r="CN587" s="4" t="s">
        <v>124</v>
      </c>
      <c r="CO587" s="4" t="s">
        <v>124</v>
      </c>
      <c r="CP587" s="4" t="s">
        <v>124</v>
      </c>
      <c r="CQ587" s="7">
        <v>0.65</v>
      </c>
      <c r="CR587" s="7">
        <v>1</v>
      </c>
      <c r="CS587" s="7">
        <v>43.333333000000003</v>
      </c>
      <c r="CT587" s="7">
        <v>50</v>
      </c>
      <c r="CU587" s="4" t="s">
        <v>124</v>
      </c>
      <c r="CV587" s="4" t="s">
        <v>124</v>
      </c>
      <c r="CW587" s="4" t="s">
        <v>124</v>
      </c>
      <c r="CX587" s="4" t="s">
        <v>124</v>
      </c>
      <c r="CY587" s="4" t="s">
        <v>124</v>
      </c>
      <c r="CZ587" s="4" t="s">
        <v>124</v>
      </c>
      <c r="DA587" s="7">
        <v>15.314097</v>
      </c>
      <c r="DB587" s="7">
        <v>17.400950000000002</v>
      </c>
      <c r="DC587" s="7">
        <v>16.332519999999999</v>
      </c>
      <c r="DD587" s="4" t="s">
        <v>124</v>
      </c>
      <c r="DE587" s="7">
        <v>0</v>
      </c>
      <c r="DF587" s="6"/>
      <c r="DG587" s="6"/>
      <c r="DH587" s="6"/>
      <c r="DI587" s="6"/>
      <c r="DJ587" s="7">
        <v>0</v>
      </c>
      <c r="DK587" s="7">
        <v>0</v>
      </c>
      <c r="DL587" s="7">
        <v>0</v>
      </c>
      <c r="DM587" s="7">
        <v>0</v>
      </c>
      <c r="DN587" s="7">
        <v>0</v>
      </c>
      <c r="DO587" s="7">
        <v>0</v>
      </c>
      <c r="DP587" s="6"/>
      <c r="DQ587" s="4" t="s">
        <v>125</v>
      </c>
    </row>
    <row r="588" spans="1:121" ht="20" customHeight="1" x14ac:dyDescent="0.15">
      <c r="A588" s="5">
        <v>2018</v>
      </c>
      <c r="B588" s="3" t="s">
        <v>183</v>
      </c>
      <c r="C588" s="4" t="str">
        <f t="shared" si="219"/>
        <v>0800011</v>
      </c>
      <c r="D588" s="4" t="s">
        <v>746</v>
      </c>
      <c r="E588" s="4" t="str">
        <f>"0800411"</f>
        <v>0800411</v>
      </c>
      <c r="F588" s="4" t="s">
        <v>327</v>
      </c>
      <c r="G588" s="4" t="s">
        <v>328</v>
      </c>
      <c r="H588" s="7">
        <v>5</v>
      </c>
      <c r="I588" s="4" t="s">
        <v>335</v>
      </c>
      <c r="J588" s="4" t="s">
        <v>330</v>
      </c>
      <c r="K588" s="7">
        <v>737.372028</v>
      </c>
      <c r="L588" s="7">
        <v>950</v>
      </c>
      <c r="M588" s="7">
        <v>77.618108000000007</v>
      </c>
      <c r="N588" s="7">
        <v>2</v>
      </c>
      <c r="O588" s="7">
        <v>0</v>
      </c>
      <c r="P588" s="7">
        <v>73.184938000000002</v>
      </c>
      <c r="Q588" s="7">
        <v>48.789959000000003</v>
      </c>
      <c r="R588" s="7">
        <v>50</v>
      </c>
      <c r="S588" s="7">
        <v>71.351191999999998</v>
      </c>
      <c r="T588" s="7">
        <v>75</v>
      </c>
      <c r="U588" s="7">
        <v>47.567461000000002</v>
      </c>
      <c r="V588" s="7">
        <v>50</v>
      </c>
      <c r="W588" s="7">
        <v>69.827747000000002</v>
      </c>
      <c r="X588" s="7">
        <v>46.551831999999997</v>
      </c>
      <c r="Y588" s="7">
        <v>50</v>
      </c>
      <c r="Z588" s="7">
        <v>75</v>
      </c>
      <c r="AA588" s="7">
        <v>67.710162999999994</v>
      </c>
      <c r="AB588" s="7">
        <v>45.140109000000002</v>
      </c>
      <c r="AC588" s="7">
        <v>50</v>
      </c>
      <c r="AD588" s="7">
        <v>63.738391</v>
      </c>
      <c r="AE588" s="7">
        <v>42.492260000000002</v>
      </c>
      <c r="AF588" s="7">
        <v>50</v>
      </c>
      <c r="AG588" s="7">
        <v>61.176112000000003</v>
      </c>
      <c r="AH588" s="4" t="s">
        <v>124</v>
      </c>
      <c r="AI588" s="7">
        <v>40.784073999999997</v>
      </c>
      <c r="AJ588" s="7">
        <v>50</v>
      </c>
      <c r="AK588" s="7">
        <v>3.64</v>
      </c>
      <c r="AL588" s="7">
        <v>7.28</v>
      </c>
      <c r="AM588" s="4" t="s">
        <v>124</v>
      </c>
      <c r="AN588" s="7">
        <v>0.69198800000000005</v>
      </c>
      <c r="AO588" s="7">
        <v>69.198834000000005</v>
      </c>
      <c r="AP588" s="7">
        <v>100</v>
      </c>
      <c r="AQ588" s="7">
        <v>0.75255000000000005</v>
      </c>
      <c r="AR588" s="7">
        <v>75.254994999999994</v>
      </c>
      <c r="AS588" s="7">
        <v>100</v>
      </c>
      <c r="AT588" s="7">
        <v>0.68082200000000004</v>
      </c>
      <c r="AU588" s="7">
        <v>0.73845499999999997</v>
      </c>
      <c r="AV588" s="7">
        <v>68.082182000000003</v>
      </c>
      <c r="AW588" s="7">
        <v>100</v>
      </c>
      <c r="AX588" s="7">
        <v>0.742344</v>
      </c>
      <c r="AY588" s="7">
        <v>0.79435999999999996</v>
      </c>
      <c r="AZ588" s="7">
        <v>74.234446000000005</v>
      </c>
      <c r="BA588" s="7">
        <v>100</v>
      </c>
      <c r="BB588" s="7">
        <v>0.56989500000000004</v>
      </c>
      <c r="BC588" s="7">
        <v>28.494734999999999</v>
      </c>
      <c r="BD588" s="7">
        <v>50</v>
      </c>
      <c r="BE588" s="7">
        <v>0.51311899999999999</v>
      </c>
      <c r="BF588" s="7">
        <v>25.655951000000002</v>
      </c>
      <c r="BG588" s="7">
        <v>50</v>
      </c>
      <c r="BH588" s="7">
        <v>0</v>
      </c>
      <c r="BI588" s="7">
        <v>1</v>
      </c>
      <c r="BJ588" s="7">
        <v>1</v>
      </c>
      <c r="BK588" s="7">
        <v>1</v>
      </c>
      <c r="BL588" s="7">
        <v>1</v>
      </c>
      <c r="BM588" s="7">
        <v>1</v>
      </c>
      <c r="BN588" s="7">
        <v>1</v>
      </c>
      <c r="BO588" s="7">
        <v>1</v>
      </c>
      <c r="BP588" s="7">
        <v>1</v>
      </c>
      <c r="BQ588" s="4" t="s">
        <v>124</v>
      </c>
      <c r="BR588" s="7">
        <v>9.6578999999999998E-2</v>
      </c>
      <c r="BS588" s="7">
        <v>40.684105000000002</v>
      </c>
      <c r="BT588" s="7">
        <v>50</v>
      </c>
      <c r="BU588" s="7">
        <v>0.11335000000000001</v>
      </c>
      <c r="BV588" s="7">
        <v>37.329974999999997</v>
      </c>
      <c r="BW588" s="7">
        <v>50</v>
      </c>
      <c r="BX588" s="4" t="s">
        <v>124</v>
      </c>
      <c r="BY588" s="4" t="s">
        <v>124</v>
      </c>
      <c r="BZ588" s="4" t="s">
        <v>124</v>
      </c>
      <c r="CA588" s="4" t="s">
        <v>124</v>
      </c>
      <c r="CB588" s="4" t="s">
        <v>124</v>
      </c>
      <c r="CC588" s="4" t="s">
        <v>124</v>
      </c>
      <c r="CD588" s="4" t="s">
        <v>124</v>
      </c>
      <c r="CE588" s="4" t="s">
        <v>124</v>
      </c>
      <c r="CF588" s="4" t="s">
        <v>124</v>
      </c>
      <c r="CG588" s="4" t="s">
        <v>124</v>
      </c>
      <c r="CH588" s="4" t="s">
        <v>124</v>
      </c>
      <c r="CI588" s="4" t="s">
        <v>124</v>
      </c>
      <c r="CJ588" s="4" t="s">
        <v>124</v>
      </c>
      <c r="CK588" s="4" t="s">
        <v>124</v>
      </c>
      <c r="CL588" s="4" t="s">
        <v>124</v>
      </c>
      <c r="CM588" s="4" t="s">
        <v>124</v>
      </c>
      <c r="CN588" s="4" t="s">
        <v>124</v>
      </c>
      <c r="CO588" s="4" t="s">
        <v>124</v>
      </c>
      <c r="CP588" s="4" t="s">
        <v>124</v>
      </c>
      <c r="CQ588" s="7">
        <v>0.70666700000000005</v>
      </c>
      <c r="CR588" s="7">
        <v>0.986842</v>
      </c>
      <c r="CS588" s="7">
        <v>47.111111000000001</v>
      </c>
      <c r="CT588" s="7">
        <v>50</v>
      </c>
      <c r="CU588" s="4" t="s">
        <v>124</v>
      </c>
      <c r="CV588" s="4" t="s">
        <v>124</v>
      </c>
      <c r="CW588" s="4" t="s">
        <v>124</v>
      </c>
      <c r="CX588" s="4" t="s">
        <v>124</v>
      </c>
      <c r="CY588" s="4" t="s">
        <v>124</v>
      </c>
      <c r="CZ588" s="4" t="s">
        <v>124</v>
      </c>
      <c r="DA588" s="7">
        <v>15.314097</v>
      </c>
      <c r="DB588" s="7">
        <v>17.400950000000002</v>
      </c>
      <c r="DC588" s="7">
        <v>16.332519999999999</v>
      </c>
      <c r="DD588" s="4" t="s">
        <v>124</v>
      </c>
      <c r="DE588" s="7">
        <v>0</v>
      </c>
      <c r="DF588" s="6"/>
      <c r="DG588" s="6"/>
      <c r="DH588" s="6"/>
      <c r="DI588" s="6"/>
      <c r="DJ588" s="7">
        <v>0</v>
      </c>
      <c r="DK588" s="7">
        <v>0</v>
      </c>
      <c r="DL588" s="7">
        <v>0</v>
      </c>
      <c r="DM588" s="7">
        <v>0</v>
      </c>
      <c r="DN588" s="7">
        <v>0</v>
      </c>
      <c r="DO588" s="7">
        <v>0</v>
      </c>
      <c r="DP588" s="6"/>
      <c r="DQ588" s="4" t="s">
        <v>125</v>
      </c>
    </row>
    <row r="589" spans="1:121" ht="20" customHeight="1" x14ac:dyDescent="0.15">
      <c r="A589" s="5">
        <v>2018</v>
      </c>
      <c r="B589" s="3" t="s">
        <v>183</v>
      </c>
      <c r="C589" s="4" t="str">
        <f t="shared" si="219"/>
        <v>0800011</v>
      </c>
      <c r="D589" s="4" t="s">
        <v>747</v>
      </c>
      <c r="E589" s="4" t="str">
        <f>"0800511"</f>
        <v>0800511</v>
      </c>
      <c r="F589" s="4" t="s">
        <v>327</v>
      </c>
      <c r="G589" s="4" t="s">
        <v>338</v>
      </c>
      <c r="H589" s="7">
        <v>5</v>
      </c>
      <c r="I589" s="4" t="s">
        <v>335</v>
      </c>
      <c r="J589" s="4" t="s">
        <v>330</v>
      </c>
      <c r="K589" s="7">
        <v>703.038229</v>
      </c>
      <c r="L589" s="7">
        <v>950</v>
      </c>
      <c r="M589" s="7">
        <v>74.004024000000001</v>
      </c>
      <c r="N589" s="7">
        <v>2</v>
      </c>
      <c r="O589" s="7">
        <v>0</v>
      </c>
      <c r="P589" s="7">
        <v>71.032368000000005</v>
      </c>
      <c r="Q589" s="7">
        <v>47.354911999999999</v>
      </c>
      <c r="R589" s="7">
        <v>50</v>
      </c>
      <c r="S589" s="7">
        <v>69.983643999999998</v>
      </c>
      <c r="T589" s="7">
        <v>75</v>
      </c>
      <c r="U589" s="7">
        <v>46.655763</v>
      </c>
      <c r="V589" s="7">
        <v>50</v>
      </c>
      <c r="W589" s="7">
        <v>67.469044999999994</v>
      </c>
      <c r="X589" s="7">
        <v>44.979362999999999</v>
      </c>
      <c r="Y589" s="7">
        <v>50</v>
      </c>
      <c r="Z589" s="7">
        <v>75</v>
      </c>
      <c r="AA589" s="7">
        <v>66.501686000000007</v>
      </c>
      <c r="AB589" s="7">
        <v>44.334457</v>
      </c>
      <c r="AC589" s="7">
        <v>50</v>
      </c>
      <c r="AD589" s="7">
        <v>55.816612999999997</v>
      </c>
      <c r="AE589" s="7">
        <v>37.211075000000001</v>
      </c>
      <c r="AF589" s="7">
        <v>50</v>
      </c>
      <c r="AG589" s="7">
        <v>53.169262000000003</v>
      </c>
      <c r="AH589" s="4" t="s">
        <v>124</v>
      </c>
      <c r="AI589" s="7">
        <v>35.446174999999997</v>
      </c>
      <c r="AJ589" s="7">
        <v>50</v>
      </c>
      <c r="AK589" s="7">
        <v>5.01</v>
      </c>
      <c r="AL589" s="7">
        <v>8.49</v>
      </c>
      <c r="AM589" s="4" t="s">
        <v>124</v>
      </c>
      <c r="AN589" s="7">
        <v>0.63215100000000002</v>
      </c>
      <c r="AO589" s="7">
        <v>63.215055</v>
      </c>
      <c r="AP589" s="7">
        <v>100</v>
      </c>
      <c r="AQ589" s="7">
        <v>0.65771999999999997</v>
      </c>
      <c r="AR589" s="7">
        <v>65.771981999999994</v>
      </c>
      <c r="AS589" s="7">
        <v>100</v>
      </c>
      <c r="AT589" s="7">
        <v>0.61993200000000004</v>
      </c>
      <c r="AU589" s="4" t="s">
        <v>124</v>
      </c>
      <c r="AV589" s="7">
        <v>61.993206999999998</v>
      </c>
      <c r="AW589" s="7">
        <v>100</v>
      </c>
      <c r="AX589" s="7">
        <v>0.64117199999999996</v>
      </c>
      <c r="AY589" s="4" t="s">
        <v>124</v>
      </c>
      <c r="AZ589" s="7">
        <v>64.117154999999997</v>
      </c>
      <c r="BA589" s="7">
        <v>100</v>
      </c>
      <c r="BB589" s="7">
        <v>0.60262700000000002</v>
      </c>
      <c r="BC589" s="7">
        <v>30.131329999999998</v>
      </c>
      <c r="BD589" s="7">
        <v>50</v>
      </c>
      <c r="BE589" s="7">
        <v>0.48524800000000001</v>
      </c>
      <c r="BF589" s="7">
        <v>24.262376</v>
      </c>
      <c r="BG589" s="7">
        <v>50</v>
      </c>
      <c r="BH589" s="7">
        <v>0</v>
      </c>
      <c r="BI589" s="7">
        <v>0.98601399999999995</v>
      </c>
      <c r="BJ589" s="7">
        <v>0.98484799999999995</v>
      </c>
      <c r="BK589" s="7">
        <v>1</v>
      </c>
      <c r="BL589" s="7">
        <v>0.98601399999999995</v>
      </c>
      <c r="BM589" s="7">
        <v>0.98484799999999995</v>
      </c>
      <c r="BN589" s="7">
        <v>1</v>
      </c>
      <c r="BO589" s="7">
        <v>1</v>
      </c>
      <c r="BP589" s="7">
        <v>1</v>
      </c>
      <c r="BQ589" s="4" t="s">
        <v>124</v>
      </c>
      <c r="BR589" s="7">
        <v>7.9922000000000007E-2</v>
      </c>
      <c r="BS589" s="7">
        <v>44.015594999999998</v>
      </c>
      <c r="BT589" s="7">
        <v>50</v>
      </c>
      <c r="BU589" s="7">
        <v>8.2251000000000005E-2</v>
      </c>
      <c r="BV589" s="7">
        <v>43.549784000000002</v>
      </c>
      <c r="BW589" s="7">
        <v>50</v>
      </c>
      <c r="BX589" s="4" t="s">
        <v>124</v>
      </c>
      <c r="BY589" s="4" t="s">
        <v>124</v>
      </c>
      <c r="BZ589" s="4" t="s">
        <v>124</v>
      </c>
      <c r="CA589" s="4" t="s">
        <v>124</v>
      </c>
      <c r="CB589" s="4" t="s">
        <v>124</v>
      </c>
      <c r="CC589" s="4" t="s">
        <v>124</v>
      </c>
      <c r="CD589" s="4" t="s">
        <v>124</v>
      </c>
      <c r="CE589" s="4" t="s">
        <v>124</v>
      </c>
      <c r="CF589" s="4" t="s">
        <v>124</v>
      </c>
      <c r="CG589" s="4" t="s">
        <v>124</v>
      </c>
      <c r="CH589" s="4" t="s">
        <v>124</v>
      </c>
      <c r="CI589" s="4" t="s">
        <v>124</v>
      </c>
      <c r="CJ589" s="4" t="s">
        <v>124</v>
      </c>
      <c r="CK589" s="4" t="s">
        <v>124</v>
      </c>
      <c r="CL589" s="4" t="s">
        <v>124</v>
      </c>
      <c r="CM589" s="4" t="s">
        <v>124</v>
      </c>
      <c r="CN589" s="4" t="s">
        <v>124</v>
      </c>
      <c r="CO589" s="4" t="s">
        <v>124</v>
      </c>
      <c r="CP589" s="4" t="s">
        <v>124</v>
      </c>
      <c r="CQ589" s="7">
        <v>0.76344100000000004</v>
      </c>
      <c r="CR589" s="7">
        <v>1</v>
      </c>
      <c r="CS589" s="7">
        <v>50</v>
      </c>
      <c r="CT589" s="7">
        <v>50</v>
      </c>
      <c r="CU589" s="4" t="s">
        <v>124</v>
      </c>
      <c r="CV589" s="4" t="s">
        <v>124</v>
      </c>
      <c r="CW589" s="4" t="s">
        <v>124</v>
      </c>
      <c r="CX589" s="4" t="s">
        <v>124</v>
      </c>
      <c r="CY589" s="4" t="s">
        <v>124</v>
      </c>
      <c r="CZ589" s="4" t="s">
        <v>124</v>
      </c>
      <c r="DA589" s="7">
        <v>15.314097</v>
      </c>
      <c r="DB589" s="7">
        <v>17.400950000000002</v>
      </c>
      <c r="DC589" s="7">
        <v>16.332519999999999</v>
      </c>
      <c r="DD589" s="4" t="s">
        <v>124</v>
      </c>
      <c r="DE589" s="7">
        <v>0</v>
      </c>
      <c r="DF589" s="6"/>
      <c r="DG589" s="6"/>
      <c r="DH589" s="6"/>
      <c r="DI589" s="6"/>
      <c r="DJ589" s="7">
        <v>0</v>
      </c>
      <c r="DK589" s="7">
        <v>0</v>
      </c>
      <c r="DL589" s="7">
        <v>0</v>
      </c>
      <c r="DM589" s="7">
        <v>0</v>
      </c>
      <c r="DN589" s="7">
        <v>0</v>
      </c>
      <c r="DO589" s="7">
        <v>0</v>
      </c>
      <c r="DP589" s="6"/>
      <c r="DQ589" s="4" t="s">
        <v>125</v>
      </c>
    </row>
    <row r="590" spans="1:121" ht="20" customHeight="1" x14ac:dyDescent="0.15">
      <c r="A590" s="5">
        <v>2018</v>
      </c>
      <c r="B590" s="3" t="s">
        <v>183</v>
      </c>
      <c r="C590" s="4" t="str">
        <f t="shared" si="219"/>
        <v>0800011</v>
      </c>
      <c r="D590" s="4" t="s">
        <v>748</v>
      </c>
      <c r="E590" s="4" t="str">
        <f>"0805211"</f>
        <v>0805211</v>
      </c>
      <c r="F590" s="4" t="s">
        <v>327</v>
      </c>
      <c r="G590" s="7">
        <v>6</v>
      </c>
      <c r="H590" s="7">
        <v>8</v>
      </c>
      <c r="I590" s="4" t="s">
        <v>335</v>
      </c>
      <c r="J590" s="4" t="s">
        <v>330</v>
      </c>
      <c r="K590" s="7">
        <v>624.58248300000002</v>
      </c>
      <c r="L590" s="7">
        <v>1000</v>
      </c>
      <c r="M590" s="7">
        <v>62.458247999999998</v>
      </c>
      <c r="N590" s="7">
        <v>3</v>
      </c>
      <c r="O590" s="7">
        <v>1</v>
      </c>
      <c r="P590" s="7">
        <v>61.344560999999999</v>
      </c>
      <c r="Q590" s="7">
        <v>40.896374000000002</v>
      </c>
      <c r="R590" s="7">
        <v>50</v>
      </c>
      <c r="S590" s="7">
        <v>58.433157999999999</v>
      </c>
      <c r="T590" s="7">
        <v>75</v>
      </c>
      <c r="U590" s="7">
        <v>38.955438999999998</v>
      </c>
      <c r="V590" s="7">
        <v>50</v>
      </c>
      <c r="W590" s="7">
        <v>54.134498999999998</v>
      </c>
      <c r="X590" s="7">
        <v>36.089666000000001</v>
      </c>
      <c r="Y590" s="7">
        <v>50</v>
      </c>
      <c r="Z590" s="7">
        <v>66.412538999999995</v>
      </c>
      <c r="AA590" s="7">
        <v>51.603402000000003</v>
      </c>
      <c r="AB590" s="7">
        <v>34.402267999999999</v>
      </c>
      <c r="AC590" s="7">
        <v>50</v>
      </c>
      <c r="AD590" s="7">
        <v>54.283154000000003</v>
      </c>
      <c r="AE590" s="7">
        <v>36.188769000000001</v>
      </c>
      <c r="AF590" s="7">
        <v>50</v>
      </c>
      <c r="AG590" s="7">
        <v>52.419125000000001</v>
      </c>
      <c r="AH590" s="7">
        <v>65.241378999999995</v>
      </c>
      <c r="AI590" s="7">
        <v>34.946083999999999</v>
      </c>
      <c r="AJ590" s="7">
        <v>50</v>
      </c>
      <c r="AK590" s="7">
        <v>16.559999999999999</v>
      </c>
      <c r="AL590" s="7">
        <v>14.8</v>
      </c>
      <c r="AM590" s="7">
        <v>12.82</v>
      </c>
      <c r="AN590" s="7">
        <v>0.57291199999999998</v>
      </c>
      <c r="AO590" s="7">
        <v>57.291193999999997</v>
      </c>
      <c r="AP590" s="7">
        <v>100</v>
      </c>
      <c r="AQ590" s="7">
        <v>0.51692700000000003</v>
      </c>
      <c r="AR590" s="7">
        <v>51.692689000000001</v>
      </c>
      <c r="AS590" s="7">
        <v>100</v>
      </c>
      <c r="AT590" s="7">
        <v>0.55099500000000001</v>
      </c>
      <c r="AU590" s="7">
        <v>0.68565600000000004</v>
      </c>
      <c r="AV590" s="7">
        <v>55.099505000000001</v>
      </c>
      <c r="AW590" s="7">
        <v>100</v>
      </c>
      <c r="AX590" s="7">
        <v>0.50598399999999999</v>
      </c>
      <c r="AY590" s="7">
        <v>0.57035800000000003</v>
      </c>
      <c r="AZ590" s="7">
        <v>50.598438000000002</v>
      </c>
      <c r="BA590" s="7">
        <v>100</v>
      </c>
      <c r="BB590" s="7">
        <v>0.56386000000000003</v>
      </c>
      <c r="BC590" s="7">
        <v>28.192986000000001</v>
      </c>
      <c r="BD590" s="7">
        <v>50</v>
      </c>
      <c r="BE590" s="7">
        <v>0.442743</v>
      </c>
      <c r="BF590" s="7">
        <v>22.137163000000001</v>
      </c>
      <c r="BG590" s="7">
        <v>50</v>
      </c>
      <c r="BH590" s="7">
        <v>1</v>
      </c>
      <c r="BI590" s="7">
        <v>0.97689300000000001</v>
      </c>
      <c r="BJ590" s="7">
        <v>0.97716899999999995</v>
      </c>
      <c r="BK590" s="7">
        <v>0.97541</v>
      </c>
      <c r="BL590" s="7">
        <v>0.94215899999999997</v>
      </c>
      <c r="BM590" s="7">
        <v>0.93597600000000003</v>
      </c>
      <c r="BN590" s="7">
        <v>0.97541</v>
      </c>
      <c r="BO590" s="7">
        <v>0.96226400000000001</v>
      </c>
      <c r="BP590" s="7">
        <v>0.96087</v>
      </c>
      <c r="BQ590" s="7">
        <v>0.97142899999999999</v>
      </c>
      <c r="BR590" s="7">
        <v>0.14929200000000001</v>
      </c>
      <c r="BS590" s="7">
        <v>30.141570000000002</v>
      </c>
      <c r="BT590" s="7">
        <v>50</v>
      </c>
      <c r="BU590" s="7">
        <v>0.16769200000000001</v>
      </c>
      <c r="BV590" s="7">
        <v>26.461538000000001</v>
      </c>
      <c r="BW590" s="7">
        <v>50</v>
      </c>
      <c r="BX590" s="4" t="s">
        <v>124</v>
      </c>
      <c r="BY590" s="4" t="s">
        <v>124</v>
      </c>
      <c r="BZ590" s="4" t="s">
        <v>124</v>
      </c>
      <c r="CA590" s="4" t="s">
        <v>124</v>
      </c>
      <c r="CB590" s="4" t="s">
        <v>124</v>
      </c>
      <c r="CC590" s="4" t="s">
        <v>124</v>
      </c>
      <c r="CD590" s="7">
        <v>0.94117600000000001</v>
      </c>
      <c r="CE590" s="7">
        <v>50</v>
      </c>
      <c r="CF590" s="7">
        <v>50</v>
      </c>
      <c r="CG590" s="4" t="s">
        <v>124</v>
      </c>
      <c r="CH590" s="4" t="s">
        <v>124</v>
      </c>
      <c r="CI590" s="4" t="s">
        <v>124</v>
      </c>
      <c r="CJ590" s="4" t="s">
        <v>124</v>
      </c>
      <c r="CK590" s="4" t="s">
        <v>124</v>
      </c>
      <c r="CL590" s="4" t="s">
        <v>124</v>
      </c>
      <c r="CM590" s="4" t="s">
        <v>124</v>
      </c>
      <c r="CN590" s="4" t="s">
        <v>124</v>
      </c>
      <c r="CO590" s="4" t="s">
        <v>124</v>
      </c>
      <c r="CP590" s="4" t="s">
        <v>124</v>
      </c>
      <c r="CQ590" s="7">
        <v>0.47233199999999997</v>
      </c>
      <c r="CR590" s="7">
        <v>0.97683399999999998</v>
      </c>
      <c r="CS590" s="7">
        <v>31.488800999999999</v>
      </c>
      <c r="CT590" s="7">
        <v>50</v>
      </c>
      <c r="CU590" s="4" t="s">
        <v>124</v>
      </c>
      <c r="CV590" s="4" t="s">
        <v>124</v>
      </c>
      <c r="CW590" s="4" t="s">
        <v>124</v>
      </c>
      <c r="CX590" s="4" t="s">
        <v>124</v>
      </c>
      <c r="CY590" s="4" t="s">
        <v>124</v>
      </c>
      <c r="CZ590" s="4" t="s">
        <v>124</v>
      </c>
      <c r="DA590" s="7">
        <v>15.314097</v>
      </c>
      <c r="DB590" s="7">
        <v>17.400950000000002</v>
      </c>
      <c r="DC590" s="7">
        <v>16.332519999999999</v>
      </c>
      <c r="DD590" s="4" t="s">
        <v>124</v>
      </c>
      <c r="DE590" s="7">
        <v>1</v>
      </c>
      <c r="DF590" s="6"/>
      <c r="DG590" s="6"/>
      <c r="DH590" s="6"/>
      <c r="DI590" s="6"/>
      <c r="DJ590" s="7">
        <v>0</v>
      </c>
      <c r="DK590" s="7">
        <v>0</v>
      </c>
      <c r="DL590" s="7">
        <v>0</v>
      </c>
      <c r="DM590" s="7">
        <v>0</v>
      </c>
      <c r="DN590" s="7">
        <v>0</v>
      </c>
      <c r="DO590" s="7">
        <v>0</v>
      </c>
      <c r="DP590" s="6"/>
      <c r="DQ590" s="4" t="s">
        <v>125</v>
      </c>
    </row>
    <row r="591" spans="1:121" ht="20" customHeight="1" x14ac:dyDescent="0.15">
      <c r="A591" s="5">
        <v>2018</v>
      </c>
      <c r="B591" s="3" t="s">
        <v>183</v>
      </c>
      <c r="C591" s="4" t="str">
        <f t="shared" si="219"/>
        <v>0800011</v>
      </c>
      <c r="D591" s="4" t="s">
        <v>749</v>
      </c>
      <c r="E591" s="4" t="str">
        <f>"0800711"</f>
        <v>0800711</v>
      </c>
      <c r="F591" s="4" t="s">
        <v>327</v>
      </c>
      <c r="G591" s="4" t="s">
        <v>328</v>
      </c>
      <c r="H591" s="7">
        <v>5</v>
      </c>
      <c r="I591" s="4" t="s">
        <v>335</v>
      </c>
      <c r="J591" s="4" t="s">
        <v>330</v>
      </c>
      <c r="K591" s="7">
        <v>723.60843699999998</v>
      </c>
      <c r="L591" s="7">
        <v>950</v>
      </c>
      <c r="M591" s="7">
        <v>76.169308999999998</v>
      </c>
      <c r="N591" s="7">
        <v>2</v>
      </c>
      <c r="O591" s="7">
        <v>0</v>
      </c>
      <c r="P591" s="7">
        <v>71.483532999999994</v>
      </c>
      <c r="Q591" s="7">
        <v>47.655689000000002</v>
      </c>
      <c r="R591" s="7">
        <v>50</v>
      </c>
      <c r="S591" s="7">
        <v>68.937132000000005</v>
      </c>
      <c r="T591" s="7">
        <v>75</v>
      </c>
      <c r="U591" s="7">
        <v>45.958087999999996</v>
      </c>
      <c r="V591" s="7">
        <v>50</v>
      </c>
      <c r="W591" s="7">
        <v>63.197093000000002</v>
      </c>
      <c r="X591" s="7">
        <v>42.131394999999998</v>
      </c>
      <c r="Y591" s="7">
        <v>50</v>
      </c>
      <c r="Z591" s="7">
        <v>74.284696999999994</v>
      </c>
      <c r="AA591" s="7">
        <v>60.447727999999998</v>
      </c>
      <c r="AB591" s="7">
        <v>40.298484999999999</v>
      </c>
      <c r="AC591" s="7">
        <v>50</v>
      </c>
      <c r="AD591" s="7">
        <v>65.786472000000003</v>
      </c>
      <c r="AE591" s="7">
        <v>43.857647999999998</v>
      </c>
      <c r="AF591" s="7">
        <v>50</v>
      </c>
      <c r="AG591" s="7">
        <v>62.282885</v>
      </c>
      <c r="AH591" s="7">
        <v>75</v>
      </c>
      <c r="AI591" s="7">
        <v>41.521923999999999</v>
      </c>
      <c r="AJ591" s="7">
        <v>50</v>
      </c>
      <c r="AK591" s="7">
        <v>6.06</v>
      </c>
      <c r="AL591" s="7">
        <v>13.83</v>
      </c>
      <c r="AM591" s="7">
        <v>12.71</v>
      </c>
      <c r="AN591" s="7">
        <v>0.80919799999999997</v>
      </c>
      <c r="AO591" s="7">
        <v>80.919803000000002</v>
      </c>
      <c r="AP591" s="7">
        <v>100</v>
      </c>
      <c r="AQ591" s="7">
        <v>0.65465200000000001</v>
      </c>
      <c r="AR591" s="7">
        <v>65.465179000000006</v>
      </c>
      <c r="AS591" s="7">
        <v>100</v>
      </c>
      <c r="AT591" s="7">
        <v>0.80334300000000003</v>
      </c>
      <c r="AU591" s="7">
        <v>0.83419100000000002</v>
      </c>
      <c r="AV591" s="7">
        <v>80.334258000000005</v>
      </c>
      <c r="AW591" s="7">
        <v>100</v>
      </c>
      <c r="AX591" s="7">
        <v>0.64425399999999999</v>
      </c>
      <c r="AY591" s="7">
        <v>0.70013999999999998</v>
      </c>
      <c r="AZ591" s="7">
        <v>64.425448000000003</v>
      </c>
      <c r="BA591" s="7">
        <v>100</v>
      </c>
      <c r="BB591" s="7">
        <v>0.55938399999999999</v>
      </c>
      <c r="BC591" s="7">
        <v>27.969204000000001</v>
      </c>
      <c r="BD591" s="7">
        <v>50</v>
      </c>
      <c r="BE591" s="7">
        <v>0.46688800000000003</v>
      </c>
      <c r="BF591" s="7">
        <v>23.344403</v>
      </c>
      <c r="BG591" s="7">
        <v>50</v>
      </c>
      <c r="BH591" s="7">
        <v>0</v>
      </c>
      <c r="BI591" s="7">
        <v>0.99683500000000003</v>
      </c>
      <c r="BJ591" s="7">
        <v>0.99606300000000003</v>
      </c>
      <c r="BK591" s="7">
        <v>1</v>
      </c>
      <c r="BL591" s="7">
        <v>0.99683500000000003</v>
      </c>
      <c r="BM591" s="7">
        <v>0.99606300000000003</v>
      </c>
      <c r="BN591" s="7">
        <v>1</v>
      </c>
      <c r="BO591" s="7">
        <v>0.991228</v>
      </c>
      <c r="BP591" s="7">
        <v>0.98924699999999999</v>
      </c>
      <c r="BQ591" s="7">
        <v>1</v>
      </c>
      <c r="BR591" s="7">
        <v>0.113208</v>
      </c>
      <c r="BS591" s="7">
        <v>37.358491000000001</v>
      </c>
      <c r="BT591" s="7">
        <v>50</v>
      </c>
      <c r="BU591" s="7">
        <v>0.138158</v>
      </c>
      <c r="BV591" s="7">
        <v>32.368420999999998</v>
      </c>
      <c r="BW591" s="7">
        <v>50</v>
      </c>
      <c r="BX591" s="4" t="s">
        <v>124</v>
      </c>
      <c r="BY591" s="4" t="s">
        <v>124</v>
      </c>
      <c r="BZ591" s="4" t="s">
        <v>124</v>
      </c>
      <c r="CA591" s="4" t="s">
        <v>124</v>
      </c>
      <c r="CB591" s="4" t="s">
        <v>124</v>
      </c>
      <c r="CC591" s="4" t="s">
        <v>124</v>
      </c>
      <c r="CD591" s="4" t="s">
        <v>124</v>
      </c>
      <c r="CE591" s="4" t="s">
        <v>124</v>
      </c>
      <c r="CF591" s="4" t="s">
        <v>124</v>
      </c>
      <c r="CG591" s="4" t="s">
        <v>124</v>
      </c>
      <c r="CH591" s="4" t="s">
        <v>124</v>
      </c>
      <c r="CI591" s="4" t="s">
        <v>124</v>
      </c>
      <c r="CJ591" s="4" t="s">
        <v>124</v>
      </c>
      <c r="CK591" s="4" t="s">
        <v>124</v>
      </c>
      <c r="CL591" s="4" t="s">
        <v>124</v>
      </c>
      <c r="CM591" s="4" t="s">
        <v>124</v>
      </c>
      <c r="CN591" s="4" t="s">
        <v>124</v>
      </c>
      <c r="CO591" s="4" t="s">
        <v>124</v>
      </c>
      <c r="CP591" s="4" t="s">
        <v>124</v>
      </c>
      <c r="CQ591" s="7">
        <v>0.76521700000000004</v>
      </c>
      <c r="CR591" s="7">
        <v>1</v>
      </c>
      <c r="CS591" s="7">
        <v>50</v>
      </c>
      <c r="CT591" s="7">
        <v>50</v>
      </c>
      <c r="CU591" s="4" t="s">
        <v>124</v>
      </c>
      <c r="CV591" s="4" t="s">
        <v>124</v>
      </c>
      <c r="CW591" s="4" t="s">
        <v>124</v>
      </c>
      <c r="CX591" s="4" t="s">
        <v>124</v>
      </c>
      <c r="CY591" s="4" t="s">
        <v>124</v>
      </c>
      <c r="CZ591" s="4" t="s">
        <v>124</v>
      </c>
      <c r="DA591" s="7">
        <v>15.314097</v>
      </c>
      <c r="DB591" s="7">
        <v>17.400950000000002</v>
      </c>
      <c r="DC591" s="7">
        <v>16.332519999999999</v>
      </c>
      <c r="DD591" s="4" t="s">
        <v>124</v>
      </c>
      <c r="DE591" s="7">
        <v>0</v>
      </c>
      <c r="DF591" s="6"/>
      <c r="DG591" s="6"/>
      <c r="DH591" s="4" t="s">
        <v>331</v>
      </c>
      <c r="DI591" s="4" t="s">
        <v>528</v>
      </c>
      <c r="DJ591" s="7">
        <v>0</v>
      </c>
      <c r="DK591" s="7">
        <v>1</v>
      </c>
      <c r="DL591" s="7">
        <v>0</v>
      </c>
      <c r="DM591" s="7">
        <v>1</v>
      </c>
      <c r="DN591" s="7">
        <v>0</v>
      </c>
      <c r="DO591" s="7">
        <v>0</v>
      </c>
      <c r="DP591" s="6"/>
      <c r="DQ591" s="4" t="s">
        <v>125</v>
      </c>
    </row>
    <row r="592" spans="1:121" ht="20" customHeight="1" x14ac:dyDescent="0.15">
      <c r="A592" s="5">
        <v>2018</v>
      </c>
      <c r="B592" s="3" t="s">
        <v>183</v>
      </c>
      <c r="C592" s="4" t="str">
        <f>"0800011"</f>
        <v>0800011</v>
      </c>
      <c r="D592" s="4" t="s">
        <v>750</v>
      </c>
      <c r="E592" s="4" t="str">
        <f>"0806211"</f>
        <v>0806211</v>
      </c>
      <c r="F592" s="4" t="s">
        <v>327</v>
      </c>
      <c r="G592" s="7">
        <v>9</v>
      </c>
      <c r="H592" s="7">
        <v>12</v>
      </c>
      <c r="I592" s="6"/>
      <c r="J592" s="4" t="s">
        <v>330</v>
      </c>
      <c r="K592" s="7">
        <v>974.46498499999996</v>
      </c>
      <c r="L592" s="7">
        <v>1550</v>
      </c>
      <c r="M592" s="7">
        <v>62.868709000000003</v>
      </c>
      <c r="N592" s="7">
        <v>3</v>
      </c>
      <c r="O592" s="7">
        <v>0</v>
      </c>
      <c r="P592" s="7">
        <v>47.030988000000001</v>
      </c>
      <c r="Q592" s="7">
        <v>94.061976999999999</v>
      </c>
      <c r="R592" s="7">
        <v>150</v>
      </c>
      <c r="S592" s="7">
        <v>43.801802000000002</v>
      </c>
      <c r="T592" s="7">
        <v>56.401961</v>
      </c>
      <c r="U592" s="7">
        <v>87.603604000000004</v>
      </c>
      <c r="V592" s="7">
        <v>150</v>
      </c>
      <c r="W592" s="7">
        <v>41.881072000000003</v>
      </c>
      <c r="X592" s="7">
        <v>83.762144000000006</v>
      </c>
      <c r="Y592" s="7">
        <v>150</v>
      </c>
      <c r="Z592" s="7">
        <v>49.823529000000001</v>
      </c>
      <c r="AA592" s="7">
        <v>39.144143999999997</v>
      </c>
      <c r="AB592" s="7">
        <v>78.288287999999994</v>
      </c>
      <c r="AC592" s="7">
        <v>150</v>
      </c>
      <c r="AD592" s="7">
        <v>50.829059999999998</v>
      </c>
      <c r="AE592" s="7">
        <v>67.772080000000003</v>
      </c>
      <c r="AF592" s="7">
        <v>100</v>
      </c>
      <c r="AG592" s="7">
        <v>47.499738000000001</v>
      </c>
      <c r="AH592" s="7">
        <v>60.425339000000001</v>
      </c>
      <c r="AI592" s="7">
        <v>63.332984000000003</v>
      </c>
      <c r="AJ592" s="7">
        <v>100</v>
      </c>
      <c r="AK592" s="7">
        <v>12.6</v>
      </c>
      <c r="AL592" s="7">
        <v>10.67</v>
      </c>
      <c r="AM592" s="7">
        <v>12.92</v>
      </c>
      <c r="AN592" s="4" t="s">
        <v>124</v>
      </c>
      <c r="AO592" s="4" t="s">
        <v>124</v>
      </c>
      <c r="AP592" s="4" t="s">
        <v>124</v>
      </c>
      <c r="AQ592" s="4" t="s">
        <v>124</v>
      </c>
      <c r="AR592" s="4" t="s">
        <v>124</v>
      </c>
      <c r="AS592" s="4" t="s">
        <v>124</v>
      </c>
      <c r="AT592" s="4" t="s">
        <v>124</v>
      </c>
      <c r="AU592" s="4" t="s">
        <v>124</v>
      </c>
      <c r="AV592" s="4" t="s">
        <v>124</v>
      </c>
      <c r="AW592" s="4" t="s">
        <v>124</v>
      </c>
      <c r="AX592" s="4" t="s">
        <v>124</v>
      </c>
      <c r="AY592" s="4" t="s">
        <v>124</v>
      </c>
      <c r="AZ592" s="4" t="s">
        <v>124</v>
      </c>
      <c r="BA592" s="4" t="s">
        <v>124</v>
      </c>
      <c r="BB592" s="7">
        <v>0.27370899999999998</v>
      </c>
      <c r="BC592" s="7">
        <v>13.685472000000001</v>
      </c>
      <c r="BD592" s="7">
        <v>50</v>
      </c>
      <c r="BE592" s="7">
        <v>0.404831</v>
      </c>
      <c r="BF592" s="7">
        <v>20.241541000000002</v>
      </c>
      <c r="BG592" s="7">
        <v>50</v>
      </c>
      <c r="BH592" s="7">
        <v>0</v>
      </c>
      <c r="BI592" s="7">
        <v>0.97727299999999995</v>
      </c>
      <c r="BJ592" s="7">
        <v>0.96951200000000004</v>
      </c>
      <c r="BK592" s="7">
        <v>1</v>
      </c>
      <c r="BL592" s="7">
        <v>0.97727299999999995</v>
      </c>
      <c r="BM592" s="7">
        <v>0.96951200000000004</v>
      </c>
      <c r="BN592" s="7">
        <v>1</v>
      </c>
      <c r="BO592" s="7">
        <v>0.95927600000000002</v>
      </c>
      <c r="BP592" s="7">
        <v>0.95121999999999995</v>
      </c>
      <c r="BQ592" s="7">
        <v>0.982456</v>
      </c>
      <c r="BR592" s="7">
        <v>0.22404399999999999</v>
      </c>
      <c r="BS592" s="7">
        <v>15.191257</v>
      </c>
      <c r="BT592" s="7">
        <v>50</v>
      </c>
      <c r="BU592" s="7">
        <v>0.25915899999999997</v>
      </c>
      <c r="BV592" s="7">
        <v>8.1682500000000005</v>
      </c>
      <c r="BW592" s="7">
        <v>50</v>
      </c>
      <c r="BX592" s="7">
        <v>0.806593</v>
      </c>
      <c r="BY592" s="7">
        <v>50</v>
      </c>
      <c r="BZ592" s="7">
        <v>50</v>
      </c>
      <c r="CA592" s="7">
        <v>0.14065900000000001</v>
      </c>
      <c r="CB592" s="7">
        <v>9.3772889999999993</v>
      </c>
      <c r="CC592" s="7">
        <v>50</v>
      </c>
      <c r="CD592" s="7">
        <v>0.93172699999999997</v>
      </c>
      <c r="CE592" s="7">
        <v>49.559941999999999</v>
      </c>
      <c r="CF592" s="7">
        <v>50</v>
      </c>
      <c r="CG592" s="7">
        <v>0.81578899999999999</v>
      </c>
      <c r="CH592" s="7">
        <v>86.786113999999998</v>
      </c>
      <c r="CI592" s="7">
        <v>100</v>
      </c>
      <c r="CJ592" s="7">
        <v>1</v>
      </c>
      <c r="CK592" s="7">
        <v>0.72770000000000001</v>
      </c>
      <c r="CL592" s="7">
        <v>77.414844000000002</v>
      </c>
      <c r="CM592" s="7">
        <v>100</v>
      </c>
      <c r="CN592" s="7">
        <v>0.55440400000000001</v>
      </c>
      <c r="CO592" s="7">
        <v>73.920552999999998</v>
      </c>
      <c r="CP592" s="7">
        <v>100</v>
      </c>
      <c r="CQ592" s="7">
        <v>0.71089999999999998</v>
      </c>
      <c r="CR592" s="7">
        <v>1</v>
      </c>
      <c r="CS592" s="7">
        <v>47.393365000000003</v>
      </c>
      <c r="CT592" s="7">
        <v>50</v>
      </c>
      <c r="CU592" s="7">
        <v>0.57486300000000001</v>
      </c>
      <c r="CV592" s="7">
        <v>47.905282</v>
      </c>
      <c r="CW592" s="7">
        <v>50</v>
      </c>
      <c r="CX592" s="7">
        <v>0.72770000000000001</v>
      </c>
      <c r="CY592" s="7">
        <v>0.94</v>
      </c>
      <c r="CZ592" s="7">
        <v>0.21229999999999999</v>
      </c>
      <c r="DA592" s="7">
        <v>15.314097</v>
      </c>
      <c r="DB592" s="7">
        <v>17.400950000000002</v>
      </c>
      <c r="DC592" s="7">
        <v>16.332519999999999</v>
      </c>
      <c r="DD592" s="7">
        <v>7.9891730000000001</v>
      </c>
      <c r="DE592" s="7">
        <v>1</v>
      </c>
      <c r="DF592" s="6"/>
      <c r="DG592" s="6"/>
      <c r="DH592" s="6"/>
      <c r="DI592" s="6"/>
      <c r="DJ592" s="7">
        <v>0</v>
      </c>
      <c r="DK592" s="7">
        <v>0</v>
      </c>
      <c r="DL592" s="7">
        <v>0</v>
      </c>
      <c r="DM592" s="7">
        <v>0</v>
      </c>
      <c r="DN592" s="7">
        <v>0</v>
      </c>
      <c r="DO592" s="7">
        <v>0</v>
      </c>
      <c r="DP592" s="6"/>
      <c r="DQ592" s="4" t="s">
        <v>125</v>
      </c>
    </row>
    <row r="593" spans="1:121" ht="20" customHeight="1" x14ac:dyDescent="0.15">
      <c r="A593" s="5">
        <v>2018</v>
      </c>
      <c r="B593" s="3" t="s">
        <v>183</v>
      </c>
      <c r="C593" s="4" t="str">
        <f t="shared" si="219"/>
        <v>0800011</v>
      </c>
      <c r="D593" s="4" t="s">
        <v>751</v>
      </c>
      <c r="E593" s="4" t="str">
        <f>"0800811"</f>
        <v>0800811</v>
      </c>
      <c r="F593" s="4" t="s">
        <v>327</v>
      </c>
      <c r="G593" s="4" t="s">
        <v>328</v>
      </c>
      <c r="H593" s="7">
        <v>5</v>
      </c>
      <c r="I593" s="4" t="s">
        <v>335</v>
      </c>
      <c r="J593" s="4" t="s">
        <v>330</v>
      </c>
      <c r="K593" s="7">
        <v>647.60120300000005</v>
      </c>
      <c r="L593" s="7">
        <v>950</v>
      </c>
      <c r="M593" s="7">
        <v>68.168548000000001</v>
      </c>
      <c r="N593" s="7">
        <v>3</v>
      </c>
      <c r="O593" s="7">
        <v>0</v>
      </c>
      <c r="P593" s="7">
        <v>65.344348999999994</v>
      </c>
      <c r="Q593" s="7">
        <v>43.562899000000002</v>
      </c>
      <c r="R593" s="7">
        <v>50</v>
      </c>
      <c r="S593" s="7">
        <v>64.303222000000005</v>
      </c>
      <c r="T593" s="4" t="s">
        <v>124</v>
      </c>
      <c r="U593" s="7">
        <v>42.868814999999998</v>
      </c>
      <c r="V593" s="7">
        <v>50</v>
      </c>
      <c r="W593" s="7">
        <v>60.002178999999998</v>
      </c>
      <c r="X593" s="7">
        <v>40.001452999999998</v>
      </c>
      <c r="Y593" s="7">
        <v>50</v>
      </c>
      <c r="Z593" s="4" t="s">
        <v>124</v>
      </c>
      <c r="AA593" s="7">
        <v>58.898629</v>
      </c>
      <c r="AB593" s="7">
        <v>39.265751999999999</v>
      </c>
      <c r="AC593" s="7">
        <v>50</v>
      </c>
      <c r="AD593" s="7">
        <v>57.994492999999999</v>
      </c>
      <c r="AE593" s="7">
        <v>38.662995000000002</v>
      </c>
      <c r="AF593" s="7">
        <v>50</v>
      </c>
      <c r="AG593" s="7">
        <v>56.956161999999999</v>
      </c>
      <c r="AH593" s="4" t="s">
        <v>124</v>
      </c>
      <c r="AI593" s="7">
        <v>37.970775000000003</v>
      </c>
      <c r="AJ593" s="7">
        <v>50</v>
      </c>
      <c r="AK593" s="4" t="s">
        <v>124</v>
      </c>
      <c r="AL593" s="4" t="s">
        <v>124</v>
      </c>
      <c r="AM593" s="4" t="s">
        <v>124</v>
      </c>
      <c r="AN593" s="7">
        <v>0.63319300000000001</v>
      </c>
      <c r="AO593" s="7">
        <v>63.319310000000002</v>
      </c>
      <c r="AP593" s="7">
        <v>100</v>
      </c>
      <c r="AQ593" s="7">
        <v>0.581507</v>
      </c>
      <c r="AR593" s="7">
        <v>58.150657000000002</v>
      </c>
      <c r="AS593" s="7">
        <v>100</v>
      </c>
      <c r="AT593" s="7">
        <v>0.62801700000000005</v>
      </c>
      <c r="AU593" s="4" t="s">
        <v>124</v>
      </c>
      <c r="AV593" s="7">
        <v>62.801695000000002</v>
      </c>
      <c r="AW593" s="7">
        <v>100</v>
      </c>
      <c r="AX593" s="7">
        <v>0.57079899999999995</v>
      </c>
      <c r="AY593" s="4" t="s">
        <v>124</v>
      </c>
      <c r="AZ593" s="7">
        <v>57.079931000000002</v>
      </c>
      <c r="BA593" s="7">
        <v>100</v>
      </c>
      <c r="BB593" s="7">
        <v>0.58605300000000005</v>
      </c>
      <c r="BC593" s="7">
        <v>29.302655000000001</v>
      </c>
      <c r="BD593" s="7">
        <v>50</v>
      </c>
      <c r="BE593" s="7">
        <v>0.35357100000000002</v>
      </c>
      <c r="BF593" s="7">
        <v>17.678536000000001</v>
      </c>
      <c r="BG593" s="7">
        <v>50</v>
      </c>
      <c r="BH593" s="7">
        <v>0</v>
      </c>
      <c r="BI593" s="7">
        <v>1</v>
      </c>
      <c r="BJ593" s="7">
        <v>1</v>
      </c>
      <c r="BK593" s="4" t="s">
        <v>124</v>
      </c>
      <c r="BL593" s="7">
        <v>1</v>
      </c>
      <c r="BM593" s="7">
        <v>1</v>
      </c>
      <c r="BN593" s="4" t="s">
        <v>124</v>
      </c>
      <c r="BO593" s="7">
        <v>1</v>
      </c>
      <c r="BP593" s="7">
        <v>1</v>
      </c>
      <c r="BQ593" s="4" t="s">
        <v>124</v>
      </c>
      <c r="BR593" s="7">
        <v>0.128631</v>
      </c>
      <c r="BS593" s="7">
        <v>34.273859000000002</v>
      </c>
      <c r="BT593" s="7">
        <v>50</v>
      </c>
      <c r="BU593" s="7">
        <v>0.13669100000000001</v>
      </c>
      <c r="BV593" s="7">
        <v>32.661870999999998</v>
      </c>
      <c r="BW593" s="7">
        <v>50</v>
      </c>
      <c r="BX593" s="4" t="s">
        <v>124</v>
      </c>
      <c r="BY593" s="4" t="s">
        <v>124</v>
      </c>
      <c r="BZ593" s="4" t="s">
        <v>124</v>
      </c>
      <c r="CA593" s="4" t="s">
        <v>124</v>
      </c>
      <c r="CB593" s="4" t="s">
        <v>124</v>
      </c>
      <c r="CC593" s="4" t="s">
        <v>124</v>
      </c>
      <c r="CD593" s="4" t="s">
        <v>124</v>
      </c>
      <c r="CE593" s="4" t="s">
        <v>124</v>
      </c>
      <c r="CF593" s="4" t="s">
        <v>124</v>
      </c>
      <c r="CG593" s="4" t="s">
        <v>124</v>
      </c>
      <c r="CH593" s="4" t="s">
        <v>124</v>
      </c>
      <c r="CI593" s="4" t="s">
        <v>124</v>
      </c>
      <c r="CJ593" s="4" t="s">
        <v>124</v>
      </c>
      <c r="CK593" s="4" t="s">
        <v>124</v>
      </c>
      <c r="CL593" s="4" t="s">
        <v>124</v>
      </c>
      <c r="CM593" s="4" t="s">
        <v>124</v>
      </c>
      <c r="CN593" s="4" t="s">
        <v>124</v>
      </c>
      <c r="CO593" s="4" t="s">
        <v>124</v>
      </c>
      <c r="CP593" s="4" t="s">
        <v>124</v>
      </c>
      <c r="CQ593" s="7">
        <v>0.81176499999999996</v>
      </c>
      <c r="CR593" s="7">
        <v>0.96590900000000002</v>
      </c>
      <c r="CS593" s="7">
        <v>50</v>
      </c>
      <c r="CT593" s="7">
        <v>50</v>
      </c>
      <c r="CU593" s="4" t="s">
        <v>124</v>
      </c>
      <c r="CV593" s="4" t="s">
        <v>124</v>
      </c>
      <c r="CW593" s="4" t="s">
        <v>124</v>
      </c>
      <c r="CX593" s="4" t="s">
        <v>124</v>
      </c>
      <c r="CY593" s="4" t="s">
        <v>124</v>
      </c>
      <c r="CZ593" s="4" t="s">
        <v>124</v>
      </c>
      <c r="DA593" s="7">
        <v>15.314097</v>
      </c>
      <c r="DB593" s="7">
        <v>17.400950000000002</v>
      </c>
      <c r="DC593" s="7">
        <v>16.332519999999999</v>
      </c>
      <c r="DD593" s="4" t="s">
        <v>124</v>
      </c>
      <c r="DE593" s="7">
        <v>0</v>
      </c>
      <c r="DF593" s="6"/>
      <c r="DG593" s="6"/>
      <c r="DH593" s="6"/>
      <c r="DI593" s="6"/>
      <c r="DJ593" s="7">
        <v>0</v>
      </c>
      <c r="DK593" s="7">
        <v>0</v>
      </c>
      <c r="DL593" s="7">
        <v>0</v>
      </c>
      <c r="DM593" s="7">
        <v>0</v>
      </c>
      <c r="DN593" s="7">
        <v>0</v>
      </c>
      <c r="DO593" s="7">
        <v>0</v>
      </c>
      <c r="DP593" s="6"/>
      <c r="DQ593" s="4" t="s">
        <v>125</v>
      </c>
    </row>
    <row r="594" spans="1:121" ht="20" customHeight="1" x14ac:dyDescent="0.15">
      <c r="A594" s="5">
        <v>2018</v>
      </c>
      <c r="B594" s="3" t="s">
        <v>183</v>
      </c>
      <c r="C594" s="4" t="str">
        <f t="shared" si="219"/>
        <v>0800011</v>
      </c>
      <c r="D594" s="4" t="s">
        <v>409</v>
      </c>
      <c r="E594" s="4" t="str">
        <f>"0801011"</f>
        <v>0801011</v>
      </c>
      <c r="F594" s="4" t="s">
        <v>327</v>
      </c>
      <c r="G594" s="4" t="s">
        <v>328</v>
      </c>
      <c r="H594" s="7">
        <v>5</v>
      </c>
      <c r="I594" s="4" t="s">
        <v>335</v>
      </c>
      <c r="J594" s="4" t="s">
        <v>330</v>
      </c>
      <c r="K594" s="7">
        <v>796.68166399999996</v>
      </c>
      <c r="L594" s="7">
        <v>950</v>
      </c>
      <c r="M594" s="7">
        <v>83.861227999999997</v>
      </c>
      <c r="N594" s="7">
        <v>2</v>
      </c>
      <c r="O594" s="7">
        <v>0</v>
      </c>
      <c r="P594" s="7">
        <v>76.652869999999993</v>
      </c>
      <c r="Q594" s="7">
        <v>50</v>
      </c>
      <c r="R594" s="7">
        <v>50</v>
      </c>
      <c r="S594" s="7">
        <v>71.867080999999999</v>
      </c>
      <c r="T594" s="7">
        <v>75</v>
      </c>
      <c r="U594" s="7">
        <v>47.911386999999998</v>
      </c>
      <c r="V594" s="7">
        <v>50</v>
      </c>
      <c r="W594" s="7">
        <v>72.687172000000004</v>
      </c>
      <c r="X594" s="7">
        <v>48.458114000000002</v>
      </c>
      <c r="Y594" s="7">
        <v>50</v>
      </c>
      <c r="Z594" s="7">
        <v>75</v>
      </c>
      <c r="AA594" s="7">
        <v>67.465056000000004</v>
      </c>
      <c r="AB594" s="7">
        <v>44.976703999999998</v>
      </c>
      <c r="AC594" s="7">
        <v>50</v>
      </c>
      <c r="AD594" s="7">
        <v>73.361164000000002</v>
      </c>
      <c r="AE594" s="7">
        <v>48.907443000000001</v>
      </c>
      <c r="AF594" s="7">
        <v>50</v>
      </c>
      <c r="AG594" s="7">
        <v>68.286738</v>
      </c>
      <c r="AH594" s="7">
        <v>75</v>
      </c>
      <c r="AI594" s="7">
        <v>45.524492000000002</v>
      </c>
      <c r="AJ594" s="7">
        <v>50</v>
      </c>
      <c r="AK594" s="7">
        <v>3.13</v>
      </c>
      <c r="AL594" s="7">
        <v>7.53</v>
      </c>
      <c r="AM594" s="7">
        <v>6.71</v>
      </c>
      <c r="AN594" s="7">
        <v>0.75251100000000004</v>
      </c>
      <c r="AO594" s="7">
        <v>75.251075</v>
      </c>
      <c r="AP594" s="7">
        <v>100</v>
      </c>
      <c r="AQ594" s="7">
        <v>0.83309999999999995</v>
      </c>
      <c r="AR594" s="7">
        <v>83.310011000000003</v>
      </c>
      <c r="AS594" s="7">
        <v>100</v>
      </c>
      <c r="AT594" s="7">
        <v>0.68043500000000001</v>
      </c>
      <c r="AU594" s="7">
        <v>0.84370900000000004</v>
      </c>
      <c r="AV594" s="7">
        <v>68.043499999999995</v>
      </c>
      <c r="AW594" s="7">
        <v>100</v>
      </c>
      <c r="AX594" s="7">
        <v>0.81363300000000005</v>
      </c>
      <c r="AY594" s="7">
        <v>0.85773299999999997</v>
      </c>
      <c r="AZ594" s="7">
        <v>81.363254999999995</v>
      </c>
      <c r="BA594" s="7">
        <v>100</v>
      </c>
      <c r="BB594" s="7">
        <v>0.633494</v>
      </c>
      <c r="BC594" s="7">
        <v>31.674706</v>
      </c>
      <c r="BD594" s="7">
        <v>50</v>
      </c>
      <c r="BE594" s="7">
        <v>0.61370400000000003</v>
      </c>
      <c r="BF594" s="7">
        <v>30.685220999999999</v>
      </c>
      <c r="BG594" s="7">
        <v>50</v>
      </c>
      <c r="BH594" s="7">
        <v>0</v>
      </c>
      <c r="BI594" s="7">
        <v>0.99363100000000004</v>
      </c>
      <c r="BJ594" s="7">
        <v>1</v>
      </c>
      <c r="BK594" s="7">
        <v>0.98412699999999997</v>
      </c>
      <c r="BL594" s="7">
        <v>0.99363100000000004</v>
      </c>
      <c r="BM594" s="7">
        <v>1</v>
      </c>
      <c r="BN594" s="7">
        <v>0.98412699999999997</v>
      </c>
      <c r="BO594" s="7">
        <v>1</v>
      </c>
      <c r="BP594" s="7">
        <v>1</v>
      </c>
      <c r="BQ594" s="7">
        <v>1</v>
      </c>
      <c r="BR594" s="7">
        <v>0.06</v>
      </c>
      <c r="BS594" s="7">
        <v>48</v>
      </c>
      <c r="BT594" s="7">
        <v>50</v>
      </c>
      <c r="BU594" s="7">
        <v>8.7121000000000004E-2</v>
      </c>
      <c r="BV594" s="7">
        <v>42.575758</v>
      </c>
      <c r="BW594" s="7">
        <v>50</v>
      </c>
      <c r="BX594" s="4" t="s">
        <v>124</v>
      </c>
      <c r="BY594" s="4" t="s">
        <v>124</v>
      </c>
      <c r="BZ594" s="4" t="s">
        <v>124</v>
      </c>
      <c r="CA594" s="4" t="s">
        <v>124</v>
      </c>
      <c r="CB594" s="4" t="s">
        <v>124</v>
      </c>
      <c r="CC594" s="4" t="s">
        <v>124</v>
      </c>
      <c r="CD594" s="4" t="s">
        <v>124</v>
      </c>
      <c r="CE594" s="4" t="s">
        <v>124</v>
      </c>
      <c r="CF594" s="4" t="s">
        <v>124</v>
      </c>
      <c r="CG594" s="4" t="s">
        <v>124</v>
      </c>
      <c r="CH594" s="4" t="s">
        <v>124</v>
      </c>
      <c r="CI594" s="4" t="s">
        <v>124</v>
      </c>
      <c r="CJ594" s="4" t="s">
        <v>124</v>
      </c>
      <c r="CK594" s="4" t="s">
        <v>124</v>
      </c>
      <c r="CL594" s="4" t="s">
        <v>124</v>
      </c>
      <c r="CM594" s="4" t="s">
        <v>124</v>
      </c>
      <c r="CN594" s="4" t="s">
        <v>124</v>
      </c>
      <c r="CO594" s="4" t="s">
        <v>124</v>
      </c>
      <c r="CP594" s="4" t="s">
        <v>124</v>
      </c>
      <c r="CQ594" s="7">
        <v>0.75</v>
      </c>
      <c r="CR594" s="7">
        <v>0.9375</v>
      </c>
      <c r="CS594" s="7">
        <v>50</v>
      </c>
      <c r="CT594" s="7">
        <v>50</v>
      </c>
      <c r="CU594" s="4" t="s">
        <v>124</v>
      </c>
      <c r="CV594" s="4" t="s">
        <v>124</v>
      </c>
      <c r="CW594" s="4" t="s">
        <v>124</v>
      </c>
      <c r="CX594" s="4" t="s">
        <v>124</v>
      </c>
      <c r="CY594" s="4" t="s">
        <v>124</v>
      </c>
      <c r="CZ594" s="4" t="s">
        <v>124</v>
      </c>
      <c r="DA594" s="7">
        <v>15.314097</v>
      </c>
      <c r="DB594" s="7">
        <v>17.400950000000002</v>
      </c>
      <c r="DC594" s="7">
        <v>16.332519999999999</v>
      </c>
      <c r="DD594" s="4" t="s">
        <v>124</v>
      </c>
      <c r="DE594" s="7">
        <v>0</v>
      </c>
      <c r="DF594" s="6"/>
      <c r="DG594" s="6"/>
      <c r="DH594" s="4" t="s">
        <v>331</v>
      </c>
      <c r="DI594" s="4" t="s">
        <v>431</v>
      </c>
      <c r="DJ594" s="7">
        <v>0</v>
      </c>
      <c r="DK594" s="7">
        <v>0</v>
      </c>
      <c r="DL594" s="7">
        <v>0</v>
      </c>
      <c r="DM594" s="7">
        <v>0</v>
      </c>
      <c r="DN594" s="7">
        <v>1</v>
      </c>
      <c r="DO594" s="7">
        <v>0</v>
      </c>
      <c r="DP594" s="6"/>
      <c r="DQ594" s="4" t="s">
        <v>125</v>
      </c>
    </row>
    <row r="595" spans="1:121" ht="20" customHeight="1" x14ac:dyDescent="0.15">
      <c r="A595" s="5">
        <v>2018</v>
      </c>
      <c r="B595" s="3" t="s">
        <v>183</v>
      </c>
      <c r="C595" s="4" t="str">
        <f t="shared" si="219"/>
        <v>0800011</v>
      </c>
      <c r="D595" s="4" t="s">
        <v>752</v>
      </c>
      <c r="E595" s="4" t="str">
        <f>"0805411"</f>
        <v>0805411</v>
      </c>
      <c r="F595" s="4" t="s">
        <v>327</v>
      </c>
      <c r="G595" s="7">
        <v>6</v>
      </c>
      <c r="H595" s="7">
        <v>8</v>
      </c>
      <c r="I595" s="4" t="s">
        <v>335</v>
      </c>
      <c r="J595" s="4" t="s">
        <v>330</v>
      </c>
      <c r="K595" s="7">
        <v>591.09015699999998</v>
      </c>
      <c r="L595" s="7">
        <v>1000</v>
      </c>
      <c r="M595" s="7">
        <v>59.109015999999997</v>
      </c>
      <c r="N595" s="7">
        <v>3</v>
      </c>
      <c r="O595" s="7">
        <v>1</v>
      </c>
      <c r="P595" s="7">
        <v>59.887188000000002</v>
      </c>
      <c r="Q595" s="7">
        <v>39.924791999999997</v>
      </c>
      <c r="R595" s="7">
        <v>50</v>
      </c>
      <c r="S595" s="7">
        <v>55.432048000000002</v>
      </c>
      <c r="T595" s="7">
        <v>71.969712999999999</v>
      </c>
      <c r="U595" s="7">
        <v>36.954698999999998</v>
      </c>
      <c r="V595" s="7">
        <v>50</v>
      </c>
      <c r="W595" s="7">
        <v>54.529953999999996</v>
      </c>
      <c r="X595" s="7">
        <v>36.353302999999997</v>
      </c>
      <c r="Y595" s="7">
        <v>50</v>
      </c>
      <c r="Z595" s="7">
        <v>68.197687000000002</v>
      </c>
      <c r="AA595" s="7">
        <v>49.538488000000001</v>
      </c>
      <c r="AB595" s="7">
        <v>33.025658999999997</v>
      </c>
      <c r="AC595" s="7">
        <v>50</v>
      </c>
      <c r="AD595" s="7">
        <v>57.204444000000002</v>
      </c>
      <c r="AE595" s="7">
        <v>38.136296000000002</v>
      </c>
      <c r="AF595" s="7">
        <v>50</v>
      </c>
      <c r="AG595" s="7">
        <v>53.561236999999998</v>
      </c>
      <c r="AH595" s="7">
        <v>66.957029000000006</v>
      </c>
      <c r="AI595" s="7">
        <v>35.707490999999997</v>
      </c>
      <c r="AJ595" s="7">
        <v>50</v>
      </c>
      <c r="AK595" s="7">
        <v>16.53</v>
      </c>
      <c r="AL595" s="7">
        <v>18.649999999999999</v>
      </c>
      <c r="AM595" s="7">
        <v>13.39</v>
      </c>
      <c r="AN595" s="7">
        <v>0.48819899999999999</v>
      </c>
      <c r="AO595" s="7">
        <v>48.819853000000002</v>
      </c>
      <c r="AP595" s="7">
        <v>100</v>
      </c>
      <c r="AQ595" s="7">
        <v>0.50321300000000002</v>
      </c>
      <c r="AR595" s="7">
        <v>50.321350000000002</v>
      </c>
      <c r="AS595" s="7">
        <v>100</v>
      </c>
      <c r="AT595" s="7">
        <v>0.48839500000000002</v>
      </c>
      <c r="AU595" s="7">
        <v>0.48767100000000002</v>
      </c>
      <c r="AV595" s="7">
        <v>48.839452000000001</v>
      </c>
      <c r="AW595" s="7">
        <v>100</v>
      </c>
      <c r="AX595" s="7">
        <v>0.47511900000000001</v>
      </c>
      <c r="AY595" s="7">
        <v>0.57741900000000002</v>
      </c>
      <c r="AZ595" s="7">
        <v>47.511933999999997</v>
      </c>
      <c r="BA595" s="7">
        <v>100</v>
      </c>
      <c r="BB595" s="7">
        <v>0.54988000000000004</v>
      </c>
      <c r="BC595" s="7">
        <v>27.493987000000001</v>
      </c>
      <c r="BD595" s="7">
        <v>50</v>
      </c>
      <c r="BE595" s="7">
        <v>0.38207999999999998</v>
      </c>
      <c r="BF595" s="7">
        <v>19.103988999999999</v>
      </c>
      <c r="BG595" s="7">
        <v>50</v>
      </c>
      <c r="BH595" s="7">
        <v>0</v>
      </c>
      <c r="BI595" s="7">
        <v>0.98031500000000005</v>
      </c>
      <c r="BJ595" s="7">
        <v>0.97508899999999998</v>
      </c>
      <c r="BK595" s="7">
        <v>0.995</v>
      </c>
      <c r="BL595" s="7">
        <v>0.985564</v>
      </c>
      <c r="BM595" s="7">
        <v>0.98220600000000002</v>
      </c>
      <c r="BN595" s="7">
        <v>0.995</v>
      </c>
      <c r="BO595" s="7">
        <v>0.97692299999999999</v>
      </c>
      <c r="BP595" s="7">
        <v>0.97382199999999997</v>
      </c>
      <c r="BQ595" s="7">
        <v>0.98550700000000002</v>
      </c>
      <c r="BR595" s="7">
        <v>0.17716499999999999</v>
      </c>
      <c r="BS595" s="7">
        <v>24.566928999999998</v>
      </c>
      <c r="BT595" s="7">
        <v>50</v>
      </c>
      <c r="BU595" s="7">
        <v>0.218247</v>
      </c>
      <c r="BV595" s="7">
        <v>16.350625999999998</v>
      </c>
      <c r="BW595" s="7">
        <v>50</v>
      </c>
      <c r="BX595" s="4" t="s">
        <v>124</v>
      </c>
      <c r="BY595" s="4" t="s">
        <v>124</v>
      </c>
      <c r="BZ595" s="4" t="s">
        <v>124</v>
      </c>
      <c r="CA595" s="4" t="s">
        <v>124</v>
      </c>
      <c r="CB595" s="4" t="s">
        <v>124</v>
      </c>
      <c r="CC595" s="4" t="s">
        <v>124</v>
      </c>
      <c r="CD595" s="7">
        <v>0.974576</v>
      </c>
      <c r="CE595" s="7">
        <v>50</v>
      </c>
      <c r="CF595" s="7">
        <v>50</v>
      </c>
      <c r="CG595" s="4" t="s">
        <v>124</v>
      </c>
      <c r="CH595" s="4" t="s">
        <v>124</v>
      </c>
      <c r="CI595" s="4" t="s">
        <v>124</v>
      </c>
      <c r="CJ595" s="4" t="s">
        <v>124</v>
      </c>
      <c r="CK595" s="4" t="s">
        <v>124</v>
      </c>
      <c r="CL595" s="4" t="s">
        <v>124</v>
      </c>
      <c r="CM595" s="4" t="s">
        <v>124</v>
      </c>
      <c r="CN595" s="4" t="s">
        <v>124</v>
      </c>
      <c r="CO595" s="4" t="s">
        <v>124</v>
      </c>
      <c r="CP595" s="4" t="s">
        <v>124</v>
      </c>
      <c r="CQ595" s="7">
        <v>0.56969700000000001</v>
      </c>
      <c r="CR595" s="7">
        <v>0.93927899999999998</v>
      </c>
      <c r="CS595" s="7">
        <v>37.979798000000002</v>
      </c>
      <c r="CT595" s="7">
        <v>50</v>
      </c>
      <c r="CU595" s="4" t="s">
        <v>124</v>
      </c>
      <c r="CV595" s="4" t="s">
        <v>124</v>
      </c>
      <c r="CW595" s="4" t="s">
        <v>124</v>
      </c>
      <c r="CX595" s="4" t="s">
        <v>124</v>
      </c>
      <c r="CY595" s="4" t="s">
        <v>124</v>
      </c>
      <c r="CZ595" s="4" t="s">
        <v>124</v>
      </c>
      <c r="DA595" s="7">
        <v>15.314097</v>
      </c>
      <c r="DB595" s="7">
        <v>17.400950000000002</v>
      </c>
      <c r="DC595" s="7">
        <v>16.332519999999999</v>
      </c>
      <c r="DD595" s="4" t="s">
        <v>124</v>
      </c>
      <c r="DE595" s="7">
        <v>1</v>
      </c>
      <c r="DF595" s="6"/>
      <c r="DG595" s="6"/>
      <c r="DH595" s="6"/>
      <c r="DI595" s="6"/>
      <c r="DJ595" s="7">
        <v>0</v>
      </c>
      <c r="DK595" s="7">
        <v>0</v>
      </c>
      <c r="DL595" s="7">
        <v>0</v>
      </c>
      <c r="DM595" s="7">
        <v>0</v>
      </c>
      <c r="DN595" s="7">
        <v>0</v>
      </c>
      <c r="DO595" s="7">
        <v>0</v>
      </c>
      <c r="DP595" s="6"/>
      <c r="DQ595" s="4" t="s">
        <v>125</v>
      </c>
    </row>
    <row r="596" spans="1:121" ht="20" customHeight="1" x14ac:dyDescent="0.15">
      <c r="A596" s="5">
        <v>2018</v>
      </c>
      <c r="B596" s="3" t="s">
        <v>160</v>
      </c>
      <c r="C596" s="4" t="str">
        <f t="shared" si="35"/>
        <v>0830011</v>
      </c>
      <c r="D596" s="4" t="s">
        <v>753</v>
      </c>
      <c r="E596" s="4" t="str">
        <f>"0830211"</f>
        <v>0830211</v>
      </c>
      <c r="F596" s="4" t="s">
        <v>327</v>
      </c>
      <c r="G596" s="4" t="s">
        <v>328</v>
      </c>
      <c r="H596" s="7">
        <v>5</v>
      </c>
      <c r="I596" s="4" t="s">
        <v>335</v>
      </c>
      <c r="J596" s="4" t="s">
        <v>330</v>
      </c>
      <c r="K596" s="7">
        <v>583.71594800000003</v>
      </c>
      <c r="L596" s="7">
        <v>850</v>
      </c>
      <c r="M596" s="7">
        <v>68.672465000000003</v>
      </c>
      <c r="N596" s="7">
        <v>3</v>
      </c>
      <c r="O596" s="7">
        <v>0</v>
      </c>
      <c r="P596" s="7">
        <v>63.220415000000003</v>
      </c>
      <c r="Q596" s="7">
        <v>42.146943</v>
      </c>
      <c r="R596" s="7">
        <v>50</v>
      </c>
      <c r="S596" s="7">
        <v>58.365546000000002</v>
      </c>
      <c r="T596" s="7">
        <v>72.698967999999994</v>
      </c>
      <c r="U596" s="7">
        <v>38.910364000000001</v>
      </c>
      <c r="V596" s="7">
        <v>50</v>
      </c>
      <c r="W596" s="7">
        <v>58.659736000000002</v>
      </c>
      <c r="X596" s="7">
        <v>39.106490999999998</v>
      </c>
      <c r="Y596" s="7">
        <v>50</v>
      </c>
      <c r="Z596" s="7">
        <v>68.251283000000001</v>
      </c>
      <c r="AA596" s="7">
        <v>53.686342000000003</v>
      </c>
      <c r="AB596" s="7">
        <v>35.790894999999999</v>
      </c>
      <c r="AC596" s="7">
        <v>50</v>
      </c>
      <c r="AD596" s="7">
        <v>55.220574999999997</v>
      </c>
      <c r="AE596" s="7">
        <v>36.813716999999997</v>
      </c>
      <c r="AF596" s="7">
        <v>50</v>
      </c>
      <c r="AG596" s="7">
        <v>51.042183999999999</v>
      </c>
      <c r="AH596" s="4" t="s">
        <v>124</v>
      </c>
      <c r="AI596" s="7">
        <v>34.028122000000003</v>
      </c>
      <c r="AJ596" s="7">
        <v>50</v>
      </c>
      <c r="AK596" s="7">
        <v>14.33</v>
      </c>
      <c r="AL596" s="7">
        <v>14.56</v>
      </c>
      <c r="AM596" s="4" t="s">
        <v>124</v>
      </c>
      <c r="AN596" s="7">
        <v>0.64895599999999998</v>
      </c>
      <c r="AO596" s="7">
        <v>64.895598000000007</v>
      </c>
      <c r="AP596" s="7">
        <v>100</v>
      </c>
      <c r="AQ596" s="7">
        <v>0.63358499999999995</v>
      </c>
      <c r="AR596" s="7">
        <v>63.358538000000003</v>
      </c>
      <c r="AS596" s="7">
        <v>100</v>
      </c>
      <c r="AT596" s="7">
        <v>0.64107000000000003</v>
      </c>
      <c r="AU596" s="7">
        <v>0.66331899999999999</v>
      </c>
      <c r="AV596" s="7">
        <v>64.107031000000006</v>
      </c>
      <c r="AW596" s="7">
        <v>100</v>
      </c>
      <c r="AX596" s="7">
        <v>0.52698999999999996</v>
      </c>
      <c r="AY596" s="7">
        <v>0.82393400000000006</v>
      </c>
      <c r="AZ596" s="7">
        <v>52.698999000000001</v>
      </c>
      <c r="BA596" s="7">
        <v>100</v>
      </c>
      <c r="BB596" s="4" t="s">
        <v>124</v>
      </c>
      <c r="BC596" s="4" t="s">
        <v>124</v>
      </c>
      <c r="BD596" s="4" t="s">
        <v>124</v>
      </c>
      <c r="BE596" s="4" t="s">
        <v>124</v>
      </c>
      <c r="BF596" s="4" t="s">
        <v>124</v>
      </c>
      <c r="BG596" s="4" t="s">
        <v>124</v>
      </c>
      <c r="BH596" s="7">
        <v>0</v>
      </c>
      <c r="BI596" s="7">
        <v>1</v>
      </c>
      <c r="BJ596" s="7">
        <v>1</v>
      </c>
      <c r="BK596" s="7">
        <v>1</v>
      </c>
      <c r="BL596" s="7">
        <v>1</v>
      </c>
      <c r="BM596" s="7">
        <v>1</v>
      </c>
      <c r="BN596" s="7">
        <v>1</v>
      </c>
      <c r="BO596" s="7">
        <v>1</v>
      </c>
      <c r="BP596" s="7">
        <v>1</v>
      </c>
      <c r="BQ596" s="4" t="s">
        <v>124</v>
      </c>
      <c r="BR596" s="7">
        <v>8.4806000000000006E-2</v>
      </c>
      <c r="BS596" s="7">
        <v>43.038868999999998</v>
      </c>
      <c r="BT596" s="7">
        <v>50</v>
      </c>
      <c r="BU596" s="7">
        <v>0.104046</v>
      </c>
      <c r="BV596" s="7">
        <v>39.190750999999999</v>
      </c>
      <c r="BW596" s="7">
        <v>50</v>
      </c>
      <c r="BX596" s="4" t="s">
        <v>124</v>
      </c>
      <c r="BY596" s="4" t="s">
        <v>124</v>
      </c>
      <c r="BZ596" s="4" t="s">
        <v>124</v>
      </c>
      <c r="CA596" s="4" t="s">
        <v>124</v>
      </c>
      <c r="CB596" s="4" t="s">
        <v>124</v>
      </c>
      <c r="CC596" s="4" t="s">
        <v>124</v>
      </c>
      <c r="CD596" s="4" t="s">
        <v>124</v>
      </c>
      <c r="CE596" s="4" t="s">
        <v>124</v>
      </c>
      <c r="CF596" s="4" t="s">
        <v>124</v>
      </c>
      <c r="CG596" s="4" t="s">
        <v>124</v>
      </c>
      <c r="CH596" s="4" t="s">
        <v>124</v>
      </c>
      <c r="CI596" s="4" t="s">
        <v>124</v>
      </c>
      <c r="CJ596" s="4" t="s">
        <v>124</v>
      </c>
      <c r="CK596" s="4" t="s">
        <v>124</v>
      </c>
      <c r="CL596" s="4" t="s">
        <v>124</v>
      </c>
      <c r="CM596" s="4" t="s">
        <v>124</v>
      </c>
      <c r="CN596" s="4" t="s">
        <v>124</v>
      </c>
      <c r="CO596" s="4" t="s">
        <v>124</v>
      </c>
      <c r="CP596" s="4" t="s">
        <v>124</v>
      </c>
      <c r="CQ596" s="7">
        <v>0.44444400000000001</v>
      </c>
      <c r="CR596" s="7">
        <v>0.97826100000000005</v>
      </c>
      <c r="CS596" s="7">
        <v>29.629629999999999</v>
      </c>
      <c r="CT596" s="7">
        <v>50</v>
      </c>
      <c r="CU596" s="4" t="s">
        <v>124</v>
      </c>
      <c r="CV596" s="4" t="s">
        <v>124</v>
      </c>
      <c r="CW596" s="4" t="s">
        <v>124</v>
      </c>
      <c r="CX596" s="4" t="s">
        <v>124</v>
      </c>
      <c r="CY596" s="4" t="s">
        <v>124</v>
      </c>
      <c r="CZ596" s="4" t="s">
        <v>124</v>
      </c>
      <c r="DA596" s="7">
        <v>15.314097</v>
      </c>
      <c r="DB596" s="7">
        <v>17.400950000000002</v>
      </c>
      <c r="DC596" s="7">
        <v>16.332519999999999</v>
      </c>
      <c r="DD596" s="4" t="s">
        <v>124</v>
      </c>
      <c r="DE596" s="7">
        <v>0</v>
      </c>
      <c r="DF596" s="6"/>
      <c r="DG596" s="6"/>
      <c r="DH596" s="6"/>
      <c r="DI596" s="6"/>
      <c r="DJ596" s="7">
        <v>0</v>
      </c>
      <c r="DK596" s="7">
        <v>0</v>
      </c>
      <c r="DL596" s="7">
        <v>0</v>
      </c>
      <c r="DM596" s="7">
        <v>0</v>
      </c>
      <c r="DN596" s="7">
        <v>0</v>
      </c>
      <c r="DO596" s="7">
        <v>0</v>
      </c>
      <c r="DP596" s="6"/>
      <c r="DQ596" s="4" t="s">
        <v>125</v>
      </c>
    </row>
    <row r="597" spans="1:121" ht="20" customHeight="1" x14ac:dyDescent="0.15">
      <c r="A597" s="5">
        <v>2018</v>
      </c>
      <c r="B597" s="3" t="s">
        <v>160</v>
      </c>
      <c r="C597" s="4" t="str">
        <f t="shared" ref="C597:C606" si="220">"0830011"</f>
        <v>0830011</v>
      </c>
      <c r="D597" s="4" t="s">
        <v>754</v>
      </c>
      <c r="E597" s="4" t="str">
        <f>"0830511"</f>
        <v>0830511</v>
      </c>
      <c r="F597" s="4" t="s">
        <v>327</v>
      </c>
      <c r="G597" s="4" t="s">
        <v>338</v>
      </c>
      <c r="H597" s="7">
        <v>5</v>
      </c>
      <c r="I597" s="4" t="s">
        <v>335</v>
      </c>
      <c r="J597" s="4" t="s">
        <v>330</v>
      </c>
      <c r="K597" s="7">
        <v>589.666381</v>
      </c>
      <c r="L597" s="7">
        <v>850</v>
      </c>
      <c r="M597" s="7">
        <v>69.372515000000007</v>
      </c>
      <c r="N597" s="7">
        <v>3</v>
      </c>
      <c r="O597" s="7">
        <v>0</v>
      </c>
      <c r="P597" s="7">
        <v>70.142152999999993</v>
      </c>
      <c r="Q597" s="7">
        <v>46.761436000000003</v>
      </c>
      <c r="R597" s="7">
        <v>50</v>
      </c>
      <c r="S597" s="7">
        <v>63.351007000000003</v>
      </c>
      <c r="T597" s="7">
        <v>75</v>
      </c>
      <c r="U597" s="7">
        <v>42.234005000000003</v>
      </c>
      <c r="V597" s="7">
        <v>50</v>
      </c>
      <c r="W597" s="7">
        <v>65.363698999999997</v>
      </c>
      <c r="X597" s="7">
        <v>43.575799000000004</v>
      </c>
      <c r="Y597" s="7">
        <v>50</v>
      </c>
      <c r="Z597" s="7">
        <v>74.461695000000006</v>
      </c>
      <c r="AA597" s="7">
        <v>58.620477999999999</v>
      </c>
      <c r="AB597" s="7">
        <v>39.080319000000003</v>
      </c>
      <c r="AC597" s="7">
        <v>50</v>
      </c>
      <c r="AD597" s="7">
        <v>65.417051000000001</v>
      </c>
      <c r="AE597" s="7">
        <v>43.611367000000001</v>
      </c>
      <c r="AF597" s="7">
        <v>50</v>
      </c>
      <c r="AG597" s="7">
        <v>61.398542999999997</v>
      </c>
      <c r="AH597" s="7">
        <v>70.400000000000006</v>
      </c>
      <c r="AI597" s="7">
        <v>40.932361999999998</v>
      </c>
      <c r="AJ597" s="7">
        <v>50</v>
      </c>
      <c r="AK597" s="7">
        <v>11.64</v>
      </c>
      <c r="AL597" s="7">
        <v>15.84</v>
      </c>
      <c r="AM597" s="7">
        <v>9</v>
      </c>
      <c r="AN597" s="7">
        <v>0.70992500000000003</v>
      </c>
      <c r="AO597" s="7">
        <v>70.992509999999996</v>
      </c>
      <c r="AP597" s="7">
        <v>100</v>
      </c>
      <c r="AQ597" s="7">
        <v>0.583565</v>
      </c>
      <c r="AR597" s="7">
        <v>58.356496999999997</v>
      </c>
      <c r="AS597" s="7">
        <v>100</v>
      </c>
      <c r="AT597" s="7">
        <v>0.67018800000000001</v>
      </c>
      <c r="AU597" s="7">
        <v>0.76385400000000003</v>
      </c>
      <c r="AV597" s="7">
        <v>67.018827000000002</v>
      </c>
      <c r="AW597" s="7">
        <v>100</v>
      </c>
      <c r="AX597" s="7">
        <v>0.54430800000000001</v>
      </c>
      <c r="AY597" s="7">
        <v>0.63684200000000002</v>
      </c>
      <c r="AZ597" s="7">
        <v>54.430809000000004</v>
      </c>
      <c r="BA597" s="7">
        <v>100</v>
      </c>
      <c r="BB597" s="4" t="s">
        <v>124</v>
      </c>
      <c r="BC597" s="4" t="s">
        <v>124</v>
      </c>
      <c r="BD597" s="4" t="s">
        <v>124</v>
      </c>
      <c r="BE597" s="4" t="s">
        <v>124</v>
      </c>
      <c r="BF597" s="4" t="s">
        <v>124</v>
      </c>
      <c r="BG597" s="4" t="s">
        <v>124</v>
      </c>
      <c r="BH597" s="7">
        <v>0</v>
      </c>
      <c r="BI597" s="7">
        <v>1</v>
      </c>
      <c r="BJ597" s="7">
        <v>1</v>
      </c>
      <c r="BK597" s="7">
        <v>1</v>
      </c>
      <c r="BL597" s="7">
        <v>1</v>
      </c>
      <c r="BM597" s="7">
        <v>1</v>
      </c>
      <c r="BN597" s="7">
        <v>1</v>
      </c>
      <c r="BO597" s="7">
        <v>1</v>
      </c>
      <c r="BP597" s="7">
        <v>1</v>
      </c>
      <c r="BQ597" s="7">
        <v>1</v>
      </c>
      <c r="BR597" s="7">
        <v>9.0032000000000001E-2</v>
      </c>
      <c r="BS597" s="7">
        <v>41.993569000000001</v>
      </c>
      <c r="BT597" s="7">
        <v>50</v>
      </c>
      <c r="BU597" s="7">
        <v>0.13953499999999999</v>
      </c>
      <c r="BV597" s="7">
        <v>32.093023000000002</v>
      </c>
      <c r="BW597" s="7">
        <v>50</v>
      </c>
      <c r="BX597" s="4" t="s">
        <v>124</v>
      </c>
      <c r="BY597" s="4" t="s">
        <v>124</v>
      </c>
      <c r="BZ597" s="4" t="s">
        <v>124</v>
      </c>
      <c r="CA597" s="4" t="s">
        <v>124</v>
      </c>
      <c r="CB597" s="4" t="s">
        <v>124</v>
      </c>
      <c r="CC597" s="4" t="s">
        <v>124</v>
      </c>
      <c r="CD597" s="4" t="s">
        <v>124</v>
      </c>
      <c r="CE597" s="4" t="s">
        <v>124</v>
      </c>
      <c r="CF597" s="4" t="s">
        <v>124</v>
      </c>
      <c r="CG597" s="4" t="s">
        <v>124</v>
      </c>
      <c r="CH597" s="4" t="s">
        <v>124</v>
      </c>
      <c r="CI597" s="4" t="s">
        <v>124</v>
      </c>
      <c r="CJ597" s="4" t="s">
        <v>124</v>
      </c>
      <c r="CK597" s="4" t="s">
        <v>124</v>
      </c>
      <c r="CL597" s="4" t="s">
        <v>124</v>
      </c>
      <c r="CM597" s="4" t="s">
        <v>124</v>
      </c>
      <c r="CN597" s="4" t="s">
        <v>124</v>
      </c>
      <c r="CO597" s="4" t="s">
        <v>124</v>
      </c>
      <c r="CP597" s="4" t="s">
        <v>124</v>
      </c>
      <c r="CQ597" s="7">
        <v>0.51515200000000005</v>
      </c>
      <c r="CR597" s="7">
        <v>0.6875</v>
      </c>
      <c r="CS597" s="7">
        <v>8.5858589999999992</v>
      </c>
      <c r="CT597" s="7">
        <v>50</v>
      </c>
      <c r="CU597" s="4" t="s">
        <v>124</v>
      </c>
      <c r="CV597" s="4" t="s">
        <v>124</v>
      </c>
      <c r="CW597" s="4" t="s">
        <v>124</v>
      </c>
      <c r="CX597" s="4" t="s">
        <v>124</v>
      </c>
      <c r="CY597" s="4" t="s">
        <v>124</v>
      </c>
      <c r="CZ597" s="4" t="s">
        <v>124</v>
      </c>
      <c r="DA597" s="7">
        <v>15.314097</v>
      </c>
      <c r="DB597" s="7">
        <v>17.400950000000002</v>
      </c>
      <c r="DC597" s="7">
        <v>16.332519999999999</v>
      </c>
      <c r="DD597" s="4" t="s">
        <v>124</v>
      </c>
      <c r="DE597" s="7">
        <v>0</v>
      </c>
      <c r="DF597" s="6"/>
      <c r="DG597" s="6"/>
      <c r="DH597" s="6"/>
      <c r="DI597" s="6"/>
      <c r="DJ597" s="7">
        <v>0</v>
      </c>
      <c r="DK597" s="7">
        <v>0</v>
      </c>
      <c r="DL597" s="7">
        <v>0</v>
      </c>
      <c r="DM597" s="7">
        <v>0</v>
      </c>
      <c r="DN597" s="7">
        <v>0</v>
      </c>
      <c r="DO597" s="7">
        <v>0</v>
      </c>
      <c r="DP597" s="6"/>
      <c r="DQ597" s="4" t="s">
        <v>125</v>
      </c>
    </row>
    <row r="598" spans="1:121" ht="20" customHeight="1" x14ac:dyDescent="0.15">
      <c r="A598" s="5">
        <v>2018</v>
      </c>
      <c r="B598" s="3" t="s">
        <v>160</v>
      </c>
      <c r="C598" s="4" t="str">
        <f>"0830011"</f>
        <v>0830011</v>
      </c>
      <c r="D598" s="4" t="s">
        <v>755</v>
      </c>
      <c r="E598" s="4" t="str">
        <f>"0831511"</f>
        <v>0831511</v>
      </c>
      <c r="F598" s="4" t="s">
        <v>327</v>
      </c>
      <c r="G598" s="7">
        <v>6</v>
      </c>
      <c r="H598" s="7">
        <v>6</v>
      </c>
      <c r="I598" s="6"/>
      <c r="J598" s="4" t="s">
        <v>330</v>
      </c>
      <c r="K598" s="7">
        <v>465.055249</v>
      </c>
      <c r="L598" s="7">
        <v>750</v>
      </c>
      <c r="M598" s="7">
        <v>62.007365999999998</v>
      </c>
      <c r="N598" s="7">
        <v>3</v>
      </c>
      <c r="O598" s="7">
        <v>0</v>
      </c>
      <c r="P598" s="7">
        <v>69.084322999999998</v>
      </c>
      <c r="Q598" s="7">
        <v>46.056215000000002</v>
      </c>
      <c r="R598" s="7">
        <v>50</v>
      </c>
      <c r="S598" s="7">
        <v>62.805455000000002</v>
      </c>
      <c r="T598" s="7">
        <v>75</v>
      </c>
      <c r="U598" s="7">
        <v>41.870303999999997</v>
      </c>
      <c r="V598" s="7">
        <v>50</v>
      </c>
      <c r="W598" s="7">
        <v>59.434812999999998</v>
      </c>
      <c r="X598" s="7">
        <v>39.623207999999998</v>
      </c>
      <c r="Y598" s="7">
        <v>50</v>
      </c>
      <c r="Z598" s="7">
        <v>66.816023000000001</v>
      </c>
      <c r="AA598" s="7">
        <v>53.043765</v>
      </c>
      <c r="AB598" s="7">
        <v>35.36251</v>
      </c>
      <c r="AC598" s="7">
        <v>50</v>
      </c>
      <c r="AD598" s="4" t="s">
        <v>124</v>
      </c>
      <c r="AE598" s="4" t="s">
        <v>124</v>
      </c>
      <c r="AF598" s="4" t="s">
        <v>124</v>
      </c>
      <c r="AG598" s="4" t="s">
        <v>124</v>
      </c>
      <c r="AH598" s="4" t="s">
        <v>124</v>
      </c>
      <c r="AI598" s="4" t="s">
        <v>124</v>
      </c>
      <c r="AJ598" s="4" t="s">
        <v>124</v>
      </c>
      <c r="AK598" s="7">
        <v>12.19</v>
      </c>
      <c r="AL598" s="7">
        <v>13.77</v>
      </c>
      <c r="AM598" s="4" t="s">
        <v>124</v>
      </c>
      <c r="AN598" s="7">
        <v>0.57994100000000004</v>
      </c>
      <c r="AO598" s="7">
        <v>57.994081000000001</v>
      </c>
      <c r="AP598" s="7">
        <v>100</v>
      </c>
      <c r="AQ598" s="7">
        <v>0.43300699999999998</v>
      </c>
      <c r="AR598" s="7">
        <v>43.300677999999998</v>
      </c>
      <c r="AS598" s="7">
        <v>100</v>
      </c>
      <c r="AT598" s="7">
        <v>0.564778</v>
      </c>
      <c r="AU598" s="7">
        <v>0.59638500000000005</v>
      </c>
      <c r="AV598" s="7">
        <v>56.477767</v>
      </c>
      <c r="AW598" s="7">
        <v>100</v>
      </c>
      <c r="AX598" s="7">
        <v>0.42798599999999998</v>
      </c>
      <c r="AY598" s="7">
        <v>0.43841599999999997</v>
      </c>
      <c r="AZ598" s="7">
        <v>42.798606999999997</v>
      </c>
      <c r="BA598" s="7">
        <v>100</v>
      </c>
      <c r="BB598" s="4" t="s">
        <v>124</v>
      </c>
      <c r="BC598" s="4" t="s">
        <v>124</v>
      </c>
      <c r="BD598" s="4" t="s">
        <v>124</v>
      </c>
      <c r="BE598" s="4" t="s">
        <v>124</v>
      </c>
      <c r="BF598" s="4" t="s">
        <v>124</v>
      </c>
      <c r="BG598" s="4" t="s">
        <v>124</v>
      </c>
      <c r="BH598" s="7">
        <v>0</v>
      </c>
      <c r="BI598" s="7">
        <v>1</v>
      </c>
      <c r="BJ598" s="7">
        <v>1</v>
      </c>
      <c r="BK598" s="7">
        <v>1</v>
      </c>
      <c r="BL598" s="7">
        <v>1</v>
      </c>
      <c r="BM598" s="7">
        <v>1</v>
      </c>
      <c r="BN598" s="7">
        <v>1</v>
      </c>
      <c r="BO598" s="4" t="s">
        <v>124</v>
      </c>
      <c r="BP598" s="4" t="s">
        <v>124</v>
      </c>
      <c r="BQ598" s="4" t="s">
        <v>124</v>
      </c>
      <c r="BR598" s="7">
        <v>9.4636999999999999E-2</v>
      </c>
      <c r="BS598" s="7">
        <v>41.072555000000001</v>
      </c>
      <c r="BT598" s="7">
        <v>50</v>
      </c>
      <c r="BU598" s="7">
        <v>0.149701</v>
      </c>
      <c r="BV598" s="7">
        <v>30.05988</v>
      </c>
      <c r="BW598" s="7">
        <v>50</v>
      </c>
      <c r="BX598" s="4" t="s">
        <v>124</v>
      </c>
      <c r="BY598" s="4" t="s">
        <v>124</v>
      </c>
      <c r="BZ598" s="4" t="s">
        <v>124</v>
      </c>
      <c r="CA598" s="4" t="s">
        <v>124</v>
      </c>
      <c r="CB598" s="4" t="s">
        <v>124</v>
      </c>
      <c r="CC598" s="4" t="s">
        <v>124</v>
      </c>
      <c r="CD598" s="4" t="s">
        <v>124</v>
      </c>
      <c r="CE598" s="4" t="s">
        <v>124</v>
      </c>
      <c r="CF598" s="4" t="s">
        <v>124</v>
      </c>
      <c r="CG598" s="4" t="s">
        <v>124</v>
      </c>
      <c r="CH598" s="4" t="s">
        <v>124</v>
      </c>
      <c r="CI598" s="4" t="s">
        <v>124</v>
      </c>
      <c r="CJ598" s="4" t="s">
        <v>124</v>
      </c>
      <c r="CK598" s="4" t="s">
        <v>124</v>
      </c>
      <c r="CL598" s="4" t="s">
        <v>124</v>
      </c>
      <c r="CM598" s="4" t="s">
        <v>124</v>
      </c>
      <c r="CN598" s="4" t="s">
        <v>124</v>
      </c>
      <c r="CO598" s="4" t="s">
        <v>124</v>
      </c>
      <c r="CP598" s="4" t="s">
        <v>124</v>
      </c>
      <c r="CQ598" s="7">
        <v>0.456592</v>
      </c>
      <c r="CR598" s="7">
        <v>0.98107299999999997</v>
      </c>
      <c r="CS598" s="7">
        <v>30.439443000000001</v>
      </c>
      <c r="CT598" s="7">
        <v>50</v>
      </c>
      <c r="CU598" s="4" t="s">
        <v>124</v>
      </c>
      <c r="CV598" s="4" t="s">
        <v>124</v>
      </c>
      <c r="CW598" s="4" t="s">
        <v>124</v>
      </c>
      <c r="CX598" s="4" t="s">
        <v>124</v>
      </c>
      <c r="CY598" s="4" t="s">
        <v>124</v>
      </c>
      <c r="CZ598" s="4" t="s">
        <v>124</v>
      </c>
      <c r="DA598" s="7">
        <v>15.314097</v>
      </c>
      <c r="DB598" s="7">
        <v>17.400950000000002</v>
      </c>
      <c r="DC598" s="7">
        <v>16.332519999999999</v>
      </c>
      <c r="DD598" s="4" t="s">
        <v>124</v>
      </c>
      <c r="DE598" s="7">
        <v>0</v>
      </c>
      <c r="DF598" s="6"/>
      <c r="DG598" s="6"/>
      <c r="DH598" s="6"/>
      <c r="DI598" s="6"/>
      <c r="DJ598" s="7">
        <v>0</v>
      </c>
      <c r="DK598" s="7">
        <v>0</v>
      </c>
      <c r="DL598" s="7">
        <v>0</v>
      </c>
      <c r="DM598" s="7">
        <v>0</v>
      </c>
      <c r="DN598" s="7">
        <v>0</v>
      </c>
      <c r="DO598" s="7">
        <v>0</v>
      </c>
      <c r="DP598" s="6"/>
      <c r="DQ598" s="4" t="s">
        <v>125</v>
      </c>
    </row>
    <row r="599" spans="1:121" ht="20" customHeight="1" x14ac:dyDescent="0.15">
      <c r="A599" s="5">
        <v>2018</v>
      </c>
      <c r="B599" s="3" t="s">
        <v>160</v>
      </c>
      <c r="C599" s="4" t="str">
        <f t="shared" si="220"/>
        <v>0830011</v>
      </c>
      <c r="D599" s="4" t="s">
        <v>756</v>
      </c>
      <c r="E599" s="4" t="str">
        <f>"0831311"</f>
        <v>0831311</v>
      </c>
      <c r="F599" s="4" t="s">
        <v>327</v>
      </c>
      <c r="G599" s="4" t="s">
        <v>338</v>
      </c>
      <c r="H599" s="7">
        <v>5</v>
      </c>
      <c r="I599" s="6"/>
      <c r="J599" s="4" t="s">
        <v>330</v>
      </c>
      <c r="K599" s="7">
        <v>665.64696100000003</v>
      </c>
      <c r="L599" s="7">
        <v>850</v>
      </c>
      <c r="M599" s="7">
        <v>78.311407000000003</v>
      </c>
      <c r="N599" s="7">
        <v>2</v>
      </c>
      <c r="O599" s="7">
        <v>0</v>
      </c>
      <c r="P599" s="7">
        <v>72.144509999999997</v>
      </c>
      <c r="Q599" s="7">
        <v>48.096339999999998</v>
      </c>
      <c r="R599" s="7">
        <v>50</v>
      </c>
      <c r="S599" s="7">
        <v>67.956159999999997</v>
      </c>
      <c r="T599" s="7">
        <v>75</v>
      </c>
      <c r="U599" s="7">
        <v>45.304105999999997</v>
      </c>
      <c r="V599" s="7">
        <v>50</v>
      </c>
      <c r="W599" s="7">
        <v>70.152788999999999</v>
      </c>
      <c r="X599" s="7">
        <v>46.768526000000001</v>
      </c>
      <c r="Y599" s="7">
        <v>50</v>
      </c>
      <c r="Z599" s="7">
        <v>72.360884999999996</v>
      </c>
      <c r="AA599" s="7">
        <v>67.503074999999995</v>
      </c>
      <c r="AB599" s="7">
        <v>45.002049999999997</v>
      </c>
      <c r="AC599" s="7">
        <v>50</v>
      </c>
      <c r="AD599" s="7">
        <v>63.213217999999998</v>
      </c>
      <c r="AE599" s="7">
        <v>42.142144999999999</v>
      </c>
      <c r="AF599" s="7">
        <v>50</v>
      </c>
      <c r="AG599" s="7">
        <v>62.06129</v>
      </c>
      <c r="AH599" s="7">
        <v>64.310292000000004</v>
      </c>
      <c r="AI599" s="7">
        <v>41.374194000000003</v>
      </c>
      <c r="AJ599" s="7">
        <v>50</v>
      </c>
      <c r="AK599" s="7">
        <v>7.04</v>
      </c>
      <c r="AL599" s="7">
        <v>4.8499999999999996</v>
      </c>
      <c r="AM599" s="7">
        <v>2.2400000000000002</v>
      </c>
      <c r="AN599" s="7">
        <v>0.76487300000000003</v>
      </c>
      <c r="AO599" s="7">
        <v>76.487307999999999</v>
      </c>
      <c r="AP599" s="7">
        <v>100</v>
      </c>
      <c r="AQ599" s="7">
        <v>0.634768</v>
      </c>
      <c r="AR599" s="7">
        <v>63.476790000000001</v>
      </c>
      <c r="AS599" s="7">
        <v>100</v>
      </c>
      <c r="AT599" s="7">
        <v>0.82838000000000001</v>
      </c>
      <c r="AU599" s="7">
        <v>0.71724299999999996</v>
      </c>
      <c r="AV599" s="7">
        <v>82.837951000000004</v>
      </c>
      <c r="AW599" s="7">
        <v>100</v>
      </c>
      <c r="AX599" s="7">
        <v>0.605989</v>
      </c>
      <c r="AY599" s="7">
        <v>0.65635200000000005</v>
      </c>
      <c r="AZ599" s="7">
        <v>60.598860999999999</v>
      </c>
      <c r="BA599" s="7">
        <v>100</v>
      </c>
      <c r="BB599" s="4" t="s">
        <v>124</v>
      </c>
      <c r="BC599" s="4" t="s">
        <v>124</v>
      </c>
      <c r="BD599" s="4" t="s">
        <v>124</v>
      </c>
      <c r="BE599" s="4" t="s">
        <v>124</v>
      </c>
      <c r="BF599" s="4" t="s">
        <v>124</v>
      </c>
      <c r="BG599" s="4" t="s">
        <v>124</v>
      </c>
      <c r="BH599" s="7">
        <v>0</v>
      </c>
      <c r="BI599" s="7">
        <v>1</v>
      </c>
      <c r="BJ599" s="7">
        <v>1</v>
      </c>
      <c r="BK599" s="7">
        <v>1</v>
      </c>
      <c r="BL599" s="7">
        <v>1</v>
      </c>
      <c r="BM599" s="7">
        <v>1</v>
      </c>
      <c r="BN599" s="7">
        <v>1</v>
      </c>
      <c r="BO599" s="7">
        <v>1</v>
      </c>
      <c r="BP599" s="7">
        <v>1</v>
      </c>
      <c r="BQ599" s="7">
        <v>1</v>
      </c>
      <c r="BR599" s="7">
        <v>6.1856000000000001E-2</v>
      </c>
      <c r="BS599" s="7">
        <v>47.628866000000002</v>
      </c>
      <c r="BT599" s="7">
        <v>50</v>
      </c>
      <c r="BU599" s="7">
        <v>0.08</v>
      </c>
      <c r="BV599" s="7">
        <v>44</v>
      </c>
      <c r="BW599" s="7">
        <v>50</v>
      </c>
      <c r="BX599" s="4" t="s">
        <v>124</v>
      </c>
      <c r="BY599" s="4" t="s">
        <v>124</v>
      </c>
      <c r="BZ599" s="4" t="s">
        <v>124</v>
      </c>
      <c r="CA599" s="4" t="s">
        <v>124</v>
      </c>
      <c r="CB599" s="4" t="s">
        <v>124</v>
      </c>
      <c r="CC599" s="4" t="s">
        <v>124</v>
      </c>
      <c r="CD599" s="4" t="s">
        <v>124</v>
      </c>
      <c r="CE599" s="4" t="s">
        <v>124</v>
      </c>
      <c r="CF599" s="4" t="s">
        <v>124</v>
      </c>
      <c r="CG599" s="4" t="s">
        <v>124</v>
      </c>
      <c r="CH599" s="4" t="s">
        <v>124</v>
      </c>
      <c r="CI599" s="4" t="s">
        <v>124</v>
      </c>
      <c r="CJ599" s="4" t="s">
        <v>124</v>
      </c>
      <c r="CK599" s="4" t="s">
        <v>124</v>
      </c>
      <c r="CL599" s="4" t="s">
        <v>124</v>
      </c>
      <c r="CM599" s="4" t="s">
        <v>124</v>
      </c>
      <c r="CN599" s="4" t="s">
        <v>124</v>
      </c>
      <c r="CO599" s="4" t="s">
        <v>124</v>
      </c>
      <c r="CP599" s="4" t="s">
        <v>124</v>
      </c>
      <c r="CQ599" s="7">
        <v>0.65789500000000001</v>
      </c>
      <c r="CR599" s="7">
        <v>0.82608700000000002</v>
      </c>
      <c r="CS599" s="7">
        <v>21.929825000000001</v>
      </c>
      <c r="CT599" s="7">
        <v>50</v>
      </c>
      <c r="CU599" s="4" t="s">
        <v>124</v>
      </c>
      <c r="CV599" s="4" t="s">
        <v>124</v>
      </c>
      <c r="CW599" s="4" t="s">
        <v>124</v>
      </c>
      <c r="CX599" s="4" t="s">
        <v>124</v>
      </c>
      <c r="CY599" s="4" t="s">
        <v>124</v>
      </c>
      <c r="CZ599" s="4" t="s">
        <v>124</v>
      </c>
      <c r="DA599" s="7">
        <v>15.314097</v>
      </c>
      <c r="DB599" s="7">
        <v>17.400950000000002</v>
      </c>
      <c r="DC599" s="7">
        <v>16.332519999999999</v>
      </c>
      <c r="DD599" s="4" t="s">
        <v>124</v>
      </c>
      <c r="DE599" s="7">
        <v>0</v>
      </c>
      <c r="DF599" s="6"/>
      <c r="DG599" s="6"/>
      <c r="DH599" s="4" t="s">
        <v>331</v>
      </c>
      <c r="DI599" s="4" t="s">
        <v>523</v>
      </c>
      <c r="DJ599" s="7">
        <v>0</v>
      </c>
      <c r="DK599" s="7">
        <v>0</v>
      </c>
      <c r="DL599" s="7">
        <v>0</v>
      </c>
      <c r="DM599" s="7">
        <v>1</v>
      </c>
      <c r="DN599" s="7">
        <v>0</v>
      </c>
      <c r="DO599" s="7">
        <v>0</v>
      </c>
      <c r="DP599" s="6"/>
      <c r="DQ599" s="4" t="s">
        <v>125</v>
      </c>
    </row>
    <row r="600" spans="1:121" ht="20" customHeight="1" x14ac:dyDescent="0.15">
      <c r="A600" s="5">
        <v>2018</v>
      </c>
      <c r="B600" s="3" t="s">
        <v>160</v>
      </c>
      <c r="C600" s="4" t="str">
        <f t="shared" si="220"/>
        <v>0830011</v>
      </c>
      <c r="D600" s="4" t="s">
        <v>757</v>
      </c>
      <c r="E600" s="4" t="str">
        <f>"0830911"</f>
        <v>0830911</v>
      </c>
      <c r="F600" s="4" t="s">
        <v>327</v>
      </c>
      <c r="G600" s="4" t="s">
        <v>338</v>
      </c>
      <c r="H600" s="7">
        <v>5</v>
      </c>
      <c r="I600" s="4" t="s">
        <v>335</v>
      </c>
      <c r="J600" s="4" t="s">
        <v>330</v>
      </c>
      <c r="K600" s="7">
        <v>650.50717299999997</v>
      </c>
      <c r="L600" s="7">
        <v>950</v>
      </c>
      <c r="M600" s="7">
        <v>68.474439000000004</v>
      </c>
      <c r="N600" s="7">
        <v>3</v>
      </c>
      <c r="O600" s="7">
        <v>1</v>
      </c>
      <c r="P600" s="7">
        <v>67.723901999999995</v>
      </c>
      <c r="Q600" s="7">
        <v>45.149267999999999</v>
      </c>
      <c r="R600" s="7">
        <v>50</v>
      </c>
      <c r="S600" s="7">
        <v>58.227203000000003</v>
      </c>
      <c r="T600" s="7">
        <v>75</v>
      </c>
      <c r="U600" s="7">
        <v>38.818134999999998</v>
      </c>
      <c r="V600" s="7">
        <v>50</v>
      </c>
      <c r="W600" s="7">
        <v>66.983834000000002</v>
      </c>
      <c r="X600" s="7">
        <v>44.655889999999999</v>
      </c>
      <c r="Y600" s="7">
        <v>50</v>
      </c>
      <c r="Z600" s="7">
        <v>75</v>
      </c>
      <c r="AA600" s="7">
        <v>57.705835</v>
      </c>
      <c r="AB600" s="7">
        <v>38.470556999999999</v>
      </c>
      <c r="AC600" s="7">
        <v>50</v>
      </c>
      <c r="AD600" s="7">
        <v>66.340221999999997</v>
      </c>
      <c r="AE600" s="7">
        <v>44.226815000000002</v>
      </c>
      <c r="AF600" s="7">
        <v>50</v>
      </c>
      <c r="AG600" s="7">
        <v>52.981368000000003</v>
      </c>
      <c r="AH600" s="4" t="s">
        <v>124</v>
      </c>
      <c r="AI600" s="7">
        <v>35.320912</v>
      </c>
      <c r="AJ600" s="7">
        <v>50</v>
      </c>
      <c r="AK600" s="7">
        <v>16.77</v>
      </c>
      <c r="AL600" s="7">
        <v>17.29</v>
      </c>
      <c r="AM600" s="4" t="s">
        <v>124</v>
      </c>
      <c r="AN600" s="7">
        <v>0.54029499999999997</v>
      </c>
      <c r="AO600" s="7">
        <v>54.029451000000002</v>
      </c>
      <c r="AP600" s="7">
        <v>100</v>
      </c>
      <c r="AQ600" s="7">
        <v>0.60520700000000005</v>
      </c>
      <c r="AR600" s="7">
        <v>60.520698000000003</v>
      </c>
      <c r="AS600" s="7">
        <v>100</v>
      </c>
      <c r="AT600" s="7">
        <v>0.38381300000000002</v>
      </c>
      <c r="AU600" s="7">
        <v>0.78479600000000005</v>
      </c>
      <c r="AV600" s="7">
        <v>38.381323999999999</v>
      </c>
      <c r="AW600" s="7">
        <v>100</v>
      </c>
      <c r="AX600" s="7">
        <v>0.51245099999999999</v>
      </c>
      <c r="AY600" s="7">
        <v>0.74724000000000002</v>
      </c>
      <c r="AZ600" s="7">
        <v>51.245088000000003</v>
      </c>
      <c r="BA600" s="7">
        <v>100</v>
      </c>
      <c r="BB600" s="7">
        <v>0.89940500000000001</v>
      </c>
      <c r="BC600" s="7">
        <v>44.970269999999999</v>
      </c>
      <c r="BD600" s="7">
        <v>50</v>
      </c>
      <c r="BE600" s="7">
        <v>0.70860199999999995</v>
      </c>
      <c r="BF600" s="7">
        <v>35.430114000000003</v>
      </c>
      <c r="BG600" s="7">
        <v>50</v>
      </c>
      <c r="BH600" s="7">
        <v>0</v>
      </c>
      <c r="BI600" s="7">
        <v>1</v>
      </c>
      <c r="BJ600" s="7">
        <v>1</v>
      </c>
      <c r="BK600" s="7">
        <v>1</v>
      </c>
      <c r="BL600" s="7">
        <v>1</v>
      </c>
      <c r="BM600" s="7">
        <v>1</v>
      </c>
      <c r="BN600" s="7">
        <v>1</v>
      </c>
      <c r="BO600" s="7">
        <v>1</v>
      </c>
      <c r="BP600" s="7">
        <v>1</v>
      </c>
      <c r="BQ600" s="7">
        <v>1</v>
      </c>
      <c r="BR600" s="7">
        <v>9.2165999999999998E-2</v>
      </c>
      <c r="BS600" s="7">
        <v>41.56682</v>
      </c>
      <c r="BT600" s="7">
        <v>50</v>
      </c>
      <c r="BU600" s="7">
        <v>0.10958900000000001</v>
      </c>
      <c r="BV600" s="7">
        <v>38.082191999999999</v>
      </c>
      <c r="BW600" s="7">
        <v>50</v>
      </c>
      <c r="BX600" s="4" t="s">
        <v>124</v>
      </c>
      <c r="BY600" s="4" t="s">
        <v>124</v>
      </c>
      <c r="BZ600" s="4" t="s">
        <v>124</v>
      </c>
      <c r="CA600" s="4" t="s">
        <v>124</v>
      </c>
      <c r="CB600" s="4" t="s">
        <v>124</v>
      </c>
      <c r="CC600" s="4" t="s">
        <v>124</v>
      </c>
      <c r="CD600" s="4" t="s">
        <v>124</v>
      </c>
      <c r="CE600" s="4" t="s">
        <v>124</v>
      </c>
      <c r="CF600" s="4" t="s">
        <v>124</v>
      </c>
      <c r="CG600" s="4" t="s">
        <v>124</v>
      </c>
      <c r="CH600" s="4" t="s">
        <v>124</v>
      </c>
      <c r="CI600" s="4" t="s">
        <v>124</v>
      </c>
      <c r="CJ600" s="4" t="s">
        <v>124</v>
      </c>
      <c r="CK600" s="4" t="s">
        <v>124</v>
      </c>
      <c r="CL600" s="4" t="s">
        <v>124</v>
      </c>
      <c r="CM600" s="4" t="s">
        <v>124</v>
      </c>
      <c r="CN600" s="4" t="s">
        <v>124</v>
      </c>
      <c r="CO600" s="4" t="s">
        <v>124</v>
      </c>
      <c r="CP600" s="4" t="s">
        <v>124</v>
      </c>
      <c r="CQ600" s="7">
        <v>0.59459499999999998</v>
      </c>
      <c r="CR600" s="7">
        <v>0.94871799999999995</v>
      </c>
      <c r="CS600" s="7">
        <v>39.63964</v>
      </c>
      <c r="CT600" s="7">
        <v>50</v>
      </c>
      <c r="CU600" s="4" t="s">
        <v>124</v>
      </c>
      <c r="CV600" s="4" t="s">
        <v>124</v>
      </c>
      <c r="CW600" s="4" t="s">
        <v>124</v>
      </c>
      <c r="CX600" s="4" t="s">
        <v>124</v>
      </c>
      <c r="CY600" s="4" t="s">
        <v>124</v>
      </c>
      <c r="CZ600" s="4" t="s">
        <v>124</v>
      </c>
      <c r="DA600" s="7">
        <v>15.314097</v>
      </c>
      <c r="DB600" s="7">
        <v>17.400950000000002</v>
      </c>
      <c r="DC600" s="7">
        <v>16.332519999999999</v>
      </c>
      <c r="DD600" s="4" t="s">
        <v>124</v>
      </c>
      <c r="DE600" s="7">
        <v>1</v>
      </c>
      <c r="DF600" s="6"/>
      <c r="DG600" s="6"/>
      <c r="DH600" s="6"/>
      <c r="DI600" s="6"/>
      <c r="DJ600" s="7">
        <v>0</v>
      </c>
      <c r="DK600" s="7">
        <v>0</v>
      </c>
      <c r="DL600" s="7">
        <v>0</v>
      </c>
      <c r="DM600" s="7">
        <v>0</v>
      </c>
      <c r="DN600" s="7">
        <v>0</v>
      </c>
      <c r="DO600" s="7">
        <v>0</v>
      </c>
      <c r="DP600" s="6"/>
      <c r="DQ600" s="4" t="s">
        <v>125</v>
      </c>
    </row>
    <row r="601" spans="1:121" ht="20" customHeight="1" x14ac:dyDescent="0.15">
      <c r="A601" s="5">
        <v>2018</v>
      </c>
      <c r="B601" s="3" t="s">
        <v>160</v>
      </c>
      <c r="C601" s="4" t="str">
        <f t="shared" si="220"/>
        <v>0830011</v>
      </c>
      <c r="D601" s="4" t="s">
        <v>758</v>
      </c>
      <c r="E601" s="4" t="str">
        <f>"0836211"</f>
        <v>0836211</v>
      </c>
      <c r="F601" s="4" t="s">
        <v>327</v>
      </c>
      <c r="G601" s="7">
        <v>9</v>
      </c>
      <c r="H601" s="7">
        <v>12</v>
      </c>
      <c r="I601" s="6"/>
      <c r="J601" s="4" t="s">
        <v>330</v>
      </c>
      <c r="K601" s="7">
        <v>1018.610814</v>
      </c>
      <c r="L601" s="7">
        <v>1450</v>
      </c>
      <c r="M601" s="7">
        <v>70.249021999999997</v>
      </c>
      <c r="N601" s="7">
        <v>3</v>
      </c>
      <c r="O601" s="7">
        <v>1</v>
      </c>
      <c r="P601" s="7">
        <v>53.744855999999999</v>
      </c>
      <c r="Q601" s="7">
        <v>107.489712</v>
      </c>
      <c r="R601" s="7">
        <v>150</v>
      </c>
      <c r="S601" s="7">
        <v>44.931418000000001</v>
      </c>
      <c r="T601" s="7">
        <v>62.152411999999998</v>
      </c>
      <c r="U601" s="7">
        <v>89.862835000000004</v>
      </c>
      <c r="V601" s="7">
        <v>150</v>
      </c>
      <c r="W601" s="7">
        <v>49.909464999999997</v>
      </c>
      <c r="X601" s="7">
        <v>99.818929999999995</v>
      </c>
      <c r="Y601" s="7">
        <v>150</v>
      </c>
      <c r="Z601" s="7">
        <v>58.328946999999999</v>
      </c>
      <c r="AA601" s="7">
        <v>41.083525000000002</v>
      </c>
      <c r="AB601" s="7">
        <v>82.167050000000003</v>
      </c>
      <c r="AC601" s="7">
        <v>150</v>
      </c>
      <c r="AD601" s="7">
        <v>46.704019000000002</v>
      </c>
      <c r="AE601" s="7">
        <v>62.272025999999997</v>
      </c>
      <c r="AF601" s="7">
        <v>100</v>
      </c>
      <c r="AG601" s="7">
        <v>39.985348000000002</v>
      </c>
      <c r="AH601" s="7">
        <v>53.066735000000001</v>
      </c>
      <c r="AI601" s="7">
        <v>53.313797000000001</v>
      </c>
      <c r="AJ601" s="7">
        <v>100</v>
      </c>
      <c r="AK601" s="7">
        <v>17.22</v>
      </c>
      <c r="AL601" s="7">
        <v>17.239999999999998</v>
      </c>
      <c r="AM601" s="7">
        <v>13.08</v>
      </c>
      <c r="AN601" s="4" t="s">
        <v>124</v>
      </c>
      <c r="AO601" s="4" t="s">
        <v>124</v>
      </c>
      <c r="AP601" s="4" t="s">
        <v>124</v>
      </c>
      <c r="AQ601" s="4" t="s">
        <v>124</v>
      </c>
      <c r="AR601" s="4" t="s">
        <v>124</v>
      </c>
      <c r="AS601" s="4" t="s">
        <v>124</v>
      </c>
      <c r="AT601" s="4" t="s">
        <v>124</v>
      </c>
      <c r="AU601" s="4" t="s">
        <v>124</v>
      </c>
      <c r="AV601" s="4" t="s">
        <v>124</v>
      </c>
      <c r="AW601" s="4" t="s">
        <v>124</v>
      </c>
      <c r="AX601" s="4" t="s">
        <v>124</v>
      </c>
      <c r="AY601" s="4" t="s">
        <v>124</v>
      </c>
      <c r="AZ601" s="4" t="s">
        <v>124</v>
      </c>
      <c r="BA601" s="4" t="s">
        <v>124</v>
      </c>
      <c r="BB601" s="4" t="s">
        <v>124</v>
      </c>
      <c r="BC601" s="4" t="s">
        <v>124</v>
      </c>
      <c r="BD601" s="4" t="s">
        <v>124</v>
      </c>
      <c r="BE601" s="4" t="s">
        <v>124</v>
      </c>
      <c r="BF601" s="4" t="s">
        <v>124</v>
      </c>
      <c r="BG601" s="4" t="s">
        <v>124</v>
      </c>
      <c r="BH601" s="7">
        <v>0</v>
      </c>
      <c r="BI601" s="7">
        <v>0.98101300000000002</v>
      </c>
      <c r="BJ601" s="7">
        <v>0.98742099999999999</v>
      </c>
      <c r="BK601" s="7">
        <v>0.974522</v>
      </c>
      <c r="BL601" s="7">
        <v>0.98101300000000002</v>
      </c>
      <c r="BM601" s="7">
        <v>0.98742099999999999</v>
      </c>
      <c r="BN601" s="7">
        <v>0.974522</v>
      </c>
      <c r="BO601" s="7">
        <v>0.97777800000000004</v>
      </c>
      <c r="BP601" s="7">
        <v>0.97484300000000002</v>
      </c>
      <c r="BQ601" s="7">
        <v>0.980769</v>
      </c>
      <c r="BR601" s="7">
        <v>0.14701400000000001</v>
      </c>
      <c r="BS601" s="7">
        <v>30.597242999999999</v>
      </c>
      <c r="BT601" s="7">
        <v>50</v>
      </c>
      <c r="BU601" s="7">
        <v>0.203101</v>
      </c>
      <c r="BV601" s="7">
        <v>19.379845</v>
      </c>
      <c r="BW601" s="7">
        <v>50</v>
      </c>
      <c r="BX601" s="7">
        <v>0.82758600000000004</v>
      </c>
      <c r="BY601" s="7">
        <v>50</v>
      </c>
      <c r="BZ601" s="7">
        <v>50</v>
      </c>
      <c r="CA601" s="7">
        <v>0.36453200000000002</v>
      </c>
      <c r="CB601" s="7">
        <v>24.302135</v>
      </c>
      <c r="CC601" s="7">
        <v>50</v>
      </c>
      <c r="CD601" s="7">
        <v>0.91036399999999995</v>
      </c>
      <c r="CE601" s="7">
        <v>48.423625000000001</v>
      </c>
      <c r="CF601" s="7">
        <v>50</v>
      </c>
      <c r="CG601" s="7">
        <v>0.96808499999999997</v>
      </c>
      <c r="CH601" s="7">
        <v>100</v>
      </c>
      <c r="CI601" s="7">
        <v>100</v>
      </c>
      <c r="CJ601" s="7">
        <v>0</v>
      </c>
      <c r="CK601" s="7">
        <v>0.94904500000000003</v>
      </c>
      <c r="CL601" s="7">
        <v>100</v>
      </c>
      <c r="CM601" s="7">
        <v>100</v>
      </c>
      <c r="CN601" s="7">
        <v>0.73550700000000002</v>
      </c>
      <c r="CO601" s="7">
        <v>98.067633000000001</v>
      </c>
      <c r="CP601" s="7">
        <v>100</v>
      </c>
      <c r="CQ601" s="7">
        <v>0.64184399999999997</v>
      </c>
      <c r="CR601" s="7">
        <v>0.82697900000000002</v>
      </c>
      <c r="CS601" s="7">
        <v>21.394798999999999</v>
      </c>
      <c r="CT601" s="7">
        <v>50</v>
      </c>
      <c r="CU601" s="7">
        <v>0.37825399999999998</v>
      </c>
      <c r="CV601" s="7">
        <v>31.521184000000002</v>
      </c>
      <c r="CW601" s="7">
        <v>50</v>
      </c>
      <c r="CX601" s="7">
        <v>0.94904500000000003</v>
      </c>
      <c r="CY601" s="7">
        <v>0.94</v>
      </c>
      <c r="CZ601" s="7">
        <v>-9.0449999999999992E-3</v>
      </c>
      <c r="DA601" s="7">
        <v>15.314097</v>
      </c>
      <c r="DB601" s="7">
        <v>17.400950000000002</v>
      </c>
      <c r="DC601" s="7">
        <v>16.332519999999999</v>
      </c>
      <c r="DD601" s="7">
        <v>7.9891730000000001</v>
      </c>
      <c r="DE601" s="7">
        <v>1</v>
      </c>
      <c r="DF601" s="6"/>
      <c r="DG601" s="6"/>
      <c r="DH601" s="6"/>
      <c r="DI601" s="6"/>
      <c r="DJ601" s="7">
        <v>0</v>
      </c>
      <c r="DK601" s="7">
        <v>0</v>
      </c>
      <c r="DL601" s="7">
        <v>0</v>
      </c>
      <c r="DM601" s="7">
        <v>0</v>
      </c>
      <c r="DN601" s="7">
        <v>0</v>
      </c>
      <c r="DO601" s="7">
        <v>0</v>
      </c>
      <c r="DP601" s="6"/>
      <c r="DQ601" s="4" t="s">
        <v>125</v>
      </c>
    </row>
    <row r="602" spans="1:121" ht="20" customHeight="1" x14ac:dyDescent="0.15">
      <c r="A602" s="5">
        <v>2018</v>
      </c>
      <c r="B602" s="3" t="s">
        <v>160</v>
      </c>
      <c r="C602" s="4" t="str">
        <f t="shared" si="220"/>
        <v>0830011</v>
      </c>
      <c r="D602" s="4" t="s">
        <v>759</v>
      </c>
      <c r="E602" s="4" t="str">
        <f>"0831211"</f>
        <v>0831211</v>
      </c>
      <c r="F602" s="4" t="s">
        <v>327</v>
      </c>
      <c r="G602" s="4" t="s">
        <v>338</v>
      </c>
      <c r="H602" s="7">
        <v>5</v>
      </c>
      <c r="I602" s="6"/>
      <c r="J602" s="4" t="s">
        <v>330</v>
      </c>
      <c r="K602" s="7">
        <v>695.53592700000002</v>
      </c>
      <c r="L602" s="7">
        <v>800</v>
      </c>
      <c r="M602" s="7">
        <v>86.941991000000002</v>
      </c>
      <c r="N602" s="7">
        <v>1</v>
      </c>
      <c r="O602" s="7">
        <v>0</v>
      </c>
      <c r="P602" s="7">
        <v>78.800257999999999</v>
      </c>
      <c r="Q602" s="7">
        <v>50</v>
      </c>
      <c r="R602" s="7">
        <v>50</v>
      </c>
      <c r="S602" s="7">
        <v>73.555025000000001</v>
      </c>
      <c r="T602" s="7">
        <v>75</v>
      </c>
      <c r="U602" s="7">
        <v>49.036682999999996</v>
      </c>
      <c r="V602" s="7">
        <v>50</v>
      </c>
      <c r="W602" s="7">
        <v>77.900311000000002</v>
      </c>
      <c r="X602" s="7">
        <v>50</v>
      </c>
      <c r="Y602" s="7">
        <v>50</v>
      </c>
      <c r="Z602" s="7">
        <v>75</v>
      </c>
      <c r="AA602" s="7">
        <v>73.139629999999997</v>
      </c>
      <c r="AB602" s="7">
        <v>48.759754000000001</v>
      </c>
      <c r="AC602" s="7">
        <v>50</v>
      </c>
      <c r="AD602" s="7">
        <v>70.521659</v>
      </c>
      <c r="AE602" s="7">
        <v>47.014439000000003</v>
      </c>
      <c r="AF602" s="7">
        <v>50</v>
      </c>
      <c r="AG602" s="4" t="s">
        <v>124</v>
      </c>
      <c r="AH602" s="7">
        <v>75</v>
      </c>
      <c r="AI602" s="4" t="s">
        <v>124</v>
      </c>
      <c r="AJ602" s="4" t="s">
        <v>124</v>
      </c>
      <c r="AK602" s="7">
        <v>1.44</v>
      </c>
      <c r="AL602" s="7">
        <v>1.86</v>
      </c>
      <c r="AM602" s="4" t="s">
        <v>124</v>
      </c>
      <c r="AN602" s="7">
        <v>0.73337799999999997</v>
      </c>
      <c r="AO602" s="7">
        <v>73.337841999999995</v>
      </c>
      <c r="AP602" s="7">
        <v>100</v>
      </c>
      <c r="AQ602" s="7">
        <v>0.70108800000000004</v>
      </c>
      <c r="AR602" s="7">
        <v>70.108825999999993</v>
      </c>
      <c r="AS602" s="7">
        <v>100</v>
      </c>
      <c r="AT602" s="7">
        <v>0.79159100000000004</v>
      </c>
      <c r="AU602" s="7">
        <v>0.71055000000000001</v>
      </c>
      <c r="AV602" s="7">
        <v>79.159119000000004</v>
      </c>
      <c r="AW602" s="7">
        <v>100</v>
      </c>
      <c r="AX602" s="7">
        <v>0.81965399999999999</v>
      </c>
      <c r="AY602" s="7">
        <v>0.65459199999999995</v>
      </c>
      <c r="AZ602" s="7">
        <v>81.965418</v>
      </c>
      <c r="BA602" s="7">
        <v>100</v>
      </c>
      <c r="BB602" s="4" t="s">
        <v>124</v>
      </c>
      <c r="BC602" s="4" t="s">
        <v>124</v>
      </c>
      <c r="BD602" s="4" t="s">
        <v>124</v>
      </c>
      <c r="BE602" s="4" t="s">
        <v>124</v>
      </c>
      <c r="BF602" s="4" t="s">
        <v>124</v>
      </c>
      <c r="BG602" s="4" t="s">
        <v>124</v>
      </c>
      <c r="BH602" s="7">
        <v>0</v>
      </c>
      <c r="BI602" s="7">
        <v>1</v>
      </c>
      <c r="BJ602" s="7">
        <v>1</v>
      </c>
      <c r="BK602" s="7">
        <v>1</v>
      </c>
      <c r="BL602" s="7">
        <v>1</v>
      </c>
      <c r="BM602" s="7">
        <v>1</v>
      </c>
      <c r="BN602" s="7">
        <v>1</v>
      </c>
      <c r="BO602" s="7">
        <v>1</v>
      </c>
      <c r="BP602" s="4" t="s">
        <v>124</v>
      </c>
      <c r="BQ602" s="7">
        <v>1</v>
      </c>
      <c r="BR602" s="7">
        <v>2.7397000000000001E-2</v>
      </c>
      <c r="BS602" s="7">
        <v>50</v>
      </c>
      <c r="BT602" s="7">
        <v>50</v>
      </c>
      <c r="BU602" s="7">
        <v>3.8462000000000003E-2</v>
      </c>
      <c r="BV602" s="7">
        <v>50</v>
      </c>
      <c r="BW602" s="7">
        <v>50</v>
      </c>
      <c r="BX602" s="4" t="s">
        <v>124</v>
      </c>
      <c r="BY602" s="4" t="s">
        <v>124</v>
      </c>
      <c r="BZ602" s="4" t="s">
        <v>124</v>
      </c>
      <c r="CA602" s="4" t="s">
        <v>124</v>
      </c>
      <c r="CB602" s="4" t="s">
        <v>124</v>
      </c>
      <c r="CC602" s="4" t="s">
        <v>124</v>
      </c>
      <c r="CD602" s="4" t="s">
        <v>124</v>
      </c>
      <c r="CE602" s="4" t="s">
        <v>124</v>
      </c>
      <c r="CF602" s="4" t="s">
        <v>124</v>
      </c>
      <c r="CG602" s="4" t="s">
        <v>124</v>
      </c>
      <c r="CH602" s="4" t="s">
        <v>124</v>
      </c>
      <c r="CI602" s="4" t="s">
        <v>124</v>
      </c>
      <c r="CJ602" s="4" t="s">
        <v>124</v>
      </c>
      <c r="CK602" s="4" t="s">
        <v>124</v>
      </c>
      <c r="CL602" s="4" t="s">
        <v>124</v>
      </c>
      <c r="CM602" s="4" t="s">
        <v>124</v>
      </c>
      <c r="CN602" s="4" t="s">
        <v>124</v>
      </c>
      <c r="CO602" s="4" t="s">
        <v>124</v>
      </c>
      <c r="CP602" s="4" t="s">
        <v>124</v>
      </c>
      <c r="CQ602" s="7">
        <v>0.69230800000000003</v>
      </c>
      <c r="CR602" s="7">
        <v>1.026316</v>
      </c>
      <c r="CS602" s="7">
        <v>46.153846000000001</v>
      </c>
      <c r="CT602" s="7">
        <v>50</v>
      </c>
      <c r="CU602" s="4" t="s">
        <v>124</v>
      </c>
      <c r="CV602" s="4" t="s">
        <v>124</v>
      </c>
      <c r="CW602" s="4" t="s">
        <v>124</v>
      </c>
      <c r="CX602" s="4" t="s">
        <v>124</v>
      </c>
      <c r="CY602" s="4" t="s">
        <v>124</v>
      </c>
      <c r="CZ602" s="4" t="s">
        <v>124</v>
      </c>
      <c r="DA602" s="7">
        <v>15.314097</v>
      </c>
      <c r="DB602" s="7">
        <v>17.400950000000002</v>
      </c>
      <c r="DC602" s="7">
        <v>16.332519999999999</v>
      </c>
      <c r="DD602" s="4" t="s">
        <v>124</v>
      </c>
      <c r="DE602" s="7">
        <v>0</v>
      </c>
      <c r="DF602" s="6"/>
      <c r="DG602" s="6"/>
      <c r="DH602" s="4" t="s">
        <v>331</v>
      </c>
      <c r="DI602" s="4" t="s">
        <v>698</v>
      </c>
      <c r="DJ602" s="7">
        <v>1</v>
      </c>
      <c r="DK602" s="7">
        <v>0</v>
      </c>
      <c r="DL602" s="7">
        <v>0</v>
      </c>
      <c r="DM602" s="7">
        <v>1</v>
      </c>
      <c r="DN602" s="7">
        <v>1</v>
      </c>
      <c r="DO602" s="7">
        <v>0</v>
      </c>
      <c r="DP602" s="6"/>
      <c r="DQ602" s="4" t="s">
        <v>125</v>
      </c>
    </row>
    <row r="603" spans="1:121" ht="20" customHeight="1" x14ac:dyDescent="0.15">
      <c r="A603" s="5">
        <v>2018</v>
      </c>
      <c r="B603" s="3" t="s">
        <v>160</v>
      </c>
      <c r="C603" s="4" t="str">
        <f t="shared" si="220"/>
        <v>0830011</v>
      </c>
      <c r="D603" s="4" t="s">
        <v>760</v>
      </c>
      <c r="E603" s="4" t="str">
        <f>"0831111"</f>
        <v>0831111</v>
      </c>
      <c r="F603" s="4" t="s">
        <v>327</v>
      </c>
      <c r="G603" s="4" t="s">
        <v>328</v>
      </c>
      <c r="H603" s="7">
        <v>5</v>
      </c>
      <c r="I603" s="4" t="s">
        <v>335</v>
      </c>
      <c r="J603" s="4" t="s">
        <v>330</v>
      </c>
      <c r="K603" s="7">
        <v>615.13911800000005</v>
      </c>
      <c r="L603" s="7">
        <v>850</v>
      </c>
      <c r="M603" s="7">
        <v>72.369308000000004</v>
      </c>
      <c r="N603" s="7">
        <v>2</v>
      </c>
      <c r="O603" s="7">
        <v>0</v>
      </c>
      <c r="P603" s="7">
        <v>69.185062000000002</v>
      </c>
      <c r="Q603" s="7">
        <v>46.123373999999998</v>
      </c>
      <c r="R603" s="7">
        <v>50</v>
      </c>
      <c r="S603" s="7">
        <v>63.586235000000002</v>
      </c>
      <c r="T603" s="7">
        <v>75</v>
      </c>
      <c r="U603" s="7">
        <v>42.390822999999997</v>
      </c>
      <c r="V603" s="7">
        <v>50</v>
      </c>
      <c r="W603" s="7">
        <v>64.092117000000002</v>
      </c>
      <c r="X603" s="7">
        <v>42.728077999999996</v>
      </c>
      <c r="Y603" s="7">
        <v>50</v>
      </c>
      <c r="Z603" s="7">
        <v>70.320954</v>
      </c>
      <c r="AA603" s="7">
        <v>59.346336000000001</v>
      </c>
      <c r="AB603" s="7">
        <v>39.564224000000003</v>
      </c>
      <c r="AC603" s="7">
        <v>50</v>
      </c>
      <c r="AD603" s="7">
        <v>60.461053999999997</v>
      </c>
      <c r="AE603" s="7">
        <v>40.307369999999999</v>
      </c>
      <c r="AF603" s="7">
        <v>50</v>
      </c>
      <c r="AG603" s="7">
        <v>55.30227</v>
      </c>
      <c r="AH603" s="4" t="s">
        <v>124</v>
      </c>
      <c r="AI603" s="7">
        <v>36.868180000000002</v>
      </c>
      <c r="AJ603" s="7">
        <v>50</v>
      </c>
      <c r="AK603" s="7">
        <v>11.41</v>
      </c>
      <c r="AL603" s="7">
        <v>10.97</v>
      </c>
      <c r="AM603" s="4" t="s">
        <v>124</v>
      </c>
      <c r="AN603" s="7">
        <v>0.62334100000000003</v>
      </c>
      <c r="AO603" s="7">
        <v>62.334072999999997</v>
      </c>
      <c r="AP603" s="7">
        <v>100</v>
      </c>
      <c r="AQ603" s="7">
        <v>0.68670100000000001</v>
      </c>
      <c r="AR603" s="7">
        <v>68.670056000000002</v>
      </c>
      <c r="AS603" s="7">
        <v>100</v>
      </c>
      <c r="AT603" s="7">
        <v>0.60169399999999995</v>
      </c>
      <c r="AU603" s="7">
        <v>0.66663399999999995</v>
      </c>
      <c r="AV603" s="7">
        <v>60.169434000000003</v>
      </c>
      <c r="AW603" s="7">
        <v>100</v>
      </c>
      <c r="AX603" s="7">
        <v>0.71369400000000005</v>
      </c>
      <c r="AY603" s="7">
        <v>0.63379399999999997</v>
      </c>
      <c r="AZ603" s="7">
        <v>71.369373999999993</v>
      </c>
      <c r="BA603" s="7">
        <v>100</v>
      </c>
      <c r="BB603" s="4" t="s">
        <v>124</v>
      </c>
      <c r="BC603" s="4" t="s">
        <v>124</v>
      </c>
      <c r="BD603" s="4" t="s">
        <v>124</v>
      </c>
      <c r="BE603" s="4" t="s">
        <v>124</v>
      </c>
      <c r="BF603" s="4" t="s">
        <v>124</v>
      </c>
      <c r="BG603" s="4" t="s">
        <v>124</v>
      </c>
      <c r="BH603" s="7">
        <v>0</v>
      </c>
      <c r="BI603" s="7">
        <v>1</v>
      </c>
      <c r="BJ603" s="7">
        <v>1</v>
      </c>
      <c r="BK603" s="7">
        <v>1</v>
      </c>
      <c r="BL603" s="7">
        <v>1</v>
      </c>
      <c r="BM603" s="7">
        <v>1</v>
      </c>
      <c r="BN603" s="7">
        <v>1</v>
      </c>
      <c r="BO603" s="7">
        <v>1</v>
      </c>
      <c r="BP603" s="7">
        <v>1</v>
      </c>
      <c r="BQ603" s="4" t="s">
        <v>124</v>
      </c>
      <c r="BR603" s="7">
        <v>7.1684999999999999E-2</v>
      </c>
      <c r="BS603" s="7">
        <v>45.663082000000003</v>
      </c>
      <c r="BT603" s="7">
        <v>50</v>
      </c>
      <c r="BU603" s="7">
        <v>9.6154000000000003E-2</v>
      </c>
      <c r="BV603" s="7">
        <v>40.769230999999998</v>
      </c>
      <c r="BW603" s="7">
        <v>50</v>
      </c>
      <c r="BX603" s="4" t="s">
        <v>124</v>
      </c>
      <c r="BY603" s="4" t="s">
        <v>124</v>
      </c>
      <c r="BZ603" s="4" t="s">
        <v>124</v>
      </c>
      <c r="CA603" s="4" t="s">
        <v>124</v>
      </c>
      <c r="CB603" s="4" t="s">
        <v>124</v>
      </c>
      <c r="CC603" s="4" t="s">
        <v>124</v>
      </c>
      <c r="CD603" s="4" t="s">
        <v>124</v>
      </c>
      <c r="CE603" s="4" t="s">
        <v>124</v>
      </c>
      <c r="CF603" s="4" t="s">
        <v>124</v>
      </c>
      <c r="CG603" s="4" t="s">
        <v>124</v>
      </c>
      <c r="CH603" s="4" t="s">
        <v>124</v>
      </c>
      <c r="CI603" s="4" t="s">
        <v>124</v>
      </c>
      <c r="CJ603" s="4" t="s">
        <v>124</v>
      </c>
      <c r="CK603" s="4" t="s">
        <v>124</v>
      </c>
      <c r="CL603" s="4" t="s">
        <v>124</v>
      </c>
      <c r="CM603" s="4" t="s">
        <v>124</v>
      </c>
      <c r="CN603" s="4" t="s">
        <v>124</v>
      </c>
      <c r="CO603" s="4" t="s">
        <v>124</v>
      </c>
      <c r="CP603" s="4" t="s">
        <v>124</v>
      </c>
      <c r="CQ603" s="7">
        <v>0.272727</v>
      </c>
      <c r="CR603" s="7">
        <v>0.97058800000000001</v>
      </c>
      <c r="CS603" s="7">
        <v>18.181818</v>
      </c>
      <c r="CT603" s="7">
        <v>50</v>
      </c>
      <c r="CU603" s="4" t="s">
        <v>124</v>
      </c>
      <c r="CV603" s="4" t="s">
        <v>124</v>
      </c>
      <c r="CW603" s="4" t="s">
        <v>124</v>
      </c>
      <c r="CX603" s="4" t="s">
        <v>124</v>
      </c>
      <c r="CY603" s="4" t="s">
        <v>124</v>
      </c>
      <c r="CZ603" s="4" t="s">
        <v>124</v>
      </c>
      <c r="DA603" s="7">
        <v>15.314097</v>
      </c>
      <c r="DB603" s="7">
        <v>17.400950000000002</v>
      </c>
      <c r="DC603" s="7">
        <v>16.332519999999999</v>
      </c>
      <c r="DD603" s="4" t="s">
        <v>124</v>
      </c>
      <c r="DE603" s="7">
        <v>0</v>
      </c>
      <c r="DF603" s="6"/>
      <c r="DG603" s="6"/>
      <c r="DH603" s="6"/>
      <c r="DI603" s="6"/>
      <c r="DJ603" s="7">
        <v>0</v>
      </c>
      <c r="DK603" s="7">
        <v>0</v>
      </c>
      <c r="DL603" s="7">
        <v>0</v>
      </c>
      <c r="DM603" s="7">
        <v>0</v>
      </c>
      <c r="DN603" s="7">
        <v>0</v>
      </c>
      <c r="DO603" s="7">
        <v>0</v>
      </c>
      <c r="DP603" s="6"/>
      <c r="DQ603" s="4" t="s">
        <v>125</v>
      </c>
    </row>
    <row r="604" spans="1:121" ht="20" customHeight="1" x14ac:dyDescent="0.15">
      <c r="A604" s="5">
        <v>2018</v>
      </c>
      <c r="B604" s="3" t="s">
        <v>160</v>
      </c>
      <c r="C604" s="4" t="str">
        <f t="shared" si="220"/>
        <v>0830011</v>
      </c>
      <c r="D604" s="4" t="s">
        <v>761</v>
      </c>
      <c r="E604" s="4" t="str">
        <f>"0830111"</f>
        <v>0830111</v>
      </c>
      <c r="F604" s="4" t="s">
        <v>327</v>
      </c>
      <c r="G604" s="4" t="s">
        <v>338</v>
      </c>
      <c r="H604" s="7">
        <v>5</v>
      </c>
      <c r="I604" s="4" t="s">
        <v>335</v>
      </c>
      <c r="J604" s="4" t="s">
        <v>330</v>
      </c>
      <c r="K604" s="7">
        <v>600.43977400000006</v>
      </c>
      <c r="L604" s="7">
        <v>850</v>
      </c>
      <c r="M604" s="7">
        <v>70.639972999999998</v>
      </c>
      <c r="N604" s="7">
        <v>2</v>
      </c>
      <c r="O604" s="7">
        <v>0</v>
      </c>
      <c r="P604" s="7">
        <v>62.847839</v>
      </c>
      <c r="Q604" s="7">
        <v>41.898558999999999</v>
      </c>
      <c r="R604" s="7">
        <v>50</v>
      </c>
      <c r="S604" s="7">
        <v>57.596488999999998</v>
      </c>
      <c r="T604" s="7">
        <v>70.673379999999995</v>
      </c>
      <c r="U604" s="7">
        <v>38.397658999999997</v>
      </c>
      <c r="V604" s="7">
        <v>50</v>
      </c>
      <c r="W604" s="7">
        <v>59.143034999999998</v>
      </c>
      <c r="X604" s="7">
        <v>39.428690000000003</v>
      </c>
      <c r="Y604" s="7">
        <v>50</v>
      </c>
      <c r="Z604" s="7">
        <v>65.104279000000005</v>
      </c>
      <c r="AA604" s="7">
        <v>55.034610999999998</v>
      </c>
      <c r="AB604" s="7">
        <v>36.689740999999998</v>
      </c>
      <c r="AC604" s="7">
        <v>50</v>
      </c>
      <c r="AD604" s="7">
        <v>64.293424000000002</v>
      </c>
      <c r="AE604" s="7">
        <v>42.862282999999998</v>
      </c>
      <c r="AF604" s="7">
        <v>50</v>
      </c>
      <c r="AG604" s="7">
        <v>57.891655</v>
      </c>
      <c r="AH604" s="4" t="s">
        <v>124</v>
      </c>
      <c r="AI604" s="7">
        <v>38.594436999999999</v>
      </c>
      <c r="AJ604" s="7">
        <v>50</v>
      </c>
      <c r="AK604" s="7">
        <v>13.07</v>
      </c>
      <c r="AL604" s="7">
        <v>10.06</v>
      </c>
      <c r="AM604" s="4" t="s">
        <v>124</v>
      </c>
      <c r="AN604" s="7">
        <v>0.59465000000000001</v>
      </c>
      <c r="AO604" s="7">
        <v>59.464981000000002</v>
      </c>
      <c r="AP604" s="7">
        <v>100</v>
      </c>
      <c r="AQ604" s="7">
        <v>0.57336900000000002</v>
      </c>
      <c r="AR604" s="7">
        <v>57.336869</v>
      </c>
      <c r="AS604" s="7">
        <v>100</v>
      </c>
      <c r="AT604" s="7">
        <v>0.56770100000000001</v>
      </c>
      <c r="AU604" s="7">
        <v>0.63629899999999995</v>
      </c>
      <c r="AV604" s="7">
        <v>56.770065000000002</v>
      </c>
      <c r="AW604" s="7">
        <v>100</v>
      </c>
      <c r="AX604" s="7">
        <v>0.66175499999999998</v>
      </c>
      <c r="AY604" s="7">
        <v>0.43945099999999998</v>
      </c>
      <c r="AZ604" s="7">
        <v>66.175461999999996</v>
      </c>
      <c r="BA604" s="7">
        <v>100</v>
      </c>
      <c r="BB604" s="4" t="s">
        <v>124</v>
      </c>
      <c r="BC604" s="4" t="s">
        <v>124</v>
      </c>
      <c r="BD604" s="4" t="s">
        <v>124</v>
      </c>
      <c r="BE604" s="4" t="s">
        <v>124</v>
      </c>
      <c r="BF604" s="4" t="s">
        <v>124</v>
      </c>
      <c r="BG604" s="4" t="s">
        <v>124</v>
      </c>
      <c r="BH604" s="7">
        <v>0</v>
      </c>
      <c r="BI604" s="7">
        <v>1</v>
      </c>
      <c r="BJ604" s="7">
        <v>1</v>
      </c>
      <c r="BK604" s="7">
        <v>1</v>
      </c>
      <c r="BL604" s="7">
        <v>1</v>
      </c>
      <c r="BM604" s="7">
        <v>1</v>
      </c>
      <c r="BN604" s="7">
        <v>1</v>
      </c>
      <c r="BO604" s="7">
        <v>1</v>
      </c>
      <c r="BP604" s="7">
        <v>1</v>
      </c>
      <c r="BQ604" s="4" t="s">
        <v>124</v>
      </c>
      <c r="BR604" s="7">
        <v>7.3427000000000006E-2</v>
      </c>
      <c r="BS604" s="7">
        <v>45.314684999999997</v>
      </c>
      <c r="BT604" s="7">
        <v>50</v>
      </c>
      <c r="BU604" s="7">
        <v>8.9887999999999996E-2</v>
      </c>
      <c r="BV604" s="7">
        <v>42.022472</v>
      </c>
      <c r="BW604" s="7">
        <v>50</v>
      </c>
      <c r="BX604" s="4" t="s">
        <v>124</v>
      </c>
      <c r="BY604" s="4" t="s">
        <v>124</v>
      </c>
      <c r="BZ604" s="4" t="s">
        <v>124</v>
      </c>
      <c r="CA604" s="4" t="s">
        <v>124</v>
      </c>
      <c r="CB604" s="4" t="s">
        <v>124</v>
      </c>
      <c r="CC604" s="4" t="s">
        <v>124</v>
      </c>
      <c r="CD604" s="4" t="s">
        <v>124</v>
      </c>
      <c r="CE604" s="4" t="s">
        <v>124</v>
      </c>
      <c r="CF604" s="4" t="s">
        <v>124</v>
      </c>
      <c r="CG604" s="4" t="s">
        <v>124</v>
      </c>
      <c r="CH604" s="4" t="s">
        <v>124</v>
      </c>
      <c r="CI604" s="4" t="s">
        <v>124</v>
      </c>
      <c r="CJ604" s="4" t="s">
        <v>124</v>
      </c>
      <c r="CK604" s="4" t="s">
        <v>124</v>
      </c>
      <c r="CL604" s="4" t="s">
        <v>124</v>
      </c>
      <c r="CM604" s="4" t="s">
        <v>124</v>
      </c>
      <c r="CN604" s="4" t="s">
        <v>124</v>
      </c>
      <c r="CO604" s="4" t="s">
        <v>124</v>
      </c>
      <c r="CP604" s="4" t="s">
        <v>124</v>
      </c>
      <c r="CQ604" s="7">
        <v>0.53225800000000001</v>
      </c>
      <c r="CR604" s="7">
        <v>1.3191489999999999</v>
      </c>
      <c r="CS604" s="7">
        <v>35.483871000000001</v>
      </c>
      <c r="CT604" s="7">
        <v>50</v>
      </c>
      <c r="CU604" s="4" t="s">
        <v>124</v>
      </c>
      <c r="CV604" s="4" t="s">
        <v>124</v>
      </c>
      <c r="CW604" s="4" t="s">
        <v>124</v>
      </c>
      <c r="CX604" s="4" t="s">
        <v>124</v>
      </c>
      <c r="CY604" s="4" t="s">
        <v>124</v>
      </c>
      <c r="CZ604" s="4" t="s">
        <v>124</v>
      </c>
      <c r="DA604" s="7">
        <v>15.314097</v>
      </c>
      <c r="DB604" s="7">
        <v>17.400950000000002</v>
      </c>
      <c r="DC604" s="7">
        <v>16.332519999999999</v>
      </c>
      <c r="DD604" s="4" t="s">
        <v>124</v>
      </c>
      <c r="DE604" s="7">
        <v>0</v>
      </c>
      <c r="DF604" s="6"/>
      <c r="DG604" s="6"/>
      <c r="DH604" s="6"/>
      <c r="DI604" s="6"/>
      <c r="DJ604" s="7">
        <v>0</v>
      </c>
      <c r="DK604" s="7">
        <v>0</v>
      </c>
      <c r="DL604" s="7">
        <v>0</v>
      </c>
      <c r="DM604" s="7">
        <v>0</v>
      </c>
      <c r="DN604" s="7">
        <v>0</v>
      </c>
      <c r="DO604" s="7">
        <v>0</v>
      </c>
      <c r="DP604" s="6"/>
      <c r="DQ604" s="4" t="s">
        <v>125</v>
      </c>
    </row>
    <row r="605" spans="1:121" ht="20" customHeight="1" x14ac:dyDescent="0.15">
      <c r="A605" s="5">
        <v>2018</v>
      </c>
      <c r="B605" s="3" t="s">
        <v>160</v>
      </c>
      <c r="C605" s="4" t="str">
        <f t="shared" si="220"/>
        <v>0830011</v>
      </c>
      <c r="D605" s="4" t="s">
        <v>762</v>
      </c>
      <c r="E605" s="4" t="str">
        <f>"0831411"</f>
        <v>0831411</v>
      </c>
      <c r="F605" s="4" t="s">
        <v>327</v>
      </c>
      <c r="G605" s="4" t="s">
        <v>338</v>
      </c>
      <c r="H605" s="7">
        <v>5</v>
      </c>
      <c r="I605" s="6"/>
      <c r="J605" s="4" t="s">
        <v>330</v>
      </c>
      <c r="K605" s="7">
        <v>578.13947900000005</v>
      </c>
      <c r="L605" s="7">
        <v>800</v>
      </c>
      <c r="M605" s="7">
        <v>72.267435000000006</v>
      </c>
      <c r="N605" s="7">
        <v>2</v>
      </c>
      <c r="O605" s="7">
        <v>0</v>
      </c>
      <c r="P605" s="7">
        <v>71.583612000000002</v>
      </c>
      <c r="Q605" s="7">
        <v>47.722408000000001</v>
      </c>
      <c r="R605" s="7">
        <v>50</v>
      </c>
      <c r="S605" s="7">
        <v>60.417023</v>
      </c>
      <c r="T605" s="7">
        <v>75</v>
      </c>
      <c r="U605" s="7">
        <v>40.278015000000003</v>
      </c>
      <c r="V605" s="7">
        <v>50</v>
      </c>
      <c r="W605" s="7">
        <v>66.072333999999998</v>
      </c>
      <c r="X605" s="7">
        <v>44.048223</v>
      </c>
      <c r="Y605" s="7">
        <v>50</v>
      </c>
      <c r="Z605" s="7">
        <v>71.922921000000002</v>
      </c>
      <c r="AA605" s="7">
        <v>56.631613000000002</v>
      </c>
      <c r="AB605" s="7">
        <v>37.754409000000003</v>
      </c>
      <c r="AC605" s="7">
        <v>50</v>
      </c>
      <c r="AD605" s="7">
        <v>72.432615999999996</v>
      </c>
      <c r="AE605" s="7">
        <v>48.288411000000004</v>
      </c>
      <c r="AF605" s="7">
        <v>50</v>
      </c>
      <c r="AG605" s="4" t="s">
        <v>124</v>
      </c>
      <c r="AH605" s="7">
        <v>75</v>
      </c>
      <c r="AI605" s="4" t="s">
        <v>124</v>
      </c>
      <c r="AJ605" s="4" t="s">
        <v>124</v>
      </c>
      <c r="AK605" s="7">
        <v>14.58</v>
      </c>
      <c r="AL605" s="7">
        <v>15.29</v>
      </c>
      <c r="AM605" s="4" t="s">
        <v>124</v>
      </c>
      <c r="AN605" s="7">
        <v>0.59378299999999995</v>
      </c>
      <c r="AO605" s="7">
        <v>59.378323000000002</v>
      </c>
      <c r="AP605" s="7">
        <v>100</v>
      </c>
      <c r="AQ605" s="7">
        <v>0.67782600000000004</v>
      </c>
      <c r="AR605" s="7">
        <v>67.782562999999996</v>
      </c>
      <c r="AS605" s="7">
        <v>100</v>
      </c>
      <c r="AT605" s="7">
        <v>0.42506899999999997</v>
      </c>
      <c r="AU605" s="7">
        <v>0.69564899999999996</v>
      </c>
      <c r="AV605" s="7">
        <v>42.506872999999999</v>
      </c>
      <c r="AW605" s="7">
        <v>100</v>
      </c>
      <c r="AX605" s="7">
        <v>0.59372499999999995</v>
      </c>
      <c r="AY605" s="7">
        <v>0.72958000000000001</v>
      </c>
      <c r="AZ605" s="7">
        <v>59.372503000000002</v>
      </c>
      <c r="BA605" s="7">
        <v>100</v>
      </c>
      <c r="BB605" s="4" t="s">
        <v>124</v>
      </c>
      <c r="BC605" s="4" t="s">
        <v>124</v>
      </c>
      <c r="BD605" s="4" t="s">
        <v>124</v>
      </c>
      <c r="BE605" s="4" t="s">
        <v>124</v>
      </c>
      <c r="BF605" s="4" t="s">
        <v>124</v>
      </c>
      <c r="BG605" s="4" t="s">
        <v>124</v>
      </c>
      <c r="BH605" s="7">
        <v>0</v>
      </c>
      <c r="BI605" s="7">
        <v>1</v>
      </c>
      <c r="BJ605" s="7">
        <v>1</v>
      </c>
      <c r="BK605" s="7">
        <v>1</v>
      </c>
      <c r="BL605" s="7">
        <v>1</v>
      </c>
      <c r="BM605" s="7">
        <v>1</v>
      </c>
      <c r="BN605" s="7">
        <v>1</v>
      </c>
      <c r="BO605" s="7">
        <v>1</v>
      </c>
      <c r="BP605" s="4" t="s">
        <v>124</v>
      </c>
      <c r="BQ605" s="7">
        <v>1</v>
      </c>
      <c r="BR605" s="7">
        <v>3.3195000000000002E-2</v>
      </c>
      <c r="BS605" s="7">
        <v>50</v>
      </c>
      <c r="BT605" s="7">
        <v>50</v>
      </c>
      <c r="BU605" s="7">
        <v>0.05</v>
      </c>
      <c r="BV605" s="7">
        <v>50</v>
      </c>
      <c r="BW605" s="7">
        <v>50</v>
      </c>
      <c r="BX605" s="4" t="s">
        <v>124</v>
      </c>
      <c r="BY605" s="4" t="s">
        <v>124</v>
      </c>
      <c r="BZ605" s="4" t="s">
        <v>124</v>
      </c>
      <c r="CA605" s="4" t="s">
        <v>124</v>
      </c>
      <c r="CB605" s="4" t="s">
        <v>124</v>
      </c>
      <c r="CC605" s="4" t="s">
        <v>124</v>
      </c>
      <c r="CD605" s="4" t="s">
        <v>124</v>
      </c>
      <c r="CE605" s="4" t="s">
        <v>124</v>
      </c>
      <c r="CF605" s="4" t="s">
        <v>124</v>
      </c>
      <c r="CG605" s="4" t="s">
        <v>124</v>
      </c>
      <c r="CH605" s="4" t="s">
        <v>124</v>
      </c>
      <c r="CI605" s="4" t="s">
        <v>124</v>
      </c>
      <c r="CJ605" s="4" t="s">
        <v>124</v>
      </c>
      <c r="CK605" s="4" t="s">
        <v>124</v>
      </c>
      <c r="CL605" s="4" t="s">
        <v>124</v>
      </c>
      <c r="CM605" s="4" t="s">
        <v>124</v>
      </c>
      <c r="CN605" s="4" t="s">
        <v>124</v>
      </c>
      <c r="CO605" s="4" t="s">
        <v>124</v>
      </c>
      <c r="CP605" s="4" t="s">
        <v>124</v>
      </c>
      <c r="CQ605" s="7">
        <v>0.46511599999999997</v>
      </c>
      <c r="CR605" s="7">
        <v>0.97727299999999995</v>
      </c>
      <c r="CS605" s="7">
        <v>31.007752</v>
      </c>
      <c r="CT605" s="7">
        <v>50</v>
      </c>
      <c r="CU605" s="4" t="s">
        <v>124</v>
      </c>
      <c r="CV605" s="4" t="s">
        <v>124</v>
      </c>
      <c r="CW605" s="4" t="s">
        <v>124</v>
      </c>
      <c r="CX605" s="4" t="s">
        <v>124</v>
      </c>
      <c r="CY605" s="4" t="s">
        <v>124</v>
      </c>
      <c r="CZ605" s="4" t="s">
        <v>124</v>
      </c>
      <c r="DA605" s="7">
        <v>15.314097</v>
      </c>
      <c r="DB605" s="7">
        <v>17.400950000000002</v>
      </c>
      <c r="DC605" s="7">
        <v>16.332519999999999</v>
      </c>
      <c r="DD605" s="4" t="s">
        <v>124</v>
      </c>
      <c r="DE605" s="7">
        <v>0</v>
      </c>
      <c r="DF605" s="6"/>
      <c r="DG605" s="6"/>
      <c r="DH605" s="6"/>
      <c r="DI605" s="6"/>
      <c r="DJ605" s="7">
        <v>0</v>
      </c>
      <c r="DK605" s="7">
        <v>0</v>
      </c>
      <c r="DL605" s="7">
        <v>0</v>
      </c>
      <c r="DM605" s="7">
        <v>0</v>
      </c>
      <c r="DN605" s="7">
        <v>0</v>
      </c>
      <c r="DO605" s="7">
        <v>0</v>
      </c>
      <c r="DP605" s="6"/>
      <c r="DQ605" s="4" t="s">
        <v>125</v>
      </c>
    </row>
    <row r="606" spans="1:121" ht="20" customHeight="1" x14ac:dyDescent="0.15">
      <c r="A606" s="5">
        <v>2018</v>
      </c>
      <c r="B606" s="3" t="s">
        <v>160</v>
      </c>
      <c r="C606" s="4" t="str">
        <f t="shared" si="220"/>
        <v>0830011</v>
      </c>
      <c r="D606" s="4" t="s">
        <v>763</v>
      </c>
      <c r="E606" s="4" t="str">
        <f>"0835411"</f>
        <v>0835411</v>
      </c>
      <c r="F606" s="4" t="s">
        <v>327</v>
      </c>
      <c r="G606" s="7">
        <v>7</v>
      </c>
      <c r="H606" s="7">
        <v>8</v>
      </c>
      <c r="I606" s="6"/>
      <c r="J606" s="4" t="s">
        <v>330</v>
      </c>
      <c r="K606" s="7">
        <v>589.29137400000002</v>
      </c>
      <c r="L606" s="7">
        <v>900</v>
      </c>
      <c r="M606" s="7">
        <v>65.476819000000006</v>
      </c>
      <c r="N606" s="7">
        <v>4</v>
      </c>
      <c r="O606" s="7">
        <v>1</v>
      </c>
      <c r="P606" s="7">
        <v>64.063520999999994</v>
      </c>
      <c r="Q606" s="7">
        <v>42.709014000000003</v>
      </c>
      <c r="R606" s="7">
        <v>50</v>
      </c>
      <c r="S606" s="7">
        <v>54.034379000000001</v>
      </c>
      <c r="T606" s="7">
        <v>74.659681000000006</v>
      </c>
      <c r="U606" s="7">
        <v>36.022919000000002</v>
      </c>
      <c r="V606" s="7">
        <v>50</v>
      </c>
      <c r="W606" s="7">
        <v>55.463704999999997</v>
      </c>
      <c r="X606" s="7">
        <v>36.975802999999999</v>
      </c>
      <c r="Y606" s="7">
        <v>50</v>
      </c>
      <c r="Z606" s="7">
        <v>65.640541999999996</v>
      </c>
      <c r="AA606" s="7">
        <v>45.799124999999997</v>
      </c>
      <c r="AB606" s="7">
        <v>30.53275</v>
      </c>
      <c r="AC606" s="7">
        <v>50</v>
      </c>
      <c r="AD606" s="7">
        <v>61.674303000000002</v>
      </c>
      <c r="AE606" s="7">
        <v>41.116202000000001</v>
      </c>
      <c r="AF606" s="7">
        <v>50</v>
      </c>
      <c r="AG606" s="7">
        <v>54.863836999999997</v>
      </c>
      <c r="AH606" s="7">
        <v>69.486307999999994</v>
      </c>
      <c r="AI606" s="7">
        <v>36.575892000000003</v>
      </c>
      <c r="AJ606" s="7">
        <v>50</v>
      </c>
      <c r="AK606" s="7">
        <v>20.62</v>
      </c>
      <c r="AL606" s="7">
        <v>19.84</v>
      </c>
      <c r="AM606" s="7">
        <v>14.62</v>
      </c>
      <c r="AN606" s="7">
        <v>0.611344</v>
      </c>
      <c r="AO606" s="7">
        <v>61.134402000000001</v>
      </c>
      <c r="AP606" s="7">
        <v>100</v>
      </c>
      <c r="AQ606" s="7">
        <v>0.50892899999999996</v>
      </c>
      <c r="AR606" s="7">
        <v>50.892856999999999</v>
      </c>
      <c r="AS606" s="7">
        <v>100</v>
      </c>
      <c r="AT606" s="7">
        <v>0.56423999999999996</v>
      </c>
      <c r="AU606" s="7">
        <v>0.65861199999999998</v>
      </c>
      <c r="AV606" s="7">
        <v>56.424019000000001</v>
      </c>
      <c r="AW606" s="7">
        <v>100</v>
      </c>
      <c r="AX606" s="7">
        <v>0.46831600000000001</v>
      </c>
      <c r="AY606" s="7">
        <v>0.54968300000000003</v>
      </c>
      <c r="AZ606" s="7">
        <v>46.831595</v>
      </c>
      <c r="BA606" s="7">
        <v>100</v>
      </c>
      <c r="BB606" s="4" t="s">
        <v>124</v>
      </c>
      <c r="BC606" s="4" t="s">
        <v>124</v>
      </c>
      <c r="BD606" s="4" t="s">
        <v>124</v>
      </c>
      <c r="BE606" s="4" t="s">
        <v>124</v>
      </c>
      <c r="BF606" s="4" t="s">
        <v>124</v>
      </c>
      <c r="BG606" s="4" t="s">
        <v>124</v>
      </c>
      <c r="BH606" s="7">
        <v>0</v>
      </c>
      <c r="BI606" s="7">
        <v>0.99837100000000001</v>
      </c>
      <c r="BJ606" s="7">
        <v>0.996923</v>
      </c>
      <c r="BK606" s="7">
        <v>1</v>
      </c>
      <c r="BL606" s="7">
        <v>0.99674300000000005</v>
      </c>
      <c r="BM606" s="7">
        <v>0.99384600000000001</v>
      </c>
      <c r="BN606" s="7">
        <v>1</v>
      </c>
      <c r="BO606" s="7">
        <v>0.996753</v>
      </c>
      <c r="BP606" s="7">
        <v>0.99411799999999995</v>
      </c>
      <c r="BQ606" s="7">
        <v>1</v>
      </c>
      <c r="BR606" s="7">
        <v>9.6090999999999996E-2</v>
      </c>
      <c r="BS606" s="7">
        <v>40.781759000000001</v>
      </c>
      <c r="BT606" s="7">
        <v>50</v>
      </c>
      <c r="BU606" s="7">
        <v>0.14779900000000001</v>
      </c>
      <c r="BV606" s="7">
        <v>30.440252000000001</v>
      </c>
      <c r="BW606" s="7">
        <v>50</v>
      </c>
      <c r="BX606" s="4" t="s">
        <v>124</v>
      </c>
      <c r="BY606" s="4" t="s">
        <v>124</v>
      </c>
      <c r="BZ606" s="4" t="s">
        <v>124</v>
      </c>
      <c r="CA606" s="4" t="s">
        <v>124</v>
      </c>
      <c r="CB606" s="4" t="s">
        <v>124</v>
      </c>
      <c r="CC606" s="4" t="s">
        <v>124</v>
      </c>
      <c r="CD606" s="7">
        <v>0.91973199999999999</v>
      </c>
      <c r="CE606" s="7">
        <v>48.921937999999997</v>
      </c>
      <c r="CF606" s="7">
        <v>50</v>
      </c>
      <c r="CG606" s="4" t="s">
        <v>124</v>
      </c>
      <c r="CH606" s="4" t="s">
        <v>124</v>
      </c>
      <c r="CI606" s="4" t="s">
        <v>124</v>
      </c>
      <c r="CJ606" s="4" t="s">
        <v>124</v>
      </c>
      <c r="CK606" s="4" t="s">
        <v>124</v>
      </c>
      <c r="CL606" s="4" t="s">
        <v>124</v>
      </c>
      <c r="CM606" s="4" t="s">
        <v>124</v>
      </c>
      <c r="CN606" s="4" t="s">
        <v>124</v>
      </c>
      <c r="CO606" s="4" t="s">
        <v>124</v>
      </c>
      <c r="CP606" s="4" t="s">
        <v>124</v>
      </c>
      <c r="CQ606" s="7">
        <v>0.44897999999999999</v>
      </c>
      <c r="CR606" s="7">
        <v>0.95454499999999998</v>
      </c>
      <c r="CS606" s="7">
        <v>29.931972999999999</v>
      </c>
      <c r="CT606" s="7">
        <v>50</v>
      </c>
      <c r="CU606" s="4" t="s">
        <v>124</v>
      </c>
      <c r="CV606" s="4" t="s">
        <v>124</v>
      </c>
      <c r="CW606" s="4" t="s">
        <v>124</v>
      </c>
      <c r="CX606" s="4" t="s">
        <v>124</v>
      </c>
      <c r="CY606" s="4" t="s">
        <v>124</v>
      </c>
      <c r="CZ606" s="4" t="s">
        <v>124</v>
      </c>
      <c r="DA606" s="7">
        <v>15.314097</v>
      </c>
      <c r="DB606" s="7">
        <v>17.400950000000002</v>
      </c>
      <c r="DC606" s="7">
        <v>16.332519999999999</v>
      </c>
      <c r="DD606" s="4" t="s">
        <v>124</v>
      </c>
      <c r="DE606" s="7">
        <v>1</v>
      </c>
      <c r="DF606" s="4" t="s">
        <v>384</v>
      </c>
      <c r="DG606" s="4" t="s">
        <v>417</v>
      </c>
      <c r="DH606" s="6"/>
      <c r="DI606" s="6"/>
      <c r="DJ606" s="7">
        <v>0</v>
      </c>
      <c r="DK606" s="7">
        <v>0</v>
      </c>
      <c r="DL606" s="7">
        <v>0</v>
      </c>
      <c r="DM606" s="7">
        <v>0</v>
      </c>
      <c r="DN606" s="7">
        <v>0</v>
      </c>
      <c r="DO606" s="7">
        <v>0</v>
      </c>
      <c r="DP606" s="6"/>
      <c r="DQ606" s="4" t="s">
        <v>125</v>
      </c>
    </row>
    <row r="607" spans="1:121" ht="20" customHeight="1" x14ac:dyDescent="0.15">
      <c r="A607" s="5">
        <v>2018</v>
      </c>
      <c r="B607" s="3" t="s">
        <v>137</v>
      </c>
      <c r="C607" s="4" t="str">
        <f t="shared" si="13"/>
        <v>0840011</v>
      </c>
      <c r="D607" s="4" t="s">
        <v>764</v>
      </c>
      <c r="E607" s="4" t="str">
        <f>"0840111"</f>
        <v>0840111</v>
      </c>
      <c r="F607" s="4" t="s">
        <v>327</v>
      </c>
      <c r="G607" s="4" t="s">
        <v>338</v>
      </c>
      <c r="H607" s="7">
        <v>5</v>
      </c>
      <c r="I607" s="6"/>
      <c r="J607" s="4" t="s">
        <v>330</v>
      </c>
      <c r="K607" s="7">
        <v>583.34381299999995</v>
      </c>
      <c r="L607" s="7">
        <v>800</v>
      </c>
      <c r="M607" s="7">
        <v>72.917976999999993</v>
      </c>
      <c r="N607" s="7">
        <v>3</v>
      </c>
      <c r="O607" s="7">
        <v>1</v>
      </c>
      <c r="P607" s="7">
        <v>73.328243000000001</v>
      </c>
      <c r="Q607" s="7">
        <v>48.885494999999999</v>
      </c>
      <c r="R607" s="7">
        <v>50</v>
      </c>
      <c r="S607" s="7">
        <v>63.64622</v>
      </c>
      <c r="T607" s="7">
        <v>75</v>
      </c>
      <c r="U607" s="7">
        <v>42.430813000000001</v>
      </c>
      <c r="V607" s="7">
        <v>50</v>
      </c>
      <c r="W607" s="7">
        <v>69.509079999999997</v>
      </c>
      <c r="X607" s="7">
        <v>46.339387000000002</v>
      </c>
      <c r="Y607" s="7">
        <v>50</v>
      </c>
      <c r="Z607" s="7">
        <v>75</v>
      </c>
      <c r="AA607" s="7">
        <v>56.68553</v>
      </c>
      <c r="AB607" s="7">
        <v>37.790353000000003</v>
      </c>
      <c r="AC607" s="7">
        <v>50</v>
      </c>
      <c r="AD607" s="7">
        <v>70.751752999999994</v>
      </c>
      <c r="AE607" s="7">
        <v>47.167834999999997</v>
      </c>
      <c r="AF607" s="7">
        <v>50</v>
      </c>
      <c r="AG607" s="4" t="s">
        <v>124</v>
      </c>
      <c r="AH607" s="7">
        <v>75</v>
      </c>
      <c r="AI607" s="4" t="s">
        <v>124</v>
      </c>
      <c r="AJ607" s="4" t="s">
        <v>124</v>
      </c>
      <c r="AK607" s="7">
        <v>11.35</v>
      </c>
      <c r="AL607" s="7">
        <v>18.309999999999999</v>
      </c>
      <c r="AM607" s="4" t="s">
        <v>124</v>
      </c>
      <c r="AN607" s="7">
        <v>0.67502499999999999</v>
      </c>
      <c r="AO607" s="7">
        <v>67.502545999999995</v>
      </c>
      <c r="AP607" s="7">
        <v>100</v>
      </c>
      <c r="AQ607" s="7">
        <v>0.59510300000000005</v>
      </c>
      <c r="AR607" s="7">
        <v>59.510272000000001</v>
      </c>
      <c r="AS607" s="7">
        <v>100</v>
      </c>
      <c r="AT607" s="7">
        <v>0.55906999999999996</v>
      </c>
      <c r="AU607" s="7">
        <v>0.71759200000000001</v>
      </c>
      <c r="AV607" s="7">
        <v>55.906958000000003</v>
      </c>
      <c r="AW607" s="7">
        <v>100</v>
      </c>
      <c r="AX607" s="7">
        <v>0.44522499999999998</v>
      </c>
      <c r="AY607" s="7">
        <v>0.65082700000000004</v>
      </c>
      <c r="AZ607" s="7">
        <v>44.522497000000001</v>
      </c>
      <c r="BA607" s="7">
        <v>100</v>
      </c>
      <c r="BB607" s="4" t="s">
        <v>124</v>
      </c>
      <c r="BC607" s="4" t="s">
        <v>124</v>
      </c>
      <c r="BD607" s="4" t="s">
        <v>124</v>
      </c>
      <c r="BE607" s="4" t="s">
        <v>124</v>
      </c>
      <c r="BF607" s="4" t="s">
        <v>124</v>
      </c>
      <c r="BG607" s="4" t="s">
        <v>124</v>
      </c>
      <c r="BH607" s="7">
        <v>0</v>
      </c>
      <c r="BI607" s="7">
        <v>0.98726100000000006</v>
      </c>
      <c r="BJ607" s="7">
        <v>1</v>
      </c>
      <c r="BK607" s="7">
        <v>0.98039200000000004</v>
      </c>
      <c r="BL607" s="7">
        <v>0.98726100000000006</v>
      </c>
      <c r="BM607" s="7">
        <v>1</v>
      </c>
      <c r="BN607" s="7">
        <v>0.98039200000000004</v>
      </c>
      <c r="BO607" s="7">
        <v>0.98</v>
      </c>
      <c r="BP607" s="4" t="s">
        <v>124</v>
      </c>
      <c r="BQ607" s="7">
        <v>0.96875</v>
      </c>
      <c r="BR607" s="7">
        <v>5.1852000000000002E-2</v>
      </c>
      <c r="BS607" s="7">
        <v>49.629629999999999</v>
      </c>
      <c r="BT607" s="7">
        <v>50</v>
      </c>
      <c r="BU607" s="7">
        <v>6.5789E-2</v>
      </c>
      <c r="BV607" s="7">
        <v>46.842104999999997</v>
      </c>
      <c r="BW607" s="7">
        <v>50</v>
      </c>
      <c r="BX607" s="4" t="s">
        <v>124</v>
      </c>
      <c r="BY607" s="4" t="s">
        <v>124</v>
      </c>
      <c r="BZ607" s="4" t="s">
        <v>124</v>
      </c>
      <c r="CA607" s="4" t="s">
        <v>124</v>
      </c>
      <c r="CB607" s="4" t="s">
        <v>124</v>
      </c>
      <c r="CC607" s="4" t="s">
        <v>124</v>
      </c>
      <c r="CD607" s="4" t="s">
        <v>124</v>
      </c>
      <c r="CE607" s="4" t="s">
        <v>124</v>
      </c>
      <c r="CF607" s="4" t="s">
        <v>124</v>
      </c>
      <c r="CG607" s="4" t="s">
        <v>124</v>
      </c>
      <c r="CH607" s="4" t="s">
        <v>124</v>
      </c>
      <c r="CI607" s="4" t="s">
        <v>124</v>
      </c>
      <c r="CJ607" s="4" t="s">
        <v>124</v>
      </c>
      <c r="CK607" s="4" t="s">
        <v>124</v>
      </c>
      <c r="CL607" s="4" t="s">
        <v>124</v>
      </c>
      <c r="CM607" s="4" t="s">
        <v>124</v>
      </c>
      <c r="CN607" s="4" t="s">
        <v>124</v>
      </c>
      <c r="CO607" s="4" t="s">
        <v>124</v>
      </c>
      <c r="CP607" s="4" t="s">
        <v>124</v>
      </c>
      <c r="CQ607" s="7">
        <v>0.55223900000000004</v>
      </c>
      <c r="CR607" s="7">
        <v>1.0151520000000001</v>
      </c>
      <c r="CS607" s="7">
        <v>36.815919999999998</v>
      </c>
      <c r="CT607" s="7">
        <v>50</v>
      </c>
      <c r="CU607" s="4" t="s">
        <v>124</v>
      </c>
      <c r="CV607" s="4" t="s">
        <v>124</v>
      </c>
      <c r="CW607" s="4" t="s">
        <v>124</v>
      </c>
      <c r="CX607" s="4" t="s">
        <v>124</v>
      </c>
      <c r="CY607" s="4" t="s">
        <v>124</v>
      </c>
      <c r="CZ607" s="4" t="s">
        <v>124</v>
      </c>
      <c r="DA607" s="7">
        <v>15.314097</v>
      </c>
      <c r="DB607" s="7">
        <v>17.400950000000002</v>
      </c>
      <c r="DC607" s="7">
        <v>16.332519999999999</v>
      </c>
      <c r="DD607" s="4" t="s">
        <v>124</v>
      </c>
      <c r="DE607" s="7">
        <v>1</v>
      </c>
      <c r="DF607" s="6"/>
      <c r="DG607" s="6"/>
      <c r="DH607" s="6"/>
      <c r="DI607" s="6"/>
      <c r="DJ607" s="7">
        <v>0</v>
      </c>
      <c r="DK607" s="7">
        <v>0</v>
      </c>
      <c r="DL607" s="7">
        <v>0</v>
      </c>
      <c r="DM607" s="7">
        <v>0</v>
      </c>
      <c r="DN607" s="7">
        <v>0</v>
      </c>
      <c r="DO607" s="7">
        <v>0</v>
      </c>
      <c r="DP607" s="6"/>
      <c r="DQ607" s="4" t="s">
        <v>125</v>
      </c>
    </row>
    <row r="608" spans="1:121" ht="20" customHeight="1" x14ac:dyDescent="0.15">
      <c r="A608" s="5">
        <v>2018</v>
      </c>
      <c r="B608" s="3" t="s">
        <v>137</v>
      </c>
      <c r="C608" s="4" t="str">
        <f t="shared" ref="C608:C619" si="221">"0840011"</f>
        <v>0840011</v>
      </c>
      <c r="D608" s="4" t="s">
        <v>765</v>
      </c>
      <c r="E608" s="4" t="str">
        <f>"0845111"</f>
        <v>0845111</v>
      </c>
      <c r="F608" s="4" t="s">
        <v>327</v>
      </c>
      <c r="G608" s="7">
        <v>6</v>
      </c>
      <c r="H608" s="7">
        <v>8</v>
      </c>
      <c r="I608" s="4" t="s">
        <v>329</v>
      </c>
      <c r="J608" s="4" t="s">
        <v>330</v>
      </c>
      <c r="K608" s="7">
        <v>640.36938299999997</v>
      </c>
      <c r="L608" s="7">
        <v>900</v>
      </c>
      <c r="M608" s="7">
        <v>71.152153999999996</v>
      </c>
      <c r="N608" s="7">
        <v>3</v>
      </c>
      <c r="O608" s="7">
        <v>1</v>
      </c>
      <c r="P608" s="7">
        <v>73.698482999999996</v>
      </c>
      <c r="Q608" s="7">
        <v>49.132322000000002</v>
      </c>
      <c r="R608" s="7">
        <v>50</v>
      </c>
      <c r="S608" s="7">
        <v>62.711070999999997</v>
      </c>
      <c r="T608" s="7">
        <v>75</v>
      </c>
      <c r="U608" s="7">
        <v>41.807380999999999</v>
      </c>
      <c r="V608" s="7">
        <v>50</v>
      </c>
      <c r="W608" s="7">
        <v>67.850457000000006</v>
      </c>
      <c r="X608" s="7">
        <v>45.233637999999999</v>
      </c>
      <c r="Y608" s="7">
        <v>50</v>
      </c>
      <c r="Z608" s="7">
        <v>74.116332</v>
      </c>
      <c r="AA608" s="7">
        <v>56.432640999999997</v>
      </c>
      <c r="AB608" s="7">
        <v>37.621760000000002</v>
      </c>
      <c r="AC608" s="7">
        <v>50</v>
      </c>
      <c r="AD608" s="7">
        <v>70.602023000000003</v>
      </c>
      <c r="AE608" s="7">
        <v>47.068015000000003</v>
      </c>
      <c r="AF608" s="7">
        <v>50</v>
      </c>
      <c r="AG608" s="7">
        <v>63.005780999999999</v>
      </c>
      <c r="AH608" s="7">
        <v>74.400143999999997</v>
      </c>
      <c r="AI608" s="7">
        <v>42.003853999999997</v>
      </c>
      <c r="AJ608" s="7">
        <v>50</v>
      </c>
      <c r="AK608" s="7">
        <v>12.28</v>
      </c>
      <c r="AL608" s="7">
        <v>17.68</v>
      </c>
      <c r="AM608" s="7">
        <v>11.39</v>
      </c>
      <c r="AN608" s="7">
        <v>0.61562600000000001</v>
      </c>
      <c r="AO608" s="7">
        <v>61.562614000000004</v>
      </c>
      <c r="AP608" s="7">
        <v>100</v>
      </c>
      <c r="AQ608" s="7">
        <v>0.49488500000000002</v>
      </c>
      <c r="AR608" s="7">
        <v>49.488480000000003</v>
      </c>
      <c r="AS608" s="7">
        <v>100</v>
      </c>
      <c r="AT608" s="7">
        <v>0.56474500000000005</v>
      </c>
      <c r="AU608" s="7">
        <v>0.64168700000000001</v>
      </c>
      <c r="AV608" s="7">
        <v>56.474519000000001</v>
      </c>
      <c r="AW608" s="7">
        <v>100</v>
      </c>
      <c r="AX608" s="7">
        <v>0.43895499999999998</v>
      </c>
      <c r="AY608" s="7">
        <v>0.52364900000000003</v>
      </c>
      <c r="AZ608" s="7">
        <v>43.895465000000002</v>
      </c>
      <c r="BA608" s="7">
        <v>100</v>
      </c>
      <c r="BB608" s="4" t="s">
        <v>124</v>
      </c>
      <c r="BC608" s="4" t="s">
        <v>124</v>
      </c>
      <c r="BD608" s="4" t="s">
        <v>124</v>
      </c>
      <c r="BE608" s="4" t="s">
        <v>124</v>
      </c>
      <c r="BF608" s="4" t="s">
        <v>124</v>
      </c>
      <c r="BG608" s="4" t="s">
        <v>124</v>
      </c>
      <c r="BH608" s="7">
        <v>0</v>
      </c>
      <c r="BI608" s="7">
        <v>0.98746900000000004</v>
      </c>
      <c r="BJ608" s="7">
        <v>0.98581600000000003</v>
      </c>
      <c r="BK608" s="7">
        <v>0.98837200000000003</v>
      </c>
      <c r="BL608" s="7">
        <v>0.982456</v>
      </c>
      <c r="BM608" s="7">
        <v>0.98581600000000003</v>
      </c>
      <c r="BN608" s="7">
        <v>0.98062000000000005</v>
      </c>
      <c r="BO608" s="7">
        <v>0.99328899999999998</v>
      </c>
      <c r="BP608" s="7">
        <v>1</v>
      </c>
      <c r="BQ608" s="7">
        <v>0.98989899999999997</v>
      </c>
      <c r="BR608" s="7">
        <v>7.5377E-2</v>
      </c>
      <c r="BS608" s="7">
        <v>44.924622999999997</v>
      </c>
      <c r="BT608" s="7">
        <v>50</v>
      </c>
      <c r="BU608" s="7">
        <v>0.147059</v>
      </c>
      <c r="BV608" s="7">
        <v>30.588235000000001</v>
      </c>
      <c r="BW608" s="7">
        <v>50</v>
      </c>
      <c r="BX608" s="4" t="s">
        <v>124</v>
      </c>
      <c r="BY608" s="4" t="s">
        <v>124</v>
      </c>
      <c r="BZ608" s="4" t="s">
        <v>124</v>
      </c>
      <c r="CA608" s="4" t="s">
        <v>124</v>
      </c>
      <c r="CB608" s="4" t="s">
        <v>124</v>
      </c>
      <c r="CC608" s="4" t="s">
        <v>124</v>
      </c>
      <c r="CD608" s="7">
        <v>0.953488</v>
      </c>
      <c r="CE608" s="7">
        <v>50</v>
      </c>
      <c r="CF608" s="7">
        <v>50</v>
      </c>
      <c r="CG608" s="4" t="s">
        <v>124</v>
      </c>
      <c r="CH608" s="4" t="s">
        <v>124</v>
      </c>
      <c r="CI608" s="4" t="s">
        <v>124</v>
      </c>
      <c r="CJ608" s="4" t="s">
        <v>124</v>
      </c>
      <c r="CK608" s="4" t="s">
        <v>124</v>
      </c>
      <c r="CL608" s="4" t="s">
        <v>124</v>
      </c>
      <c r="CM608" s="4" t="s">
        <v>124</v>
      </c>
      <c r="CN608" s="4" t="s">
        <v>124</v>
      </c>
      <c r="CO608" s="4" t="s">
        <v>124</v>
      </c>
      <c r="CP608" s="4" t="s">
        <v>124</v>
      </c>
      <c r="CQ608" s="7">
        <v>0.60852700000000004</v>
      </c>
      <c r="CR608" s="7">
        <v>0.96268699999999996</v>
      </c>
      <c r="CS608" s="7">
        <v>40.568474999999999</v>
      </c>
      <c r="CT608" s="7">
        <v>50</v>
      </c>
      <c r="CU608" s="4" t="s">
        <v>124</v>
      </c>
      <c r="CV608" s="4" t="s">
        <v>124</v>
      </c>
      <c r="CW608" s="4" t="s">
        <v>124</v>
      </c>
      <c r="CX608" s="4" t="s">
        <v>124</v>
      </c>
      <c r="CY608" s="4" t="s">
        <v>124</v>
      </c>
      <c r="CZ608" s="4" t="s">
        <v>124</v>
      </c>
      <c r="DA608" s="7">
        <v>15.314097</v>
      </c>
      <c r="DB608" s="7">
        <v>17.400950000000002</v>
      </c>
      <c r="DC608" s="7">
        <v>16.332519999999999</v>
      </c>
      <c r="DD608" s="4" t="s">
        <v>124</v>
      </c>
      <c r="DE608" s="7">
        <v>1</v>
      </c>
      <c r="DF608" s="6"/>
      <c r="DG608" s="6"/>
      <c r="DH608" s="6"/>
      <c r="DI608" s="6"/>
      <c r="DJ608" s="7">
        <v>0</v>
      </c>
      <c r="DK608" s="7">
        <v>0</v>
      </c>
      <c r="DL608" s="7">
        <v>0</v>
      </c>
      <c r="DM608" s="7">
        <v>0</v>
      </c>
      <c r="DN608" s="7">
        <v>0</v>
      </c>
      <c r="DO608" s="7">
        <v>0</v>
      </c>
      <c r="DP608" s="6"/>
      <c r="DQ608" s="4" t="s">
        <v>125</v>
      </c>
    </row>
    <row r="609" spans="1:121" ht="20" customHeight="1" x14ac:dyDescent="0.15">
      <c r="A609" s="5">
        <v>2018</v>
      </c>
      <c r="B609" s="3" t="s">
        <v>137</v>
      </c>
      <c r="C609" s="4" t="str">
        <f t="shared" si="221"/>
        <v>0840011</v>
      </c>
      <c r="D609" s="4" t="s">
        <v>766</v>
      </c>
      <c r="E609" s="4" t="str">
        <f>"0845211"</f>
        <v>0845211</v>
      </c>
      <c r="F609" s="4" t="s">
        <v>327</v>
      </c>
      <c r="G609" s="7">
        <v>6</v>
      </c>
      <c r="H609" s="7">
        <v>8</v>
      </c>
      <c r="I609" s="6"/>
      <c r="J609" s="4" t="s">
        <v>330</v>
      </c>
      <c r="K609" s="7">
        <v>681.34502399999997</v>
      </c>
      <c r="L609" s="7">
        <v>900</v>
      </c>
      <c r="M609" s="7">
        <v>75.705003000000005</v>
      </c>
      <c r="N609" s="7">
        <v>3</v>
      </c>
      <c r="O609" s="7">
        <v>0</v>
      </c>
      <c r="P609" s="7">
        <v>75.022488999999993</v>
      </c>
      <c r="Q609" s="7">
        <v>50</v>
      </c>
      <c r="R609" s="7">
        <v>50</v>
      </c>
      <c r="S609" s="7">
        <v>64.667625000000001</v>
      </c>
      <c r="T609" s="7">
        <v>75</v>
      </c>
      <c r="U609" s="7">
        <v>43.111750000000001</v>
      </c>
      <c r="V609" s="7">
        <v>50</v>
      </c>
      <c r="W609" s="7">
        <v>71.438270000000003</v>
      </c>
      <c r="X609" s="7">
        <v>47.625512999999998</v>
      </c>
      <c r="Y609" s="7">
        <v>50</v>
      </c>
      <c r="Z609" s="7">
        <v>75</v>
      </c>
      <c r="AA609" s="7">
        <v>57.807910999999997</v>
      </c>
      <c r="AB609" s="7">
        <v>38.538608000000004</v>
      </c>
      <c r="AC609" s="7">
        <v>50</v>
      </c>
      <c r="AD609" s="7">
        <v>72.194356999999997</v>
      </c>
      <c r="AE609" s="7">
        <v>48.129572000000003</v>
      </c>
      <c r="AF609" s="7">
        <v>50</v>
      </c>
      <c r="AG609" s="7">
        <v>60.140309000000002</v>
      </c>
      <c r="AH609" s="7">
        <v>75</v>
      </c>
      <c r="AI609" s="7">
        <v>40.093539</v>
      </c>
      <c r="AJ609" s="7">
        <v>50</v>
      </c>
      <c r="AK609" s="7">
        <v>10.33</v>
      </c>
      <c r="AL609" s="7">
        <v>17.190000000000001</v>
      </c>
      <c r="AM609" s="7">
        <v>14.85</v>
      </c>
      <c r="AN609" s="7">
        <v>0.61015900000000001</v>
      </c>
      <c r="AO609" s="7">
        <v>61.015895</v>
      </c>
      <c r="AP609" s="7">
        <v>100</v>
      </c>
      <c r="AQ609" s="7">
        <v>0.63801600000000003</v>
      </c>
      <c r="AR609" s="7">
        <v>63.801644000000003</v>
      </c>
      <c r="AS609" s="7">
        <v>100</v>
      </c>
      <c r="AT609" s="7">
        <v>0.61602299999999999</v>
      </c>
      <c r="AU609" s="7">
        <v>0.60807199999999995</v>
      </c>
      <c r="AV609" s="7">
        <v>61.602285999999999</v>
      </c>
      <c r="AW609" s="7">
        <v>100</v>
      </c>
      <c r="AX609" s="7">
        <v>0.55081100000000005</v>
      </c>
      <c r="AY609" s="7">
        <v>0.66840200000000005</v>
      </c>
      <c r="AZ609" s="7">
        <v>55.081054000000002</v>
      </c>
      <c r="BA609" s="7">
        <v>100</v>
      </c>
      <c r="BB609" s="4" t="s">
        <v>124</v>
      </c>
      <c r="BC609" s="4" t="s">
        <v>124</v>
      </c>
      <c r="BD609" s="4" t="s">
        <v>124</v>
      </c>
      <c r="BE609" s="4" t="s">
        <v>124</v>
      </c>
      <c r="BF609" s="4" t="s">
        <v>124</v>
      </c>
      <c r="BG609" s="4" t="s">
        <v>124</v>
      </c>
      <c r="BH609" s="7">
        <v>1</v>
      </c>
      <c r="BI609" s="7">
        <v>0.88651000000000002</v>
      </c>
      <c r="BJ609" s="7">
        <v>0.860927</v>
      </c>
      <c r="BK609" s="7">
        <v>0.89873400000000003</v>
      </c>
      <c r="BL609" s="7">
        <v>0.90149900000000005</v>
      </c>
      <c r="BM609" s="7">
        <v>0.860927</v>
      </c>
      <c r="BN609" s="7">
        <v>0.92088599999999998</v>
      </c>
      <c r="BO609" s="7">
        <v>0.76729599999999998</v>
      </c>
      <c r="BP609" s="7">
        <v>0.66666700000000001</v>
      </c>
      <c r="BQ609" s="7">
        <v>0.80701800000000001</v>
      </c>
      <c r="BR609" s="7">
        <v>8.1545000000000006E-2</v>
      </c>
      <c r="BS609" s="7">
        <v>43.690987</v>
      </c>
      <c r="BT609" s="7">
        <v>50</v>
      </c>
      <c r="BU609" s="7">
        <v>0.152174</v>
      </c>
      <c r="BV609" s="7">
        <v>29.565217000000001</v>
      </c>
      <c r="BW609" s="7">
        <v>50</v>
      </c>
      <c r="BX609" s="4" t="s">
        <v>124</v>
      </c>
      <c r="BY609" s="4" t="s">
        <v>124</v>
      </c>
      <c r="BZ609" s="4" t="s">
        <v>124</v>
      </c>
      <c r="CA609" s="4" t="s">
        <v>124</v>
      </c>
      <c r="CB609" s="4" t="s">
        <v>124</v>
      </c>
      <c r="CC609" s="4" t="s">
        <v>124</v>
      </c>
      <c r="CD609" s="7">
        <v>0.95973200000000003</v>
      </c>
      <c r="CE609" s="7">
        <v>50</v>
      </c>
      <c r="CF609" s="7">
        <v>50</v>
      </c>
      <c r="CG609" s="4" t="s">
        <v>124</v>
      </c>
      <c r="CH609" s="4" t="s">
        <v>124</v>
      </c>
      <c r="CI609" s="4" t="s">
        <v>124</v>
      </c>
      <c r="CJ609" s="4" t="s">
        <v>124</v>
      </c>
      <c r="CK609" s="4" t="s">
        <v>124</v>
      </c>
      <c r="CL609" s="4" t="s">
        <v>124</v>
      </c>
      <c r="CM609" s="4" t="s">
        <v>124</v>
      </c>
      <c r="CN609" s="4" t="s">
        <v>124</v>
      </c>
      <c r="CO609" s="4" t="s">
        <v>124</v>
      </c>
      <c r="CP609" s="4" t="s">
        <v>124</v>
      </c>
      <c r="CQ609" s="7">
        <v>0.73633400000000004</v>
      </c>
      <c r="CR609" s="7">
        <v>0.98417699999999997</v>
      </c>
      <c r="CS609" s="7">
        <v>49.08896</v>
      </c>
      <c r="CT609" s="7">
        <v>50</v>
      </c>
      <c r="CU609" s="4" t="s">
        <v>124</v>
      </c>
      <c r="CV609" s="4" t="s">
        <v>124</v>
      </c>
      <c r="CW609" s="4" t="s">
        <v>124</v>
      </c>
      <c r="CX609" s="4" t="s">
        <v>124</v>
      </c>
      <c r="CY609" s="4" t="s">
        <v>124</v>
      </c>
      <c r="CZ609" s="4" t="s">
        <v>124</v>
      </c>
      <c r="DA609" s="7">
        <v>15.314097</v>
      </c>
      <c r="DB609" s="7">
        <v>17.400950000000002</v>
      </c>
      <c r="DC609" s="7">
        <v>16.332519999999999</v>
      </c>
      <c r="DD609" s="4" t="s">
        <v>124</v>
      </c>
      <c r="DE609" s="7">
        <v>1</v>
      </c>
      <c r="DF609" s="6"/>
      <c r="DG609" s="6"/>
      <c r="DH609" s="6"/>
      <c r="DI609" s="6"/>
      <c r="DJ609" s="7">
        <v>0</v>
      </c>
      <c r="DK609" s="7">
        <v>0</v>
      </c>
      <c r="DL609" s="7">
        <v>0</v>
      </c>
      <c r="DM609" s="7">
        <v>0</v>
      </c>
      <c r="DN609" s="7">
        <v>0</v>
      </c>
      <c r="DO609" s="7">
        <v>0</v>
      </c>
      <c r="DP609" s="6"/>
      <c r="DQ609" s="4" t="s">
        <v>125</v>
      </c>
    </row>
    <row r="610" spans="1:121" ht="20" customHeight="1" x14ac:dyDescent="0.15">
      <c r="A610" s="5">
        <v>2018</v>
      </c>
      <c r="B610" s="3" t="s">
        <v>137</v>
      </c>
      <c r="C610" s="4" t="str">
        <f t="shared" si="221"/>
        <v>0840011</v>
      </c>
      <c r="D610" s="4" t="s">
        <v>767</v>
      </c>
      <c r="E610" s="4" t="str">
        <f>"0841911"</f>
        <v>0841911</v>
      </c>
      <c r="F610" s="4" t="s">
        <v>327</v>
      </c>
      <c r="G610" s="4" t="s">
        <v>328</v>
      </c>
      <c r="H610" s="7">
        <v>5</v>
      </c>
      <c r="I610" s="4" t="s">
        <v>329</v>
      </c>
      <c r="J610" s="4" t="s">
        <v>330</v>
      </c>
      <c r="K610" s="7">
        <v>650.69761500000004</v>
      </c>
      <c r="L610" s="7">
        <v>850</v>
      </c>
      <c r="M610" s="7">
        <v>76.552661000000001</v>
      </c>
      <c r="N610" s="7">
        <v>2</v>
      </c>
      <c r="O610" s="7">
        <v>0</v>
      </c>
      <c r="P610" s="7">
        <v>75.580721999999994</v>
      </c>
      <c r="Q610" s="7">
        <v>50</v>
      </c>
      <c r="R610" s="7">
        <v>50</v>
      </c>
      <c r="S610" s="7">
        <v>69.711161000000004</v>
      </c>
      <c r="T610" s="7">
        <v>75</v>
      </c>
      <c r="U610" s="7">
        <v>46.474106999999997</v>
      </c>
      <c r="V610" s="7">
        <v>50</v>
      </c>
      <c r="W610" s="7">
        <v>70.022346999999996</v>
      </c>
      <c r="X610" s="7">
        <v>46.681564999999999</v>
      </c>
      <c r="Y610" s="7">
        <v>50</v>
      </c>
      <c r="Z610" s="7">
        <v>74.064051000000006</v>
      </c>
      <c r="AA610" s="7">
        <v>63.887618000000003</v>
      </c>
      <c r="AB610" s="7">
        <v>42.591745000000003</v>
      </c>
      <c r="AC610" s="7">
        <v>50</v>
      </c>
      <c r="AD610" s="7">
        <v>76.290323000000001</v>
      </c>
      <c r="AE610" s="7">
        <v>50</v>
      </c>
      <c r="AF610" s="7">
        <v>50</v>
      </c>
      <c r="AG610" s="7">
        <v>71.736559</v>
      </c>
      <c r="AH610" s="7">
        <v>75</v>
      </c>
      <c r="AI610" s="7">
        <v>47.824373000000001</v>
      </c>
      <c r="AJ610" s="7">
        <v>50</v>
      </c>
      <c r="AK610" s="7">
        <v>5.28</v>
      </c>
      <c r="AL610" s="7">
        <v>10.17</v>
      </c>
      <c r="AM610" s="7">
        <v>3.26</v>
      </c>
      <c r="AN610" s="7">
        <v>0.67156099999999996</v>
      </c>
      <c r="AO610" s="7">
        <v>67.156052000000003</v>
      </c>
      <c r="AP610" s="7">
        <v>100</v>
      </c>
      <c r="AQ610" s="7">
        <v>0.64961500000000005</v>
      </c>
      <c r="AR610" s="7">
        <v>64.961519999999993</v>
      </c>
      <c r="AS610" s="7">
        <v>100</v>
      </c>
      <c r="AT610" s="7">
        <v>0.66198199999999996</v>
      </c>
      <c r="AU610" s="7">
        <v>0.67823100000000003</v>
      </c>
      <c r="AV610" s="7">
        <v>66.198172999999997</v>
      </c>
      <c r="AW610" s="7">
        <v>100</v>
      </c>
      <c r="AX610" s="7">
        <v>0.56950199999999995</v>
      </c>
      <c r="AY610" s="7">
        <v>0.70540899999999995</v>
      </c>
      <c r="AZ610" s="7">
        <v>56.950156</v>
      </c>
      <c r="BA610" s="7">
        <v>100</v>
      </c>
      <c r="BB610" s="4" t="s">
        <v>124</v>
      </c>
      <c r="BC610" s="4" t="s">
        <v>124</v>
      </c>
      <c r="BD610" s="4" t="s">
        <v>124</v>
      </c>
      <c r="BE610" s="4" t="s">
        <v>124</v>
      </c>
      <c r="BF610" s="4" t="s">
        <v>124</v>
      </c>
      <c r="BG610" s="4" t="s">
        <v>124</v>
      </c>
      <c r="BH610" s="7">
        <v>0</v>
      </c>
      <c r="BI610" s="7">
        <v>1</v>
      </c>
      <c r="BJ610" s="7">
        <v>1</v>
      </c>
      <c r="BK610" s="7">
        <v>1</v>
      </c>
      <c r="BL610" s="7">
        <v>1</v>
      </c>
      <c r="BM610" s="7">
        <v>1</v>
      </c>
      <c r="BN610" s="7">
        <v>1</v>
      </c>
      <c r="BO610" s="7">
        <v>1</v>
      </c>
      <c r="BP610" s="7">
        <v>1</v>
      </c>
      <c r="BQ610" s="7">
        <v>1</v>
      </c>
      <c r="BR610" s="7">
        <v>4.1522000000000003E-2</v>
      </c>
      <c r="BS610" s="7">
        <v>50</v>
      </c>
      <c r="BT610" s="7">
        <v>50</v>
      </c>
      <c r="BU610" s="7">
        <v>5.3762999999999998E-2</v>
      </c>
      <c r="BV610" s="7">
        <v>49.247312000000001</v>
      </c>
      <c r="BW610" s="7">
        <v>50</v>
      </c>
      <c r="BX610" s="4" t="s">
        <v>124</v>
      </c>
      <c r="BY610" s="4" t="s">
        <v>124</v>
      </c>
      <c r="BZ610" s="4" t="s">
        <v>124</v>
      </c>
      <c r="CA610" s="4" t="s">
        <v>124</v>
      </c>
      <c r="CB610" s="4" t="s">
        <v>124</v>
      </c>
      <c r="CC610" s="4" t="s">
        <v>124</v>
      </c>
      <c r="CD610" s="4" t="s">
        <v>124</v>
      </c>
      <c r="CE610" s="4" t="s">
        <v>124</v>
      </c>
      <c r="CF610" s="4" t="s">
        <v>124</v>
      </c>
      <c r="CG610" s="4" t="s">
        <v>124</v>
      </c>
      <c r="CH610" s="4" t="s">
        <v>124</v>
      </c>
      <c r="CI610" s="4" t="s">
        <v>124</v>
      </c>
      <c r="CJ610" s="4" t="s">
        <v>124</v>
      </c>
      <c r="CK610" s="4" t="s">
        <v>124</v>
      </c>
      <c r="CL610" s="4" t="s">
        <v>124</v>
      </c>
      <c r="CM610" s="4" t="s">
        <v>124</v>
      </c>
      <c r="CN610" s="4" t="s">
        <v>124</v>
      </c>
      <c r="CO610" s="4" t="s">
        <v>124</v>
      </c>
      <c r="CP610" s="4" t="s">
        <v>124</v>
      </c>
      <c r="CQ610" s="7">
        <v>0.189189</v>
      </c>
      <c r="CR610" s="7">
        <v>0.97368399999999999</v>
      </c>
      <c r="CS610" s="7">
        <v>12.612613</v>
      </c>
      <c r="CT610" s="7">
        <v>50</v>
      </c>
      <c r="CU610" s="4" t="s">
        <v>124</v>
      </c>
      <c r="CV610" s="4" t="s">
        <v>124</v>
      </c>
      <c r="CW610" s="4" t="s">
        <v>124</v>
      </c>
      <c r="CX610" s="4" t="s">
        <v>124</v>
      </c>
      <c r="CY610" s="4" t="s">
        <v>124</v>
      </c>
      <c r="CZ610" s="4" t="s">
        <v>124</v>
      </c>
      <c r="DA610" s="7">
        <v>15.314097</v>
      </c>
      <c r="DB610" s="7">
        <v>17.400950000000002</v>
      </c>
      <c r="DC610" s="7">
        <v>16.332519999999999</v>
      </c>
      <c r="DD610" s="4" t="s">
        <v>124</v>
      </c>
      <c r="DE610" s="7">
        <v>0</v>
      </c>
      <c r="DF610" s="6"/>
      <c r="DG610" s="6"/>
      <c r="DH610" s="6"/>
      <c r="DI610" s="6"/>
      <c r="DJ610" s="7">
        <v>0</v>
      </c>
      <c r="DK610" s="7">
        <v>0</v>
      </c>
      <c r="DL610" s="7">
        <v>0</v>
      </c>
      <c r="DM610" s="7">
        <v>0</v>
      </c>
      <c r="DN610" s="7">
        <v>0</v>
      </c>
      <c r="DO610" s="7">
        <v>0</v>
      </c>
      <c r="DP610" s="6"/>
      <c r="DQ610" s="4" t="s">
        <v>125</v>
      </c>
    </row>
    <row r="611" spans="1:121" ht="20" customHeight="1" x14ac:dyDescent="0.15">
      <c r="A611" s="5">
        <v>2018</v>
      </c>
      <c r="B611" s="3" t="s">
        <v>137</v>
      </c>
      <c r="C611" s="4" t="str">
        <f t="shared" si="221"/>
        <v>0840011</v>
      </c>
      <c r="D611" s="4" t="s">
        <v>768</v>
      </c>
      <c r="E611" s="4" t="str">
        <f>"0846211"</f>
        <v>0846211</v>
      </c>
      <c r="F611" s="4" t="s">
        <v>327</v>
      </c>
      <c r="G611" s="7">
        <v>9</v>
      </c>
      <c r="H611" s="7">
        <v>12</v>
      </c>
      <c r="I611" s="6"/>
      <c r="J611" s="4" t="s">
        <v>330</v>
      </c>
      <c r="K611" s="7">
        <v>1139.588925</v>
      </c>
      <c r="L611" s="7">
        <v>1450</v>
      </c>
      <c r="M611" s="7">
        <v>78.592339999999993</v>
      </c>
      <c r="N611" s="7">
        <v>2</v>
      </c>
      <c r="O611" s="7">
        <v>0</v>
      </c>
      <c r="P611" s="7">
        <v>59.033332999999999</v>
      </c>
      <c r="Q611" s="7">
        <v>118.066667</v>
      </c>
      <c r="R611" s="7">
        <v>150</v>
      </c>
      <c r="S611" s="7">
        <v>50.867725</v>
      </c>
      <c r="T611" s="7">
        <v>63.626488000000002</v>
      </c>
      <c r="U611" s="7">
        <v>101.73545</v>
      </c>
      <c r="V611" s="7">
        <v>150</v>
      </c>
      <c r="W611" s="7">
        <v>57.42</v>
      </c>
      <c r="X611" s="7">
        <v>114.84</v>
      </c>
      <c r="Y611" s="7">
        <v>150</v>
      </c>
      <c r="Z611" s="7">
        <v>63.25</v>
      </c>
      <c r="AA611" s="7">
        <v>47.055556000000003</v>
      </c>
      <c r="AB611" s="7">
        <v>94.111110999999994</v>
      </c>
      <c r="AC611" s="7">
        <v>150</v>
      </c>
      <c r="AD611" s="7">
        <v>58.999552999999999</v>
      </c>
      <c r="AE611" s="7">
        <v>78.666070000000005</v>
      </c>
      <c r="AF611" s="7">
        <v>100</v>
      </c>
      <c r="AG611" s="7">
        <v>50.533417</v>
      </c>
      <c r="AH611" s="7">
        <v>63.652113999999997</v>
      </c>
      <c r="AI611" s="7">
        <v>67.377889999999994</v>
      </c>
      <c r="AJ611" s="7">
        <v>100</v>
      </c>
      <c r="AK611" s="7">
        <v>12.75</v>
      </c>
      <c r="AL611" s="7">
        <v>16.190000000000001</v>
      </c>
      <c r="AM611" s="7">
        <v>13.11</v>
      </c>
      <c r="AN611" s="4" t="s">
        <v>124</v>
      </c>
      <c r="AO611" s="4" t="s">
        <v>124</v>
      </c>
      <c r="AP611" s="4" t="s">
        <v>124</v>
      </c>
      <c r="AQ611" s="4" t="s">
        <v>124</v>
      </c>
      <c r="AR611" s="4" t="s">
        <v>124</v>
      </c>
      <c r="AS611" s="4" t="s">
        <v>124</v>
      </c>
      <c r="AT611" s="4" t="s">
        <v>124</v>
      </c>
      <c r="AU611" s="4" t="s">
        <v>124</v>
      </c>
      <c r="AV611" s="4" t="s">
        <v>124</v>
      </c>
      <c r="AW611" s="4" t="s">
        <v>124</v>
      </c>
      <c r="AX611" s="4" t="s">
        <v>124</v>
      </c>
      <c r="AY611" s="4" t="s">
        <v>124</v>
      </c>
      <c r="AZ611" s="4" t="s">
        <v>124</v>
      </c>
      <c r="BA611" s="4" t="s">
        <v>124</v>
      </c>
      <c r="BB611" s="4" t="s">
        <v>124</v>
      </c>
      <c r="BC611" s="4" t="s">
        <v>124</v>
      </c>
      <c r="BD611" s="4" t="s">
        <v>124</v>
      </c>
      <c r="BE611" s="4" t="s">
        <v>124</v>
      </c>
      <c r="BF611" s="4" t="s">
        <v>124</v>
      </c>
      <c r="BG611" s="4" t="s">
        <v>124</v>
      </c>
      <c r="BH611" s="7">
        <v>0</v>
      </c>
      <c r="BI611" s="7">
        <v>0.98895</v>
      </c>
      <c r="BJ611" s="7">
        <v>0.98507500000000003</v>
      </c>
      <c r="BK611" s="7">
        <v>0.991228</v>
      </c>
      <c r="BL611" s="7">
        <v>0.98895</v>
      </c>
      <c r="BM611" s="7">
        <v>0.98507500000000003</v>
      </c>
      <c r="BN611" s="7">
        <v>0.991228</v>
      </c>
      <c r="BO611" s="7">
        <v>0.97252700000000003</v>
      </c>
      <c r="BP611" s="7">
        <v>0.95522399999999996</v>
      </c>
      <c r="BQ611" s="7">
        <v>0.98260899999999995</v>
      </c>
      <c r="BR611" s="7">
        <v>0.10977099999999999</v>
      </c>
      <c r="BS611" s="7">
        <v>38.045838000000003</v>
      </c>
      <c r="BT611" s="7">
        <v>50</v>
      </c>
      <c r="BU611" s="7">
        <v>0.17193</v>
      </c>
      <c r="BV611" s="7">
        <v>25.614035000000001</v>
      </c>
      <c r="BW611" s="7">
        <v>50</v>
      </c>
      <c r="BX611" s="7">
        <v>0.91815899999999995</v>
      </c>
      <c r="BY611" s="7">
        <v>50</v>
      </c>
      <c r="BZ611" s="7">
        <v>50</v>
      </c>
      <c r="CA611" s="7">
        <v>0.55498700000000001</v>
      </c>
      <c r="CB611" s="7">
        <v>36.999147000000001</v>
      </c>
      <c r="CC611" s="7">
        <v>50</v>
      </c>
      <c r="CD611" s="7">
        <v>0.91787399999999997</v>
      </c>
      <c r="CE611" s="7">
        <v>48.823106000000003</v>
      </c>
      <c r="CF611" s="7">
        <v>50</v>
      </c>
      <c r="CG611" s="7">
        <v>0.96132600000000001</v>
      </c>
      <c r="CH611" s="7">
        <v>100</v>
      </c>
      <c r="CI611" s="7">
        <v>100</v>
      </c>
      <c r="CJ611" s="7">
        <v>0</v>
      </c>
      <c r="CK611" s="7">
        <v>0.96250000000000002</v>
      </c>
      <c r="CL611" s="7">
        <v>100</v>
      </c>
      <c r="CM611" s="7">
        <v>100</v>
      </c>
      <c r="CN611" s="7">
        <v>0.78651700000000002</v>
      </c>
      <c r="CO611" s="7">
        <v>100</v>
      </c>
      <c r="CP611" s="7">
        <v>100</v>
      </c>
      <c r="CQ611" s="7">
        <v>0.83248699999999998</v>
      </c>
      <c r="CR611" s="7">
        <v>0.84549399999999997</v>
      </c>
      <c r="CS611" s="7">
        <v>25</v>
      </c>
      <c r="CT611" s="7">
        <v>50</v>
      </c>
      <c r="CU611" s="7">
        <v>0.48371500000000001</v>
      </c>
      <c r="CV611" s="7">
        <v>40.309609999999999</v>
      </c>
      <c r="CW611" s="7">
        <v>50</v>
      </c>
      <c r="CX611" s="7">
        <v>0.96250000000000002</v>
      </c>
      <c r="CY611" s="7">
        <v>0.94</v>
      </c>
      <c r="CZ611" s="7">
        <v>-2.2499999999999999E-2</v>
      </c>
      <c r="DA611" s="7">
        <v>15.314097</v>
      </c>
      <c r="DB611" s="7">
        <v>17.400950000000002</v>
      </c>
      <c r="DC611" s="7">
        <v>16.332519999999999</v>
      </c>
      <c r="DD611" s="7">
        <v>7.9891730000000001</v>
      </c>
      <c r="DE611" s="7">
        <v>0</v>
      </c>
      <c r="DF611" s="6"/>
      <c r="DG611" s="6"/>
      <c r="DH611" s="6"/>
      <c r="DI611" s="6"/>
      <c r="DJ611" s="7">
        <v>0</v>
      </c>
      <c r="DK611" s="7">
        <v>0</v>
      </c>
      <c r="DL611" s="7">
        <v>0</v>
      </c>
      <c r="DM611" s="7">
        <v>0</v>
      </c>
      <c r="DN611" s="7">
        <v>0</v>
      </c>
      <c r="DO611" s="7">
        <v>0</v>
      </c>
      <c r="DP611" s="6"/>
      <c r="DQ611" s="4" t="s">
        <v>125</v>
      </c>
    </row>
    <row r="612" spans="1:121" ht="20" customHeight="1" x14ac:dyDescent="0.15">
      <c r="A612" s="5">
        <v>2018</v>
      </c>
      <c r="B612" s="3" t="s">
        <v>137</v>
      </c>
      <c r="C612" s="4" t="str">
        <f t="shared" si="221"/>
        <v>0840011</v>
      </c>
      <c r="D612" s="4" t="s">
        <v>769</v>
      </c>
      <c r="E612" s="4" t="str">
        <f>"0846311"</f>
        <v>0846311</v>
      </c>
      <c r="F612" s="4" t="s">
        <v>327</v>
      </c>
      <c r="G612" s="7">
        <v>9</v>
      </c>
      <c r="H612" s="7">
        <v>12</v>
      </c>
      <c r="I612" s="6"/>
      <c r="J612" s="4" t="s">
        <v>330</v>
      </c>
      <c r="K612" s="7">
        <v>1210.3171709999999</v>
      </c>
      <c r="L612" s="7">
        <v>1450</v>
      </c>
      <c r="M612" s="7">
        <v>83.470150000000004</v>
      </c>
      <c r="N612" s="7">
        <v>2</v>
      </c>
      <c r="O612" s="7">
        <v>0</v>
      </c>
      <c r="P612" s="7">
        <v>61.825508999999997</v>
      </c>
      <c r="Q612" s="7">
        <v>123.651017</v>
      </c>
      <c r="R612" s="7">
        <v>150</v>
      </c>
      <c r="S612" s="7">
        <v>55.585647999999999</v>
      </c>
      <c r="T612" s="7">
        <v>65.01182</v>
      </c>
      <c r="U612" s="7">
        <v>111.171296</v>
      </c>
      <c r="V612" s="7">
        <v>150</v>
      </c>
      <c r="W612" s="7">
        <v>58.993740000000003</v>
      </c>
      <c r="X612" s="7">
        <v>117.98748000000001</v>
      </c>
      <c r="Y612" s="7">
        <v>150</v>
      </c>
      <c r="Z612" s="7">
        <v>62.619385000000001</v>
      </c>
      <c r="AA612" s="7">
        <v>51.893518999999998</v>
      </c>
      <c r="AB612" s="7">
        <v>103.787037</v>
      </c>
      <c r="AC612" s="7">
        <v>150</v>
      </c>
      <c r="AD612" s="7">
        <v>60.238283000000003</v>
      </c>
      <c r="AE612" s="7">
        <v>80.317710000000005</v>
      </c>
      <c r="AF612" s="7">
        <v>100</v>
      </c>
      <c r="AG612" s="7">
        <v>54.304530999999997</v>
      </c>
      <c r="AH612" s="7">
        <v>63.288732000000003</v>
      </c>
      <c r="AI612" s="7">
        <v>72.406041000000002</v>
      </c>
      <c r="AJ612" s="7">
        <v>100</v>
      </c>
      <c r="AK612" s="7">
        <v>9.42</v>
      </c>
      <c r="AL612" s="7">
        <v>10.72</v>
      </c>
      <c r="AM612" s="7">
        <v>8.98</v>
      </c>
      <c r="AN612" s="4" t="s">
        <v>124</v>
      </c>
      <c r="AO612" s="4" t="s">
        <v>124</v>
      </c>
      <c r="AP612" s="4" t="s">
        <v>124</v>
      </c>
      <c r="AQ612" s="4" t="s">
        <v>124</v>
      </c>
      <c r="AR612" s="4" t="s">
        <v>124</v>
      </c>
      <c r="AS612" s="4" t="s">
        <v>124</v>
      </c>
      <c r="AT612" s="4" t="s">
        <v>124</v>
      </c>
      <c r="AU612" s="4" t="s">
        <v>124</v>
      </c>
      <c r="AV612" s="4" t="s">
        <v>124</v>
      </c>
      <c r="AW612" s="4" t="s">
        <v>124</v>
      </c>
      <c r="AX612" s="4" t="s">
        <v>124</v>
      </c>
      <c r="AY612" s="4" t="s">
        <v>124</v>
      </c>
      <c r="AZ612" s="4" t="s">
        <v>124</v>
      </c>
      <c r="BA612" s="4" t="s">
        <v>124</v>
      </c>
      <c r="BB612" s="4" t="s">
        <v>124</v>
      </c>
      <c r="BC612" s="4" t="s">
        <v>124</v>
      </c>
      <c r="BD612" s="4" t="s">
        <v>124</v>
      </c>
      <c r="BE612" s="4" t="s">
        <v>124</v>
      </c>
      <c r="BF612" s="4" t="s">
        <v>124</v>
      </c>
      <c r="BG612" s="4" t="s">
        <v>124</v>
      </c>
      <c r="BH612" s="7">
        <v>0</v>
      </c>
      <c r="BI612" s="7">
        <v>0.97345099999999996</v>
      </c>
      <c r="BJ612" s="7">
        <v>0.95061700000000005</v>
      </c>
      <c r="BK612" s="7">
        <v>0.98620699999999994</v>
      </c>
      <c r="BL612" s="7">
        <v>0.97345099999999996</v>
      </c>
      <c r="BM612" s="7">
        <v>0.95061700000000005</v>
      </c>
      <c r="BN612" s="7">
        <v>0.98620699999999994</v>
      </c>
      <c r="BO612" s="7">
        <v>0.98672599999999999</v>
      </c>
      <c r="BP612" s="7">
        <v>0.96296300000000001</v>
      </c>
      <c r="BQ612" s="7">
        <v>1</v>
      </c>
      <c r="BR612" s="7">
        <v>0.102975</v>
      </c>
      <c r="BS612" s="7">
        <v>39.405034000000001</v>
      </c>
      <c r="BT612" s="7">
        <v>50</v>
      </c>
      <c r="BU612" s="7">
        <v>0.16140399999999999</v>
      </c>
      <c r="BV612" s="7">
        <v>27.719297999999998</v>
      </c>
      <c r="BW612" s="7">
        <v>50</v>
      </c>
      <c r="BX612" s="7">
        <v>0.93318500000000004</v>
      </c>
      <c r="BY612" s="7">
        <v>50</v>
      </c>
      <c r="BZ612" s="7">
        <v>50</v>
      </c>
      <c r="CA612" s="7">
        <v>0.55233900000000002</v>
      </c>
      <c r="CB612" s="7">
        <v>36.822569000000001</v>
      </c>
      <c r="CC612" s="7">
        <v>50</v>
      </c>
      <c r="CD612" s="7">
        <v>0.93364899999999995</v>
      </c>
      <c r="CE612" s="7">
        <v>49.662196000000002</v>
      </c>
      <c r="CF612" s="7">
        <v>50</v>
      </c>
      <c r="CG612" s="7">
        <v>0.98181799999999997</v>
      </c>
      <c r="CH612" s="7">
        <v>100</v>
      </c>
      <c r="CI612" s="7">
        <v>100</v>
      </c>
      <c r="CJ612" s="7">
        <v>0</v>
      </c>
      <c r="CK612" s="7">
        <v>0.98591499999999999</v>
      </c>
      <c r="CL612" s="7">
        <v>100</v>
      </c>
      <c r="CM612" s="7">
        <v>100</v>
      </c>
      <c r="CN612" s="7">
        <v>0.79908699999999999</v>
      </c>
      <c r="CO612" s="7">
        <v>100</v>
      </c>
      <c r="CP612" s="7">
        <v>100</v>
      </c>
      <c r="CQ612" s="7">
        <v>0.81451600000000002</v>
      </c>
      <c r="CR612" s="7">
        <v>1.1534880000000001</v>
      </c>
      <c r="CS612" s="7">
        <v>50</v>
      </c>
      <c r="CT612" s="7">
        <v>50</v>
      </c>
      <c r="CU612" s="7">
        <v>0.56864999999999999</v>
      </c>
      <c r="CV612" s="7">
        <v>47.38749</v>
      </c>
      <c r="CW612" s="7">
        <v>50</v>
      </c>
      <c r="CX612" s="7">
        <v>0.98591499999999999</v>
      </c>
      <c r="CY612" s="7">
        <v>0.94</v>
      </c>
      <c r="CZ612" s="7">
        <v>-4.5914999999999997E-2</v>
      </c>
      <c r="DA612" s="7">
        <v>15.314097</v>
      </c>
      <c r="DB612" s="7">
        <v>17.400950000000002</v>
      </c>
      <c r="DC612" s="7">
        <v>16.332519999999999</v>
      </c>
      <c r="DD612" s="7">
        <v>7.9891730000000001</v>
      </c>
      <c r="DE612" s="7">
        <v>0</v>
      </c>
      <c r="DF612" s="6"/>
      <c r="DG612" s="6"/>
      <c r="DH612" s="6"/>
      <c r="DI612" s="6"/>
      <c r="DJ612" s="7">
        <v>0</v>
      </c>
      <c r="DK612" s="7">
        <v>0</v>
      </c>
      <c r="DL612" s="7">
        <v>0</v>
      </c>
      <c r="DM612" s="7">
        <v>0</v>
      </c>
      <c r="DN612" s="7">
        <v>0</v>
      </c>
      <c r="DO612" s="7">
        <v>0</v>
      </c>
      <c r="DP612" s="6"/>
      <c r="DQ612" s="4" t="s">
        <v>125</v>
      </c>
    </row>
    <row r="613" spans="1:121" ht="20" customHeight="1" x14ac:dyDescent="0.15">
      <c r="A613" s="5">
        <v>2018</v>
      </c>
      <c r="B613" s="3" t="s">
        <v>137</v>
      </c>
      <c r="C613" s="4" t="str">
        <f t="shared" si="221"/>
        <v>0840011</v>
      </c>
      <c r="D613" s="4" t="s">
        <v>770</v>
      </c>
      <c r="E613" s="4" t="str">
        <f>"0841611"</f>
        <v>0841611</v>
      </c>
      <c r="F613" s="4" t="s">
        <v>327</v>
      </c>
      <c r="G613" s="4" t="s">
        <v>328</v>
      </c>
      <c r="H613" s="7">
        <v>5</v>
      </c>
      <c r="I613" s="6"/>
      <c r="J613" s="4" t="s">
        <v>330</v>
      </c>
      <c r="K613" s="7">
        <v>663.89858600000002</v>
      </c>
      <c r="L613" s="7">
        <v>800</v>
      </c>
      <c r="M613" s="7">
        <v>82.987323000000004</v>
      </c>
      <c r="N613" s="7">
        <v>2</v>
      </c>
      <c r="O613" s="7">
        <v>0</v>
      </c>
      <c r="P613" s="7">
        <v>74.863775000000004</v>
      </c>
      <c r="Q613" s="7">
        <v>49.909182999999999</v>
      </c>
      <c r="R613" s="7">
        <v>50</v>
      </c>
      <c r="S613" s="7">
        <v>67.017366999999993</v>
      </c>
      <c r="T613" s="7">
        <v>75</v>
      </c>
      <c r="U613" s="7">
        <v>44.678243999999999</v>
      </c>
      <c r="V613" s="7">
        <v>50</v>
      </c>
      <c r="W613" s="7">
        <v>75.728713999999997</v>
      </c>
      <c r="X613" s="7">
        <v>50</v>
      </c>
      <c r="Y613" s="7">
        <v>50</v>
      </c>
      <c r="Z613" s="7">
        <v>75</v>
      </c>
      <c r="AA613" s="7">
        <v>68.448890000000006</v>
      </c>
      <c r="AB613" s="7">
        <v>45.632593</v>
      </c>
      <c r="AC613" s="7">
        <v>50</v>
      </c>
      <c r="AD613" s="7">
        <v>81.275806000000003</v>
      </c>
      <c r="AE613" s="7">
        <v>50</v>
      </c>
      <c r="AF613" s="7">
        <v>50</v>
      </c>
      <c r="AG613" s="4" t="s">
        <v>124</v>
      </c>
      <c r="AH613" s="7">
        <v>75</v>
      </c>
      <c r="AI613" s="4" t="s">
        <v>124</v>
      </c>
      <c r="AJ613" s="4" t="s">
        <v>124</v>
      </c>
      <c r="AK613" s="7">
        <v>7.98</v>
      </c>
      <c r="AL613" s="7">
        <v>6.55</v>
      </c>
      <c r="AM613" s="4" t="s">
        <v>124</v>
      </c>
      <c r="AN613" s="7">
        <v>0.77234199999999997</v>
      </c>
      <c r="AO613" s="7">
        <v>77.234232000000006</v>
      </c>
      <c r="AP613" s="7">
        <v>100</v>
      </c>
      <c r="AQ613" s="7">
        <v>0.74892300000000001</v>
      </c>
      <c r="AR613" s="7">
        <v>74.892251000000002</v>
      </c>
      <c r="AS613" s="7">
        <v>100</v>
      </c>
      <c r="AT613" s="7">
        <v>0.77228399999999997</v>
      </c>
      <c r="AU613" s="7">
        <v>0.77236800000000005</v>
      </c>
      <c r="AV613" s="7">
        <v>77.228391999999999</v>
      </c>
      <c r="AW613" s="7">
        <v>100</v>
      </c>
      <c r="AX613" s="7">
        <v>0.78476299999999999</v>
      </c>
      <c r="AY613" s="7">
        <v>0.73346199999999995</v>
      </c>
      <c r="AZ613" s="7">
        <v>78.476284000000007</v>
      </c>
      <c r="BA613" s="7">
        <v>100</v>
      </c>
      <c r="BB613" s="4" t="s">
        <v>124</v>
      </c>
      <c r="BC613" s="4" t="s">
        <v>124</v>
      </c>
      <c r="BD613" s="4" t="s">
        <v>124</v>
      </c>
      <c r="BE613" s="4" t="s">
        <v>124</v>
      </c>
      <c r="BF613" s="4" t="s">
        <v>124</v>
      </c>
      <c r="BG613" s="4" t="s">
        <v>124</v>
      </c>
      <c r="BH613" s="7">
        <v>0</v>
      </c>
      <c r="BI613" s="7">
        <v>0.97541</v>
      </c>
      <c r="BJ613" s="7">
        <v>1</v>
      </c>
      <c r="BK613" s="7">
        <v>0.96250000000000002</v>
      </c>
      <c r="BL613" s="7">
        <v>0.97541</v>
      </c>
      <c r="BM613" s="7">
        <v>1</v>
      </c>
      <c r="BN613" s="7">
        <v>0.96250000000000002</v>
      </c>
      <c r="BO613" s="7">
        <v>0.95555599999999996</v>
      </c>
      <c r="BP613" s="4" t="s">
        <v>124</v>
      </c>
      <c r="BQ613" s="7">
        <v>0.92857100000000004</v>
      </c>
      <c r="BR613" s="7">
        <v>7.3770000000000002E-2</v>
      </c>
      <c r="BS613" s="7">
        <v>45.245902000000001</v>
      </c>
      <c r="BT613" s="7">
        <v>50</v>
      </c>
      <c r="BU613" s="7">
        <v>0.118421</v>
      </c>
      <c r="BV613" s="7">
        <v>36.315789000000002</v>
      </c>
      <c r="BW613" s="7">
        <v>50</v>
      </c>
      <c r="BX613" s="4" t="s">
        <v>124</v>
      </c>
      <c r="BY613" s="4" t="s">
        <v>124</v>
      </c>
      <c r="BZ613" s="4" t="s">
        <v>124</v>
      </c>
      <c r="CA613" s="4" t="s">
        <v>124</v>
      </c>
      <c r="CB613" s="4" t="s">
        <v>124</v>
      </c>
      <c r="CC613" s="4" t="s">
        <v>124</v>
      </c>
      <c r="CD613" s="4" t="s">
        <v>124</v>
      </c>
      <c r="CE613" s="4" t="s">
        <v>124</v>
      </c>
      <c r="CF613" s="4" t="s">
        <v>124</v>
      </c>
      <c r="CG613" s="4" t="s">
        <v>124</v>
      </c>
      <c r="CH613" s="4" t="s">
        <v>124</v>
      </c>
      <c r="CI613" s="4" t="s">
        <v>124</v>
      </c>
      <c r="CJ613" s="4" t="s">
        <v>124</v>
      </c>
      <c r="CK613" s="4" t="s">
        <v>124</v>
      </c>
      <c r="CL613" s="4" t="s">
        <v>124</v>
      </c>
      <c r="CM613" s="4" t="s">
        <v>124</v>
      </c>
      <c r="CN613" s="4" t="s">
        <v>124</v>
      </c>
      <c r="CO613" s="4" t="s">
        <v>124</v>
      </c>
      <c r="CP613" s="4" t="s">
        <v>124</v>
      </c>
      <c r="CQ613" s="7">
        <v>0.51428600000000002</v>
      </c>
      <c r="CR613" s="7">
        <v>0.94594599999999995</v>
      </c>
      <c r="CS613" s="7">
        <v>34.285713999999999</v>
      </c>
      <c r="CT613" s="7">
        <v>50</v>
      </c>
      <c r="CU613" s="4" t="s">
        <v>124</v>
      </c>
      <c r="CV613" s="4" t="s">
        <v>124</v>
      </c>
      <c r="CW613" s="4" t="s">
        <v>124</v>
      </c>
      <c r="CX613" s="4" t="s">
        <v>124</v>
      </c>
      <c r="CY613" s="4" t="s">
        <v>124</v>
      </c>
      <c r="CZ613" s="4" t="s">
        <v>124</v>
      </c>
      <c r="DA613" s="7">
        <v>15.314097</v>
      </c>
      <c r="DB613" s="7">
        <v>17.400950000000002</v>
      </c>
      <c r="DC613" s="7">
        <v>16.332519999999999</v>
      </c>
      <c r="DD613" s="4" t="s">
        <v>124</v>
      </c>
      <c r="DE613" s="7">
        <v>0</v>
      </c>
      <c r="DF613" s="6"/>
      <c r="DG613" s="6"/>
      <c r="DH613" s="6"/>
      <c r="DI613" s="6"/>
      <c r="DJ613" s="7">
        <v>0</v>
      </c>
      <c r="DK613" s="7">
        <v>0</v>
      </c>
      <c r="DL613" s="7">
        <v>0</v>
      </c>
      <c r="DM613" s="7">
        <v>0</v>
      </c>
      <c r="DN613" s="7">
        <v>0</v>
      </c>
      <c r="DO613" s="7">
        <v>0</v>
      </c>
      <c r="DP613" s="6"/>
      <c r="DQ613" s="4" t="s">
        <v>125</v>
      </c>
    </row>
    <row r="614" spans="1:121" ht="20" customHeight="1" x14ac:dyDescent="0.15">
      <c r="A614" s="5">
        <v>2018</v>
      </c>
      <c r="B614" s="3" t="s">
        <v>137</v>
      </c>
      <c r="C614" s="4" t="str">
        <f>"0840011"</f>
        <v>0840011</v>
      </c>
      <c r="D614" s="4" t="s">
        <v>771</v>
      </c>
      <c r="E614" s="4" t="str">
        <f>"0841711"</f>
        <v>0841711</v>
      </c>
      <c r="F614" s="4" t="s">
        <v>327</v>
      </c>
      <c r="G614" s="4" t="s">
        <v>338</v>
      </c>
      <c r="H614" s="7">
        <v>5</v>
      </c>
      <c r="I614" s="6"/>
      <c r="J614" s="4" t="s">
        <v>330</v>
      </c>
      <c r="K614" s="7">
        <v>793.93808899999999</v>
      </c>
      <c r="L614" s="7">
        <v>950</v>
      </c>
      <c r="M614" s="7">
        <v>83.572429999999997</v>
      </c>
      <c r="N614" s="7">
        <v>2</v>
      </c>
      <c r="O614" s="7">
        <v>0</v>
      </c>
      <c r="P614" s="7">
        <v>76.982894999999999</v>
      </c>
      <c r="Q614" s="7">
        <v>50</v>
      </c>
      <c r="R614" s="7">
        <v>50</v>
      </c>
      <c r="S614" s="7">
        <v>67.243151999999995</v>
      </c>
      <c r="T614" s="7">
        <v>75</v>
      </c>
      <c r="U614" s="7">
        <v>44.828767999999997</v>
      </c>
      <c r="V614" s="7">
        <v>50</v>
      </c>
      <c r="W614" s="7">
        <v>73.869073</v>
      </c>
      <c r="X614" s="7">
        <v>49.246048000000002</v>
      </c>
      <c r="Y614" s="7">
        <v>50</v>
      </c>
      <c r="Z614" s="7">
        <v>75</v>
      </c>
      <c r="AA614" s="7">
        <v>65.772013000000001</v>
      </c>
      <c r="AB614" s="7">
        <v>43.848008999999998</v>
      </c>
      <c r="AC614" s="7">
        <v>50</v>
      </c>
      <c r="AD614" s="7">
        <v>72.627880000000005</v>
      </c>
      <c r="AE614" s="7">
        <v>48.418587000000002</v>
      </c>
      <c r="AF614" s="7">
        <v>50</v>
      </c>
      <c r="AG614" s="7">
        <v>68.095237999999995</v>
      </c>
      <c r="AH614" s="7">
        <v>75</v>
      </c>
      <c r="AI614" s="7">
        <v>45.396825</v>
      </c>
      <c r="AJ614" s="7">
        <v>50</v>
      </c>
      <c r="AK614" s="7">
        <v>7.75</v>
      </c>
      <c r="AL614" s="7">
        <v>9.2200000000000006</v>
      </c>
      <c r="AM614" s="7">
        <v>6.9</v>
      </c>
      <c r="AN614" s="7">
        <v>0.70246699999999995</v>
      </c>
      <c r="AO614" s="7">
        <v>70.246725999999995</v>
      </c>
      <c r="AP614" s="7">
        <v>100</v>
      </c>
      <c r="AQ614" s="7">
        <v>0.78282700000000005</v>
      </c>
      <c r="AR614" s="7">
        <v>78.282674999999998</v>
      </c>
      <c r="AS614" s="7">
        <v>100</v>
      </c>
      <c r="AT614" s="7">
        <v>0.67641200000000001</v>
      </c>
      <c r="AU614" s="7">
        <v>0.71444700000000005</v>
      </c>
      <c r="AV614" s="7">
        <v>67.641167999999993</v>
      </c>
      <c r="AW614" s="7">
        <v>100</v>
      </c>
      <c r="AX614" s="7">
        <v>0.78156400000000004</v>
      </c>
      <c r="AY614" s="7">
        <v>0.78340799999999999</v>
      </c>
      <c r="AZ614" s="7">
        <v>78.156356000000002</v>
      </c>
      <c r="BA614" s="7">
        <v>100</v>
      </c>
      <c r="BB614" s="7">
        <v>0.94237000000000004</v>
      </c>
      <c r="BC614" s="7">
        <v>47.118479999999998</v>
      </c>
      <c r="BD614" s="7">
        <v>50</v>
      </c>
      <c r="BE614" s="7">
        <v>0.74888200000000005</v>
      </c>
      <c r="BF614" s="7">
        <v>37.444122999999998</v>
      </c>
      <c r="BG614" s="7">
        <v>50</v>
      </c>
      <c r="BH614" s="7">
        <v>0</v>
      </c>
      <c r="BI614" s="7">
        <v>0.98477199999999998</v>
      </c>
      <c r="BJ614" s="7">
        <v>0.97402599999999995</v>
      </c>
      <c r="BK614" s="7">
        <v>0.99166699999999997</v>
      </c>
      <c r="BL614" s="7">
        <v>0.98477199999999998</v>
      </c>
      <c r="BM614" s="7">
        <v>0.97402599999999995</v>
      </c>
      <c r="BN614" s="7">
        <v>0.99166699999999997</v>
      </c>
      <c r="BO614" s="7">
        <v>0.98275900000000005</v>
      </c>
      <c r="BP614" s="7">
        <v>1</v>
      </c>
      <c r="BQ614" s="7">
        <v>0.97222200000000003</v>
      </c>
      <c r="BR614" s="7">
        <v>4.8257000000000001E-2</v>
      </c>
      <c r="BS614" s="7">
        <v>50</v>
      </c>
      <c r="BT614" s="7">
        <v>50</v>
      </c>
      <c r="BU614" s="7">
        <v>9.8361000000000004E-2</v>
      </c>
      <c r="BV614" s="7">
        <v>40.327869</v>
      </c>
      <c r="BW614" s="7">
        <v>50</v>
      </c>
      <c r="BX614" s="4" t="s">
        <v>124</v>
      </c>
      <c r="BY614" s="4" t="s">
        <v>124</v>
      </c>
      <c r="BZ614" s="4" t="s">
        <v>124</v>
      </c>
      <c r="CA614" s="4" t="s">
        <v>124</v>
      </c>
      <c r="CB614" s="4" t="s">
        <v>124</v>
      </c>
      <c r="CC614" s="4" t="s">
        <v>124</v>
      </c>
      <c r="CD614" s="4" t="s">
        <v>124</v>
      </c>
      <c r="CE614" s="4" t="s">
        <v>124</v>
      </c>
      <c r="CF614" s="4" t="s">
        <v>124</v>
      </c>
      <c r="CG614" s="4" t="s">
        <v>124</v>
      </c>
      <c r="CH614" s="4" t="s">
        <v>124</v>
      </c>
      <c r="CI614" s="4" t="s">
        <v>124</v>
      </c>
      <c r="CJ614" s="4" t="s">
        <v>124</v>
      </c>
      <c r="CK614" s="4" t="s">
        <v>124</v>
      </c>
      <c r="CL614" s="4" t="s">
        <v>124</v>
      </c>
      <c r="CM614" s="4" t="s">
        <v>124</v>
      </c>
      <c r="CN614" s="4" t="s">
        <v>124</v>
      </c>
      <c r="CO614" s="4" t="s">
        <v>124</v>
      </c>
      <c r="CP614" s="4" t="s">
        <v>124</v>
      </c>
      <c r="CQ614" s="7">
        <v>0.644737</v>
      </c>
      <c r="CR614" s="7">
        <v>1</v>
      </c>
      <c r="CS614" s="7">
        <v>42.982455999999999</v>
      </c>
      <c r="CT614" s="7">
        <v>50</v>
      </c>
      <c r="CU614" s="4" t="s">
        <v>124</v>
      </c>
      <c r="CV614" s="4" t="s">
        <v>124</v>
      </c>
      <c r="CW614" s="4" t="s">
        <v>124</v>
      </c>
      <c r="CX614" s="4" t="s">
        <v>124</v>
      </c>
      <c r="CY614" s="4" t="s">
        <v>124</v>
      </c>
      <c r="CZ614" s="4" t="s">
        <v>124</v>
      </c>
      <c r="DA614" s="7">
        <v>15.314097</v>
      </c>
      <c r="DB614" s="7">
        <v>17.400950000000002</v>
      </c>
      <c r="DC614" s="7">
        <v>16.332519999999999</v>
      </c>
      <c r="DD614" s="4" t="s">
        <v>124</v>
      </c>
      <c r="DE614" s="7">
        <v>0</v>
      </c>
      <c r="DF614" s="6"/>
      <c r="DG614" s="6"/>
      <c r="DH614" s="6"/>
      <c r="DI614" s="6"/>
      <c r="DJ614" s="7">
        <v>0</v>
      </c>
      <c r="DK614" s="7">
        <v>0</v>
      </c>
      <c r="DL614" s="7">
        <v>0</v>
      </c>
      <c r="DM614" s="7">
        <v>0</v>
      </c>
      <c r="DN614" s="7">
        <v>0</v>
      </c>
      <c r="DO614" s="7">
        <v>0</v>
      </c>
      <c r="DP614" s="6"/>
      <c r="DQ614" s="4" t="s">
        <v>125</v>
      </c>
    </row>
    <row r="615" spans="1:121" ht="20" customHeight="1" x14ac:dyDescent="0.15">
      <c r="A615" s="5">
        <v>2018</v>
      </c>
      <c r="B615" s="3" t="s">
        <v>137</v>
      </c>
      <c r="C615" s="4" t="str">
        <f t="shared" si="221"/>
        <v>0840011</v>
      </c>
      <c r="D615" s="4" t="s">
        <v>772</v>
      </c>
      <c r="E615" s="4" t="str">
        <f>"0840711"</f>
        <v>0840711</v>
      </c>
      <c r="F615" s="4" t="s">
        <v>327</v>
      </c>
      <c r="G615" s="4" t="s">
        <v>338</v>
      </c>
      <c r="H615" s="7">
        <v>5</v>
      </c>
      <c r="I615" s="4" t="s">
        <v>329</v>
      </c>
      <c r="J615" s="4" t="s">
        <v>330</v>
      </c>
      <c r="K615" s="7">
        <v>731.74486100000001</v>
      </c>
      <c r="L615" s="7">
        <v>950</v>
      </c>
      <c r="M615" s="7">
        <v>77.025774999999996</v>
      </c>
      <c r="N615" s="7">
        <v>2</v>
      </c>
      <c r="O615" s="7">
        <v>0</v>
      </c>
      <c r="P615" s="7">
        <v>73.465933000000007</v>
      </c>
      <c r="Q615" s="7">
        <v>48.977288999999999</v>
      </c>
      <c r="R615" s="7">
        <v>50</v>
      </c>
      <c r="S615" s="7">
        <v>67.510319999999993</v>
      </c>
      <c r="T615" s="7">
        <v>75</v>
      </c>
      <c r="U615" s="7">
        <v>45.006880000000002</v>
      </c>
      <c r="V615" s="7">
        <v>50</v>
      </c>
      <c r="W615" s="7">
        <v>70.176824999999994</v>
      </c>
      <c r="X615" s="7">
        <v>46.784550000000003</v>
      </c>
      <c r="Y615" s="7">
        <v>50</v>
      </c>
      <c r="Z615" s="7">
        <v>75</v>
      </c>
      <c r="AA615" s="7">
        <v>65.116266999999993</v>
      </c>
      <c r="AB615" s="7">
        <v>43.410845000000002</v>
      </c>
      <c r="AC615" s="7">
        <v>50</v>
      </c>
      <c r="AD615" s="7">
        <v>72.678246000000001</v>
      </c>
      <c r="AE615" s="7">
        <v>48.452164000000003</v>
      </c>
      <c r="AF615" s="7">
        <v>50</v>
      </c>
      <c r="AG615" s="7">
        <v>66.627791999999999</v>
      </c>
      <c r="AH615" s="4" t="s">
        <v>124</v>
      </c>
      <c r="AI615" s="7">
        <v>44.418528000000002</v>
      </c>
      <c r="AJ615" s="7">
        <v>50</v>
      </c>
      <c r="AK615" s="7">
        <v>7.48</v>
      </c>
      <c r="AL615" s="7">
        <v>9.8800000000000008</v>
      </c>
      <c r="AM615" s="4" t="s">
        <v>124</v>
      </c>
      <c r="AN615" s="7">
        <v>0.67989500000000003</v>
      </c>
      <c r="AO615" s="7">
        <v>67.989540000000005</v>
      </c>
      <c r="AP615" s="7">
        <v>100</v>
      </c>
      <c r="AQ615" s="7">
        <v>0.708009</v>
      </c>
      <c r="AR615" s="7">
        <v>70.800938000000002</v>
      </c>
      <c r="AS615" s="7">
        <v>100</v>
      </c>
      <c r="AT615" s="7">
        <v>0.63282700000000003</v>
      </c>
      <c r="AU615" s="7">
        <v>0.72944100000000001</v>
      </c>
      <c r="AV615" s="7">
        <v>63.282708999999997</v>
      </c>
      <c r="AW615" s="7">
        <v>100</v>
      </c>
      <c r="AX615" s="7">
        <v>0.69312700000000005</v>
      </c>
      <c r="AY615" s="7">
        <v>0.72367499999999996</v>
      </c>
      <c r="AZ615" s="7">
        <v>69.312736999999998</v>
      </c>
      <c r="BA615" s="7">
        <v>100</v>
      </c>
      <c r="BB615" s="7">
        <v>0.91640100000000002</v>
      </c>
      <c r="BC615" s="7">
        <v>45.820058000000003</v>
      </c>
      <c r="BD615" s="7">
        <v>50</v>
      </c>
      <c r="BE615" s="7">
        <v>0.63995000000000002</v>
      </c>
      <c r="BF615" s="7">
        <v>31.997516999999998</v>
      </c>
      <c r="BG615" s="7">
        <v>50</v>
      </c>
      <c r="BH615" s="7">
        <v>0</v>
      </c>
      <c r="BI615" s="7">
        <v>0.992537</v>
      </c>
      <c r="BJ615" s="7">
        <v>0.98611099999999996</v>
      </c>
      <c r="BK615" s="7">
        <v>1</v>
      </c>
      <c r="BL615" s="7">
        <v>0.992537</v>
      </c>
      <c r="BM615" s="7">
        <v>0.98611099999999996</v>
      </c>
      <c r="BN615" s="7">
        <v>1</v>
      </c>
      <c r="BO615" s="7">
        <v>0.97619</v>
      </c>
      <c r="BP615" s="7">
        <v>0.96296300000000001</v>
      </c>
      <c r="BQ615" s="4" t="s">
        <v>124</v>
      </c>
      <c r="BR615" s="7">
        <v>0.116732</v>
      </c>
      <c r="BS615" s="7">
        <v>36.653695999999997</v>
      </c>
      <c r="BT615" s="7">
        <v>50</v>
      </c>
      <c r="BU615" s="7">
        <v>0.162162</v>
      </c>
      <c r="BV615" s="7">
        <v>27.567568000000001</v>
      </c>
      <c r="BW615" s="7">
        <v>50</v>
      </c>
      <c r="BX615" s="4" t="s">
        <v>124</v>
      </c>
      <c r="BY615" s="4" t="s">
        <v>124</v>
      </c>
      <c r="BZ615" s="4" t="s">
        <v>124</v>
      </c>
      <c r="CA615" s="4" t="s">
        <v>124</v>
      </c>
      <c r="CB615" s="4" t="s">
        <v>124</v>
      </c>
      <c r="CC615" s="4" t="s">
        <v>124</v>
      </c>
      <c r="CD615" s="4" t="s">
        <v>124</v>
      </c>
      <c r="CE615" s="4" t="s">
        <v>124</v>
      </c>
      <c r="CF615" s="4" t="s">
        <v>124</v>
      </c>
      <c r="CG615" s="4" t="s">
        <v>124</v>
      </c>
      <c r="CH615" s="4" t="s">
        <v>124</v>
      </c>
      <c r="CI615" s="4" t="s">
        <v>124</v>
      </c>
      <c r="CJ615" s="4" t="s">
        <v>124</v>
      </c>
      <c r="CK615" s="4" t="s">
        <v>124</v>
      </c>
      <c r="CL615" s="4" t="s">
        <v>124</v>
      </c>
      <c r="CM615" s="4" t="s">
        <v>124</v>
      </c>
      <c r="CN615" s="4" t="s">
        <v>124</v>
      </c>
      <c r="CO615" s="4" t="s">
        <v>124</v>
      </c>
      <c r="CP615" s="4" t="s">
        <v>124</v>
      </c>
      <c r="CQ615" s="7">
        <v>0.61904800000000004</v>
      </c>
      <c r="CR615" s="7">
        <v>0.97674399999999995</v>
      </c>
      <c r="CS615" s="7">
        <v>41.269841</v>
      </c>
      <c r="CT615" s="7">
        <v>50</v>
      </c>
      <c r="CU615" s="4" t="s">
        <v>124</v>
      </c>
      <c r="CV615" s="4" t="s">
        <v>124</v>
      </c>
      <c r="CW615" s="4" t="s">
        <v>124</v>
      </c>
      <c r="CX615" s="4" t="s">
        <v>124</v>
      </c>
      <c r="CY615" s="4" t="s">
        <v>124</v>
      </c>
      <c r="CZ615" s="4" t="s">
        <v>124</v>
      </c>
      <c r="DA615" s="7">
        <v>15.314097</v>
      </c>
      <c r="DB615" s="7">
        <v>17.400950000000002</v>
      </c>
      <c r="DC615" s="7">
        <v>16.332519999999999</v>
      </c>
      <c r="DD615" s="4" t="s">
        <v>124</v>
      </c>
      <c r="DE615" s="7">
        <v>0</v>
      </c>
      <c r="DF615" s="6"/>
      <c r="DG615" s="6"/>
      <c r="DH615" s="6"/>
      <c r="DI615" s="6"/>
      <c r="DJ615" s="7">
        <v>0</v>
      </c>
      <c r="DK615" s="7">
        <v>0</v>
      </c>
      <c r="DL615" s="7">
        <v>0</v>
      </c>
      <c r="DM615" s="7">
        <v>0</v>
      </c>
      <c r="DN615" s="7">
        <v>0</v>
      </c>
      <c r="DO615" s="7">
        <v>0</v>
      </c>
      <c r="DP615" s="6"/>
      <c r="DQ615" s="4" t="s">
        <v>125</v>
      </c>
    </row>
    <row r="616" spans="1:121" ht="20" customHeight="1" x14ac:dyDescent="0.15">
      <c r="A616" s="5">
        <v>2018</v>
      </c>
      <c r="B616" s="3" t="s">
        <v>137</v>
      </c>
      <c r="C616" s="4" t="str">
        <f t="shared" si="221"/>
        <v>0840011</v>
      </c>
      <c r="D616" s="4" t="s">
        <v>773</v>
      </c>
      <c r="E616" s="4" t="str">
        <f>"0840811"</f>
        <v>0840811</v>
      </c>
      <c r="F616" s="4" t="s">
        <v>327</v>
      </c>
      <c r="G616" s="4" t="s">
        <v>328</v>
      </c>
      <c r="H616" s="7">
        <v>5</v>
      </c>
      <c r="I616" s="6"/>
      <c r="J616" s="4" t="s">
        <v>330</v>
      </c>
      <c r="K616" s="7">
        <v>658.69379300000003</v>
      </c>
      <c r="L616" s="7">
        <v>800</v>
      </c>
      <c r="M616" s="7">
        <v>82.336724000000004</v>
      </c>
      <c r="N616" s="7">
        <v>2</v>
      </c>
      <c r="O616" s="7">
        <v>0</v>
      </c>
      <c r="P616" s="7">
        <v>76.270705000000007</v>
      </c>
      <c r="Q616" s="7">
        <v>50</v>
      </c>
      <c r="R616" s="7">
        <v>50</v>
      </c>
      <c r="S616" s="7">
        <v>68.325434000000001</v>
      </c>
      <c r="T616" s="7">
        <v>75</v>
      </c>
      <c r="U616" s="7">
        <v>45.550289999999997</v>
      </c>
      <c r="V616" s="7">
        <v>50</v>
      </c>
      <c r="W616" s="7">
        <v>75.910773000000006</v>
      </c>
      <c r="X616" s="7">
        <v>50</v>
      </c>
      <c r="Y616" s="7">
        <v>50</v>
      </c>
      <c r="Z616" s="7">
        <v>75</v>
      </c>
      <c r="AA616" s="7">
        <v>67.351303000000001</v>
      </c>
      <c r="AB616" s="7">
        <v>44.900869</v>
      </c>
      <c r="AC616" s="7">
        <v>50</v>
      </c>
      <c r="AD616" s="7">
        <v>69.168203000000005</v>
      </c>
      <c r="AE616" s="7">
        <v>46.112135000000002</v>
      </c>
      <c r="AF616" s="7">
        <v>50</v>
      </c>
      <c r="AG616" s="4" t="s">
        <v>124</v>
      </c>
      <c r="AH616" s="7">
        <v>74.995641000000006</v>
      </c>
      <c r="AI616" s="4" t="s">
        <v>124</v>
      </c>
      <c r="AJ616" s="4" t="s">
        <v>124</v>
      </c>
      <c r="AK616" s="7">
        <v>6.67</v>
      </c>
      <c r="AL616" s="7">
        <v>7.64</v>
      </c>
      <c r="AM616" s="4" t="s">
        <v>124</v>
      </c>
      <c r="AN616" s="7">
        <v>0.69138900000000003</v>
      </c>
      <c r="AO616" s="7">
        <v>69.138919000000001</v>
      </c>
      <c r="AP616" s="7">
        <v>100</v>
      </c>
      <c r="AQ616" s="7">
        <v>0.79346799999999995</v>
      </c>
      <c r="AR616" s="7">
        <v>79.346829</v>
      </c>
      <c r="AS616" s="7">
        <v>100</v>
      </c>
      <c r="AT616" s="7">
        <v>0.61728700000000003</v>
      </c>
      <c r="AU616" s="7">
        <v>0.72695799999999999</v>
      </c>
      <c r="AV616" s="7">
        <v>61.728675000000003</v>
      </c>
      <c r="AW616" s="7">
        <v>100</v>
      </c>
      <c r="AX616" s="7">
        <v>0.71006999999999998</v>
      </c>
      <c r="AY616" s="7">
        <v>0.83238800000000002</v>
      </c>
      <c r="AZ616" s="7">
        <v>71.006985</v>
      </c>
      <c r="BA616" s="7">
        <v>100</v>
      </c>
      <c r="BB616" s="4" t="s">
        <v>124</v>
      </c>
      <c r="BC616" s="4" t="s">
        <v>124</v>
      </c>
      <c r="BD616" s="4" t="s">
        <v>124</v>
      </c>
      <c r="BE616" s="4" t="s">
        <v>124</v>
      </c>
      <c r="BF616" s="4" t="s">
        <v>124</v>
      </c>
      <c r="BG616" s="4" t="s">
        <v>124</v>
      </c>
      <c r="BH616" s="7">
        <v>0</v>
      </c>
      <c r="BI616" s="7">
        <v>0.99404800000000004</v>
      </c>
      <c r="BJ616" s="7">
        <v>0.98550700000000002</v>
      </c>
      <c r="BK616" s="7">
        <v>1</v>
      </c>
      <c r="BL616" s="7">
        <v>0.99404800000000004</v>
      </c>
      <c r="BM616" s="7">
        <v>0.98550700000000002</v>
      </c>
      <c r="BN616" s="7">
        <v>1</v>
      </c>
      <c r="BO616" s="7">
        <v>1</v>
      </c>
      <c r="BP616" s="7">
        <v>1</v>
      </c>
      <c r="BQ616" s="7">
        <v>1</v>
      </c>
      <c r="BR616" s="7">
        <v>3.2543999999999997E-2</v>
      </c>
      <c r="BS616" s="7">
        <v>50</v>
      </c>
      <c r="BT616" s="7">
        <v>50</v>
      </c>
      <c r="BU616" s="7">
        <v>6.3635999999999998E-2</v>
      </c>
      <c r="BV616" s="7">
        <v>47.272727000000003</v>
      </c>
      <c r="BW616" s="7">
        <v>50</v>
      </c>
      <c r="BX616" s="4" t="s">
        <v>124</v>
      </c>
      <c r="BY616" s="4" t="s">
        <v>124</v>
      </c>
      <c r="BZ616" s="4" t="s">
        <v>124</v>
      </c>
      <c r="CA616" s="4" t="s">
        <v>124</v>
      </c>
      <c r="CB616" s="4" t="s">
        <v>124</v>
      </c>
      <c r="CC616" s="4" t="s">
        <v>124</v>
      </c>
      <c r="CD616" s="4" t="s">
        <v>124</v>
      </c>
      <c r="CE616" s="4" t="s">
        <v>124</v>
      </c>
      <c r="CF616" s="4" t="s">
        <v>124</v>
      </c>
      <c r="CG616" s="4" t="s">
        <v>124</v>
      </c>
      <c r="CH616" s="4" t="s">
        <v>124</v>
      </c>
      <c r="CI616" s="4" t="s">
        <v>124</v>
      </c>
      <c r="CJ616" s="4" t="s">
        <v>124</v>
      </c>
      <c r="CK616" s="4" t="s">
        <v>124</v>
      </c>
      <c r="CL616" s="4" t="s">
        <v>124</v>
      </c>
      <c r="CM616" s="4" t="s">
        <v>124</v>
      </c>
      <c r="CN616" s="4" t="s">
        <v>124</v>
      </c>
      <c r="CO616" s="4" t="s">
        <v>124</v>
      </c>
      <c r="CP616" s="4" t="s">
        <v>124</v>
      </c>
      <c r="CQ616" s="7">
        <v>0.65454500000000004</v>
      </c>
      <c r="CR616" s="7">
        <v>0.94827600000000001</v>
      </c>
      <c r="CS616" s="7">
        <v>43.636364</v>
      </c>
      <c r="CT616" s="7">
        <v>50</v>
      </c>
      <c r="CU616" s="4" t="s">
        <v>124</v>
      </c>
      <c r="CV616" s="4" t="s">
        <v>124</v>
      </c>
      <c r="CW616" s="4" t="s">
        <v>124</v>
      </c>
      <c r="CX616" s="4" t="s">
        <v>124</v>
      </c>
      <c r="CY616" s="4" t="s">
        <v>124</v>
      </c>
      <c r="CZ616" s="4" t="s">
        <v>124</v>
      </c>
      <c r="DA616" s="7">
        <v>15.314097</v>
      </c>
      <c r="DB616" s="7">
        <v>17.400950000000002</v>
      </c>
      <c r="DC616" s="7">
        <v>16.332519999999999</v>
      </c>
      <c r="DD616" s="4" t="s">
        <v>124</v>
      </c>
      <c r="DE616" s="7">
        <v>0</v>
      </c>
      <c r="DF616" s="6"/>
      <c r="DG616" s="6"/>
      <c r="DH616" s="6"/>
      <c r="DI616" s="6"/>
      <c r="DJ616" s="7">
        <v>0</v>
      </c>
      <c r="DK616" s="7">
        <v>0</v>
      </c>
      <c r="DL616" s="7">
        <v>0</v>
      </c>
      <c r="DM616" s="7">
        <v>0</v>
      </c>
      <c r="DN616" s="7">
        <v>0</v>
      </c>
      <c r="DO616" s="7">
        <v>0</v>
      </c>
      <c r="DP616" s="6"/>
      <c r="DQ616" s="4" t="s">
        <v>125</v>
      </c>
    </row>
    <row r="617" spans="1:121" ht="20" customHeight="1" x14ac:dyDescent="0.15">
      <c r="A617" s="5">
        <v>2018</v>
      </c>
      <c r="B617" s="3" t="s">
        <v>137</v>
      </c>
      <c r="C617" s="4" t="str">
        <f t="shared" si="221"/>
        <v>0840011</v>
      </c>
      <c r="D617" s="4" t="s">
        <v>774</v>
      </c>
      <c r="E617" s="4" t="str">
        <f>"0841811"</f>
        <v>0841811</v>
      </c>
      <c r="F617" s="4" t="s">
        <v>327</v>
      </c>
      <c r="G617" s="4" t="s">
        <v>328</v>
      </c>
      <c r="H617" s="7">
        <v>5</v>
      </c>
      <c r="I617" s="6"/>
      <c r="J617" s="4" t="s">
        <v>330</v>
      </c>
      <c r="K617" s="7">
        <v>667.45754399999998</v>
      </c>
      <c r="L617" s="7">
        <v>850</v>
      </c>
      <c r="M617" s="7">
        <v>78.524417</v>
      </c>
      <c r="N617" s="7">
        <v>2</v>
      </c>
      <c r="O617" s="7">
        <v>0</v>
      </c>
      <c r="P617" s="7">
        <v>78.495835999999997</v>
      </c>
      <c r="Q617" s="7">
        <v>50</v>
      </c>
      <c r="R617" s="7">
        <v>50</v>
      </c>
      <c r="S617" s="7">
        <v>70.231102000000007</v>
      </c>
      <c r="T617" s="7">
        <v>75</v>
      </c>
      <c r="U617" s="7">
        <v>46.820734999999999</v>
      </c>
      <c r="V617" s="7">
        <v>50</v>
      </c>
      <c r="W617" s="7">
        <v>75.030512000000002</v>
      </c>
      <c r="X617" s="7">
        <v>50</v>
      </c>
      <c r="Y617" s="7">
        <v>50</v>
      </c>
      <c r="Z617" s="7">
        <v>75</v>
      </c>
      <c r="AA617" s="7">
        <v>68.410850999999994</v>
      </c>
      <c r="AB617" s="7">
        <v>45.607233999999998</v>
      </c>
      <c r="AC617" s="7">
        <v>50</v>
      </c>
      <c r="AD617" s="7">
        <v>74.023510000000002</v>
      </c>
      <c r="AE617" s="7">
        <v>49.349007</v>
      </c>
      <c r="AF617" s="7">
        <v>50</v>
      </c>
      <c r="AG617" s="7">
        <v>63.230415000000001</v>
      </c>
      <c r="AH617" s="7">
        <v>75</v>
      </c>
      <c r="AI617" s="7">
        <v>42.15361</v>
      </c>
      <c r="AJ617" s="7">
        <v>50</v>
      </c>
      <c r="AK617" s="7">
        <v>4.76</v>
      </c>
      <c r="AL617" s="7">
        <v>6.58</v>
      </c>
      <c r="AM617" s="7">
        <v>11.76</v>
      </c>
      <c r="AN617" s="7">
        <v>0.74832299999999996</v>
      </c>
      <c r="AO617" s="7">
        <v>74.832261000000003</v>
      </c>
      <c r="AP617" s="7">
        <v>100</v>
      </c>
      <c r="AQ617" s="7">
        <v>0.66926200000000002</v>
      </c>
      <c r="AR617" s="7">
        <v>66.926233999999994</v>
      </c>
      <c r="AS617" s="7">
        <v>100</v>
      </c>
      <c r="AT617" s="7">
        <v>0.59127099999999999</v>
      </c>
      <c r="AU617" s="7">
        <v>0.81071300000000002</v>
      </c>
      <c r="AV617" s="7">
        <v>59.127074999999998</v>
      </c>
      <c r="AW617" s="7">
        <v>100</v>
      </c>
      <c r="AX617" s="7">
        <v>0.70974700000000002</v>
      </c>
      <c r="AY617" s="7">
        <v>0.65317899999999995</v>
      </c>
      <c r="AZ617" s="7">
        <v>70.974721000000002</v>
      </c>
      <c r="BA617" s="7">
        <v>100</v>
      </c>
      <c r="BB617" s="4" t="s">
        <v>124</v>
      </c>
      <c r="BC617" s="4" t="s">
        <v>124</v>
      </c>
      <c r="BD617" s="4" t="s">
        <v>124</v>
      </c>
      <c r="BE617" s="4" t="s">
        <v>124</v>
      </c>
      <c r="BF617" s="4" t="s">
        <v>124</v>
      </c>
      <c r="BG617" s="4" t="s">
        <v>124</v>
      </c>
      <c r="BH617" s="7">
        <v>0</v>
      </c>
      <c r="BI617" s="7">
        <v>0.99393900000000002</v>
      </c>
      <c r="BJ617" s="7">
        <v>0.982456</v>
      </c>
      <c r="BK617" s="7">
        <v>1</v>
      </c>
      <c r="BL617" s="7">
        <v>0.99393900000000002</v>
      </c>
      <c r="BM617" s="7">
        <v>0.982456</v>
      </c>
      <c r="BN617" s="7">
        <v>1</v>
      </c>
      <c r="BO617" s="7">
        <v>1</v>
      </c>
      <c r="BP617" s="7">
        <v>1</v>
      </c>
      <c r="BQ617" s="7">
        <v>1</v>
      </c>
      <c r="BR617" s="7">
        <v>2.0906000000000001E-2</v>
      </c>
      <c r="BS617" s="7">
        <v>50</v>
      </c>
      <c r="BT617" s="7">
        <v>50</v>
      </c>
      <c r="BU617" s="7">
        <v>4.1667000000000003E-2</v>
      </c>
      <c r="BV617" s="7">
        <v>50</v>
      </c>
      <c r="BW617" s="7">
        <v>50</v>
      </c>
      <c r="BX617" s="4" t="s">
        <v>124</v>
      </c>
      <c r="BY617" s="4" t="s">
        <v>124</v>
      </c>
      <c r="BZ617" s="4" t="s">
        <v>124</v>
      </c>
      <c r="CA617" s="4" t="s">
        <v>124</v>
      </c>
      <c r="CB617" s="4" t="s">
        <v>124</v>
      </c>
      <c r="CC617" s="4" t="s">
        <v>124</v>
      </c>
      <c r="CD617" s="4" t="s">
        <v>124</v>
      </c>
      <c r="CE617" s="4" t="s">
        <v>124</v>
      </c>
      <c r="CF617" s="4" t="s">
        <v>124</v>
      </c>
      <c r="CG617" s="4" t="s">
        <v>124</v>
      </c>
      <c r="CH617" s="4" t="s">
        <v>124</v>
      </c>
      <c r="CI617" s="4" t="s">
        <v>124</v>
      </c>
      <c r="CJ617" s="4" t="s">
        <v>124</v>
      </c>
      <c r="CK617" s="4" t="s">
        <v>124</v>
      </c>
      <c r="CL617" s="4" t="s">
        <v>124</v>
      </c>
      <c r="CM617" s="4" t="s">
        <v>124</v>
      </c>
      <c r="CN617" s="4" t="s">
        <v>124</v>
      </c>
      <c r="CO617" s="4" t="s">
        <v>124</v>
      </c>
      <c r="CP617" s="4" t="s">
        <v>124</v>
      </c>
      <c r="CQ617" s="7">
        <v>0.7</v>
      </c>
      <c r="CR617" s="7">
        <v>0.625</v>
      </c>
      <c r="CS617" s="7">
        <v>11.666667</v>
      </c>
      <c r="CT617" s="7">
        <v>50</v>
      </c>
      <c r="CU617" s="4" t="s">
        <v>124</v>
      </c>
      <c r="CV617" s="4" t="s">
        <v>124</v>
      </c>
      <c r="CW617" s="4" t="s">
        <v>124</v>
      </c>
      <c r="CX617" s="4" t="s">
        <v>124</v>
      </c>
      <c r="CY617" s="4" t="s">
        <v>124</v>
      </c>
      <c r="CZ617" s="4" t="s">
        <v>124</v>
      </c>
      <c r="DA617" s="7">
        <v>15.314097</v>
      </c>
      <c r="DB617" s="7">
        <v>17.400950000000002</v>
      </c>
      <c r="DC617" s="7">
        <v>16.332519999999999</v>
      </c>
      <c r="DD617" s="4" t="s">
        <v>124</v>
      </c>
      <c r="DE617" s="7">
        <v>0</v>
      </c>
      <c r="DF617" s="6"/>
      <c r="DG617" s="6"/>
      <c r="DH617" s="6"/>
      <c r="DI617" s="6"/>
      <c r="DJ617" s="7">
        <v>0</v>
      </c>
      <c r="DK617" s="7">
        <v>0</v>
      </c>
      <c r="DL617" s="7">
        <v>0</v>
      </c>
      <c r="DM617" s="7">
        <v>0</v>
      </c>
      <c r="DN617" s="7">
        <v>0</v>
      </c>
      <c r="DO617" s="7">
        <v>0</v>
      </c>
      <c r="DP617" s="6"/>
      <c r="DQ617" s="4" t="s">
        <v>125</v>
      </c>
    </row>
    <row r="618" spans="1:121" ht="20" customHeight="1" x14ac:dyDescent="0.15">
      <c r="A618" s="5">
        <v>2018</v>
      </c>
      <c r="B618" s="3" t="s">
        <v>137</v>
      </c>
      <c r="C618" s="4" t="str">
        <f t="shared" si="221"/>
        <v>0840011</v>
      </c>
      <c r="D618" s="4" t="s">
        <v>775</v>
      </c>
      <c r="E618" s="4" t="str">
        <f>"0841011"</f>
        <v>0841011</v>
      </c>
      <c r="F618" s="4" t="s">
        <v>327</v>
      </c>
      <c r="G618" s="4" t="s">
        <v>328</v>
      </c>
      <c r="H618" s="7">
        <v>5</v>
      </c>
      <c r="I618" s="4" t="s">
        <v>329</v>
      </c>
      <c r="J618" s="4" t="s">
        <v>330</v>
      </c>
      <c r="K618" s="7">
        <v>733.85091299999999</v>
      </c>
      <c r="L618" s="7">
        <v>850</v>
      </c>
      <c r="M618" s="7">
        <v>86.335401000000005</v>
      </c>
      <c r="N618" s="7">
        <v>1</v>
      </c>
      <c r="O618" s="7">
        <v>0</v>
      </c>
      <c r="P618" s="7">
        <v>75.400406000000004</v>
      </c>
      <c r="Q618" s="7">
        <v>50</v>
      </c>
      <c r="R618" s="7">
        <v>50</v>
      </c>
      <c r="S618" s="7">
        <v>72.195950999999994</v>
      </c>
      <c r="T618" s="7">
        <v>75</v>
      </c>
      <c r="U618" s="7">
        <v>48.130634000000001</v>
      </c>
      <c r="V618" s="7">
        <v>50</v>
      </c>
      <c r="W618" s="7">
        <v>71.968485999999999</v>
      </c>
      <c r="X618" s="7">
        <v>47.978990000000003</v>
      </c>
      <c r="Y618" s="7">
        <v>50</v>
      </c>
      <c r="Z618" s="7">
        <v>75</v>
      </c>
      <c r="AA618" s="7">
        <v>67.940629999999999</v>
      </c>
      <c r="AB618" s="7">
        <v>45.293753000000002</v>
      </c>
      <c r="AC618" s="7">
        <v>50</v>
      </c>
      <c r="AD618" s="7">
        <v>74.209241000000006</v>
      </c>
      <c r="AE618" s="7">
        <v>49.472828</v>
      </c>
      <c r="AF618" s="7">
        <v>50</v>
      </c>
      <c r="AG618" s="7">
        <v>71.263441</v>
      </c>
      <c r="AH618" s="4" t="s">
        <v>124</v>
      </c>
      <c r="AI618" s="7">
        <v>47.508960999999999</v>
      </c>
      <c r="AJ618" s="7">
        <v>50</v>
      </c>
      <c r="AK618" s="7">
        <v>2.8</v>
      </c>
      <c r="AL618" s="7">
        <v>7.05</v>
      </c>
      <c r="AM618" s="4" t="s">
        <v>124</v>
      </c>
      <c r="AN618" s="7">
        <v>0.80499699999999996</v>
      </c>
      <c r="AO618" s="7">
        <v>80.499695000000003</v>
      </c>
      <c r="AP618" s="7">
        <v>100</v>
      </c>
      <c r="AQ618" s="7">
        <v>0.77922100000000005</v>
      </c>
      <c r="AR618" s="7">
        <v>77.922060999999999</v>
      </c>
      <c r="AS618" s="7">
        <v>100</v>
      </c>
      <c r="AT618" s="7">
        <v>0.77037900000000004</v>
      </c>
      <c r="AU618" s="7">
        <v>0.84653900000000004</v>
      </c>
      <c r="AV618" s="7">
        <v>77.037867000000006</v>
      </c>
      <c r="AW618" s="7">
        <v>100</v>
      </c>
      <c r="AX618" s="7">
        <v>0.76389099999999999</v>
      </c>
      <c r="AY618" s="7">
        <v>0.79761700000000002</v>
      </c>
      <c r="AZ618" s="7">
        <v>76.389054999999999</v>
      </c>
      <c r="BA618" s="7">
        <v>100</v>
      </c>
      <c r="BB618" s="4" t="s">
        <v>124</v>
      </c>
      <c r="BC618" s="4" t="s">
        <v>124</v>
      </c>
      <c r="BD618" s="4" t="s">
        <v>124</v>
      </c>
      <c r="BE618" s="4" t="s">
        <v>124</v>
      </c>
      <c r="BF618" s="4" t="s">
        <v>124</v>
      </c>
      <c r="BG618" s="4" t="s">
        <v>124</v>
      </c>
      <c r="BH618" s="7">
        <v>0</v>
      </c>
      <c r="BI618" s="7">
        <v>1</v>
      </c>
      <c r="BJ618" s="7">
        <v>1</v>
      </c>
      <c r="BK618" s="7">
        <v>1</v>
      </c>
      <c r="BL618" s="7">
        <v>1</v>
      </c>
      <c r="BM618" s="7">
        <v>1</v>
      </c>
      <c r="BN618" s="7">
        <v>1</v>
      </c>
      <c r="BO618" s="7">
        <v>1</v>
      </c>
      <c r="BP618" s="7">
        <v>1</v>
      </c>
      <c r="BQ618" s="4" t="s">
        <v>124</v>
      </c>
      <c r="BR618" s="7">
        <v>4.8889000000000002E-2</v>
      </c>
      <c r="BS618" s="7">
        <v>50</v>
      </c>
      <c r="BT618" s="7">
        <v>50</v>
      </c>
      <c r="BU618" s="7">
        <v>6.7960999999999994E-2</v>
      </c>
      <c r="BV618" s="7">
        <v>46.407767</v>
      </c>
      <c r="BW618" s="7">
        <v>50</v>
      </c>
      <c r="BX618" s="4" t="s">
        <v>124</v>
      </c>
      <c r="BY618" s="4" t="s">
        <v>124</v>
      </c>
      <c r="BZ618" s="4" t="s">
        <v>124</v>
      </c>
      <c r="CA618" s="4" t="s">
        <v>124</v>
      </c>
      <c r="CB618" s="4" t="s">
        <v>124</v>
      </c>
      <c r="CC618" s="4" t="s">
        <v>124</v>
      </c>
      <c r="CD618" s="4" t="s">
        <v>124</v>
      </c>
      <c r="CE618" s="4" t="s">
        <v>124</v>
      </c>
      <c r="CF618" s="4" t="s">
        <v>124</v>
      </c>
      <c r="CG618" s="4" t="s">
        <v>124</v>
      </c>
      <c r="CH618" s="4" t="s">
        <v>124</v>
      </c>
      <c r="CI618" s="4" t="s">
        <v>124</v>
      </c>
      <c r="CJ618" s="4" t="s">
        <v>124</v>
      </c>
      <c r="CK618" s="4" t="s">
        <v>124</v>
      </c>
      <c r="CL618" s="4" t="s">
        <v>124</v>
      </c>
      <c r="CM618" s="4" t="s">
        <v>124</v>
      </c>
      <c r="CN618" s="4" t="s">
        <v>124</v>
      </c>
      <c r="CO618" s="4" t="s">
        <v>124</v>
      </c>
      <c r="CP618" s="4" t="s">
        <v>124</v>
      </c>
      <c r="CQ618" s="7">
        <v>0.55813999999999997</v>
      </c>
      <c r="CR618" s="7">
        <v>0.97727299999999995</v>
      </c>
      <c r="CS618" s="7">
        <v>37.209302000000001</v>
      </c>
      <c r="CT618" s="7">
        <v>50</v>
      </c>
      <c r="CU618" s="4" t="s">
        <v>124</v>
      </c>
      <c r="CV618" s="4" t="s">
        <v>124</v>
      </c>
      <c r="CW618" s="4" t="s">
        <v>124</v>
      </c>
      <c r="CX618" s="4" t="s">
        <v>124</v>
      </c>
      <c r="CY618" s="4" t="s">
        <v>124</v>
      </c>
      <c r="CZ618" s="4" t="s">
        <v>124</v>
      </c>
      <c r="DA618" s="7">
        <v>15.314097</v>
      </c>
      <c r="DB618" s="7">
        <v>17.400950000000002</v>
      </c>
      <c r="DC618" s="7">
        <v>16.332519999999999</v>
      </c>
      <c r="DD618" s="4" t="s">
        <v>124</v>
      </c>
      <c r="DE618" s="7">
        <v>0</v>
      </c>
      <c r="DF618" s="6"/>
      <c r="DG618" s="6"/>
      <c r="DH618" s="4" t="s">
        <v>331</v>
      </c>
      <c r="DI618" s="4" t="s">
        <v>528</v>
      </c>
      <c r="DJ618" s="7">
        <v>0</v>
      </c>
      <c r="DK618" s="7">
        <v>1</v>
      </c>
      <c r="DL618" s="7">
        <v>0</v>
      </c>
      <c r="DM618" s="7">
        <v>1</v>
      </c>
      <c r="DN618" s="7">
        <v>0</v>
      </c>
      <c r="DO618" s="7">
        <v>0</v>
      </c>
      <c r="DP618" s="6"/>
      <c r="DQ618" s="4" t="s">
        <v>125</v>
      </c>
    </row>
    <row r="619" spans="1:121" ht="20" customHeight="1" x14ac:dyDescent="0.15">
      <c r="A619" s="5">
        <v>2018</v>
      </c>
      <c r="B619" s="3" t="s">
        <v>137</v>
      </c>
      <c r="C619" s="4" t="str">
        <f t="shared" si="221"/>
        <v>0840011</v>
      </c>
      <c r="D619" s="4" t="s">
        <v>776</v>
      </c>
      <c r="E619" s="4" t="str">
        <f>"0845311"</f>
        <v>0845311</v>
      </c>
      <c r="F619" s="4" t="s">
        <v>327</v>
      </c>
      <c r="G619" s="7">
        <v>6</v>
      </c>
      <c r="H619" s="7">
        <v>8</v>
      </c>
      <c r="I619" s="4" t="s">
        <v>329</v>
      </c>
      <c r="J619" s="4" t="s">
        <v>330</v>
      </c>
      <c r="K619" s="7">
        <v>686.38155900000004</v>
      </c>
      <c r="L619" s="7">
        <v>900</v>
      </c>
      <c r="M619" s="7">
        <v>76.264617999999999</v>
      </c>
      <c r="N619" s="7">
        <v>2</v>
      </c>
      <c r="O619" s="7">
        <v>0</v>
      </c>
      <c r="P619" s="7">
        <v>72.538549000000003</v>
      </c>
      <c r="Q619" s="7">
        <v>48.359032999999997</v>
      </c>
      <c r="R619" s="7">
        <v>50</v>
      </c>
      <c r="S619" s="7">
        <v>67.328056000000004</v>
      </c>
      <c r="T619" s="7">
        <v>75</v>
      </c>
      <c r="U619" s="7">
        <v>44.885370000000002</v>
      </c>
      <c r="V619" s="7">
        <v>50</v>
      </c>
      <c r="W619" s="7">
        <v>68.346740999999994</v>
      </c>
      <c r="X619" s="7">
        <v>45.564494000000003</v>
      </c>
      <c r="Y619" s="7">
        <v>50</v>
      </c>
      <c r="Z619" s="7">
        <v>74.522623999999993</v>
      </c>
      <c r="AA619" s="7">
        <v>60.540675999999998</v>
      </c>
      <c r="AB619" s="7">
        <v>40.360450999999998</v>
      </c>
      <c r="AC619" s="7">
        <v>50</v>
      </c>
      <c r="AD619" s="7">
        <v>65.595061000000001</v>
      </c>
      <c r="AE619" s="7">
        <v>43.730040000000002</v>
      </c>
      <c r="AF619" s="7">
        <v>50</v>
      </c>
      <c r="AG619" s="7">
        <v>58.899783999999997</v>
      </c>
      <c r="AH619" s="7">
        <v>70.696223000000003</v>
      </c>
      <c r="AI619" s="7">
        <v>39.266522999999999</v>
      </c>
      <c r="AJ619" s="7">
        <v>50</v>
      </c>
      <c r="AK619" s="7">
        <v>7.67</v>
      </c>
      <c r="AL619" s="7">
        <v>13.98</v>
      </c>
      <c r="AM619" s="7">
        <v>11.79</v>
      </c>
      <c r="AN619" s="7">
        <v>0.66728699999999996</v>
      </c>
      <c r="AO619" s="7">
        <v>66.728672000000003</v>
      </c>
      <c r="AP619" s="7">
        <v>100</v>
      </c>
      <c r="AQ619" s="7">
        <v>0.69249799999999995</v>
      </c>
      <c r="AR619" s="7">
        <v>69.249769000000001</v>
      </c>
      <c r="AS619" s="7">
        <v>100</v>
      </c>
      <c r="AT619" s="7">
        <v>0.696044</v>
      </c>
      <c r="AU619" s="7">
        <v>0.64495899999999995</v>
      </c>
      <c r="AV619" s="7">
        <v>69.604400999999996</v>
      </c>
      <c r="AW619" s="7">
        <v>100</v>
      </c>
      <c r="AX619" s="7">
        <v>0.60587599999999997</v>
      </c>
      <c r="AY619" s="7">
        <v>0.75975300000000001</v>
      </c>
      <c r="AZ619" s="7">
        <v>60.587561000000001</v>
      </c>
      <c r="BA619" s="7">
        <v>100</v>
      </c>
      <c r="BB619" s="4" t="s">
        <v>124</v>
      </c>
      <c r="BC619" s="4" t="s">
        <v>124</v>
      </c>
      <c r="BD619" s="4" t="s">
        <v>124</v>
      </c>
      <c r="BE619" s="4" t="s">
        <v>124</v>
      </c>
      <c r="BF619" s="4" t="s">
        <v>124</v>
      </c>
      <c r="BG619" s="4" t="s">
        <v>124</v>
      </c>
      <c r="BH619" s="7">
        <v>0</v>
      </c>
      <c r="BI619" s="7">
        <v>0.99347799999999997</v>
      </c>
      <c r="BJ619" s="7">
        <v>0.99509800000000004</v>
      </c>
      <c r="BK619" s="7">
        <v>0.99218799999999996</v>
      </c>
      <c r="BL619" s="7">
        <v>0.99130399999999996</v>
      </c>
      <c r="BM619" s="7">
        <v>0.99019599999999997</v>
      </c>
      <c r="BN619" s="7">
        <v>0.99218799999999996</v>
      </c>
      <c r="BO619" s="7">
        <v>0.99333300000000002</v>
      </c>
      <c r="BP619" s="7">
        <v>1</v>
      </c>
      <c r="BQ619" s="7">
        <v>0.98823499999999997</v>
      </c>
      <c r="BR619" s="7">
        <v>0.10652200000000001</v>
      </c>
      <c r="BS619" s="7">
        <v>38.695652000000003</v>
      </c>
      <c r="BT619" s="7">
        <v>50</v>
      </c>
      <c r="BU619" s="7">
        <v>0.17857100000000001</v>
      </c>
      <c r="BV619" s="7">
        <v>24.285713999999999</v>
      </c>
      <c r="BW619" s="7">
        <v>50</v>
      </c>
      <c r="BX619" s="4" t="s">
        <v>124</v>
      </c>
      <c r="BY619" s="4" t="s">
        <v>124</v>
      </c>
      <c r="BZ619" s="4" t="s">
        <v>124</v>
      </c>
      <c r="CA619" s="4" t="s">
        <v>124</v>
      </c>
      <c r="CB619" s="4" t="s">
        <v>124</v>
      </c>
      <c r="CC619" s="4" t="s">
        <v>124</v>
      </c>
      <c r="CD619" s="7">
        <v>0.94202900000000001</v>
      </c>
      <c r="CE619" s="7">
        <v>50</v>
      </c>
      <c r="CF619" s="7">
        <v>50</v>
      </c>
      <c r="CG619" s="4" t="s">
        <v>124</v>
      </c>
      <c r="CH619" s="4" t="s">
        <v>124</v>
      </c>
      <c r="CI619" s="4" t="s">
        <v>124</v>
      </c>
      <c r="CJ619" s="4" t="s">
        <v>124</v>
      </c>
      <c r="CK619" s="4" t="s">
        <v>124</v>
      </c>
      <c r="CL619" s="4" t="s">
        <v>124</v>
      </c>
      <c r="CM619" s="4" t="s">
        <v>124</v>
      </c>
      <c r="CN619" s="4" t="s">
        <v>124</v>
      </c>
      <c r="CO619" s="4" t="s">
        <v>124</v>
      </c>
      <c r="CP619" s="4" t="s">
        <v>124</v>
      </c>
      <c r="CQ619" s="7">
        <v>0.67595799999999995</v>
      </c>
      <c r="CR619" s="7">
        <v>0.95666700000000005</v>
      </c>
      <c r="CS619" s="7">
        <v>45.063879</v>
      </c>
      <c r="CT619" s="7">
        <v>50</v>
      </c>
      <c r="CU619" s="4" t="s">
        <v>124</v>
      </c>
      <c r="CV619" s="4" t="s">
        <v>124</v>
      </c>
      <c r="CW619" s="4" t="s">
        <v>124</v>
      </c>
      <c r="CX619" s="4" t="s">
        <v>124</v>
      </c>
      <c r="CY619" s="4" t="s">
        <v>124</v>
      </c>
      <c r="CZ619" s="4" t="s">
        <v>124</v>
      </c>
      <c r="DA619" s="7">
        <v>15.314097</v>
      </c>
      <c r="DB619" s="7">
        <v>17.400950000000002</v>
      </c>
      <c r="DC619" s="7">
        <v>16.332519999999999</v>
      </c>
      <c r="DD619" s="4" t="s">
        <v>124</v>
      </c>
      <c r="DE619" s="7">
        <v>0</v>
      </c>
      <c r="DF619" s="6"/>
      <c r="DG619" s="6"/>
      <c r="DH619" s="6"/>
      <c r="DI619" s="6"/>
      <c r="DJ619" s="7">
        <v>0</v>
      </c>
      <c r="DK619" s="7">
        <v>0</v>
      </c>
      <c r="DL619" s="7">
        <v>0</v>
      </c>
      <c r="DM619" s="7">
        <v>0</v>
      </c>
      <c r="DN619" s="7">
        <v>0</v>
      </c>
      <c r="DO619" s="7">
        <v>0</v>
      </c>
      <c r="DP619" s="6"/>
      <c r="DQ619" s="4" t="s">
        <v>125</v>
      </c>
    </row>
    <row r="620" spans="1:121" ht="20" customHeight="1" x14ac:dyDescent="0.15">
      <c r="A620" s="5">
        <v>2018</v>
      </c>
      <c r="B620" s="3" t="s">
        <v>169</v>
      </c>
      <c r="C620" s="4" t="str">
        <f t="shared" si="44"/>
        <v>0850011</v>
      </c>
      <c r="D620" s="4" t="s">
        <v>777</v>
      </c>
      <c r="E620" s="4" t="str">
        <f>"0850511"</f>
        <v>0850511</v>
      </c>
      <c r="F620" s="4" t="s">
        <v>327</v>
      </c>
      <c r="G620" s="4" t="s">
        <v>338</v>
      </c>
      <c r="H620" s="7">
        <v>5</v>
      </c>
      <c r="I620" s="6"/>
      <c r="J620" s="4" t="s">
        <v>330</v>
      </c>
      <c r="K620" s="7">
        <v>707.24140299999999</v>
      </c>
      <c r="L620" s="7">
        <v>850</v>
      </c>
      <c r="M620" s="7">
        <v>83.204870999999997</v>
      </c>
      <c r="N620" s="7">
        <v>2</v>
      </c>
      <c r="O620" s="7">
        <v>0</v>
      </c>
      <c r="P620" s="7">
        <v>84.520566000000002</v>
      </c>
      <c r="Q620" s="7">
        <v>50</v>
      </c>
      <c r="R620" s="7">
        <v>50</v>
      </c>
      <c r="S620" s="7">
        <v>74.265495000000001</v>
      </c>
      <c r="T620" s="7">
        <v>75</v>
      </c>
      <c r="U620" s="7">
        <v>49.510330000000003</v>
      </c>
      <c r="V620" s="7">
        <v>50</v>
      </c>
      <c r="W620" s="7">
        <v>79.565134999999998</v>
      </c>
      <c r="X620" s="7">
        <v>50</v>
      </c>
      <c r="Y620" s="7">
        <v>50</v>
      </c>
      <c r="Z620" s="7">
        <v>75</v>
      </c>
      <c r="AA620" s="7">
        <v>69.577431000000004</v>
      </c>
      <c r="AB620" s="7">
        <v>46.384954</v>
      </c>
      <c r="AC620" s="7">
        <v>50</v>
      </c>
      <c r="AD620" s="7">
        <v>80.764375999999999</v>
      </c>
      <c r="AE620" s="7">
        <v>50</v>
      </c>
      <c r="AF620" s="7">
        <v>50</v>
      </c>
      <c r="AG620" s="7">
        <v>70.314839000000006</v>
      </c>
      <c r="AH620" s="7">
        <v>75</v>
      </c>
      <c r="AI620" s="7">
        <v>46.876559</v>
      </c>
      <c r="AJ620" s="7">
        <v>50</v>
      </c>
      <c r="AK620" s="7">
        <v>0.73</v>
      </c>
      <c r="AL620" s="7">
        <v>5.42</v>
      </c>
      <c r="AM620" s="7">
        <v>4.68</v>
      </c>
      <c r="AN620" s="7">
        <v>0.714503</v>
      </c>
      <c r="AO620" s="7">
        <v>71.450318999999993</v>
      </c>
      <c r="AP620" s="7">
        <v>100</v>
      </c>
      <c r="AQ620" s="7">
        <v>0.72843500000000005</v>
      </c>
      <c r="AR620" s="7">
        <v>72.843521999999993</v>
      </c>
      <c r="AS620" s="7">
        <v>100</v>
      </c>
      <c r="AT620" s="7">
        <v>0.58908000000000005</v>
      </c>
      <c r="AU620" s="7">
        <v>0.75088500000000002</v>
      </c>
      <c r="AV620" s="7">
        <v>58.907997999999999</v>
      </c>
      <c r="AW620" s="7">
        <v>100</v>
      </c>
      <c r="AX620" s="7">
        <v>0.73065500000000005</v>
      </c>
      <c r="AY620" s="7">
        <v>0.72779099999999997</v>
      </c>
      <c r="AZ620" s="7">
        <v>73.065475000000006</v>
      </c>
      <c r="BA620" s="7">
        <v>100</v>
      </c>
      <c r="BB620" s="4" t="s">
        <v>124</v>
      </c>
      <c r="BC620" s="4" t="s">
        <v>124</v>
      </c>
      <c r="BD620" s="4" t="s">
        <v>124</v>
      </c>
      <c r="BE620" s="4" t="s">
        <v>124</v>
      </c>
      <c r="BF620" s="4" t="s">
        <v>124</v>
      </c>
      <c r="BG620" s="4" t="s">
        <v>124</v>
      </c>
      <c r="BH620" s="7">
        <v>0</v>
      </c>
      <c r="BI620" s="7">
        <v>0.99645399999999995</v>
      </c>
      <c r="BJ620" s="7">
        <v>1</v>
      </c>
      <c r="BK620" s="7">
        <v>0.99536999999999998</v>
      </c>
      <c r="BL620" s="7">
        <v>0.99645399999999995</v>
      </c>
      <c r="BM620" s="7">
        <v>1</v>
      </c>
      <c r="BN620" s="7">
        <v>0.99536999999999998</v>
      </c>
      <c r="BO620" s="7">
        <v>1</v>
      </c>
      <c r="BP620" s="7">
        <v>1</v>
      </c>
      <c r="BQ620" s="7">
        <v>1</v>
      </c>
      <c r="BR620" s="7">
        <v>1.4599000000000001E-2</v>
      </c>
      <c r="BS620" s="7">
        <v>50</v>
      </c>
      <c r="BT620" s="7">
        <v>50</v>
      </c>
      <c r="BU620" s="7">
        <v>3.0075000000000001E-2</v>
      </c>
      <c r="BV620" s="7">
        <v>50</v>
      </c>
      <c r="BW620" s="7">
        <v>50</v>
      </c>
      <c r="BX620" s="4" t="s">
        <v>124</v>
      </c>
      <c r="BY620" s="4" t="s">
        <v>124</v>
      </c>
      <c r="BZ620" s="4" t="s">
        <v>124</v>
      </c>
      <c r="CA620" s="4" t="s">
        <v>124</v>
      </c>
      <c r="CB620" s="4" t="s">
        <v>124</v>
      </c>
      <c r="CC620" s="4" t="s">
        <v>124</v>
      </c>
      <c r="CD620" s="4" t="s">
        <v>124</v>
      </c>
      <c r="CE620" s="4" t="s">
        <v>124</v>
      </c>
      <c r="CF620" s="4" t="s">
        <v>124</v>
      </c>
      <c r="CG620" s="4" t="s">
        <v>124</v>
      </c>
      <c r="CH620" s="4" t="s">
        <v>124</v>
      </c>
      <c r="CI620" s="4" t="s">
        <v>124</v>
      </c>
      <c r="CJ620" s="4" t="s">
        <v>124</v>
      </c>
      <c r="CK620" s="4" t="s">
        <v>124</v>
      </c>
      <c r="CL620" s="4" t="s">
        <v>124</v>
      </c>
      <c r="CM620" s="4" t="s">
        <v>124</v>
      </c>
      <c r="CN620" s="4" t="s">
        <v>124</v>
      </c>
      <c r="CO620" s="4" t="s">
        <v>124</v>
      </c>
      <c r="CP620" s="4" t="s">
        <v>124</v>
      </c>
      <c r="CQ620" s="7">
        <v>0.57303400000000004</v>
      </c>
      <c r="CR620" s="7">
        <v>0.98888900000000002</v>
      </c>
      <c r="CS620" s="7">
        <v>38.202247</v>
      </c>
      <c r="CT620" s="7">
        <v>50</v>
      </c>
      <c r="CU620" s="4" t="s">
        <v>124</v>
      </c>
      <c r="CV620" s="4" t="s">
        <v>124</v>
      </c>
      <c r="CW620" s="4" t="s">
        <v>124</v>
      </c>
      <c r="CX620" s="4" t="s">
        <v>124</v>
      </c>
      <c r="CY620" s="4" t="s">
        <v>124</v>
      </c>
      <c r="CZ620" s="4" t="s">
        <v>124</v>
      </c>
      <c r="DA620" s="7">
        <v>15.314097</v>
      </c>
      <c r="DB620" s="7">
        <v>17.400950000000002</v>
      </c>
      <c r="DC620" s="7">
        <v>16.332519999999999</v>
      </c>
      <c r="DD620" s="4" t="s">
        <v>124</v>
      </c>
      <c r="DE620" s="7">
        <v>0</v>
      </c>
      <c r="DF620" s="6"/>
      <c r="DG620" s="6"/>
      <c r="DH620" s="6"/>
      <c r="DI620" s="6"/>
      <c r="DJ620" s="7">
        <v>0</v>
      </c>
      <c r="DK620" s="7">
        <v>0</v>
      </c>
      <c r="DL620" s="7">
        <v>0</v>
      </c>
      <c r="DM620" s="7">
        <v>0</v>
      </c>
      <c r="DN620" s="7">
        <v>0</v>
      </c>
      <c r="DO620" s="7">
        <v>0</v>
      </c>
      <c r="DP620" s="6"/>
      <c r="DQ620" s="4" t="s">
        <v>125</v>
      </c>
    </row>
    <row r="621" spans="1:121" ht="20" customHeight="1" x14ac:dyDescent="0.15">
      <c r="A621" s="5">
        <v>2018</v>
      </c>
      <c r="B621" s="3" t="s">
        <v>169</v>
      </c>
      <c r="C621" s="4" t="str">
        <f t="shared" ref="C621:C624" si="222">"0850011"</f>
        <v>0850011</v>
      </c>
      <c r="D621" s="4" t="s">
        <v>778</v>
      </c>
      <c r="E621" s="4" t="str">
        <f>"0855211"</f>
        <v>0855211</v>
      </c>
      <c r="F621" s="4" t="s">
        <v>327</v>
      </c>
      <c r="G621" s="7">
        <v>6</v>
      </c>
      <c r="H621" s="7">
        <v>8</v>
      </c>
      <c r="I621" s="6"/>
      <c r="J621" s="4" t="s">
        <v>330</v>
      </c>
      <c r="K621" s="7">
        <v>681.91158199999995</v>
      </c>
      <c r="L621" s="7">
        <v>900</v>
      </c>
      <c r="M621" s="7">
        <v>75.767954000000003</v>
      </c>
      <c r="N621" s="7">
        <v>2</v>
      </c>
      <c r="O621" s="7">
        <v>0</v>
      </c>
      <c r="P621" s="7">
        <v>81.583607000000001</v>
      </c>
      <c r="Q621" s="7">
        <v>50</v>
      </c>
      <c r="R621" s="7">
        <v>50</v>
      </c>
      <c r="S621" s="7">
        <v>69.49888</v>
      </c>
      <c r="T621" s="7">
        <v>75</v>
      </c>
      <c r="U621" s="7">
        <v>46.332586999999997</v>
      </c>
      <c r="V621" s="7">
        <v>50</v>
      </c>
      <c r="W621" s="7">
        <v>73.223937000000006</v>
      </c>
      <c r="X621" s="7">
        <v>48.815958000000002</v>
      </c>
      <c r="Y621" s="7">
        <v>50</v>
      </c>
      <c r="Z621" s="7">
        <v>75</v>
      </c>
      <c r="AA621" s="7">
        <v>60.231034000000001</v>
      </c>
      <c r="AB621" s="7">
        <v>40.154023000000002</v>
      </c>
      <c r="AC621" s="7">
        <v>50</v>
      </c>
      <c r="AD621" s="7">
        <v>75.376650999999995</v>
      </c>
      <c r="AE621" s="7">
        <v>50</v>
      </c>
      <c r="AF621" s="7">
        <v>50</v>
      </c>
      <c r="AG621" s="7">
        <v>66.706239999999994</v>
      </c>
      <c r="AH621" s="7">
        <v>75</v>
      </c>
      <c r="AI621" s="7">
        <v>44.470826000000002</v>
      </c>
      <c r="AJ621" s="7">
        <v>50</v>
      </c>
      <c r="AK621" s="7">
        <v>5.5</v>
      </c>
      <c r="AL621" s="7">
        <v>14.76</v>
      </c>
      <c r="AM621" s="7">
        <v>8.2899999999999991</v>
      </c>
      <c r="AN621" s="7">
        <v>0.66035500000000003</v>
      </c>
      <c r="AO621" s="7">
        <v>66.035511999999997</v>
      </c>
      <c r="AP621" s="7">
        <v>100</v>
      </c>
      <c r="AQ621" s="7">
        <v>0.62412000000000001</v>
      </c>
      <c r="AR621" s="7">
        <v>62.412016999999999</v>
      </c>
      <c r="AS621" s="7">
        <v>100</v>
      </c>
      <c r="AT621" s="7">
        <v>0.58555900000000005</v>
      </c>
      <c r="AU621" s="7">
        <v>0.68419099999999999</v>
      </c>
      <c r="AV621" s="7">
        <v>58.555942000000002</v>
      </c>
      <c r="AW621" s="7">
        <v>100</v>
      </c>
      <c r="AX621" s="7">
        <v>0.49947000000000003</v>
      </c>
      <c r="AY621" s="7">
        <v>0.66353099999999998</v>
      </c>
      <c r="AZ621" s="7">
        <v>49.947037000000002</v>
      </c>
      <c r="BA621" s="7">
        <v>100</v>
      </c>
      <c r="BB621" s="4" t="s">
        <v>124</v>
      </c>
      <c r="BC621" s="4" t="s">
        <v>124</v>
      </c>
      <c r="BD621" s="4" t="s">
        <v>124</v>
      </c>
      <c r="BE621" s="4" t="s">
        <v>124</v>
      </c>
      <c r="BF621" s="4" t="s">
        <v>124</v>
      </c>
      <c r="BG621" s="4" t="s">
        <v>124</v>
      </c>
      <c r="BH621" s="7">
        <v>0</v>
      </c>
      <c r="BI621" s="7">
        <v>0.98948800000000003</v>
      </c>
      <c r="BJ621" s="7">
        <v>0.97499999999999998</v>
      </c>
      <c r="BK621" s="7">
        <v>0.99465199999999998</v>
      </c>
      <c r="BL621" s="7">
        <v>0.98552600000000001</v>
      </c>
      <c r="BM621" s="7">
        <v>0.96499999999999997</v>
      </c>
      <c r="BN621" s="7">
        <v>0.99285699999999999</v>
      </c>
      <c r="BO621" s="7">
        <v>0.98399999999999999</v>
      </c>
      <c r="BP621" s="7">
        <v>0.95714299999999997</v>
      </c>
      <c r="BQ621" s="7">
        <v>0.99444399999999999</v>
      </c>
      <c r="BR621" s="7">
        <v>3.9578000000000002E-2</v>
      </c>
      <c r="BS621" s="7">
        <v>50</v>
      </c>
      <c r="BT621" s="7">
        <v>50</v>
      </c>
      <c r="BU621" s="7">
        <v>6.5989999999999993E-2</v>
      </c>
      <c r="BV621" s="7">
        <v>46.802030000000002</v>
      </c>
      <c r="BW621" s="7">
        <v>50</v>
      </c>
      <c r="BX621" s="4" t="s">
        <v>124</v>
      </c>
      <c r="BY621" s="4" t="s">
        <v>124</v>
      </c>
      <c r="BZ621" s="4" t="s">
        <v>124</v>
      </c>
      <c r="CA621" s="4" t="s">
        <v>124</v>
      </c>
      <c r="CB621" s="4" t="s">
        <v>124</v>
      </c>
      <c r="CC621" s="4" t="s">
        <v>124</v>
      </c>
      <c r="CD621" s="7">
        <v>0.98518499999999998</v>
      </c>
      <c r="CE621" s="7">
        <v>50</v>
      </c>
      <c r="CF621" s="7">
        <v>50</v>
      </c>
      <c r="CG621" s="4" t="s">
        <v>124</v>
      </c>
      <c r="CH621" s="4" t="s">
        <v>124</v>
      </c>
      <c r="CI621" s="4" t="s">
        <v>124</v>
      </c>
      <c r="CJ621" s="4" t="s">
        <v>124</v>
      </c>
      <c r="CK621" s="4" t="s">
        <v>124</v>
      </c>
      <c r="CL621" s="4" t="s">
        <v>124</v>
      </c>
      <c r="CM621" s="4" t="s">
        <v>124</v>
      </c>
      <c r="CN621" s="4" t="s">
        <v>124</v>
      </c>
      <c r="CO621" s="4" t="s">
        <v>124</v>
      </c>
      <c r="CP621" s="4" t="s">
        <v>124</v>
      </c>
      <c r="CQ621" s="7">
        <v>0.55157</v>
      </c>
      <c r="CR621" s="7">
        <v>0.89558199999999999</v>
      </c>
      <c r="CS621" s="7">
        <v>18.385649999999998</v>
      </c>
      <c r="CT621" s="7">
        <v>50</v>
      </c>
      <c r="CU621" s="4" t="s">
        <v>124</v>
      </c>
      <c r="CV621" s="4" t="s">
        <v>124</v>
      </c>
      <c r="CW621" s="4" t="s">
        <v>124</v>
      </c>
      <c r="CX621" s="4" t="s">
        <v>124</v>
      </c>
      <c r="CY621" s="4" t="s">
        <v>124</v>
      </c>
      <c r="CZ621" s="4" t="s">
        <v>124</v>
      </c>
      <c r="DA621" s="7">
        <v>15.314097</v>
      </c>
      <c r="DB621" s="7">
        <v>17.400950000000002</v>
      </c>
      <c r="DC621" s="7">
        <v>16.332519999999999</v>
      </c>
      <c r="DD621" s="4" t="s">
        <v>124</v>
      </c>
      <c r="DE621" s="7">
        <v>0</v>
      </c>
      <c r="DF621" s="6"/>
      <c r="DG621" s="6"/>
      <c r="DH621" s="6"/>
      <c r="DI621" s="6"/>
      <c r="DJ621" s="7">
        <v>0</v>
      </c>
      <c r="DK621" s="7">
        <v>0</v>
      </c>
      <c r="DL621" s="7">
        <v>0</v>
      </c>
      <c r="DM621" s="7">
        <v>0</v>
      </c>
      <c r="DN621" s="7">
        <v>0</v>
      </c>
      <c r="DO621" s="7">
        <v>0</v>
      </c>
      <c r="DP621" s="6"/>
      <c r="DQ621" s="4" t="s">
        <v>125</v>
      </c>
    </row>
    <row r="622" spans="1:121" ht="20" customHeight="1" x14ac:dyDescent="0.15">
      <c r="A622" s="5">
        <v>2018</v>
      </c>
      <c r="B622" s="3" t="s">
        <v>169</v>
      </c>
      <c r="C622" s="4" t="str">
        <f t="shared" si="222"/>
        <v>0850011</v>
      </c>
      <c r="D622" s="4" t="s">
        <v>779</v>
      </c>
      <c r="E622" s="4" t="str">
        <f>"0856111"</f>
        <v>0856111</v>
      </c>
      <c r="F622" s="4" t="s">
        <v>327</v>
      </c>
      <c r="G622" s="7">
        <v>9</v>
      </c>
      <c r="H622" s="7">
        <v>12</v>
      </c>
      <c r="I622" s="6"/>
      <c r="J622" s="4" t="s">
        <v>330</v>
      </c>
      <c r="K622" s="7">
        <v>1226.6051950000001</v>
      </c>
      <c r="L622" s="7">
        <v>1450</v>
      </c>
      <c r="M622" s="7">
        <v>84.593462000000002</v>
      </c>
      <c r="N622" s="7">
        <v>3</v>
      </c>
      <c r="O622" s="7">
        <v>1</v>
      </c>
      <c r="P622" s="7">
        <v>67.351172000000005</v>
      </c>
      <c r="Q622" s="7">
        <v>134.70234500000001</v>
      </c>
      <c r="R622" s="7">
        <v>150</v>
      </c>
      <c r="S622" s="7">
        <v>54.350693999999997</v>
      </c>
      <c r="T622" s="7">
        <v>69.587813999999995</v>
      </c>
      <c r="U622" s="7">
        <v>108.70138900000001</v>
      </c>
      <c r="V622" s="7">
        <v>150</v>
      </c>
      <c r="W622" s="7">
        <v>68.402395999999996</v>
      </c>
      <c r="X622" s="7">
        <v>136.80479099999999</v>
      </c>
      <c r="Y622" s="7">
        <v>150</v>
      </c>
      <c r="Z622" s="7">
        <v>71.598566000000005</v>
      </c>
      <c r="AA622" s="7">
        <v>49.824652999999998</v>
      </c>
      <c r="AB622" s="7">
        <v>99.649305999999996</v>
      </c>
      <c r="AC622" s="7">
        <v>150</v>
      </c>
      <c r="AD622" s="7">
        <v>68.004165</v>
      </c>
      <c r="AE622" s="7">
        <v>90.672219999999996</v>
      </c>
      <c r="AF622" s="7">
        <v>100</v>
      </c>
      <c r="AG622" s="7">
        <v>54.064162000000003</v>
      </c>
      <c r="AH622" s="7">
        <v>70.302781999999993</v>
      </c>
      <c r="AI622" s="7">
        <v>72.085549</v>
      </c>
      <c r="AJ622" s="7">
        <v>100</v>
      </c>
      <c r="AK622" s="7">
        <v>15.23</v>
      </c>
      <c r="AL622" s="7">
        <v>21.77</v>
      </c>
      <c r="AM622" s="7">
        <v>16.23</v>
      </c>
      <c r="AN622" s="4" t="s">
        <v>124</v>
      </c>
      <c r="AO622" s="4" t="s">
        <v>124</v>
      </c>
      <c r="AP622" s="4" t="s">
        <v>124</v>
      </c>
      <c r="AQ622" s="4" t="s">
        <v>124</v>
      </c>
      <c r="AR622" s="4" t="s">
        <v>124</v>
      </c>
      <c r="AS622" s="4" t="s">
        <v>124</v>
      </c>
      <c r="AT622" s="4" t="s">
        <v>124</v>
      </c>
      <c r="AU622" s="4" t="s">
        <v>124</v>
      </c>
      <c r="AV622" s="4" t="s">
        <v>124</v>
      </c>
      <c r="AW622" s="4" t="s">
        <v>124</v>
      </c>
      <c r="AX622" s="4" t="s">
        <v>124</v>
      </c>
      <c r="AY622" s="4" t="s">
        <v>124</v>
      </c>
      <c r="AZ622" s="4" t="s">
        <v>124</v>
      </c>
      <c r="BA622" s="4" t="s">
        <v>124</v>
      </c>
      <c r="BB622" s="4" t="s">
        <v>124</v>
      </c>
      <c r="BC622" s="4" t="s">
        <v>124</v>
      </c>
      <c r="BD622" s="4" t="s">
        <v>124</v>
      </c>
      <c r="BE622" s="4" t="s">
        <v>124</v>
      </c>
      <c r="BF622" s="4" t="s">
        <v>124</v>
      </c>
      <c r="BG622" s="4" t="s">
        <v>124</v>
      </c>
      <c r="BH622" s="7">
        <v>1</v>
      </c>
      <c r="BI622" s="7">
        <v>0.97379899999999997</v>
      </c>
      <c r="BJ622" s="7">
        <v>0.92105300000000001</v>
      </c>
      <c r="BK622" s="7">
        <v>0.98429299999999997</v>
      </c>
      <c r="BL622" s="7">
        <v>0.97379899999999997</v>
      </c>
      <c r="BM622" s="7">
        <v>0.92105300000000001</v>
      </c>
      <c r="BN622" s="7">
        <v>0.98429299999999997</v>
      </c>
      <c r="BO622" s="7">
        <v>0.96943199999999996</v>
      </c>
      <c r="BP622" s="7">
        <v>0.84210499999999999</v>
      </c>
      <c r="BQ622" s="7">
        <v>0.99476399999999998</v>
      </c>
      <c r="BR622" s="7">
        <v>3.8501000000000001E-2</v>
      </c>
      <c r="BS622" s="7">
        <v>50</v>
      </c>
      <c r="BT622" s="7">
        <v>50</v>
      </c>
      <c r="BU622" s="7">
        <v>0.12578600000000001</v>
      </c>
      <c r="BV622" s="7">
        <v>34.842767000000002</v>
      </c>
      <c r="BW622" s="7">
        <v>50</v>
      </c>
      <c r="BX622" s="7">
        <v>0.79094799999999998</v>
      </c>
      <c r="BY622" s="7">
        <v>50</v>
      </c>
      <c r="BZ622" s="7">
        <v>50</v>
      </c>
      <c r="CA622" s="7">
        <v>0.66163799999999995</v>
      </c>
      <c r="CB622" s="7">
        <v>44.109195</v>
      </c>
      <c r="CC622" s="7">
        <v>50</v>
      </c>
      <c r="CD622" s="7">
        <v>0.98540099999999997</v>
      </c>
      <c r="CE622" s="7">
        <v>50</v>
      </c>
      <c r="CF622" s="7">
        <v>50</v>
      </c>
      <c r="CG622" s="7">
        <v>0.97972999999999999</v>
      </c>
      <c r="CH622" s="7">
        <v>100</v>
      </c>
      <c r="CI622" s="7">
        <v>100</v>
      </c>
      <c r="CJ622" s="7">
        <v>0</v>
      </c>
      <c r="CK622" s="7">
        <v>0.97826100000000005</v>
      </c>
      <c r="CL622" s="7">
        <v>100</v>
      </c>
      <c r="CM622" s="7">
        <v>100</v>
      </c>
      <c r="CN622" s="7">
        <v>0.87030700000000005</v>
      </c>
      <c r="CO622" s="7">
        <v>100</v>
      </c>
      <c r="CP622" s="7">
        <v>100</v>
      </c>
      <c r="CQ622" s="7">
        <v>0.44055899999999998</v>
      </c>
      <c r="CR622" s="7">
        <v>1.1485939999999999</v>
      </c>
      <c r="CS622" s="7">
        <v>29.370629000000001</v>
      </c>
      <c r="CT622" s="7">
        <v>50</v>
      </c>
      <c r="CU622" s="7">
        <v>0.308004</v>
      </c>
      <c r="CV622" s="7">
        <v>25.667003999999999</v>
      </c>
      <c r="CW622" s="7">
        <v>50</v>
      </c>
      <c r="CX622" s="7">
        <v>0.97826100000000005</v>
      </c>
      <c r="CY622" s="7">
        <v>0.94</v>
      </c>
      <c r="CZ622" s="7">
        <v>-3.8261000000000003E-2</v>
      </c>
      <c r="DA622" s="7">
        <v>15.314097</v>
      </c>
      <c r="DB622" s="7">
        <v>17.400950000000002</v>
      </c>
      <c r="DC622" s="7">
        <v>16.332519999999999</v>
      </c>
      <c r="DD622" s="7">
        <v>7.9891730000000001</v>
      </c>
      <c r="DE622" s="7">
        <v>1</v>
      </c>
      <c r="DF622" s="6"/>
      <c r="DG622" s="6"/>
      <c r="DH622" s="6"/>
      <c r="DI622" s="6"/>
      <c r="DJ622" s="7">
        <v>0</v>
      </c>
      <c r="DK622" s="7">
        <v>0</v>
      </c>
      <c r="DL622" s="7">
        <v>0</v>
      </c>
      <c r="DM622" s="7">
        <v>0</v>
      </c>
      <c r="DN622" s="7">
        <v>0</v>
      </c>
      <c r="DO622" s="7">
        <v>0</v>
      </c>
      <c r="DP622" s="6"/>
      <c r="DQ622" s="4" t="s">
        <v>125</v>
      </c>
    </row>
    <row r="623" spans="1:121" ht="20" customHeight="1" x14ac:dyDescent="0.15">
      <c r="A623" s="5">
        <v>2018</v>
      </c>
      <c r="B623" s="3" t="s">
        <v>169</v>
      </c>
      <c r="C623" s="4" t="str">
        <f t="shared" si="222"/>
        <v>0850011</v>
      </c>
      <c r="D623" s="4" t="s">
        <v>780</v>
      </c>
      <c r="E623" s="4" t="str">
        <f>"0850111"</f>
        <v>0850111</v>
      </c>
      <c r="F623" s="4" t="s">
        <v>327</v>
      </c>
      <c r="G623" s="4" t="s">
        <v>328</v>
      </c>
      <c r="H623" s="7">
        <v>5</v>
      </c>
      <c r="I623" s="4" t="s">
        <v>329</v>
      </c>
      <c r="J623" s="4" t="s">
        <v>330</v>
      </c>
      <c r="K623" s="7">
        <v>681.090551</v>
      </c>
      <c r="L623" s="7">
        <v>800</v>
      </c>
      <c r="M623" s="7">
        <v>85.136319</v>
      </c>
      <c r="N623" s="7">
        <v>2</v>
      </c>
      <c r="O623" s="7">
        <v>0</v>
      </c>
      <c r="P623" s="7">
        <v>85.409546000000006</v>
      </c>
      <c r="Q623" s="7">
        <v>50</v>
      </c>
      <c r="R623" s="7">
        <v>50</v>
      </c>
      <c r="S623" s="7">
        <v>76.169041000000007</v>
      </c>
      <c r="T623" s="7">
        <v>75</v>
      </c>
      <c r="U623" s="7">
        <v>50</v>
      </c>
      <c r="V623" s="7">
        <v>50</v>
      </c>
      <c r="W623" s="7">
        <v>81.721520999999996</v>
      </c>
      <c r="X623" s="7">
        <v>50</v>
      </c>
      <c r="Y623" s="7">
        <v>50</v>
      </c>
      <c r="Z623" s="7">
        <v>75</v>
      </c>
      <c r="AA623" s="7">
        <v>72.526231999999993</v>
      </c>
      <c r="AB623" s="7">
        <v>48.350822000000001</v>
      </c>
      <c r="AC623" s="7">
        <v>50</v>
      </c>
      <c r="AD623" s="7">
        <v>82.820599999999999</v>
      </c>
      <c r="AE623" s="7">
        <v>50</v>
      </c>
      <c r="AF623" s="7">
        <v>50</v>
      </c>
      <c r="AG623" s="4" t="s">
        <v>124</v>
      </c>
      <c r="AH623" s="7">
        <v>75</v>
      </c>
      <c r="AI623" s="4" t="s">
        <v>124</v>
      </c>
      <c r="AJ623" s="4" t="s">
        <v>124</v>
      </c>
      <c r="AK623" s="7">
        <v>-1.1599999999999999</v>
      </c>
      <c r="AL623" s="7">
        <v>2.4700000000000002</v>
      </c>
      <c r="AM623" s="4" t="s">
        <v>124</v>
      </c>
      <c r="AN623" s="7">
        <v>0.77255799999999997</v>
      </c>
      <c r="AO623" s="7">
        <v>77.255837</v>
      </c>
      <c r="AP623" s="7">
        <v>100</v>
      </c>
      <c r="AQ623" s="7">
        <v>0.83871399999999996</v>
      </c>
      <c r="AR623" s="7">
        <v>83.871414999999999</v>
      </c>
      <c r="AS623" s="7">
        <v>100</v>
      </c>
      <c r="AT623" s="7">
        <v>0.67615199999999998</v>
      </c>
      <c r="AU623" s="7">
        <v>0.80991599999999997</v>
      </c>
      <c r="AV623" s="7">
        <v>67.615172000000001</v>
      </c>
      <c r="AW623" s="7">
        <v>100</v>
      </c>
      <c r="AX623" s="7">
        <v>0.83626900000000004</v>
      </c>
      <c r="AY623" s="7">
        <v>0.83966200000000002</v>
      </c>
      <c r="AZ623" s="7">
        <v>83.626935000000003</v>
      </c>
      <c r="BA623" s="7">
        <v>100</v>
      </c>
      <c r="BB623" s="4" t="s">
        <v>124</v>
      </c>
      <c r="BC623" s="4" t="s">
        <v>124</v>
      </c>
      <c r="BD623" s="4" t="s">
        <v>124</v>
      </c>
      <c r="BE623" s="4" t="s">
        <v>124</v>
      </c>
      <c r="BF623" s="4" t="s">
        <v>124</v>
      </c>
      <c r="BG623" s="4" t="s">
        <v>124</v>
      </c>
      <c r="BH623" s="7">
        <v>1</v>
      </c>
      <c r="BI623" s="7">
        <v>0.97619</v>
      </c>
      <c r="BJ623" s="7">
        <v>0.93877600000000005</v>
      </c>
      <c r="BK623" s="7">
        <v>0.99159699999999995</v>
      </c>
      <c r="BL623" s="7">
        <v>0.97619</v>
      </c>
      <c r="BM623" s="7">
        <v>0.93877600000000005</v>
      </c>
      <c r="BN623" s="7">
        <v>0.99159699999999995</v>
      </c>
      <c r="BO623" s="7">
        <v>1</v>
      </c>
      <c r="BP623" s="4" t="s">
        <v>124</v>
      </c>
      <c r="BQ623" s="7">
        <v>1</v>
      </c>
      <c r="BR623" s="7">
        <v>2.5000000000000001E-2</v>
      </c>
      <c r="BS623" s="7">
        <v>50</v>
      </c>
      <c r="BT623" s="7">
        <v>50</v>
      </c>
      <c r="BU623" s="7">
        <v>4.4443999999999997E-2</v>
      </c>
      <c r="BV623" s="7">
        <v>50</v>
      </c>
      <c r="BW623" s="7">
        <v>50</v>
      </c>
      <c r="BX623" s="4" t="s">
        <v>124</v>
      </c>
      <c r="BY623" s="4" t="s">
        <v>124</v>
      </c>
      <c r="BZ623" s="4" t="s">
        <v>124</v>
      </c>
      <c r="CA623" s="4" t="s">
        <v>124</v>
      </c>
      <c r="CB623" s="4" t="s">
        <v>124</v>
      </c>
      <c r="CC623" s="4" t="s">
        <v>124</v>
      </c>
      <c r="CD623" s="4" t="s">
        <v>124</v>
      </c>
      <c r="CE623" s="4" t="s">
        <v>124</v>
      </c>
      <c r="CF623" s="4" t="s">
        <v>124</v>
      </c>
      <c r="CG623" s="4" t="s">
        <v>124</v>
      </c>
      <c r="CH623" s="4" t="s">
        <v>124</v>
      </c>
      <c r="CI623" s="4" t="s">
        <v>124</v>
      </c>
      <c r="CJ623" s="4" t="s">
        <v>124</v>
      </c>
      <c r="CK623" s="4" t="s">
        <v>124</v>
      </c>
      <c r="CL623" s="4" t="s">
        <v>124</v>
      </c>
      <c r="CM623" s="4" t="s">
        <v>124</v>
      </c>
      <c r="CN623" s="4" t="s">
        <v>124</v>
      </c>
      <c r="CO623" s="4" t="s">
        <v>124</v>
      </c>
      <c r="CP623" s="4" t="s">
        <v>124</v>
      </c>
      <c r="CQ623" s="7">
        <v>0.61111099999999996</v>
      </c>
      <c r="CR623" s="7">
        <v>0.87096799999999996</v>
      </c>
      <c r="CS623" s="7">
        <v>20.370370000000001</v>
      </c>
      <c r="CT623" s="7">
        <v>50</v>
      </c>
      <c r="CU623" s="4" t="s">
        <v>124</v>
      </c>
      <c r="CV623" s="4" t="s">
        <v>124</v>
      </c>
      <c r="CW623" s="4" t="s">
        <v>124</v>
      </c>
      <c r="CX623" s="4" t="s">
        <v>124</v>
      </c>
      <c r="CY623" s="4" t="s">
        <v>124</v>
      </c>
      <c r="CZ623" s="4" t="s">
        <v>124</v>
      </c>
      <c r="DA623" s="7">
        <v>15.314097</v>
      </c>
      <c r="DB623" s="7">
        <v>17.400950000000002</v>
      </c>
      <c r="DC623" s="7">
        <v>16.332519999999999</v>
      </c>
      <c r="DD623" s="4" t="s">
        <v>124</v>
      </c>
      <c r="DE623" s="7">
        <v>1</v>
      </c>
      <c r="DF623" s="6"/>
      <c r="DG623" s="6"/>
      <c r="DH623" s="6"/>
      <c r="DI623" s="6"/>
      <c r="DJ623" s="7">
        <v>0</v>
      </c>
      <c r="DK623" s="7">
        <v>0</v>
      </c>
      <c r="DL623" s="7">
        <v>0</v>
      </c>
      <c r="DM623" s="7">
        <v>0</v>
      </c>
      <c r="DN623" s="7">
        <v>0</v>
      </c>
      <c r="DO623" s="7">
        <v>0</v>
      </c>
      <c r="DP623" s="6"/>
      <c r="DQ623" s="4" t="s">
        <v>125</v>
      </c>
    </row>
    <row r="624" spans="1:121" ht="20" customHeight="1" x14ac:dyDescent="0.15">
      <c r="A624" s="5">
        <v>2018</v>
      </c>
      <c r="B624" s="3" t="s">
        <v>169</v>
      </c>
      <c r="C624" s="4" t="str">
        <f t="shared" si="222"/>
        <v>0850011</v>
      </c>
      <c r="D624" s="4" t="s">
        <v>781</v>
      </c>
      <c r="E624" s="4" t="str">
        <f>"0850311"</f>
        <v>0850311</v>
      </c>
      <c r="F624" s="4" t="s">
        <v>327</v>
      </c>
      <c r="G624" s="4" t="s">
        <v>338</v>
      </c>
      <c r="H624" s="7">
        <v>5</v>
      </c>
      <c r="I624" s="6"/>
      <c r="J624" s="4" t="s">
        <v>330</v>
      </c>
      <c r="K624" s="7">
        <v>742.42505800000004</v>
      </c>
      <c r="L624" s="7">
        <v>850</v>
      </c>
      <c r="M624" s="7">
        <v>87.344123999999994</v>
      </c>
      <c r="N624" s="7">
        <v>2</v>
      </c>
      <c r="O624" s="7">
        <v>0</v>
      </c>
      <c r="P624" s="7">
        <v>84.685113999999999</v>
      </c>
      <c r="Q624" s="7">
        <v>50</v>
      </c>
      <c r="R624" s="7">
        <v>50</v>
      </c>
      <c r="S624" s="7">
        <v>72.260313999999994</v>
      </c>
      <c r="T624" s="7">
        <v>75</v>
      </c>
      <c r="U624" s="7">
        <v>48.173543000000002</v>
      </c>
      <c r="V624" s="7">
        <v>50</v>
      </c>
      <c r="W624" s="7">
        <v>81.233170999999999</v>
      </c>
      <c r="X624" s="7">
        <v>50</v>
      </c>
      <c r="Y624" s="7">
        <v>50</v>
      </c>
      <c r="Z624" s="7">
        <v>75</v>
      </c>
      <c r="AA624" s="7">
        <v>67.217703</v>
      </c>
      <c r="AB624" s="7">
        <v>44.811802</v>
      </c>
      <c r="AC624" s="7">
        <v>50</v>
      </c>
      <c r="AD624" s="7">
        <v>81.601737</v>
      </c>
      <c r="AE624" s="7">
        <v>50</v>
      </c>
      <c r="AF624" s="7">
        <v>50</v>
      </c>
      <c r="AG624" s="7">
        <v>71.466973999999993</v>
      </c>
      <c r="AH624" s="7">
        <v>75</v>
      </c>
      <c r="AI624" s="7">
        <v>47.644649000000001</v>
      </c>
      <c r="AJ624" s="7">
        <v>50</v>
      </c>
      <c r="AK624" s="7">
        <v>2.73</v>
      </c>
      <c r="AL624" s="7">
        <v>7.78</v>
      </c>
      <c r="AM624" s="7">
        <v>3.53</v>
      </c>
      <c r="AN624" s="7">
        <v>0.802095</v>
      </c>
      <c r="AO624" s="7">
        <v>80.209522000000007</v>
      </c>
      <c r="AP624" s="7">
        <v>100</v>
      </c>
      <c r="AQ624" s="7">
        <v>0.82982199999999995</v>
      </c>
      <c r="AR624" s="7">
        <v>82.982195000000004</v>
      </c>
      <c r="AS624" s="7">
        <v>100</v>
      </c>
      <c r="AT624" s="7">
        <v>0.73599099999999995</v>
      </c>
      <c r="AU624" s="7">
        <v>0.82511400000000001</v>
      </c>
      <c r="AV624" s="7">
        <v>73.599091999999999</v>
      </c>
      <c r="AW624" s="7">
        <v>100</v>
      </c>
      <c r="AX624" s="7">
        <v>0.69534200000000002</v>
      </c>
      <c r="AY624" s="7">
        <v>0.87665000000000004</v>
      </c>
      <c r="AZ624" s="7">
        <v>69.534170000000003</v>
      </c>
      <c r="BA624" s="7">
        <v>100</v>
      </c>
      <c r="BB624" s="4" t="s">
        <v>124</v>
      </c>
      <c r="BC624" s="4" t="s">
        <v>124</v>
      </c>
      <c r="BD624" s="4" t="s">
        <v>124</v>
      </c>
      <c r="BE624" s="4" t="s">
        <v>124</v>
      </c>
      <c r="BF624" s="4" t="s">
        <v>124</v>
      </c>
      <c r="BG624" s="4" t="s">
        <v>124</v>
      </c>
      <c r="BH624" s="7">
        <v>1</v>
      </c>
      <c r="BI624" s="7">
        <v>0.97777800000000004</v>
      </c>
      <c r="BJ624" s="7">
        <v>0.93333299999999997</v>
      </c>
      <c r="BK624" s="7">
        <v>0.99393900000000002</v>
      </c>
      <c r="BL624" s="7">
        <v>0.97777800000000004</v>
      </c>
      <c r="BM624" s="7">
        <v>0.93333299999999997</v>
      </c>
      <c r="BN624" s="7">
        <v>0.99393900000000002</v>
      </c>
      <c r="BO624" s="7">
        <v>0.96341500000000002</v>
      </c>
      <c r="BP624" s="7">
        <v>0.91304300000000005</v>
      </c>
      <c r="BQ624" s="7">
        <v>0.98305100000000001</v>
      </c>
      <c r="BR624" s="7">
        <v>2.3363999999999999E-2</v>
      </c>
      <c r="BS624" s="7">
        <v>50</v>
      </c>
      <c r="BT624" s="7">
        <v>50</v>
      </c>
      <c r="BU624" s="7">
        <v>5.7692E-2</v>
      </c>
      <c r="BV624" s="7">
        <v>48.461537999999997</v>
      </c>
      <c r="BW624" s="7">
        <v>50</v>
      </c>
      <c r="BX624" s="4" t="s">
        <v>124</v>
      </c>
      <c r="BY624" s="4" t="s">
        <v>124</v>
      </c>
      <c r="BZ624" s="4" t="s">
        <v>124</v>
      </c>
      <c r="CA624" s="4" t="s">
        <v>124</v>
      </c>
      <c r="CB624" s="4" t="s">
        <v>124</v>
      </c>
      <c r="CC624" s="4" t="s">
        <v>124</v>
      </c>
      <c r="CD624" s="4" t="s">
        <v>124</v>
      </c>
      <c r="CE624" s="4" t="s">
        <v>124</v>
      </c>
      <c r="CF624" s="4" t="s">
        <v>124</v>
      </c>
      <c r="CG624" s="4" t="s">
        <v>124</v>
      </c>
      <c r="CH624" s="4" t="s">
        <v>124</v>
      </c>
      <c r="CI624" s="4" t="s">
        <v>124</v>
      </c>
      <c r="CJ624" s="4" t="s">
        <v>124</v>
      </c>
      <c r="CK624" s="4" t="s">
        <v>124</v>
      </c>
      <c r="CL624" s="4" t="s">
        <v>124</v>
      </c>
      <c r="CM624" s="4" t="s">
        <v>124</v>
      </c>
      <c r="CN624" s="4" t="s">
        <v>124</v>
      </c>
      <c r="CO624" s="4" t="s">
        <v>124</v>
      </c>
      <c r="CP624" s="4" t="s">
        <v>124</v>
      </c>
      <c r="CQ624" s="7">
        <v>0.70512799999999998</v>
      </c>
      <c r="CR624" s="7">
        <v>0.97499999999999998</v>
      </c>
      <c r="CS624" s="7">
        <v>47.008547</v>
      </c>
      <c r="CT624" s="7">
        <v>50</v>
      </c>
      <c r="CU624" s="4" t="s">
        <v>124</v>
      </c>
      <c r="CV624" s="4" t="s">
        <v>124</v>
      </c>
      <c r="CW624" s="4" t="s">
        <v>124</v>
      </c>
      <c r="CX624" s="4" t="s">
        <v>124</v>
      </c>
      <c r="CY624" s="4" t="s">
        <v>124</v>
      </c>
      <c r="CZ624" s="4" t="s">
        <v>124</v>
      </c>
      <c r="DA624" s="7">
        <v>15.314097</v>
      </c>
      <c r="DB624" s="7">
        <v>17.400950000000002</v>
      </c>
      <c r="DC624" s="7">
        <v>16.332519999999999</v>
      </c>
      <c r="DD624" s="4" t="s">
        <v>124</v>
      </c>
      <c r="DE624" s="7">
        <v>1</v>
      </c>
      <c r="DF624" s="6"/>
      <c r="DG624" s="6"/>
      <c r="DH624" s="6"/>
      <c r="DI624" s="6"/>
      <c r="DJ624" s="7">
        <v>0</v>
      </c>
      <c r="DK624" s="7">
        <v>0</v>
      </c>
      <c r="DL624" s="7">
        <v>0</v>
      </c>
      <c r="DM624" s="7">
        <v>0</v>
      </c>
      <c r="DN624" s="7">
        <v>0</v>
      </c>
      <c r="DO624" s="7">
        <v>0</v>
      </c>
      <c r="DP624" s="6"/>
      <c r="DQ624" s="4" t="s">
        <v>125</v>
      </c>
    </row>
    <row r="625" spans="1:121" ht="20" customHeight="1" x14ac:dyDescent="0.15">
      <c r="A625" s="5">
        <v>2018</v>
      </c>
      <c r="B625" s="3" t="s">
        <v>141</v>
      </c>
      <c r="C625" s="4" t="str">
        <f t="shared" si="17"/>
        <v>0860011</v>
      </c>
      <c r="D625" s="4" t="s">
        <v>782</v>
      </c>
      <c r="E625" s="4" t="str">
        <f>"0860711"</f>
        <v>0860711</v>
      </c>
      <c r="F625" s="4" t="s">
        <v>327</v>
      </c>
      <c r="G625" s="4" t="s">
        <v>338</v>
      </c>
      <c r="H625" s="7">
        <v>5</v>
      </c>
      <c r="I625" s="4" t="s">
        <v>335</v>
      </c>
      <c r="J625" s="4" t="s">
        <v>330</v>
      </c>
      <c r="K625" s="7">
        <v>703.113788</v>
      </c>
      <c r="L625" s="7">
        <v>850</v>
      </c>
      <c r="M625" s="7">
        <v>82.719268999999997</v>
      </c>
      <c r="N625" s="7">
        <v>2</v>
      </c>
      <c r="O625" s="7">
        <v>0</v>
      </c>
      <c r="P625" s="7">
        <v>74.773527999999999</v>
      </c>
      <c r="Q625" s="7">
        <v>49.849018999999998</v>
      </c>
      <c r="R625" s="7">
        <v>50</v>
      </c>
      <c r="S625" s="7">
        <v>69.963408000000001</v>
      </c>
      <c r="T625" s="7">
        <v>75</v>
      </c>
      <c r="U625" s="7">
        <v>46.642271999999998</v>
      </c>
      <c r="V625" s="7">
        <v>50</v>
      </c>
      <c r="W625" s="7">
        <v>72.701920000000001</v>
      </c>
      <c r="X625" s="7">
        <v>48.467947000000002</v>
      </c>
      <c r="Y625" s="7">
        <v>50</v>
      </c>
      <c r="Z625" s="7">
        <v>75</v>
      </c>
      <c r="AA625" s="7">
        <v>67.679665999999997</v>
      </c>
      <c r="AB625" s="7">
        <v>45.119776999999999</v>
      </c>
      <c r="AC625" s="7">
        <v>50</v>
      </c>
      <c r="AD625" s="7">
        <v>68.306451999999993</v>
      </c>
      <c r="AE625" s="7">
        <v>45.537633999999997</v>
      </c>
      <c r="AF625" s="7">
        <v>50</v>
      </c>
      <c r="AG625" s="7">
        <v>61.453628999999999</v>
      </c>
      <c r="AH625" s="7">
        <v>75</v>
      </c>
      <c r="AI625" s="7">
        <v>40.969085999999997</v>
      </c>
      <c r="AJ625" s="7">
        <v>50</v>
      </c>
      <c r="AK625" s="7">
        <v>5.03</v>
      </c>
      <c r="AL625" s="7">
        <v>7.32</v>
      </c>
      <c r="AM625" s="7">
        <v>13.54</v>
      </c>
      <c r="AN625" s="7">
        <v>0.81931799999999999</v>
      </c>
      <c r="AO625" s="7">
        <v>81.931820000000002</v>
      </c>
      <c r="AP625" s="7">
        <v>100</v>
      </c>
      <c r="AQ625" s="7">
        <v>0.79241799999999996</v>
      </c>
      <c r="AR625" s="7">
        <v>79.241811999999996</v>
      </c>
      <c r="AS625" s="7">
        <v>100</v>
      </c>
      <c r="AT625" s="7">
        <v>0.75447900000000001</v>
      </c>
      <c r="AU625" s="7">
        <v>0.90036700000000003</v>
      </c>
      <c r="AV625" s="7">
        <v>75.447897999999995</v>
      </c>
      <c r="AW625" s="7">
        <v>100</v>
      </c>
      <c r="AX625" s="7">
        <v>0.73389800000000005</v>
      </c>
      <c r="AY625" s="7">
        <v>0.865568</v>
      </c>
      <c r="AZ625" s="7">
        <v>73.389784000000006</v>
      </c>
      <c r="BA625" s="7">
        <v>100</v>
      </c>
      <c r="BB625" s="4" t="s">
        <v>124</v>
      </c>
      <c r="BC625" s="4" t="s">
        <v>124</v>
      </c>
      <c r="BD625" s="4" t="s">
        <v>124</v>
      </c>
      <c r="BE625" s="4" t="s">
        <v>124</v>
      </c>
      <c r="BF625" s="4" t="s">
        <v>124</v>
      </c>
      <c r="BG625" s="4" t="s">
        <v>124</v>
      </c>
      <c r="BH625" s="7">
        <v>0</v>
      </c>
      <c r="BI625" s="7">
        <v>1</v>
      </c>
      <c r="BJ625" s="7">
        <v>1</v>
      </c>
      <c r="BK625" s="7">
        <v>1</v>
      </c>
      <c r="BL625" s="7">
        <v>0.99363100000000004</v>
      </c>
      <c r="BM625" s="7">
        <v>1</v>
      </c>
      <c r="BN625" s="7">
        <v>0.98360700000000001</v>
      </c>
      <c r="BO625" s="7">
        <v>0.98461500000000002</v>
      </c>
      <c r="BP625" s="7">
        <v>1</v>
      </c>
      <c r="BQ625" s="7">
        <v>0.96551699999999996</v>
      </c>
      <c r="BR625" s="7">
        <v>0.04</v>
      </c>
      <c r="BS625" s="7">
        <v>50</v>
      </c>
      <c r="BT625" s="7">
        <v>50</v>
      </c>
      <c r="BU625" s="7">
        <v>6.0440000000000001E-2</v>
      </c>
      <c r="BV625" s="7">
        <v>47.912087999999997</v>
      </c>
      <c r="BW625" s="7">
        <v>50</v>
      </c>
      <c r="BX625" s="4" t="s">
        <v>124</v>
      </c>
      <c r="BY625" s="4" t="s">
        <v>124</v>
      </c>
      <c r="BZ625" s="4" t="s">
        <v>124</v>
      </c>
      <c r="CA625" s="4" t="s">
        <v>124</v>
      </c>
      <c r="CB625" s="4" t="s">
        <v>124</v>
      </c>
      <c r="CC625" s="4" t="s">
        <v>124</v>
      </c>
      <c r="CD625" s="4" t="s">
        <v>124</v>
      </c>
      <c r="CE625" s="4" t="s">
        <v>124</v>
      </c>
      <c r="CF625" s="4" t="s">
        <v>124</v>
      </c>
      <c r="CG625" s="4" t="s">
        <v>124</v>
      </c>
      <c r="CH625" s="4" t="s">
        <v>124</v>
      </c>
      <c r="CI625" s="4" t="s">
        <v>124</v>
      </c>
      <c r="CJ625" s="4" t="s">
        <v>124</v>
      </c>
      <c r="CK625" s="4" t="s">
        <v>124</v>
      </c>
      <c r="CL625" s="4" t="s">
        <v>124</v>
      </c>
      <c r="CM625" s="4" t="s">
        <v>124</v>
      </c>
      <c r="CN625" s="4" t="s">
        <v>124</v>
      </c>
      <c r="CO625" s="4" t="s">
        <v>124</v>
      </c>
      <c r="CP625" s="4" t="s">
        <v>124</v>
      </c>
      <c r="CQ625" s="7">
        <v>0.27906999999999998</v>
      </c>
      <c r="CR625" s="7">
        <v>0.97727299999999995</v>
      </c>
      <c r="CS625" s="7">
        <v>18.604651</v>
      </c>
      <c r="CT625" s="7">
        <v>50</v>
      </c>
      <c r="CU625" s="4" t="s">
        <v>124</v>
      </c>
      <c r="CV625" s="4" t="s">
        <v>124</v>
      </c>
      <c r="CW625" s="4" t="s">
        <v>124</v>
      </c>
      <c r="CX625" s="4" t="s">
        <v>124</v>
      </c>
      <c r="CY625" s="4" t="s">
        <v>124</v>
      </c>
      <c r="CZ625" s="4" t="s">
        <v>124</v>
      </c>
      <c r="DA625" s="7">
        <v>15.314097</v>
      </c>
      <c r="DB625" s="7">
        <v>17.400950000000002</v>
      </c>
      <c r="DC625" s="7">
        <v>16.332519999999999</v>
      </c>
      <c r="DD625" s="4" t="s">
        <v>124</v>
      </c>
      <c r="DE625" s="7">
        <v>0</v>
      </c>
      <c r="DF625" s="6"/>
      <c r="DG625" s="6"/>
      <c r="DH625" s="4" t="s">
        <v>331</v>
      </c>
      <c r="DI625" s="4" t="s">
        <v>528</v>
      </c>
      <c r="DJ625" s="7">
        <v>0</v>
      </c>
      <c r="DK625" s="7">
        <v>1</v>
      </c>
      <c r="DL625" s="7">
        <v>0</v>
      </c>
      <c r="DM625" s="7">
        <v>1</v>
      </c>
      <c r="DN625" s="7">
        <v>0</v>
      </c>
      <c r="DO625" s="7">
        <v>0</v>
      </c>
      <c r="DP625" s="6"/>
      <c r="DQ625" s="4" t="s">
        <v>125</v>
      </c>
    </row>
    <row r="626" spans="1:121" ht="20" customHeight="1" x14ac:dyDescent="0.15">
      <c r="A626" s="5">
        <v>2018</v>
      </c>
      <c r="B626" s="3" t="s">
        <v>141</v>
      </c>
      <c r="C626" s="4" t="str">
        <f t="shared" ref="C626:C629" si="223">"0860011"</f>
        <v>0860011</v>
      </c>
      <c r="D626" s="4" t="s">
        <v>783</v>
      </c>
      <c r="E626" s="4" t="str">
        <f>"0865111"</f>
        <v>0865111</v>
      </c>
      <c r="F626" s="4" t="s">
        <v>327</v>
      </c>
      <c r="G626" s="7">
        <v>6</v>
      </c>
      <c r="H626" s="7">
        <v>8</v>
      </c>
      <c r="I626" s="6"/>
      <c r="J626" s="4" t="s">
        <v>330</v>
      </c>
      <c r="K626" s="7">
        <v>602.16376200000002</v>
      </c>
      <c r="L626" s="7">
        <v>900</v>
      </c>
      <c r="M626" s="7">
        <v>66.907084999999995</v>
      </c>
      <c r="N626" s="7">
        <v>3</v>
      </c>
      <c r="O626" s="7">
        <v>0</v>
      </c>
      <c r="P626" s="7">
        <v>69.935778999999997</v>
      </c>
      <c r="Q626" s="7">
        <v>46.623852999999997</v>
      </c>
      <c r="R626" s="7">
        <v>50</v>
      </c>
      <c r="S626" s="7">
        <v>61.733092999999997</v>
      </c>
      <c r="T626" s="7">
        <v>75</v>
      </c>
      <c r="U626" s="7">
        <v>41.155394999999999</v>
      </c>
      <c r="V626" s="7">
        <v>50</v>
      </c>
      <c r="W626" s="7">
        <v>64.541967999999997</v>
      </c>
      <c r="X626" s="7">
        <v>43.027977999999997</v>
      </c>
      <c r="Y626" s="7">
        <v>50</v>
      </c>
      <c r="Z626" s="7">
        <v>72.670503999999994</v>
      </c>
      <c r="AA626" s="7">
        <v>56.001860000000001</v>
      </c>
      <c r="AB626" s="7">
        <v>37.334572999999999</v>
      </c>
      <c r="AC626" s="7">
        <v>50</v>
      </c>
      <c r="AD626" s="7">
        <v>66.498266000000001</v>
      </c>
      <c r="AE626" s="7">
        <v>44.332177000000001</v>
      </c>
      <c r="AF626" s="7">
        <v>50</v>
      </c>
      <c r="AG626" s="7">
        <v>59.589655</v>
      </c>
      <c r="AH626" s="7">
        <v>72.708252999999999</v>
      </c>
      <c r="AI626" s="7">
        <v>39.726436999999997</v>
      </c>
      <c r="AJ626" s="7">
        <v>50</v>
      </c>
      <c r="AK626" s="7">
        <v>13.26</v>
      </c>
      <c r="AL626" s="7">
        <v>16.66</v>
      </c>
      <c r="AM626" s="7">
        <v>13.11</v>
      </c>
      <c r="AN626" s="7">
        <v>0.53799300000000005</v>
      </c>
      <c r="AO626" s="7">
        <v>53.799261999999999</v>
      </c>
      <c r="AP626" s="7">
        <v>100</v>
      </c>
      <c r="AQ626" s="7">
        <v>0.53918299999999997</v>
      </c>
      <c r="AR626" s="7">
        <v>53.918292000000001</v>
      </c>
      <c r="AS626" s="7">
        <v>100</v>
      </c>
      <c r="AT626" s="7">
        <v>0.48609999999999998</v>
      </c>
      <c r="AU626" s="7">
        <v>0.58180799999999999</v>
      </c>
      <c r="AV626" s="7">
        <v>48.610038000000003</v>
      </c>
      <c r="AW626" s="7">
        <v>100</v>
      </c>
      <c r="AX626" s="7">
        <v>0.48790899999999998</v>
      </c>
      <c r="AY626" s="7">
        <v>0.58264499999999997</v>
      </c>
      <c r="AZ626" s="7">
        <v>48.790916000000003</v>
      </c>
      <c r="BA626" s="7">
        <v>100</v>
      </c>
      <c r="BB626" s="4" t="s">
        <v>124</v>
      </c>
      <c r="BC626" s="4" t="s">
        <v>124</v>
      </c>
      <c r="BD626" s="4" t="s">
        <v>124</v>
      </c>
      <c r="BE626" s="4" t="s">
        <v>124</v>
      </c>
      <c r="BF626" s="4" t="s">
        <v>124</v>
      </c>
      <c r="BG626" s="4" t="s">
        <v>124</v>
      </c>
      <c r="BH626" s="7">
        <v>0</v>
      </c>
      <c r="BI626" s="7">
        <v>1</v>
      </c>
      <c r="BJ626" s="7">
        <v>1</v>
      </c>
      <c r="BK626" s="7">
        <v>1</v>
      </c>
      <c r="BL626" s="7">
        <v>1</v>
      </c>
      <c r="BM626" s="7">
        <v>1</v>
      </c>
      <c r="BN626" s="7">
        <v>1</v>
      </c>
      <c r="BO626" s="7">
        <v>1</v>
      </c>
      <c r="BP626" s="7">
        <v>1</v>
      </c>
      <c r="BQ626" s="7">
        <v>1</v>
      </c>
      <c r="BR626" s="7">
        <v>8.6171999999999999E-2</v>
      </c>
      <c r="BS626" s="7">
        <v>42.765531000000003</v>
      </c>
      <c r="BT626" s="7">
        <v>50</v>
      </c>
      <c r="BU626" s="7">
        <v>0.15611800000000001</v>
      </c>
      <c r="BV626" s="7">
        <v>28.776371000000001</v>
      </c>
      <c r="BW626" s="7">
        <v>50</v>
      </c>
      <c r="BX626" s="4" t="s">
        <v>124</v>
      </c>
      <c r="BY626" s="4" t="s">
        <v>124</v>
      </c>
      <c r="BZ626" s="4" t="s">
        <v>124</v>
      </c>
      <c r="CA626" s="4" t="s">
        <v>124</v>
      </c>
      <c r="CB626" s="4" t="s">
        <v>124</v>
      </c>
      <c r="CC626" s="4" t="s">
        <v>124</v>
      </c>
      <c r="CD626" s="7">
        <v>0.97765400000000002</v>
      </c>
      <c r="CE626" s="7">
        <v>50</v>
      </c>
      <c r="CF626" s="7">
        <v>50</v>
      </c>
      <c r="CG626" s="4" t="s">
        <v>124</v>
      </c>
      <c r="CH626" s="4" t="s">
        <v>124</v>
      </c>
      <c r="CI626" s="4" t="s">
        <v>124</v>
      </c>
      <c r="CJ626" s="4" t="s">
        <v>124</v>
      </c>
      <c r="CK626" s="4" t="s">
        <v>124</v>
      </c>
      <c r="CL626" s="4" t="s">
        <v>124</v>
      </c>
      <c r="CM626" s="4" t="s">
        <v>124</v>
      </c>
      <c r="CN626" s="4" t="s">
        <v>124</v>
      </c>
      <c r="CO626" s="4" t="s">
        <v>124</v>
      </c>
      <c r="CP626" s="4" t="s">
        <v>124</v>
      </c>
      <c r="CQ626" s="7">
        <v>0.34954400000000002</v>
      </c>
      <c r="CR626" s="7">
        <v>0.96764700000000003</v>
      </c>
      <c r="CS626" s="7">
        <v>23.302938000000001</v>
      </c>
      <c r="CT626" s="7">
        <v>50</v>
      </c>
      <c r="CU626" s="4" t="s">
        <v>124</v>
      </c>
      <c r="CV626" s="4" t="s">
        <v>124</v>
      </c>
      <c r="CW626" s="4" t="s">
        <v>124</v>
      </c>
      <c r="CX626" s="4" t="s">
        <v>124</v>
      </c>
      <c r="CY626" s="4" t="s">
        <v>124</v>
      </c>
      <c r="CZ626" s="4" t="s">
        <v>124</v>
      </c>
      <c r="DA626" s="7">
        <v>15.314097</v>
      </c>
      <c r="DB626" s="7">
        <v>17.400950000000002</v>
      </c>
      <c r="DC626" s="7">
        <v>16.332519999999999</v>
      </c>
      <c r="DD626" s="4" t="s">
        <v>124</v>
      </c>
      <c r="DE626" s="7">
        <v>0</v>
      </c>
      <c r="DF626" s="6"/>
      <c r="DG626" s="6"/>
      <c r="DH626" s="6"/>
      <c r="DI626" s="6"/>
      <c r="DJ626" s="7">
        <v>0</v>
      </c>
      <c r="DK626" s="7">
        <v>0</v>
      </c>
      <c r="DL626" s="7">
        <v>0</v>
      </c>
      <c r="DM626" s="7">
        <v>0</v>
      </c>
      <c r="DN626" s="7">
        <v>0</v>
      </c>
      <c r="DO626" s="7">
        <v>0</v>
      </c>
      <c r="DP626" s="6"/>
      <c r="DQ626" s="4" t="s">
        <v>125</v>
      </c>
    </row>
    <row r="627" spans="1:121" ht="20" customHeight="1" x14ac:dyDescent="0.15">
      <c r="A627" s="5">
        <v>2018</v>
      </c>
      <c r="B627" s="3" t="s">
        <v>141</v>
      </c>
      <c r="C627" s="4" t="str">
        <f t="shared" si="223"/>
        <v>0860011</v>
      </c>
      <c r="D627" s="4" t="s">
        <v>784</v>
      </c>
      <c r="E627" s="4" t="str">
        <f>"0860111"</f>
        <v>0860111</v>
      </c>
      <c r="F627" s="4" t="s">
        <v>327</v>
      </c>
      <c r="G627" s="4" t="s">
        <v>338</v>
      </c>
      <c r="H627" s="7">
        <v>5</v>
      </c>
      <c r="I627" s="4" t="s">
        <v>335</v>
      </c>
      <c r="J627" s="4" t="s">
        <v>330</v>
      </c>
      <c r="K627" s="7">
        <v>751.82260900000006</v>
      </c>
      <c r="L627" s="7">
        <v>950</v>
      </c>
      <c r="M627" s="7">
        <v>79.139222000000004</v>
      </c>
      <c r="N627" s="7">
        <v>2</v>
      </c>
      <c r="O627" s="7">
        <v>0</v>
      </c>
      <c r="P627" s="7">
        <v>72.604228000000006</v>
      </c>
      <c r="Q627" s="7">
        <v>48.402819000000001</v>
      </c>
      <c r="R627" s="7">
        <v>50</v>
      </c>
      <c r="S627" s="7">
        <v>70.321333999999993</v>
      </c>
      <c r="T627" s="7">
        <v>75</v>
      </c>
      <c r="U627" s="7">
        <v>46.880889000000003</v>
      </c>
      <c r="V627" s="7">
        <v>50</v>
      </c>
      <c r="W627" s="7">
        <v>73.823510999999996</v>
      </c>
      <c r="X627" s="7">
        <v>49.215674</v>
      </c>
      <c r="Y627" s="7">
        <v>50</v>
      </c>
      <c r="Z627" s="7">
        <v>75</v>
      </c>
      <c r="AA627" s="7">
        <v>71.259778999999995</v>
      </c>
      <c r="AB627" s="7">
        <v>47.506520000000002</v>
      </c>
      <c r="AC627" s="7">
        <v>50</v>
      </c>
      <c r="AD627" s="7">
        <v>70.065757000000005</v>
      </c>
      <c r="AE627" s="7">
        <v>46.710504999999998</v>
      </c>
      <c r="AF627" s="7">
        <v>50</v>
      </c>
      <c r="AG627" s="7">
        <v>68.909457000000003</v>
      </c>
      <c r="AH627" s="7">
        <v>72.488478999999998</v>
      </c>
      <c r="AI627" s="7">
        <v>45.939638000000002</v>
      </c>
      <c r="AJ627" s="7">
        <v>50</v>
      </c>
      <c r="AK627" s="7">
        <v>4.67</v>
      </c>
      <c r="AL627" s="7">
        <v>3.74</v>
      </c>
      <c r="AM627" s="7">
        <v>3.57</v>
      </c>
      <c r="AN627" s="7">
        <v>0.63441199999999998</v>
      </c>
      <c r="AO627" s="7">
        <v>63.441217999999999</v>
      </c>
      <c r="AP627" s="7">
        <v>100</v>
      </c>
      <c r="AQ627" s="7">
        <v>0.69458299999999995</v>
      </c>
      <c r="AR627" s="7">
        <v>69.458331999999999</v>
      </c>
      <c r="AS627" s="7">
        <v>100</v>
      </c>
      <c r="AT627" s="7">
        <v>0.60990699999999998</v>
      </c>
      <c r="AU627" s="7">
        <v>0.68225499999999994</v>
      </c>
      <c r="AV627" s="7">
        <v>60.990715000000002</v>
      </c>
      <c r="AW627" s="7">
        <v>100</v>
      </c>
      <c r="AX627" s="7">
        <v>0.68120400000000003</v>
      </c>
      <c r="AY627" s="7">
        <v>0.72070599999999996</v>
      </c>
      <c r="AZ627" s="7">
        <v>68.120350999999999</v>
      </c>
      <c r="BA627" s="7">
        <v>100</v>
      </c>
      <c r="BB627" s="7">
        <v>0.731653</v>
      </c>
      <c r="BC627" s="7">
        <v>36.58267</v>
      </c>
      <c r="BD627" s="7">
        <v>50</v>
      </c>
      <c r="BE627" s="7">
        <v>0.56901599999999997</v>
      </c>
      <c r="BF627" s="7">
        <v>28.450824000000001</v>
      </c>
      <c r="BG627" s="7">
        <v>50</v>
      </c>
      <c r="BH627" s="7">
        <v>0</v>
      </c>
      <c r="BI627" s="7">
        <v>1</v>
      </c>
      <c r="BJ627" s="7">
        <v>1</v>
      </c>
      <c r="BK627" s="7">
        <v>1</v>
      </c>
      <c r="BL627" s="7">
        <v>1</v>
      </c>
      <c r="BM627" s="7">
        <v>1</v>
      </c>
      <c r="BN627" s="7">
        <v>1</v>
      </c>
      <c r="BO627" s="7">
        <v>1</v>
      </c>
      <c r="BP627" s="7">
        <v>1</v>
      </c>
      <c r="BQ627" s="7">
        <v>1</v>
      </c>
      <c r="BR627" s="7">
        <v>5.7637000000000001E-2</v>
      </c>
      <c r="BS627" s="7">
        <v>48.472622000000001</v>
      </c>
      <c r="BT627" s="7">
        <v>50</v>
      </c>
      <c r="BU627" s="7">
        <v>6.9264000000000006E-2</v>
      </c>
      <c r="BV627" s="7">
        <v>46.147185999999998</v>
      </c>
      <c r="BW627" s="7">
        <v>50</v>
      </c>
      <c r="BX627" s="4" t="s">
        <v>124</v>
      </c>
      <c r="BY627" s="4" t="s">
        <v>124</v>
      </c>
      <c r="BZ627" s="4" t="s">
        <v>124</v>
      </c>
      <c r="CA627" s="4" t="s">
        <v>124</v>
      </c>
      <c r="CB627" s="4" t="s">
        <v>124</v>
      </c>
      <c r="CC627" s="4" t="s">
        <v>124</v>
      </c>
      <c r="CD627" s="4" t="s">
        <v>124</v>
      </c>
      <c r="CE627" s="4" t="s">
        <v>124</v>
      </c>
      <c r="CF627" s="4" t="s">
        <v>124</v>
      </c>
      <c r="CG627" s="4" t="s">
        <v>124</v>
      </c>
      <c r="CH627" s="4" t="s">
        <v>124</v>
      </c>
      <c r="CI627" s="4" t="s">
        <v>124</v>
      </c>
      <c r="CJ627" s="4" t="s">
        <v>124</v>
      </c>
      <c r="CK627" s="4" t="s">
        <v>124</v>
      </c>
      <c r="CL627" s="4" t="s">
        <v>124</v>
      </c>
      <c r="CM627" s="4" t="s">
        <v>124</v>
      </c>
      <c r="CN627" s="4" t="s">
        <v>124</v>
      </c>
      <c r="CO627" s="4" t="s">
        <v>124</v>
      </c>
      <c r="CP627" s="4" t="s">
        <v>124</v>
      </c>
      <c r="CQ627" s="7">
        <v>0.68254000000000004</v>
      </c>
      <c r="CR627" s="7">
        <v>0.95454499999999998</v>
      </c>
      <c r="CS627" s="7">
        <v>45.502645999999999</v>
      </c>
      <c r="CT627" s="7">
        <v>50</v>
      </c>
      <c r="CU627" s="4" t="s">
        <v>124</v>
      </c>
      <c r="CV627" s="4" t="s">
        <v>124</v>
      </c>
      <c r="CW627" s="4" t="s">
        <v>124</v>
      </c>
      <c r="CX627" s="4" t="s">
        <v>124</v>
      </c>
      <c r="CY627" s="4" t="s">
        <v>124</v>
      </c>
      <c r="CZ627" s="4" t="s">
        <v>124</v>
      </c>
      <c r="DA627" s="7">
        <v>15.314097</v>
      </c>
      <c r="DB627" s="7">
        <v>17.400950000000002</v>
      </c>
      <c r="DC627" s="7">
        <v>16.332519999999999</v>
      </c>
      <c r="DD627" s="4" t="s">
        <v>124</v>
      </c>
      <c r="DE627" s="7">
        <v>0</v>
      </c>
      <c r="DF627" s="6"/>
      <c r="DG627" s="6"/>
      <c r="DH627" s="6"/>
      <c r="DI627" s="6"/>
      <c r="DJ627" s="7">
        <v>0</v>
      </c>
      <c r="DK627" s="7">
        <v>0</v>
      </c>
      <c r="DL627" s="7">
        <v>0</v>
      </c>
      <c r="DM627" s="7">
        <v>0</v>
      </c>
      <c r="DN627" s="7">
        <v>0</v>
      </c>
      <c r="DO627" s="7">
        <v>0</v>
      </c>
      <c r="DP627" s="6"/>
      <c r="DQ627" s="4" t="s">
        <v>125</v>
      </c>
    </row>
    <row r="628" spans="1:121" ht="20" customHeight="1" x14ac:dyDescent="0.15">
      <c r="A628" s="5">
        <v>2018</v>
      </c>
      <c r="B628" s="3" t="s">
        <v>141</v>
      </c>
      <c r="C628" s="4" t="str">
        <f>"0860011"</f>
        <v>0860011</v>
      </c>
      <c r="D628" s="4" t="s">
        <v>785</v>
      </c>
      <c r="E628" s="4" t="str">
        <f>"0866111"</f>
        <v>0866111</v>
      </c>
      <c r="F628" s="4" t="s">
        <v>327</v>
      </c>
      <c r="G628" s="7">
        <v>9</v>
      </c>
      <c r="H628" s="7">
        <v>12</v>
      </c>
      <c r="I628" s="6"/>
      <c r="J628" s="4" t="s">
        <v>330</v>
      </c>
      <c r="K628" s="7">
        <v>1135.928234</v>
      </c>
      <c r="L628" s="7">
        <v>1450</v>
      </c>
      <c r="M628" s="7">
        <v>78.339877999999999</v>
      </c>
      <c r="N628" s="7">
        <v>3</v>
      </c>
      <c r="O628" s="7">
        <v>0</v>
      </c>
      <c r="P628" s="7">
        <v>59.478222000000002</v>
      </c>
      <c r="Q628" s="7">
        <v>118.956444</v>
      </c>
      <c r="R628" s="7">
        <v>150</v>
      </c>
      <c r="S628" s="7">
        <v>55.877777999999999</v>
      </c>
      <c r="T628" s="7">
        <v>62.307143000000003</v>
      </c>
      <c r="U628" s="7">
        <v>111.755556</v>
      </c>
      <c r="V628" s="7">
        <v>150</v>
      </c>
      <c r="W628" s="7">
        <v>51.753777999999997</v>
      </c>
      <c r="X628" s="7">
        <v>103.50755599999999</v>
      </c>
      <c r="Y628" s="7">
        <v>150</v>
      </c>
      <c r="Z628" s="7">
        <v>53.402380999999998</v>
      </c>
      <c r="AA628" s="7">
        <v>49.655555999999997</v>
      </c>
      <c r="AB628" s="7">
        <v>99.311110999999997</v>
      </c>
      <c r="AC628" s="7">
        <v>150</v>
      </c>
      <c r="AD628" s="7">
        <v>56.078870000000002</v>
      </c>
      <c r="AE628" s="7">
        <v>74.771827000000002</v>
      </c>
      <c r="AF628" s="7">
        <v>100</v>
      </c>
      <c r="AG628" s="7">
        <v>51.264209999999999</v>
      </c>
      <c r="AH628" s="7">
        <v>60.125974999999997</v>
      </c>
      <c r="AI628" s="7">
        <v>68.352279999999993</v>
      </c>
      <c r="AJ628" s="7">
        <v>100</v>
      </c>
      <c r="AK628" s="7">
        <v>6.42</v>
      </c>
      <c r="AL628" s="7">
        <v>3.74</v>
      </c>
      <c r="AM628" s="7">
        <v>8.86</v>
      </c>
      <c r="AN628" s="4" t="s">
        <v>124</v>
      </c>
      <c r="AO628" s="4" t="s">
        <v>124</v>
      </c>
      <c r="AP628" s="4" t="s">
        <v>124</v>
      </c>
      <c r="AQ628" s="4" t="s">
        <v>124</v>
      </c>
      <c r="AR628" s="4" t="s">
        <v>124</v>
      </c>
      <c r="AS628" s="4" t="s">
        <v>124</v>
      </c>
      <c r="AT628" s="4" t="s">
        <v>124</v>
      </c>
      <c r="AU628" s="4" t="s">
        <v>124</v>
      </c>
      <c r="AV628" s="4" t="s">
        <v>124</v>
      </c>
      <c r="AW628" s="4" t="s">
        <v>124</v>
      </c>
      <c r="AX628" s="4" t="s">
        <v>124</v>
      </c>
      <c r="AY628" s="4" t="s">
        <v>124</v>
      </c>
      <c r="AZ628" s="4" t="s">
        <v>124</v>
      </c>
      <c r="BA628" s="4" t="s">
        <v>124</v>
      </c>
      <c r="BB628" s="4" t="s">
        <v>124</v>
      </c>
      <c r="BC628" s="4" t="s">
        <v>124</v>
      </c>
      <c r="BD628" s="4" t="s">
        <v>124</v>
      </c>
      <c r="BE628" s="4" t="s">
        <v>124</v>
      </c>
      <c r="BF628" s="4" t="s">
        <v>124</v>
      </c>
      <c r="BG628" s="4" t="s">
        <v>124</v>
      </c>
      <c r="BH628" s="7">
        <v>1</v>
      </c>
      <c r="BI628" s="7">
        <v>0.95488700000000004</v>
      </c>
      <c r="BJ628" s="7">
        <v>0.91803299999999999</v>
      </c>
      <c r="BK628" s="7">
        <v>0.98611099999999996</v>
      </c>
      <c r="BL628" s="7">
        <v>0.95488700000000004</v>
      </c>
      <c r="BM628" s="7">
        <v>0.91803299999999999</v>
      </c>
      <c r="BN628" s="7">
        <v>0.98611099999999996</v>
      </c>
      <c r="BO628" s="7">
        <v>0.96969700000000003</v>
      </c>
      <c r="BP628" s="7">
        <v>0.96666700000000005</v>
      </c>
      <c r="BQ628" s="7">
        <v>0.97222200000000003</v>
      </c>
      <c r="BR628" s="7">
        <v>0.110124</v>
      </c>
      <c r="BS628" s="7">
        <v>37.975133</v>
      </c>
      <c r="BT628" s="7">
        <v>50</v>
      </c>
      <c r="BU628" s="7">
        <v>0.16400000000000001</v>
      </c>
      <c r="BV628" s="7">
        <v>27.2</v>
      </c>
      <c r="BW628" s="7">
        <v>50</v>
      </c>
      <c r="BX628" s="7">
        <v>0.94117600000000001</v>
      </c>
      <c r="BY628" s="7">
        <v>50</v>
      </c>
      <c r="BZ628" s="7">
        <v>50</v>
      </c>
      <c r="CA628" s="7">
        <v>0.397059</v>
      </c>
      <c r="CB628" s="7">
        <v>26.470587999999999</v>
      </c>
      <c r="CC628" s="7">
        <v>50</v>
      </c>
      <c r="CD628" s="7">
        <v>0.97222200000000003</v>
      </c>
      <c r="CE628" s="7">
        <v>50</v>
      </c>
      <c r="CF628" s="7">
        <v>50</v>
      </c>
      <c r="CG628" s="7">
        <v>0.95294100000000004</v>
      </c>
      <c r="CH628" s="7">
        <v>100</v>
      </c>
      <c r="CI628" s="7">
        <v>100</v>
      </c>
      <c r="CJ628" s="7">
        <v>0</v>
      </c>
      <c r="CK628" s="7">
        <v>0.91463399999999995</v>
      </c>
      <c r="CL628" s="7">
        <v>97.301505000000006</v>
      </c>
      <c r="CM628" s="7">
        <v>100</v>
      </c>
      <c r="CN628" s="7">
        <v>0.67065900000000001</v>
      </c>
      <c r="CO628" s="7">
        <v>89.421158000000005</v>
      </c>
      <c r="CP628" s="7">
        <v>100</v>
      </c>
      <c r="CQ628" s="7">
        <v>0.46357599999999999</v>
      </c>
      <c r="CR628" s="7">
        <v>0.993421</v>
      </c>
      <c r="CS628" s="7">
        <v>30.905076999999999</v>
      </c>
      <c r="CT628" s="7">
        <v>50</v>
      </c>
      <c r="CU628" s="7">
        <v>0.63232699999999997</v>
      </c>
      <c r="CV628" s="7">
        <v>50</v>
      </c>
      <c r="CW628" s="7">
        <v>50</v>
      </c>
      <c r="CX628" s="7">
        <v>0.91463399999999995</v>
      </c>
      <c r="CY628" s="7">
        <v>0.94</v>
      </c>
      <c r="CZ628" s="7">
        <v>2.5366E-2</v>
      </c>
      <c r="DA628" s="7">
        <v>15.314097</v>
      </c>
      <c r="DB628" s="7">
        <v>17.400950000000002</v>
      </c>
      <c r="DC628" s="7">
        <v>16.332519999999999</v>
      </c>
      <c r="DD628" s="7">
        <v>7.9891730000000001</v>
      </c>
      <c r="DE628" s="7">
        <v>1</v>
      </c>
      <c r="DF628" s="6"/>
      <c r="DG628" s="6"/>
      <c r="DH628" s="6"/>
      <c r="DI628" s="6"/>
      <c r="DJ628" s="7">
        <v>0</v>
      </c>
      <c r="DK628" s="7">
        <v>0</v>
      </c>
      <c r="DL628" s="7">
        <v>0</v>
      </c>
      <c r="DM628" s="7">
        <v>0</v>
      </c>
      <c r="DN628" s="7">
        <v>0</v>
      </c>
      <c r="DO628" s="7">
        <v>0</v>
      </c>
      <c r="DP628" s="6"/>
      <c r="DQ628" s="4" t="s">
        <v>125</v>
      </c>
    </row>
    <row r="629" spans="1:121" ht="20" customHeight="1" x14ac:dyDescent="0.15">
      <c r="A629" s="5">
        <v>2018</v>
      </c>
      <c r="B629" s="3" t="s">
        <v>141</v>
      </c>
      <c r="C629" s="4" t="str">
        <f t="shared" si="223"/>
        <v>0860011</v>
      </c>
      <c r="D629" s="4" t="s">
        <v>786</v>
      </c>
      <c r="E629" s="4" t="str">
        <f>"0860511"</f>
        <v>0860511</v>
      </c>
      <c r="F629" s="4" t="s">
        <v>327</v>
      </c>
      <c r="G629" s="4" t="s">
        <v>338</v>
      </c>
      <c r="H629" s="7">
        <v>5</v>
      </c>
      <c r="I629" s="6"/>
      <c r="J629" s="4" t="s">
        <v>330</v>
      </c>
      <c r="K629" s="7">
        <v>737.92882899999995</v>
      </c>
      <c r="L629" s="7">
        <v>800</v>
      </c>
      <c r="M629" s="7">
        <v>92.241104000000007</v>
      </c>
      <c r="N629" s="7">
        <v>1</v>
      </c>
      <c r="O629" s="7">
        <v>0</v>
      </c>
      <c r="P629" s="7">
        <v>82.676580000000001</v>
      </c>
      <c r="Q629" s="7">
        <v>50</v>
      </c>
      <c r="R629" s="7">
        <v>50</v>
      </c>
      <c r="S629" s="7">
        <v>76.725295000000003</v>
      </c>
      <c r="T629" s="7">
        <v>75</v>
      </c>
      <c r="U629" s="7">
        <v>50</v>
      </c>
      <c r="V629" s="7">
        <v>50</v>
      </c>
      <c r="W629" s="7">
        <v>82.673809000000006</v>
      </c>
      <c r="X629" s="7">
        <v>50</v>
      </c>
      <c r="Y629" s="7">
        <v>50</v>
      </c>
      <c r="Z629" s="7">
        <v>75</v>
      </c>
      <c r="AA629" s="7">
        <v>76.083890999999994</v>
      </c>
      <c r="AB629" s="7">
        <v>50</v>
      </c>
      <c r="AC629" s="7">
        <v>50</v>
      </c>
      <c r="AD629" s="7">
        <v>81.506451999999996</v>
      </c>
      <c r="AE629" s="7">
        <v>50</v>
      </c>
      <c r="AF629" s="7">
        <v>50</v>
      </c>
      <c r="AG629" s="4" t="s">
        <v>124</v>
      </c>
      <c r="AH629" s="7">
        <v>75</v>
      </c>
      <c r="AI629" s="4" t="s">
        <v>124</v>
      </c>
      <c r="AJ629" s="4" t="s">
        <v>124</v>
      </c>
      <c r="AK629" s="7">
        <v>-1.72</v>
      </c>
      <c r="AL629" s="7">
        <v>-1.08</v>
      </c>
      <c r="AM629" s="4" t="s">
        <v>124</v>
      </c>
      <c r="AN629" s="7">
        <v>0.84874300000000003</v>
      </c>
      <c r="AO629" s="7">
        <v>84.874262999999999</v>
      </c>
      <c r="AP629" s="7">
        <v>100</v>
      </c>
      <c r="AQ629" s="7">
        <v>0.93407799999999996</v>
      </c>
      <c r="AR629" s="7">
        <v>93.407762000000005</v>
      </c>
      <c r="AS629" s="7">
        <v>100</v>
      </c>
      <c r="AT629" s="7">
        <v>0.88994200000000001</v>
      </c>
      <c r="AU629" s="7">
        <v>0.82943</v>
      </c>
      <c r="AV629" s="7">
        <v>88.994202000000001</v>
      </c>
      <c r="AW629" s="7">
        <v>100</v>
      </c>
      <c r="AX629" s="7">
        <v>0.88747799999999999</v>
      </c>
      <c r="AY629" s="7">
        <v>0.95592100000000002</v>
      </c>
      <c r="AZ629" s="7">
        <v>88.747840999999994</v>
      </c>
      <c r="BA629" s="7">
        <v>100</v>
      </c>
      <c r="BB629" s="4" t="s">
        <v>124</v>
      </c>
      <c r="BC629" s="4" t="s">
        <v>124</v>
      </c>
      <c r="BD629" s="4" t="s">
        <v>124</v>
      </c>
      <c r="BE629" s="4" t="s">
        <v>124</v>
      </c>
      <c r="BF629" s="4" t="s">
        <v>124</v>
      </c>
      <c r="BG629" s="4" t="s">
        <v>124</v>
      </c>
      <c r="BH629" s="7">
        <v>0</v>
      </c>
      <c r="BI629" s="7">
        <v>1</v>
      </c>
      <c r="BJ629" s="7">
        <v>1</v>
      </c>
      <c r="BK629" s="7">
        <v>1</v>
      </c>
      <c r="BL629" s="7">
        <v>1</v>
      </c>
      <c r="BM629" s="7">
        <v>1</v>
      </c>
      <c r="BN629" s="7">
        <v>1</v>
      </c>
      <c r="BO629" s="7">
        <v>1</v>
      </c>
      <c r="BP629" s="4" t="s">
        <v>124</v>
      </c>
      <c r="BQ629" s="7">
        <v>1</v>
      </c>
      <c r="BR629" s="7">
        <v>3.6630000000000003E-2</v>
      </c>
      <c r="BS629" s="7">
        <v>50</v>
      </c>
      <c r="BT629" s="7">
        <v>50</v>
      </c>
      <c r="BU629" s="7">
        <v>5.7142999999999999E-2</v>
      </c>
      <c r="BV629" s="7">
        <v>48.571429000000002</v>
      </c>
      <c r="BW629" s="7">
        <v>50</v>
      </c>
      <c r="BX629" s="4" t="s">
        <v>124</v>
      </c>
      <c r="BY629" s="4" t="s">
        <v>124</v>
      </c>
      <c r="BZ629" s="4" t="s">
        <v>124</v>
      </c>
      <c r="CA629" s="4" t="s">
        <v>124</v>
      </c>
      <c r="CB629" s="4" t="s">
        <v>124</v>
      </c>
      <c r="CC629" s="4" t="s">
        <v>124</v>
      </c>
      <c r="CD629" s="4" t="s">
        <v>124</v>
      </c>
      <c r="CE629" s="4" t="s">
        <v>124</v>
      </c>
      <c r="CF629" s="4" t="s">
        <v>124</v>
      </c>
      <c r="CG629" s="4" t="s">
        <v>124</v>
      </c>
      <c r="CH629" s="4" t="s">
        <v>124</v>
      </c>
      <c r="CI629" s="4" t="s">
        <v>124</v>
      </c>
      <c r="CJ629" s="4" t="s">
        <v>124</v>
      </c>
      <c r="CK629" s="4" t="s">
        <v>124</v>
      </c>
      <c r="CL629" s="4" t="s">
        <v>124</v>
      </c>
      <c r="CM629" s="4" t="s">
        <v>124</v>
      </c>
      <c r="CN629" s="4" t="s">
        <v>124</v>
      </c>
      <c r="CO629" s="4" t="s">
        <v>124</v>
      </c>
      <c r="CP629" s="4" t="s">
        <v>124</v>
      </c>
      <c r="CQ629" s="7">
        <v>0.5</v>
      </c>
      <c r="CR629" s="7">
        <v>1.0285709999999999</v>
      </c>
      <c r="CS629" s="7">
        <v>33.333333000000003</v>
      </c>
      <c r="CT629" s="7">
        <v>50</v>
      </c>
      <c r="CU629" s="4" t="s">
        <v>124</v>
      </c>
      <c r="CV629" s="4" t="s">
        <v>124</v>
      </c>
      <c r="CW629" s="4" t="s">
        <v>124</v>
      </c>
      <c r="CX629" s="4" t="s">
        <v>124</v>
      </c>
      <c r="CY629" s="4" t="s">
        <v>124</v>
      </c>
      <c r="CZ629" s="4" t="s">
        <v>124</v>
      </c>
      <c r="DA629" s="7">
        <v>15.314097</v>
      </c>
      <c r="DB629" s="7">
        <v>17.400950000000002</v>
      </c>
      <c r="DC629" s="7">
        <v>16.332519999999999</v>
      </c>
      <c r="DD629" s="4" t="s">
        <v>124</v>
      </c>
      <c r="DE629" s="7">
        <v>0</v>
      </c>
      <c r="DF629" s="6"/>
      <c r="DG629" s="6"/>
      <c r="DH629" s="4" t="s">
        <v>331</v>
      </c>
      <c r="DI629" s="4" t="s">
        <v>614</v>
      </c>
      <c r="DJ629" s="7">
        <v>1</v>
      </c>
      <c r="DK629" s="7">
        <v>1</v>
      </c>
      <c r="DL629" s="7">
        <v>1</v>
      </c>
      <c r="DM629" s="7">
        <v>1</v>
      </c>
      <c r="DN629" s="7">
        <v>1</v>
      </c>
      <c r="DO629" s="7">
        <v>0</v>
      </c>
      <c r="DP629" s="6"/>
      <c r="DQ629" s="4" t="s">
        <v>125</v>
      </c>
    </row>
    <row r="630" spans="1:121" ht="20" customHeight="1" x14ac:dyDescent="0.15">
      <c r="A630" s="5">
        <v>2018</v>
      </c>
      <c r="B630" s="3" t="s">
        <v>166</v>
      </c>
      <c r="C630" s="4" t="str">
        <f>"0880011"</f>
        <v>0880011</v>
      </c>
      <c r="D630" s="4" t="s">
        <v>787</v>
      </c>
      <c r="E630" s="4" t="str">
        <f>"0880811"</f>
        <v>0880811</v>
      </c>
      <c r="F630" s="4" t="s">
        <v>327</v>
      </c>
      <c r="G630" s="4" t="s">
        <v>338</v>
      </c>
      <c r="H630" s="7">
        <v>4</v>
      </c>
      <c r="I630" s="4" t="s">
        <v>329</v>
      </c>
      <c r="J630" s="4" t="s">
        <v>330</v>
      </c>
      <c r="K630" s="7">
        <v>674.24616300000002</v>
      </c>
      <c r="L630" s="7">
        <v>850</v>
      </c>
      <c r="M630" s="7">
        <v>79.323077999999995</v>
      </c>
      <c r="N630" s="7">
        <v>2</v>
      </c>
      <c r="O630" s="7">
        <v>0</v>
      </c>
      <c r="P630" s="7">
        <v>68.970589000000004</v>
      </c>
      <c r="Q630" s="7">
        <v>45.980392999999999</v>
      </c>
      <c r="R630" s="7">
        <v>50</v>
      </c>
      <c r="S630" s="7">
        <v>63.978554000000003</v>
      </c>
      <c r="T630" s="7">
        <v>75</v>
      </c>
      <c r="U630" s="7">
        <v>42.652369</v>
      </c>
      <c r="V630" s="7">
        <v>50</v>
      </c>
      <c r="W630" s="7">
        <v>67.771024999999995</v>
      </c>
      <c r="X630" s="7">
        <v>45.180683000000002</v>
      </c>
      <c r="Y630" s="7">
        <v>50</v>
      </c>
      <c r="Z630" s="7">
        <v>75</v>
      </c>
      <c r="AA630" s="7">
        <v>61.415909999999997</v>
      </c>
      <c r="AB630" s="7">
        <v>40.943939999999998</v>
      </c>
      <c r="AC630" s="7">
        <v>50</v>
      </c>
      <c r="AD630" s="4" t="s">
        <v>124</v>
      </c>
      <c r="AE630" s="4" t="s">
        <v>124</v>
      </c>
      <c r="AF630" s="4" t="s">
        <v>124</v>
      </c>
      <c r="AG630" s="4" t="s">
        <v>124</v>
      </c>
      <c r="AH630" s="4" t="s">
        <v>124</v>
      </c>
      <c r="AI630" s="4" t="s">
        <v>124</v>
      </c>
      <c r="AJ630" s="4" t="s">
        <v>124</v>
      </c>
      <c r="AK630" s="7">
        <v>11.02</v>
      </c>
      <c r="AL630" s="7">
        <v>13.58</v>
      </c>
      <c r="AM630" s="4" t="s">
        <v>124</v>
      </c>
      <c r="AN630" s="7">
        <v>0.76988999999999996</v>
      </c>
      <c r="AO630" s="7">
        <v>76.989035999999999</v>
      </c>
      <c r="AP630" s="7">
        <v>100</v>
      </c>
      <c r="AQ630" s="7">
        <v>0.83649600000000002</v>
      </c>
      <c r="AR630" s="7">
        <v>83.649638999999993</v>
      </c>
      <c r="AS630" s="7">
        <v>100</v>
      </c>
      <c r="AT630" s="7">
        <v>0.703044</v>
      </c>
      <c r="AU630" s="4" t="s">
        <v>124</v>
      </c>
      <c r="AV630" s="7">
        <v>70.304385999999994</v>
      </c>
      <c r="AW630" s="7">
        <v>100</v>
      </c>
      <c r="AX630" s="7">
        <v>0.84227099999999999</v>
      </c>
      <c r="AY630" s="4" t="s">
        <v>124</v>
      </c>
      <c r="AZ630" s="7">
        <v>84.227136000000002</v>
      </c>
      <c r="BA630" s="7">
        <v>100</v>
      </c>
      <c r="BB630" s="7">
        <v>0.84204500000000004</v>
      </c>
      <c r="BC630" s="7">
        <v>42.102227999999997</v>
      </c>
      <c r="BD630" s="7">
        <v>50</v>
      </c>
      <c r="BE630" s="7">
        <v>0.71593200000000001</v>
      </c>
      <c r="BF630" s="7">
        <v>35.796599999999998</v>
      </c>
      <c r="BG630" s="7">
        <v>50</v>
      </c>
      <c r="BH630" s="7">
        <v>0</v>
      </c>
      <c r="BI630" s="7">
        <v>0.97196300000000002</v>
      </c>
      <c r="BJ630" s="7">
        <v>0.96103899999999998</v>
      </c>
      <c r="BK630" s="7">
        <v>1</v>
      </c>
      <c r="BL630" s="7">
        <v>0.97222200000000003</v>
      </c>
      <c r="BM630" s="7">
        <v>0.961538</v>
      </c>
      <c r="BN630" s="7">
        <v>1</v>
      </c>
      <c r="BO630" s="4" t="s">
        <v>124</v>
      </c>
      <c r="BP630" s="4" t="s">
        <v>124</v>
      </c>
      <c r="BQ630" s="4" t="s">
        <v>124</v>
      </c>
      <c r="BR630" s="7">
        <v>0.123457</v>
      </c>
      <c r="BS630" s="7">
        <v>35.308641999999999</v>
      </c>
      <c r="BT630" s="7">
        <v>50</v>
      </c>
      <c r="BU630" s="7">
        <v>0.16666700000000001</v>
      </c>
      <c r="BV630" s="7">
        <v>26.666667</v>
      </c>
      <c r="BW630" s="7">
        <v>50</v>
      </c>
      <c r="BX630" s="4" t="s">
        <v>124</v>
      </c>
      <c r="BY630" s="4" t="s">
        <v>124</v>
      </c>
      <c r="BZ630" s="4" t="s">
        <v>124</v>
      </c>
      <c r="CA630" s="4" t="s">
        <v>124</v>
      </c>
      <c r="CB630" s="4" t="s">
        <v>124</v>
      </c>
      <c r="CC630" s="4" t="s">
        <v>124</v>
      </c>
      <c r="CD630" s="4" t="s">
        <v>124</v>
      </c>
      <c r="CE630" s="4" t="s">
        <v>124</v>
      </c>
      <c r="CF630" s="4" t="s">
        <v>124</v>
      </c>
      <c r="CG630" s="4" t="s">
        <v>124</v>
      </c>
      <c r="CH630" s="4" t="s">
        <v>124</v>
      </c>
      <c r="CI630" s="4" t="s">
        <v>124</v>
      </c>
      <c r="CJ630" s="4" t="s">
        <v>124</v>
      </c>
      <c r="CK630" s="4" t="s">
        <v>124</v>
      </c>
      <c r="CL630" s="4" t="s">
        <v>124</v>
      </c>
      <c r="CM630" s="4" t="s">
        <v>124</v>
      </c>
      <c r="CN630" s="4" t="s">
        <v>124</v>
      </c>
      <c r="CO630" s="4" t="s">
        <v>124</v>
      </c>
      <c r="CP630" s="4" t="s">
        <v>124</v>
      </c>
      <c r="CQ630" s="7">
        <v>0.66666700000000001</v>
      </c>
      <c r="CR630" s="7">
        <v>1.021277</v>
      </c>
      <c r="CS630" s="7">
        <v>44.444443999999997</v>
      </c>
      <c r="CT630" s="7">
        <v>50</v>
      </c>
      <c r="CU630" s="4" t="s">
        <v>124</v>
      </c>
      <c r="CV630" s="4" t="s">
        <v>124</v>
      </c>
      <c r="CW630" s="4" t="s">
        <v>124</v>
      </c>
      <c r="CX630" s="4" t="s">
        <v>124</v>
      </c>
      <c r="CY630" s="4" t="s">
        <v>124</v>
      </c>
      <c r="CZ630" s="4" t="s">
        <v>124</v>
      </c>
      <c r="DA630" s="7">
        <v>15.314097</v>
      </c>
      <c r="DB630" s="7">
        <v>17.400950000000002</v>
      </c>
      <c r="DC630" s="7">
        <v>16.332519999999999</v>
      </c>
      <c r="DD630" s="4" t="s">
        <v>124</v>
      </c>
      <c r="DE630" s="7">
        <v>0</v>
      </c>
      <c r="DF630" s="6"/>
      <c r="DG630" s="6"/>
      <c r="DH630" s="4" t="s">
        <v>331</v>
      </c>
      <c r="DI630" s="4" t="s">
        <v>431</v>
      </c>
      <c r="DJ630" s="7">
        <v>0</v>
      </c>
      <c r="DK630" s="7">
        <v>0</v>
      </c>
      <c r="DL630" s="7">
        <v>0</v>
      </c>
      <c r="DM630" s="7">
        <v>0</v>
      </c>
      <c r="DN630" s="7">
        <v>1</v>
      </c>
      <c r="DO630" s="7">
        <v>0</v>
      </c>
      <c r="DP630" s="6"/>
      <c r="DQ630" s="4" t="s">
        <v>125</v>
      </c>
    </row>
    <row r="631" spans="1:121" ht="20" customHeight="1" x14ac:dyDescent="0.15">
      <c r="A631" s="5">
        <v>2018</v>
      </c>
      <c r="B631" s="3" t="s">
        <v>166</v>
      </c>
      <c r="C631" s="4" t="str">
        <f>"0880011"</f>
        <v>0880011</v>
      </c>
      <c r="D631" s="4" t="s">
        <v>788</v>
      </c>
      <c r="E631" s="4" t="str">
        <f>"0885111"</f>
        <v>0885111</v>
      </c>
      <c r="F631" s="4" t="s">
        <v>327</v>
      </c>
      <c r="G631" s="7">
        <v>7</v>
      </c>
      <c r="H631" s="7">
        <v>8</v>
      </c>
      <c r="I631" s="4" t="s">
        <v>329</v>
      </c>
      <c r="J631" s="4" t="s">
        <v>330</v>
      </c>
      <c r="K631" s="7">
        <v>613.39354700000001</v>
      </c>
      <c r="L631" s="7">
        <v>1000</v>
      </c>
      <c r="M631" s="7">
        <v>61.339354999999998</v>
      </c>
      <c r="N631" s="7">
        <v>3</v>
      </c>
      <c r="O631" s="7">
        <v>0</v>
      </c>
      <c r="P631" s="7">
        <v>67.407425000000003</v>
      </c>
      <c r="Q631" s="7">
        <v>44.938282999999998</v>
      </c>
      <c r="R631" s="7">
        <v>50</v>
      </c>
      <c r="S631" s="7">
        <v>61.547080999999999</v>
      </c>
      <c r="T631" s="7">
        <v>75</v>
      </c>
      <c r="U631" s="7">
        <v>41.031387000000002</v>
      </c>
      <c r="V631" s="7">
        <v>50</v>
      </c>
      <c r="W631" s="7">
        <v>58.308611999999997</v>
      </c>
      <c r="X631" s="7">
        <v>38.872408</v>
      </c>
      <c r="Y631" s="7">
        <v>50</v>
      </c>
      <c r="Z631" s="7">
        <v>68.861538999999993</v>
      </c>
      <c r="AA631" s="7">
        <v>51.902427000000003</v>
      </c>
      <c r="AB631" s="7">
        <v>34.601618000000002</v>
      </c>
      <c r="AC631" s="7">
        <v>50</v>
      </c>
      <c r="AD631" s="7">
        <v>62.157111999999998</v>
      </c>
      <c r="AE631" s="7">
        <v>41.438074999999998</v>
      </c>
      <c r="AF631" s="7">
        <v>50</v>
      </c>
      <c r="AG631" s="7">
        <v>56.754789000000002</v>
      </c>
      <c r="AH631" s="7">
        <v>70.924816000000007</v>
      </c>
      <c r="AI631" s="7">
        <v>37.836525999999999</v>
      </c>
      <c r="AJ631" s="7">
        <v>50</v>
      </c>
      <c r="AK631" s="7">
        <v>13.45</v>
      </c>
      <c r="AL631" s="7">
        <v>16.95</v>
      </c>
      <c r="AM631" s="7">
        <v>14.17</v>
      </c>
      <c r="AN631" s="7">
        <v>0.62367499999999998</v>
      </c>
      <c r="AO631" s="7">
        <v>62.367541000000003</v>
      </c>
      <c r="AP631" s="7">
        <v>100</v>
      </c>
      <c r="AQ631" s="7">
        <v>0.41022700000000001</v>
      </c>
      <c r="AR631" s="7">
        <v>41.022714000000001</v>
      </c>
      <c r="AS631" s="7">
        <v>100</v>
      </c>
      <c r="AT631" s="7">
        <v>0.59818800000000005</v>
      </c>
      <c r="AU631" s="7">
        <v>0.66377399999999998</v>
      </c>
      <c r="AV631" s="7">
        <v>59.818752000000003</v>
      </c>
      <c r="AW631" s="7">
        <v>100</v>
      </c>
      <c r="AX631" s="7">
        <v>0.37544499999999997</v>
      </c>
      <c r="AY631" s="7">
        <v>0.46457399999999999</v>
      </c>
      <c r="AZ631" s="7">
        <v>37.544491999999998</v>
      </c>
      <c r="BA631" s="7">
        <v>100</v>
      </c>
      <c r="BB631" s="7">
        <v>0.51181699999999997</v>
      </c>
      <c r="BC631" s="7">
        <v>25.590852999999999</v>
      </c>
      <c r="BD631" s="7">
        <v>50</v>
      </c>
      <c r="BE631" s="7">
        <v>0.36047800000000002</v>
      </c>
      <c r="BF631" s="7">
        <v>18.023916</v>
      </c>
      <c r="BG631" s="7">
        <v>50</v>
      </c>
      <c r="BH631" s="7">
        <v>0</v>
      </c>
      <c r="BI631" s="7">
        <v>0.98965999999999998</v>
      </c>
      <c r="BJ631" s="7">
        <v>0.98834500000000003</v>
      </c>
      <c r="BK631" s="7">
        <v>0.99193500000000001</v>
      </c>
      <c r="BL631" s="7">
        <v>0.98965999999999998</v>
      </c>
      <c r="BM631" s="7">
        <v>0.98601399999999995</v>
      </c>
      <c r="BN631" s="7">
        <v>0.99596799999999996</v>
      </c>
      <c r="BO631" s="7">
        <v>0.99101799999999995</v>
      </c>
      <c r="BP631" s="7">
        <v>0.98564600000000002</v>
      </c>
      <c r="BQ631" s="7">
        <v>1</v>
      </c>
      <c r="BR631" s="7">
        <v>0.15509600000000001</v>
      </c>
      <c r="BS631" s="7">
        <v>28.980798</v>
      </c>
      <c r="BT631" s="7">
        <v>50</v>
      </c>
      <c r="BU631" s="7">
        <v>0.21545700000000001</v>
      </c>
      <c r="BV631" s="7">
        <v>16.908664999999999</v>
      </c>
      <c r="BW631" s="7">
        <v>50</v>
      </c>
      <c r="BX631" s="4" t="s">
        <v>124</v>
      </c>
      <c r="BY631" s="4" t="s">
        <v>124</v>
      </c>
      <c r="BZ631" s="4" t="s">
        <v>124</v>
      </c>
      <c r="CA631" s="4" t="s">
        <v>124</v>
      </c>
      <c r="CB631" s="4" t="s">
        <v>124</v>
      </c>
      <c r="CC631" s="4" t="s">
        <v>124</v>
      </c>
      <c r="CD631" s="7">
        <v>0.86163500000000004</v>
      </c>
      <c r="CE631" s="7">
        <v>45.831660999999997</v>
      </c>
      <c r="CF631" s="7">
        <v>50</v>
      </c>
      <c r="CG631" s="4" t="s">
        <v>124</v>
      </c>
      <c r="CH631" s="4" t="s">
        <v>124</v>
      </c>
      <c r="CI631" s="4" t="s">
        <v>124</v>
      </c>
      <c r="CJ631" s="4" t="s">
        <v>124</v>
      </c>
      <c r="CK631" s="4" t="s">
        <v>124</v>
      </c>
      <c r="CL631" s="4" t="s">
        <v>124</v>
      </c>
      <c r="CM631" s="4" t="s">
        <v>124</v>
      </c>
      <c r="CN631" s="4" t="s">
        <v>124</v>
      </c>
      <c r="CO631" s="4" t="s">
        <v>124</v>
      </c>
      <c r="CP631" s="4" t="s">
        <v>124</v>
      </c>
      <c r="CQ631" s="7">
        <v>0.57878799999999997</v>
      </c>
      <c r="CR631" s="7">
        <v>0.98802400000000001</v>
      </c>
      <c r="CS631" s="7">
        <v>38.585858999999999</v>
      </c>
      <c r="CT631" s="7">
        <v>50</v>
      </c>
      <c r="CU631" s="4" t="s">
        <v>124</v>
      </c>
      <c r="CV631" s="4" t="s">
        <v>124</v>
      </c>
      <c r="CW631" s="4" t="s">
        <v>124</v>
      </c>
      <c r="CX631" s="4" t="s">
        <v>124</v>
      </c>
      <c r="CY631" s="4" t="s">
        <v>124</v>
      </c>
      <c r="CZ631" s="4" t="s">
        <v>124</v>
      </c>
      <c r="DA631" s="7">
        <v>15.314097</v>
      </c>
      <c r="DB631" s="7">
        <v>17.400950000000002</v>
      </c>
      <c r="DC631" s="7">
        <v>16.332519999999999</v>
      </c>
      <c r="DD631" s="4" t="s">
        <v>124</v>
      </c>
      <c r="DE631" s="7">
        <v>0</v>
      </c>
      <c r="DF631" s="6"/>
      <c r="DG631" s="6"/>
      <c r="DH631" s="6"/>
      <c r="DI631" s="6"/>
      <c r="DJ631" s="7">
        <v>0</v>
      </c>
      <c r="DK631" s="7">
        <v>0</v>
      </c>
      <c r="DL631" s="7">
        <v>0</v>
      </c>
      <c r="DM631" s="7">
        <v>0</v>
      </c>
      <c r="DN631" s="7">
        <v>0</v>
      </c>
      <c r="DO631" s="7">
        <v>0</v>
      </c>
      <c r="DP631" s="6"/>
      <c r="DQ631" s="4" t="s">
        <v>125</v>
      </c>
    </row>
    <row r="632" spans="1:121" ht="20" customHeight="1" x14ac:dyDescent="0.15">
      <c r="A632" s="5">
        <v>2018</v>
      </c>
      <c r="B632" s="3" t="s">
        <v>166</v>
      </c>
      <c r="C632" s="4" t="str">
        <f>"0880011"</f>
        <v>0880011</v>
      </c>
      <c r="D632" s="4" t="s">
        <v>789</v>
      </c>
      <c r="E632" s="4" t="str">
        <f>"0880211"</f>
        <v>0880211</v>
      </c>
      <c r="F632" s="4" t="s">
        <v>327</v>
      </c>
      <c r="G632" s="7">
        <v>5</v>
      </c>
      <c r="H632" s="7">
        <v>6</v>
      </c>
      <c r="I632" s="4" t="s">
        <v>329</v>
      </c>
      <c r="J632" s="4" t="s">
        <v>330</v>
      </c>
      <c r="K632" s="7">
        <v>581.83185900000001</v>
      </c>
      <c r="L632" s="7">
        <v>850</v>
      </c>
      <c r="M632" s="7">
        <v>68.450806999999998</v>
      </c>
      <c r="N632" s="7">
        <v>3</v>
      </c>
      <c r="O632" s="7">
        <v>0</v>
      </c>
      <c r="P632" s="7">
        <v>67.964686999999998</v>
      </c>
      <c r="Q632" s="7">
        <v>45.309790999999997</v>
      </c>
      <c r="R632" s="7">
        <v>50</v>
      </c>
      <c r="S632" s="7">
        <v>61.152808999999998</v>
      </c>
      <c r="T632" s="7">
        <v>75</v>
      </c>
      <c r="U632" s="7">
        <v>40.768540000000002</v>
      </c>
      <c r="V632" s="7">
        <v>50</v>
      </c>
      <c r="W632" s="7">
        <v>67.168353999999994</v>
      </c>
      <c r="X632" s="7">
        <v>44.778903</v>
      </c>
      <c r="Y632" s="7">
        <v>50</v>
      </c>
      <c r="Z632" s="7">
        <v>75</v>
      </c>
      <c r="AA632" s="7">
        <v>58.668281</v>
      </c>
      <c r="AB632" s="7">
        <v>39.112186999999999</v>
      </c>
      <c r="AC632" s="7">
        <v>50</v>
      </c>
      <c r="AD632" s="7">
        <v>60.818925</v>
      </c>
      <c r="AE632" s="7">
        <v>40.545949999999998</v>
      </c>
      <c r="AF632" s="7">
        <v>50</v>
      </c>
      <c r="AG632" s="7">
        <v>54.832490999999997</v>
      </c>
      <c r="AH632" s="7">
        <v>68.234954000000002</v>
      </c>
      <c r="AI632" s="7">
        <v>36.554994000000001</v>
      </c>
      <c r="AJ632" s="7">
        <v>50</v>
      </c>
      <c r="AK632" s="7">
        <v>13.84</v>
      </c>
      <c r="AL632" s="7">
        <v>16.329999999999998</v>
      </c>
      <c r="AM632" s="7">
        <v>13.4</v>
      </c>
      <c r="AN632" s="7">
        <v>0.57996999999999999</v>
      </c>
      <c r="AO632" s="7">
        <v>57.997028</v>
      </c>
      <c r="AP632" s="7">
        <v>100</v>
      </c>
      <c r="AQ632" s="7">
        <v>0.59845300000000001</v>
      </c>
      <c r="AR632" s="7">
        <v>59.845261999999998</v>
      </c>
      <c r="AS632" s="7">
        <v>100</v>
      </c>
      <c r="AT632" s="7">
        <v>0.55028999999999995</v>
      </c>
      <c r="AU632" s="7">
        <v>0.61154500000000001</v>
      </c>
      <c r="AV632" s="7">
        <v>55.028967999999999</v>
      </c>
      <c r="AW632" s="7">
        <v>100</v>
      </c>
      <c r="AX632" s="7">
        <v>0.50559699999999996</v>
      </c>
      <c r="AY632" s="7">
        <v>0.69723500000000005</v>
      </c>
      <c r="AZ632" s="7">
        <v>50.559688000000001</v>
      </c>
      <c r="BA632" s="7">
        <v>100</v>
      </c>
      <c r="BB632" s="4" t="s">
        <v>124</v>
      </c>
      <c r="BC632" s="4" t="s">
        <v>124</v>
      </c>
      <c r="BD632" s="4" t="s">
        <v>124</v>
      </c>
      <c r="BE632" s="4" t="s">
        <v>124</v>
      </c>
      <c r="BF632" s="4" t="s">
        <v>124</v>
      </c>
      <c r="BG632" s="4" t="s">
        <v>124</v>
      </c>
      <c r="BH632" s="7">
        <v>0</v>
      </c>
      <c r="BI632" s="7">
        <v>0.99695100000000003</v>
      </c>
      <c r="BJ632" s="7">
        <v>0.99453599999999998</v>
      </c>
      <c r="BK632" s="7">
        <v>1</v>
      </c>
      <c r="BL632" s="7">
        <v>0.99695999999999996</v>
      </c>
      <c r="BM632" s="7">
        <v>0.99456500000000003</v>
      </c>
      <c r="BN632" s="7">
        <v>1</v>
      </c>
      <c r="BO632" s="7">
        <v>0.99382700000000002</v>
      </c>
      <c r="BP632" s="7">
        <v>0.98912999999999995</v>
      </c>
      <c r="BQ632" s="7">
        <v>1</v>
      </c>
      <c r="BR632" s="7">
        <v>0.103343</v>
      </c>
      <c r="BS632" s="7">
        <v>39.331307000000002</v>
      </c>
      <c r="BT632" s="7">
        <v>50</v>
      </c>
      <c r="BU632" s="7">
        <v>0.157303</v>
      </c>
      <c r="BV632" s="7">
        <v>28.539325999999999</v>
      </c>
      <c r="BW632" s="7">
        <v>50</v>
      </c>
      <c r="BX632" s="4" t="s">
        <v>124</v>
      </c>
      <c r="BY632" s="4" t="s">
        <v>124</v>
      </c>
      <c r="BZ632" s="4" t="s">
        <v>124</v>
      </c>
      <c r="CA632" s="4" t="s">
        <v>124</v>
      </c>
      <c r="CB632" s="4" t="s">
        <v>124</v>
      </c>
      <c r="CC632" s="4" t="s">
        <v>124</v>
      </c>
      <c r="CD632" s="4" t="s">
        <v>124</v>
      </c>
      <c r="CE632" s="4" t="s">
        <v>124</v>
      </c>
      <c r="CF632" s="4" t="s">
        <v>124</v>
      </c>
      <c r="CG632" s="4" t="s">
        <v>124</v>
      </c>
      <c r="CH632" s="4" t="s">
        <v>124</v>
      </c>
      <c r="CI632" s="4" t="s">
        <v>124</v>
      </c>
      <c r="CJ632" s="4" t="s">
        <v>124</v>
      </c>
      <c r="CK632" s="4" t="s">
        <v>124</v>
      </c>
      <c r="CL632" s="4" t="s">
        <v>124</v>
      </c>
      <c r="CM632" s="4" t="s">
        <v>124</v>
      </c>
      <c r="CN632" s="4" t="s">
        <v>124</v>
      </c>
      <c r="CO632" s="4" t="s">
        <v>124</v>
      </c>
      <c r="CP632" s="4" t="s">
        <v>124</v>
      </c>
      <c r="CQ632" s="7">
        <v>0.65189900000000001</v>
      </c>
      <c r="CR632" s="7">
        <v>0.94047599999999998</v>
      </c>
      <c r="CS632" s="7">
        <v>43.459916</v>
      </c>
      <c r="CT632" s="7">
        <v>50</v>
      </c>
      <c r="CU632" s="4" t="s">
        <v>124</v>
      </c>
      <c r="CV632" s="4" t="s">
        <v>124</v>
      </c>
      <c r="CW632" s="4" t="s">
        <v>124</v>
      </c>
      <c r="CX632" s="4" t="s">
        <v>124</v>
      </c>
      <c r="CY632" s="4" t="s">
        <v>124</v>
      </c>
      <c r="CZ632" s="4" t="s">
        <v>124</v>
      </c>
      <c r="DA632" s="7">
        <v>15.314097</v>
      </c>
      <c r="DB632" s="7">
        <v>17.400950000000002</v>
      </c>
      <c r="DC632" s="7">
        <v>16.332519999999999</v>
      </c>
      <c r="DD632" s="4" t="s">
        <v>124</v>
      </c>
      <c r="DE632" s="7">
        <v>0</v>
      </c>
      <c r="DF632" s="6"/>
      <c r="DG632" s="6"/>
      <c r="DH632" s="6"/>
      <c r="DI632" s="6"/>
      <c r="DJ632" s="7">
        <v>0</v>
      </c>
      <c r="DK632" s="7">
        <v>0</v>
      </c>
      <c r="DL632" s="7">
        <v>0</v>
      </c>
      <c r="DM632" s="7">
        <v>0</v>
      </c>
      <c r="DN632" s="7">
        <v>0</v>
      </c>
      <c r="DO632" s="7">
        <v>0</v>
      </c>
      <c r="DP632" s="6"/>
      <c r="DQ632" s="4" t="s">
        <v>125</v>
      </c>
    </row>
    <row r="633" spans="1:121" ht="20" customHeight="1" x14ac:dyDescent="0.15">
      <c r="A633" s="5">
        <v>2018</v>
      </c>
      <c r="B633" s="3" t="s">
        <v>166</v>
      </c>
      <c r="C633" s="4" t="str">
        <f>"0880011"</f>
        <v>0880011</v>
      </c>
      <c r="D633" s="4" t="s">
        <v>790</v>
      </c>
      <c r="E633" s="4" t="str">
        <f>"0880411"</f>
        <v>0880411</v>
      </c>
      <c r="F633" s="4" t="s">
        <v>327</v>
      </c>
      <c r="G633" s="7">
        <v>5</v>
      </c>
      <c r="H633" s="7">
        <v>6</v>
      </c>
      <c r="I633" s="4" t="s">
        <v>329</v>
      </c>
      <c r="J633" s="4" t="s">
        <v>330</v>
      </c>
      <c r="K633" s="7">
        <v>653.29335900000001</v>
      </c>
      <c r="L633" s="7">
        <v>950</v>
      </c>
      <c r="M633" s="7">
        <v>68.767722000000006</v>
      </c>
      <c r="N633" s="7">
        <v>3</v>
      </c>
      <c r="O633" s="7">
        <v>0</v>
      </c>
      <c r="P633" s="7">
        <v>66.780662000000007</v>
      </c>
      <c r="Q633" s="7">
        <v>44.520440999999998</v>
      </c>
      <c r="R633" s="7">
        <v>50</v>
      </c>
      <c r="S633" s="7">
        <v>62.064109000000002</v>
      </c>
      <c r="T633" s="7">
        <v>75</v>
      </c>
      <c r="U633" s="7">
        <v>41.376072999999998</v>
      </c>
      <c r="V633" s="7">
        <v>50</v>
      </c>
      <c r="W633" s="7">
        <v>63.784224999999999</v>
      </c>
      <c r="X633" s="7">
        <v>42.522815999999999</v>
      </c>
      <c r="Y633" s="7">
        <v>50</v>
      </c>
      <c r="Z633" s="7">
        <v>75</v>
      </c>
      <c r="AA633" s="7">
        <v>58.838788000000001</v>
      </c>
      <c r="AB633" s="7">
        <v>39.225858000000002</v>
      </c>
      <c r="AC633" s="7">
        <v>50</v>
      </c>
      <c r="AD633" s="7">
        <v>62.772550000000003</v>
      </c>
      <c r="AE633" s="7">
        <v>41.848367000000003</v>
      </c>
      <c r="AF633" s="7">
        <v>50</v>
      </c>
      <c r="AG633" s="7">
        <v>58.746217999999999</v>
      </c>
      <c r="AH633" s="7">
        <v>73.112903000000003</v>
      </c>
      <c r="AI633" s="7">
        <v>39.164144999999998</v>
      </c>
      <c r="AJ633" s="7">
        <v>50</v>
      </c>
      <c r="AK633" s="7">
        <v>12.93</v>
      </c>
      <c r="AL633" s="7">
        <v>16.16</v>
      </c>
      <c r="AM633" s="7">
        <v>14.36</v>
      </c>
      <c r="AN633" s="7">
        <v>0.59856699999999996</v>
      </c>
      <c r="AO633" s="7">
        <v>59.856692000000002</v>
      </c>
      <c r="AP633" s="7">
        <v>100</v>
      </c>
      <c r="AQ633" s="7">
        <v>0.58446699999999996</v>
      </c>
      <c r="AR633" s="7">
        <v>58.446657000000002</v>
      </c>
      <c r="AS633" s="7">
        <v>100</v>
      </c>
      <c r="AT633" s="7">
        <v>0.563801</v>
      </c>
      <c r="AU633" s="7">
        <v>0.68871700000000002</v>
      </c>
      <c r="AV633" s="7">
        <v>56.380054999999999</v>
      </c>
      <c r="AW633" s="7">
        <v>100</v>
      </c>
      <c r="AX633" s="7">
        <v>0.55737999999999999</v>
      </c>
      <c r="AY633" s="7">
        <v>0.65407199999999999</v>
      </c>
      <c r="AZ633" s="7">
        <v>55.738031999999997</v>
      </c>
      <c r="BA633" s="7">
        <v>100</v>
      </c>
      <c r="BB633" s="7">
        <v>0.55490899999999999</v>
      </c>
      <c r="BC633" s="7">
        <v>27.745436999999999</v>
      </c>
      <c r="BD633" s="7">
        <v>50</v>
      </c>
      <c r="BE633" s="7">
        <v>0.67390600000000001</v>
      </c>
      <c r="BF633" s="7">
        <v>33.695278999999999</v>
      </c>
      <c r="BG633" s="7">
        <v>50</v>
      </c>
      <c r="BH633" s="7">
        <v>0</v>
      </c>
      <c r="BI633" s="7">
        <v>0.99395800000000001</v>
      </c>
      <c r="BJ633" s="7">
        <v>0.99180299999999999</v>
      </c>
      <c r="BK633" s="7">
        <v>1</v>
      </c>
      <c r="BL633" s="7">
        <v>0.99395800000000001</v>
      </c>
      <c r="BM633" s="7">
        <v>0.99180299999999999</v>
      </c>
      <c r="BN633" s="7">
        <v>1</v>
      </c>
      <c r="BO633" s="7">
        <v>0.99390199999999995</v>
      </c>
      <c r="BP633" s="7">
        <v>0.99166699999999997</v>
      </c>
      <c r="BQ633" s="7">
        <v>1</v>
      </c>
      <c r="BR633" s="7">
        <v>0.108434</v>
      </c>
      <c r="BS633" s="7">
        <v>38.313253000000003</v>
      </c>
      <c r="BT633" s="7">
        <v>50</v>
      </c>
      <c r="BU633" s="7">
        <v>0.13524600000000001</v>
      </c>
      <c r="BV633" s="7">
        <v>32.95082</v>
      </c>
      <c r="BW633" s="7">
        <v>50</v>
      </c>
      <c r="BX633" s="4" t="s">
        <v>124</v>
      </c>
      <c r="BY633" s="4" t="s">
        <v>124</v>
      </c>
      <c r="BZ633" s="4" t="s">
        <v>124</v>
      </c>
      <c r="CA633" s="4" t="s">
        <v>124</v>
      </c>
      <c r="CB633" s="4" t="s">
        <v>124</v>
      </c>
      <c r="CC633" s="4" t="s">
        <v>124</v>
      </c>
      <c r="CD633" s="4" t="s">
        <v>124</v>
      </c>
      <c r="CE633" s="4" t="s">
        <v>124</v>
      </c>
      <c r="CF633" s="4" t="s">
        <v>124</v>
      </c>
      <c r="CG633" s="4" t="s">
        <v>124</v>
      </c>
      <c r="CH633" s="4" t="s">
        <v>124</v>
      </c>
      <c r="CI633" s="4" t="s">
        <v>124</v>
      </c>
      <c r="CJ633" s="4" t="s">
        <v>124</v>
      </c>
      <c r="CK633" s="4" t="s">
        <v>124</v>
      </c>
      <c r="CL633" s="4" t="s">
        <v>124</v>
      </c>
      <c r="CM633" s="4" t="s">
        <v>124</v>
      </c>
      <c r="CN633" s="4" t="s">
        <v>124</v>
      </c>
      <c r="CO633" s="4" t="s">
        <v>124</v>
      </c>
      <c r="CP633" s="4" t="s">
        <v>124</v>
      </c>
      <c r="CQ633" s="7">
        <v>0.62264200000000003</v>
      </c>
      <c r="CR633" s="7">
        <v>0.94642899999999996</v>
      </c>
      <c r="CS633" s="7">
        <v>41.509433999999999</v>
      </c>
      <c r="CT633" s="7">
        <v>50</v>
      </c>
      <c r="CU633" s="4" t="s">
        <v>124</v>
      </c>
      <c r="CV633" s="4" t="s">
        <v>124</v>
      </c>
      <c r="CW633" s="4" t="s">
        <v>124</v>
      </c>
      <c r="CX633" s="4" t="s">
        <v>124</v>
      </c>
      <c r="CY633" s="4" t="s">
        <v>124</v>
      </c>
      <c r="CZ633" s="4" t="s">
        <v>124</v>
      </c>
      <c r="DA633" s="7">
        <v>15.314097</v>
      </c>
      <c r="DB633" s="7">
        <v>17.400950000000002</v>
      </c>
      <c r="DC633" s="7">
        <v>16.332519999999999</v>
      </c>
      <c r="DD633" s="4" t="s">
        <v>124</v>
      </c>
      <c r="DE633" s="7">
        <v>0</v>
      </c>
      <c r="DF633" s="6"/>
      <c r="DG633" s="6"/>
      <c r="DH633" s="6"/>
      <c r="DI633" s="6"/>
      <c r="DJ633" s="7">
        <v>0</v>
      </c>
      <c r="DK633" s="7">
        <v>0</v>
      </c>
      <c r="DL633" s="7">
        <v>0</v>
      </c>
      <c r="DM633" s="7">
        <v>0</v>
      </c>
      <c r="DN633" s="7">
        <v>0</v>
      </c>
      <c r="DO633" s="7">
        <v>0</v>
      </c>
      <c r="DP633" s="6"/>
      <c r="DQ633" s="4" t="s">
        <v>125</v>
      </c>
    </row>
    <row r="634" spans="1:121" ht="20" customHeight="1" x14ac:dyDescent="0.15">
      <c r="A634" s="5">
        <v>2018</v>
      </c>
      <c r="B634" s="3" t="s">
        <v>166</v>
      </c>
      <c r="C634" s="4" t="str">
        <f t="shared" si="41"/>
        <v>0880011</v>
      </c>
      <c r="D634" s="4" t="s">
        <v>791</v>
      </c>
      <c r="E634" s="4" t="str">
        <f>"0880511"</f>
        <v>0880511</v>
      </c>
      <c r="F634" s="4" t="s">
        <v>327</v>
      </c>
      <c r="G634" s="4" t="s">
        <v>338</v>
      </c>
      <c r="H634" s="7">
        <v>4</v>
      </c>
      <c r="I634" s="4" t="s">
        <v>329</v>
      </c>
      <c r="J634" s="4" t="s">
        <v>330</v>
      </c>
      <c r="K634" s="7">
        <v>668.26676399999997</v>
      </c>
      <c r="L634" s="7">
        <v>850</v>
      </c>
      <c r="M634" s="7">
        <v>78.619619</v>
      </c>
      <c r="N634" s="7">
        <v>2</v>
      </c>
      <c r="O634" s="7">
        <v>0</v>
      </c>
      <c r="P634" s="7">
        <v>73.357249999999993</v>
      </c>
      <c r="Q634" s="7">
        <v>48.904833000000004</v>
      </c>
      <c r="R634" s="7">
        <v>50</v>
      </c>
      <c r="S634" s="7">
        <v>68.384613000000002</v>
      </c>
      <c r="T634" s="7">
        <v>75</v>
      </c>
      <c r="U634" s="7">
        <v>45.589742000000001</v>
      </c>
      <c r="V634" s="7">
        <v>50</v>
      </c>
      <c r="W634" s="7">
        <v>69.350157999999993</v>
      </c>
      <c r="X634" s="7">
        <v>46.233438</v>
      </c>
      <c r="Y634" s="7">
        <v>50</v>
      </c>
      <c r="Z634" s="7">
        <v>75</v>
      </c>
      <c r="AA634" s="7">
        <v>64.991900000000001</v>
      </c>
      <c r="AB634" s="7">
        <v>43.327933000000002</v>
      </c>
      <c r="AC634" s="7">
        <v>50</v>
      </c>
      <c r="AD634" s="4" t="s">
        <v>124</v>
      </c>
      <c r="AE634" s="4" t="s">
        <v>124</v>
      </c>
      <c r="AF634" s="4" t="s">
        <v>124</v>
      </c>
      <c r="AG634" s="4" t="s">
        <v>124</v>
      </c>
      <c r="AH634" s="4" t="s">
        <v>124</v>
      </c>
      <c r="AI634" s="4" t="s">
        <v>124</v>
      </c>
      <c r="AJ634" s="4" t="s">
        <v>124</v>
      </c>
      <c r="AK634" s="7">
        <v>6.61</v>
      </c>
      <c r="AL634" s="7">
        <v>10</v>
      </c>
      <c r="AM634" s="4" t="s">
        <v>124</v>
      </c>
      <c r="AN634" s="7">
        <v>0.76614899999999997</v>
      </c>
      <c r="AO634" s="7">
        <v>76.614928000000006</v>
      </c>
      <c r="AP634" s="7">
        <v>100</v>
      </c>
      <c r="AQ634" s="7">
        <v>0.70997900000000003</v>
      </c>
      <c r="AR634" s="7">
        <v>70.997891999999993</v>
      </c>
      <c r="AS634" s="7">
        <v>100</v>
      </c>
      <c r="AT634" s="7">
        <v>0.75456100000000004</v>
      </c>
      <c r="AU634" s="7">
        <v>0.78630299999999997</v>
      </c>
      <c r="AV634" s="7">
        <v>75.456092999999996</v>
      </c>
      <c r="AW634" s="7">
        <v>100</v>
      </c>
      <c r="AX634" s="7">
        <v>0.68153399999999997</v>
      </c>
      <c r="AY634" s="7">
        <v>0.75944900000000004</v>
      </c>
      <c r="AZ634" s="7">
        <v>68.153389000000004</v>
      </c>
      <c r="BA634" s="7">
        <v>100</v>
      </c>
      <c r="BB634" s="7">
        <v>0.63157700000000006</v>
      </c>
      <c r="BC634" s="7">
        <v>31.578849999999999</v>
      </c>
      <c r="BD634" s="7">
        <v>50</v>
      </c>
      <c r="BE634" s="7">
        <v>0.72133100000000006</v>
      </c>
      <c r="BF634" s="7">
        <v>36.066547</v>
      </c>
      <c r="BG634" s="7">
        <v>50</v>
      </c>
      <c r="BH634" s="7">
        <v>0</v>
      </c>
      <c r="BI634" s="7">
        <v>0.98425200000000002</v>
      </c>
      <c r="BJ634" s="7">
        <v>0.97894700000000001</v>
      </c>
      <c r="BK634" s="7">
        <v>1</v>
      </c>
      <c r="BL634" s="7">
        <v>0.98425200000000002</v>
      </c>
      <c r="BM634" s="7">
        <v>0.97894700000000001</v>
      </c>
      <c r="BN634" s="7">
        <v>1</v>
      </c>
      <c r="BO634" s="4" t="s">
        <v>124</v>
      </c>
      <c r="BP634" s="4" t="s">
        <v>124</v>
      </c>
      <c r="BQ634" s="4" t="s">
        <v>124</v>
      </c>
      <c r="BR634" s="7">
        <v>7.5471999999999997E-2</v>
      </c>
      <c r="BS634" s="7">
        <v>44.905659999999997</v>
      </c>
      <c r="BT634" s="7">
        <v>50</v>
      </c>
      <c r="BU634" s="7">
        <v>9.9567000000000003E-2</v>
      </c>
      <c r="BV634" s="7">
        <v>40.086579999999998</v>
      </c>
      <c r="BW634" s="7">
        <v>50</v>
      </c>
      <c r="BX634" s="4" t="s">
        <v>124</v>
      </c>
      <c r="BY634" s="4" t="s">
        <v>124</v>
      </c>
      <c r="BZ634" s="4" t="s">
        <v>124</v>
      </c>
      <c r="CA634" s="4" t="s">
        <v>124</v>
      </c>
      <c r="CB634" s="4" t="s">
        <v>124</v>
      </c>
      <c r="CC634" s="4" t="s">
        <v>124</v>
      </c>
      <c r="CD634" s="4" t="s">
        <v>124</v>
      </c>
      <c r="CE634" s="4" t="s">
        <v>124</v>
      </c>
      <c r="CF634" s="4" t="s">
        <v>124</v>
      </c>
      <c r="CG634" s="4" t="s">
        <v>124</v>
      </c>
      <c r="CH634" s="4" t="s">
        <v>124</v>
      </c>
      <c r="CI634" s="4" t="s">
        <v>124</v>
      </c>
      <c r="CJ634" s="4" t="s">
        <v>124</v>
      </c>
      <c r="CK634" s="4" t="s">
        <v>124</v>
      </c>
      <c r="CL634" s="4" t="s">
        <v>124</v>
      </c>
      <c r="CM634" s="4" t="s">
        <v>124</v>
      </c>
      <c r="CN634" s="4" t="s">
        <v>124</v>
      </c>
      <c r="CO634" s="4" t="s">
        <v>124</v>
      </c>
      <c r="CP634" s="4" t="s">
        <v>124</v>
      </c>
      <c r="CQ634" s="7">
        <v>0.605263</v>
      </c>
      <c r="CR634" s="7">
        <v>1.0270269999999999</v>
      </c>
      <c r="CS634" s="7">
        <v>40.350876999999997</v>
      </c>
      <c r="CT634" s="7">
        <v>50</v>
      </c>
      <c r="CU634" s="4" t="s">
        <v>124</v>
      </c>
      <c r="CV634" s="4" t="s">
        <v>124</v>
      </c>
      <c r="CW634" s="4" t="s">
        <v>124</v>
      </c>
      <c r="CX634" s="4" t="s">
        <v>124</v>
      </c>
      <c r="CY634" s="4" t="s">
        <v>124</v>
      </c>
      <c r="CZ634" s="4" t="s">
        <v>124</v>
      </c>
      <c r="DA634" s="7">
        <v>15.314097</v>
      </c>
      <c r="DB634" s="7">
        <v>17.400950000000002</v>
      </c>
      <c r="DC634" s="7">
        <v>16.332519999999999</v>
      </c>
      <c r="DD634" s="4" t="s">
        <v>124</v>
      </c>
      <c r="DE634" s="7">
        <v>0</v>
      </c>
      <c r="DF634" s="6"/>
      <c r="DG634" s="6"/>
      <c r="DH634" s="4" t="s">
        <v>331</v>
      </c>
      <c r="DI634" s="4" t="s">
        <v>523</v>
      </c>
      <c r="DJ634" s="7">
        <v>0</v>
      </c>
      <c r="DK634" s="7">
        <v>0</v>
      </c>
      <c r="DL634" s="7">
        <v>0</v>
      </c>
      <c r="DM634" s="7">
        <v>1</v>
      </c>
      <c r="DN634" s="7">
        <v>0</v>
      </c>
      <c r="DO634" s="7">
        <v>0</v>
      </c>
      <c r="DP634" s="6"/>
      <c r="DQ634" s="4" t="s">
        <v>125</v>
      </c>
    </row>
    <row r="635" spans="1:121" ht="20" customHeight="1" x14ac:dyDescent="0.15">
      <c r="A635" s="5">
        <v>2018</v>
      </c>
      <c r="B635" s="3" t="s">
        <v>166</v>
      </c>
      <c r="C635" s="4" t="str">
        <f t="shared" ref="C635:C638" si="224">"0880011"</f>
        <v>0880011</v>
      </c>
      <c r="D635" s="4" t="s">
        <v>792</v>
      </c>
      <c r="E635" s="4" t="str">
        <f>"0880311"</f>
        <v>0880311</v>
      </c>
      <c r="F635" s="4" t="s">
        <v>327</v>
      </c>
      <c r="G635" s="4" t="s">
        <v>338</v>
      </c>
      <c r="H635" s="7">
        <v>4</v>
      </c>
      <c r="I635" s="6"/>
      <c r="J635" s="4" t="s">
        <v>330</v>
      </c>
      <c r="K635" s="7">
        <v>568.72582299999999</v>
      </c>
      <c r="L635" s="7">
        <v>750</v>
      </c>
      <c r="M635" s="7">
        <v>75.830110000000005</v>
      </c>
      <c r="N635" s="7">
        <v>2</v>
      </c>
      <c r="O635" s="7">
        <v>0</v>
      </c>
      <c r="P635" s="7">
        <v>71.924310000000006</v>
      </c>
      <c r="Q635" s="7">
        <v>47.949539999999999</v>
      </c>
      <c r="R635" s="7">
        <v>50</v>
      </c>
      <c r="S635" s="7">
        <v>65.446374000000006</v>
      </c>
      <c r="T635" s="7">
        <v>75</v>
      </c>
      <c r="U635" s="7">
        <v>43.630915999999999</v>
      </c>
      <c r="V635" s="7">
        <v>50</v>
      </c>
      <c r="W635" s="7">
        <v>71.552114000000003</v>
      </c>
      <c r="X635" s="7">
        <v>47.701410000000003</v>
      </c>
      <c r="Y635" s="7">
        <v>50</v>
      </c>
      <c r="Z635" s="7">
        <v>75</v>
      </c>
      <c r="AA635" s="7">
        <v>62.331724000000001</v>
      </c>
      <c r="AB635" s="7">
        <v>41.554482</v>
      </c>
      <c r="AC635" s="7">
        <v>50</v>
      </c>
      <c r="AD635" s="4" t="s">
        <v>124</v>
      </c>
      <c r="AE635" s="4" t="s">
        <v>124</v>
      </c>
      <c r="AF635" s="4" t="s">
        <v>124</v>
      </c>
      <c r="AG635" s="4" t="s">
        <v>124</v>
      </c>
      <c r="AH635" s="4" t="s">
        <v>124</v>
      </c>
      <c r="AI635" s="4" t="s">
        <v>124</v>
      </c>
      <c r="AJ635" s="4" t="s">
        <v>124</v>
      </c>
      <c r="AK635" s="7">
        <v>9.5500000000000007</v>
      </c>
      <c r="AL635" s="7">
        <v>12.66</v>
      </c>
      <c r="AM635" s="4" t="s">
        <v>124</v>
      </c>
      <c r="AN635" s="7">
        <v>0.65654900000000005</v>
      </c>
      <c r="AO635" s="7">
        <v>65.654917999999995</v>
      </c>
      <c r="AP635" s="7">
        <v>100</v>
      </c>
      <c r="AQ635" s="7">
        <v>0.78172299999999995</v>
      </c>
      <c r="AR635" s="7">
        <v>78.172281999999996</v>
      </c>
      <c r="AS635" s="7">
        <v>100</v>
      </c>
      <c r="AT635" s="7">
        <v>0.67332700000000001</v>
      </c>
      <c r="AU635" s="7">
        <v>0.63750399999999996</v>
      </c>
      <c r="AV635" s="7">
        <v>67.332684</v>
      </c>
      <c r="AW635" s="7">
        <v>100</v>
      </c>
      <c r="AX635" s="7">
        <v>0.70202299999999995</v>
      </c>
      <c r="AY635" s="7">
        <v>0.872193</v>
      </c>
      <c r="AZ635" s="7">
        <v>70.202297999999999</v>
      </c>
      <c r="BA635" s="7">
        <v>100</v>
      </c>
      <c r="BB635" s="4" t="s">
        <v>124</v>
      </c>
      <c r="BC635" s="4" t="s">
        <v>124</v>
      </c>
      <c r="BD635" s="4" t="s">
        <v>124</v>
      </c>
      <c r="BE635" s="4" t="s">
        <v>124</v>
      </c>
      <c r="BF635" s="4" t="s">
        <v>124</v>
      </c>
      <c r="BG635" s="4" t="s">
        <v>124</v>
      </c>
      <c r="BH635" s="7">
        <v>0</v>
      </c>
      <c r="BI635" s="7">
        <v>1</v>
      </c>
      <c r="BJ635" s="7">
        <v>1</v>
      </c>
      <c r="BK635" s="7">
        <v>1</v>
      </c>
      <c r="BL635" s="7">
        <v>1</v>
      </c>
      <c r="BM635" s="7">
        <v>1</v>
      </c>
      <c r="BN635" s="7">
        <v>1</v>
      </c>
      <c r="BO635" s="4" t="s">
        <v>124</v>
      </c>
      <c r="BP635" s="4" t="s">
        <v>124</v>
      </c>
      <c r="BQ635" s="4" t="s">
        <v>124</v>
      </c>
      <c r="BR635" s="7">
        <v>5.6911000000000003E-2</v>
      </c>
      <c r="BS635" s="7">
        <v>48.617885999999999</v>
      </c>
      <c r="BT635" s="7">
        <v>50</v>
      </c>
      <c r="BU635" s="7">
        <v>8.3624000000000004E-2</v>
      </c>
      <c r="BV635" s="7">
        <v>43.275261</v>
      </c>
      <c r="BW635" s="7">
        <v>50</v>
      </c>
      <c r="BX635" s="4" t="s">
        <v>124</v>
      </c>
      <c r="BY635" s="4" t="s">
        <v>124</v>
      </c>
      <c r="BZ635" s="4" t="s">
        <v>124</v>
      </c>
      <c r="CA635" s="4" t="s">
        <v>124</v>
      </c>
      <c r="CB635" s="4" t="s">
        <v>124</v>
      </c>
      <c r="CC635" s="4" t="s">
        <v>124</v>
      </c>
      <c r="CD635" s="4" t="s">
        <v>124</v>
      </c>
      <c r="CE635" s="4" t="s">
        <v>124</v>
      </c>
      <c r="CF635" s="4" t="s">
        <v>124</v>
      </c>
      <c r="CG635" s="4" t="s">
        <v>124</v>
      </c>
      <c r="CH635" s="4" t="s">
        <v>124</v>
      </c>
      <c r="CI635" s="4" t="s">
        <v>124</v>
      </c>
      <c r="CJ635" s="4" t="s">
        <v>124</v>
      </c>
      <c r="CK635" s="4" t="s">
        <v>124</v>
      </c>
      <c r="CL635" s="4" t="s">
        <v>124</v>
      </c>
      <c r="CM635" s="4" t="s">
        <v>124</v>
      </c>
      <c r="CN635" s="4" t="s">
        <v>124</v>
      </c>
      <c r="CO635" s="4" t="s">
        <v>124</v>
      </c>
      <c r="CP635" s="4" t="s">
        <v>124</v>
      </c>
      <c r="CQ635" s="7">
        <v>0.43902400000000003</v>
      </c>
      <c r="CR635" s="7">
        <v>0.87234</v>
      </c>
      <c r="CS635" s="7">
        <v>14.634145999999999</v>
      </c>
      <c r="CT635" s="7">
        <v>50</v>
      </c>
      <c r="CU635" s="4" t="s">
        <v>124</v>
      </c>
      <c r="CV635" s="4" t="s">
        <v>124</v>
      </c>
      <c r="CW635" s="4" t="s">
        <v>124</v>
      </c>
      <c r="CX635" s="4" t="s">
        <v>124</v>
      </c>
      <c r="CY635" s="4" t="s">
        <v>124</v>
      </c>
      <c r="CZ635" s="4" t="s">
        <v>124</v>
      </c>
      <c r="DA635" s="7">
        <v>15.314097</v>
      </c>
      <c r="DB635" s="7">
        <v>17.400950000000002</v>
      </c>
      <c r="DC635" s="7">
        <v>16.332519999999999</v>
      </c>
      <c r="DD635" s="4" t="s">
        <v>124</v>
      </c>
      <c r="DE635" s="7">
        <v>0</v>
      </c>
      <c r="DF635" s="6"/>
      <c r="DG635" s="6"/>
      <c r="DH635" s="6"/>
      <c r="DI635" s="6"/>
      <c r="DJ635" s="7">
        <v>0</v>
      </c>
      <c r="DK635" s="7">
        <v>0</v>
      </c>
      <c r="DL635" s="7">
        <v>0</v>
      </c>
      <c r="DM635" s="7">
        <v>0</v>
      </c>
      <c r="DN635" s="7">
        <v>0</v>
      </c>
      <c r="DO635" s="7">
        <v>0</v>
      </c>
      <c r="DP635" s="6"/>
      <c r="DQ635" s="4" t="s">
        <v>125</v>
      </c>
    </row>
    <row r="636" spans="1:121" ht="20" customHeight="1" x14ac:dyDescent="0.15">
      <c r="A636" s="5">
        <v>2018</v>
      </c>
      <c r="B636" s="3" t="s">
        <v>166</v>
      </c>
      <c r="C636" s="4" t="str">
        <f t="shared" si="224"/>
        <v>0880011</v>
      </c>
      <c r="D636" s="4" t="s">
        <v>793</v>
      </c>
      <c r="E636" s="4" t="str">
        <f>"0886111"</f>
        <v>0886111</v>
      </c>
      <c r="F636" s="4" t="s">
        <v>327</v>
      </c>
      <c r="G636" s="7">
        <v>9</v>
      </c>
      <c r="H636" s="7">
        <v>12</v>
      </c>
      <c r="I636" s="6"/>
      <c r="J636" s="4" t="s">
        <v>330</v>
      </c>
      <c r="K636" s="7">
        <v>995.63450999999998</v>
      </c>
      <c r="L636" s="7">
        <v>1550</v>
      </c>
      <c r="M636" s="7">
        <v>64.234485000000006</v>
      </c>
      <c r="N636" s="7">
        <v>3</v>
      </c>
      <c r="O636" s="7">
        <v>0</v>
      </c>
      <c r="P636" s="7">
        <v>50.554219000000003</v>
      </c>
      <c r="Q636" s="7">
        <v>101.10843800000001</v>
      </c>
      <c r="R636" s="7">
        <v>150</v>
      </c>
      <c r="S636" s="7">
        <v>45.025925999999998</v>
      </c>
      <c r="T636" s="7">
        <v>57.793650999999997</v>
      </c>
      <c r="U636" s="7">
        <v>90.051851999999997</v>
      </c>
      <c r="V636" s="7">
        <v>150</v>
      </c>
      <c r="W636" s="7">
        <v>45.593929000000003</v>
      </c>
      <c r="X636" s="7">
        <v>91.187858000000006</v>
      </c>
      <c r="Y636" s="7">
        <v>150</v>
      </c>
      <c r="Z636" s="7">
        <v>51.376984</v>
      </c>
      <c r="AA636" s="7">
        <v>41.177778000000004</v>
      </c>
      <c r="AB636" s="7">
        <v>82.355556000000007</v>
      </c>
      <c r="AC636" s="7">
        <v>150</v>
      </c>
      <c r="AD636" s="7">
        <v>50.179859999999998</v>
      </c>
      <c r="AE636" s="7">
        <v>66.906480000000002</v>
      </c>
      <c r="AF636" s="7">
        <v>100</v>
      </c>
      <c r="AG636" s="7">
        <v>44.67953</v>
      </c>
      <c r="AH636" s="7">
        <v>57.660308000000001</v>
      </c>
      <c r="AI636" s="7">
        <v>59.572707000000001</v>
      </c>
      <c r="AJ636" s="7">
        <v>100</v>
      </c>
      <c r="AK636" s="7">
        <v>12.76</v>
      </c>
      <c r="AL636" s="7">
        <v>10.19</v>
      </c>
      <c r="AM636" s="7">
        <v>12.98</v>
      </c>
      <c r="AN636" s="4" t="s">
        <v>124</v>
      </c>
      <c r="AO636" s="4" t="s">
        <v>124</v>
      </c>
      <c r="AP636" s="4" t="s">
        <v>124</v>
      </c>
      <c r="AQ636" s="4" t="s">
        <v>124</v>
      </c>
      <c r="AR636" s="4" t="s">
        <v>124</v>
      </c>
      <c r="AS636" s="4" t="s">
        <v>124</v>
      </c>
      <c r="AT636" s="4" t="s">
        <v>124</v>
      </c>
      <c r="AU636" s="4" t="s">
        <v>124</v>
      </c>
      <c r="AV636" s="4" t="s">
        <v>124</v>
      </c>
      <c r="AW636" s="4" t="s">
        <v>124</v>
      </c>
      <c r="AX636" s="4" t="s">
        <v>124</v>
      </c>
      <c r="AY636" s="4" t="s">
        <v>124</v>
      </c>
      <c r="AZ636" s="4" t="s">
        <v>124</v>
      </c>
      <c r="BA636" s="4" t="s">
        <v>124</v>
      </c>
      <c r="BB636" s="7">
        <v>0.55625899999999995</v>
      </c>
      <c r="BC636" s="7">
        <v>27.812968999999999</v>
      </c>
      <c r="BD636" s="7">
        <v>50</v>
      </c>
      <c r="BE636" s="7">
        <v>0.68993499999999996</v>
      </c>
      <c r="BF636" s="7">
        <v>34.496752999999998</v>
      </c>
      <c r="BG636" s="7">
        <v>50</v>
      </c>
      <c r="BH636" s="7">
        <v>1</v>
      </c>
      <c r="BI636" s="7">
        <v>0.967638</v>
      </c>
      <c r="BJ636" s="7">
        <v>0.94444399999999995</v>
      </c>
      <c r="BK636" s="7">
        <v>1</v>
      </c>
      <c r="BL636" s="7">
        <v>0.967638</v>
      </c>
      <c r="BM636" s="7">
        <v>0.94444399999999995</v>
      </c>
      <c r="BN636" s="7">
        <v>1</v>
      </c>
      <c r="BO636" s="7">
        <v>0.98045599999999999</v>
      </c>
      <c r="BP636" s="7">
        <v>0.97206700000000001</v>
      </c>
      <c r="BQ636" s="7">
        <v>0.99218799999999996</v>
      </c>
      <c r="BR636" s="7">
        <v>0.233956</v>
      </c>
      <c r="BS636" s="7">
        <v>13.208773000000001</v>
      </c>
      <c r="BT636" s="7">
        <v>50</v>
      </c>
      <c r="BU636" s="7">
        <v>0.30311199999999999</v>
      </c>
      <c r="BV636" s="7">
        <v>0</v>
      </c>
      <c r="BW636" s="7">
        <v>50</v>
      </c>
      <c r="BX636" s="7">
        <v>0.70607600000000004</v>
      </c>
      <c r="BY636" s="7">
        <v>47.071702000000002</v>
      </c>
      <c r="BZ636" s="7">
        <v>50</v>
      </c>
      <c r="CA636" s="7">
        <v>0.25287399999999999</v>
      </c>
      <c r="CB636" s="7">
        <v>16.858238</v>
      </c>
      <c r="CC636" s="7">
        <v>50</v>
      </c>
      <c r="CD636" s="7">
        <v>0.819079</v>
      </c>
      <c r="CE636" s="7">
        <v>43.568029000000003</v>
      </c>
      <c r="CF636" s="7">
        <v>50</v>
      </c>
      <c r="CG636" s="7">
        <v>0.87254900000000002</v>
      </c>
      <c r="CH636" s="7">
        <v>92.824364000000003</v>
      </c>
      <c r="CI636" s="7">
        <v>100</v>
      </c>
      <c r="CJ636" s="7">
        <v>1</v>
      </c>
      <c r="CK636" s="7">
        <v>0.85051500000000002</v>
      </c>
      <c r="CL636" s="7">
        <v>90.480368999999996</v>
      </c>
      <c r="CM636" s="7">
        <v>100</v>
      </c>
      <c r="CN636" s="7">
        <v>0.64874600000000004</v>
      </c>
      <c r="CO636" s="7">
        <v>86.499403000000001</v>
      </c>
      <c r="CP636" s="7">
        <v>100</v>
      </c>
      <c r="CQ636" s="7">
        <v>0.383212</v>
      </c>
      <c r="CR636" s="7">
        <v>0.86163500000000004</v>
      </c>
      <c r="CS636" s="7">
        <v>12.773723</v>
      </c>
      <c r="CT636" s="7">
        <v>50</v>
      </c>
      <c r="CU636" s="7">
        <v>0.46628799999999998</v>
      </c>
      <c r="CV636" s="7">
        <v>38.857298</v>
      </c>
      <c r="CW636" s="7">
        <v>50</v>
      </c>
      <c r="CX636" s="7">
        <v>0.85051500000000002</v>
      </c>
      <c r="CY636" s="7">
        <v>0.94</v>
      </c>
      <c r="CZ636" s="7">
        <v>8.9484999999999995E-2</v>
      </c>
      <c r="DA636" s="7">
        <v>15.314097</v>
      </c>
      <c r="DB636" s="7">
        <v>17.400950000000002</v>
      </c>
      <c r="DC636" s="7">
        <v>16.332519999999999</v>
      </c>
      <c r="DD636" s="7">
        <v>7.9891730000000001</v>
      </c>
      <c r="DE636" s="7">
        <v>1</v>
      </c>
      <c r="DF636" s="6"/>
      <c r="DG636" s="6"/>
      <c r="DH636" s="6"/>
      <c r="DI636" s="6"/>
      <c r="DJ636" s="7">
        <v>0</v>
      </c>
      <c r="DK636" s="7">
        <v>0</v>
      </c>
      <c r="DL636" s="7">
        <v>0</v>
      </c>
      <c r="DM636" s="7">
        <v>0</v>
      </c>
      <c r="DN636" s="7">
        <v>0</v>
      </c>
      <c r="DO636" s="7">
        <v>0</v>
      </c>
      <c r="DP636" s="6"/>
      <c r="DQ636" s="4" t="s">
        <v>125</v>
      </c>
    </row>
    <row r="637" spans="1:121" ht="20" customHeight="1" x14ac:dyDescent="0.15">
      <c r="A637" s="5">
        <v>2018</v>
      </c>
      <c r="B637" s="3" t="s">
        <v>166</v>
      </c>
      <c r="C637" s="4" t="str">
        <f t="shared" si="224"/>
        <v>0880011</v>
      </c>
      <c r="D637" s="4" t="s">
        <v>794</v>
      </c>
      <c r="E637" s="4" t="str">
        <f>"0880611"</f>
        <v>0880611</v>
      </c>
      <c r="F637" s="4" t="s">
        <v>327</v>
      </c>
      <c r="G637" s="4" t="s">
        <v>338</v>
      </c>
      <c r="H637" s="7">
        <v>4</v>
      </c>
      <c r="I637" s="4" t="s">
        <v>329</v>
      </c>
      <c r="J637" s="4" t="s">
        <v>330</v>
      </c>
      <c r="K637" s="7">
        <v>626.13421400000004</v>
      </c>
      <c r="L637" s="7">
        <v>850</v>
      </c>
      <c r="M637" s="7">
        <v>73.662848999999994</v>
      </c>
      <c r="N637" s="7">
        <v>2</v>
      </c>
      <c r="O637" s="7">
        <v>0</v>
      </c>
      <c r="P637" s="7">
        <v>69.852433000000005</v>
      </c>
      <c r="Q637" s="7">
        <v>46.568289</v>
      </c>
      <c r="R637" s="7">
        <v>50</v>
      </c>
      <c r="S637" s="7">
        <v>66.551013999999995</v>
      </c>
      <c r="T637" s="7">
        <v>75</v>
      </c>
      <c r="U637" s="7">
        <v>44.367342000000001</v>
      </c>
      <c r="V637" s="7">
        <v>50</v>
      </c>
      <c r="W637" s="7">
        <v>67.134181999999996</v>
      </c>
      <c r="X637" s="7">
        <v>44.756121</v>
      </c>
      <c r="Y637" s="7">
        <v>50</v>
      </c>
      <c r="Z637" s="7">
        <v>75</v>
      </c>
      <c r="AA637" s="7">
        <v>62.332428</v>
      </c>
      <c r="AB637" s="7">
        <v>41.554952</v>
      </c>
      <c r="AC637" s="7">
        <v>50</v>
      </c>
      <c r="AD637" s="4" t="s">
        <v>124</v>
      </c>
      <c r="AE637" s="4" t="s">
        <v>124</v>
      </c>
      <c r="AF637" s="4" t="s">
        <v>124</v>
      </c>
      <c r="AG637" s="4" t="s">
        <v>124</v>
      </c>
      <c r="AH637" s="4" t="s">
        <v>124</v>
      </c>
      <c r="AI637" s="4" t="s">
        <v>124</v>
      </c>
      <c r="AJ637" s="4" t="s">
        <v>124</v>
      </c>
      <c r="AK637" s="7">
        <v>8.44</v>
      </c>
      <c r="AL637" s="7">
        <v>12.66</v>
      </c>
      <c r="AM637" s="4" t="s">
        <v>124</v>
      </c>
      <c r="AN637" s="7">
        <v>0.59598399999999996</v>
      </c>
      <c r="AO637" s="7">
        <v>59.59843</v>
      </c>
      <c r="AP637" s="7">
        <v>100</v>
      </c>
      <c r="AQ637" s="7">
        <v>0.67962599999999995</v>
      </c>
      <c r="AR637" s="7">
        <v>67.962633999999994</v>
      </c>
      <c r="AS637" s="7">
        <v>100</v>
      </c>
      <c r="AT637" s="7">
        <v>0.66302399999999995</v>
      </c>
      <c r="AU637" s="4" t="s">
        <v>124</v>
      </c>
      <c r="AV637" s="7">
        <v>66.302364999999995</v>
      </c>
      <c r="AW637" s="7">
        <v>100</v>
      </c>
      <c r="AX637" s="7">
        <v>0.66430800000000001</v>
      </c>
      <c r="AY637" s="4" t="s">
        <v>124</v>
      </c>
      <c r="AZ637" s="7">
        <v>66.430772000000005</v>
      </c>
      <c r="BA637" s="7">
        <v>100</v>
      </c>
      <c r="BB637" s="7">
        <v>0.78576500000000005</v>
      </c>
      <c r="BC637" s="7">
        <v>39.288260999999999</v>
      </c>
      <c r="BD637" s="7">
        <v>50</v>
      </c>
      <c r="BE637" s="7">
        <v>0.57089000000000001</v>
      </c>
      <c r="BF637" s="7">
        <v>28.544492000000002</v>
      </c>
      <c r="BG637" s="7">
        <v>50</v>
      </c>
      <c r="BH637" s="7">
        <v>0</v>
      </c>
      <c r="BI637" s="7">
        <v>1</v>
      </c>
      <c r="BJ637" s="7">
        <v>1</v>
      </c>
      <c r="BK637" s="7">
        <v>1</v>
      </c>
      <c r="BL637" s="7">
        <v>1</v>
      </c>
      <c r="BM637" s="7">
        <v>1</v>
      </c>
      <c r="BN637" s="7">
        <v>1</v>
      </c>
      <c r="BO637" s="4" t="s">
        <v>124</v>
      </c>
      <c r="BP637" s="4" t="s">
        <v>124</v>
      </c>
      <c r="BQ637" s="4" t="s">
        <v>124</v>
      </c>
      <c r="BR637" s="7">
        <v>0.105263</v>
      </c>
      <c r="BS637" s="7">
        <v>38.947367999999997</v>
      </c>
      <c r="BT637" s="7">
        <v>50</v>
      </c>
      <c r="BU637" s="7">
        <v>0.12307700000000001</v>
      </c>
      <c r="BV637" s="7">
        <v>35.384614999999997</v>
      </c>
      <c r="BW637" s="7">
        <v>50</v>
      </c>
      <c r="BX637" s="4" t="s">
        <v>124</v>
      </c>
      <c r="BY637" s="4" t="s">
        <v>124</v>
      </c>
      <c r="BZ637" s="4" t="s">
        <v>124</v>
      </c>
      <c r="CA637" s="4" t="s">
        <v>124</v>
      </c>
      <c r="CB637" s="4" t="s">
        <v>124</v>
      </c>
      <c r="CC637" s="4" t="s">
        <v>124</v>
      </c>
      <c r="CD637" s="4" t="s">
        <v>124</v>
      </c>
      <c r="CE637" s="4" t="s">
        <v>124</v>
      </c>
      <c r="CF637" s="4" t="s">
        <v>124</v>
      </c>
      <c r="CG637" s="4" t="s">
        <v>124</v>
      </c>
      <c r="CH637" s="4" t="s">
        <v>124</v>
      </c>
      <c r="CI637" s="4" t="s">
        <v>124</v>
      </c>
      <c r="CJ637" s="4" t="s">
        <v>124</v>
      </c>
      <c r="CK637" s="4" t="s">
        <v>124</v>
      </c>
      <c r="CL637" s="4" t="s">
        <v>124</v>
      </c>
      <c r="CM637" s="4" t="s">
        <v>124</v>
      </c>
      <c r="CN637" s="4" t="s">
        <v>124</v>
      </c>
      <c r="CO637" s="4" t="s">
        <v>124</v>
      </c>
      <c r="CP637" s="4" t="s">
        <v>124</v>
      </c>
      <c r="CQ637" s="7">
        <v>0.69642899999999996</v>
      </c>
      <c r="CR637" s="7">
        <v>1.0769230000000001</v>
      </c>
      <c r="CS637" s="7">
        <v>46.428570999999998</v>
      </c>
      <c r="CT637" s="7">
        <v>50</v>
      </c>
      <c r="CU637" s="4" t="s">
        <v>124</v>
      </c>
      <c r="CV637" s="4" t="s">
        <v>124</v>
      </c>
      <c r="CW637" s="4" t="s">
        <v>124</v>
      </c>
      <c r="CX637" s="4" t="s">
        <v>124</v>
      </c>
      <c r="CY637" s="4" t="s">
        <v>124</v>
      </c>
      <c r="CZ637" s="4" t="s">
        <v>124</v>
      </c>
      <c r="DA637" s="7">
        <v>15.314097</v>
      </c>
      <c r="DB637" s="7">
        <v>17.400950000000002</v>
      </c>
      <c r="DC637" s="7">
        <v>16.332519999999999</v>
      </c>
      <c r="DD637" s="4" t="s">
        <v>124</v>
      </c>
      <c r="DE637" s="7">
        <v>0</v>
      </c>
      <c r="DF637" s="6"/>
      <c r="DG637" s="6"/>
      <c r="DH637" s="6"/>
      <c r="DI637" s="6"/>
      <c r="DJ637" s="7">
        <v>0</v>
      </c>
      <c r="DK637" s="7">
        <v>0</v>
      </c>
      <c r="DL637" s="7">
        <v>0</v>
      </c>
      <c r="DM637" s="7">
        <v>0</v>
      </c>
      <c r="DN637" s="7">
        <v>0</v>
      </c>
      <c r="DO637" s="7">
        <v>0</v>
      </c>
      <c r="DP637" s="6"/>
      <c r="DQ637" s="4" t="s">
        <v>125</v>
      </c>
    </row>
    <row r="638" spans="1:121" ht="20" customHeight="1" x14ac:dyDescent="0.15">
      <c r="A638" s="5">
        <v>2018</v>
      </c>
      <c r="B638" s="3" t="s">
        <v>166</v>
      </c>
      <c r="C638" s="4" t="str">
        <f t="shared" si="224"/>
        <v>0880011</v>
      </c>
      <c r="D638" s="4" t="s">
        <v>795</v>
      </c>
      <c r="E638" s="4" t="str">
        <f>"0880711"</f>
        <v>0880711</v>
      </c>
      <c r="F638" s="4" t="s">
        <v>327</v>
      </c>
      <c r="G638" s="4" t="s">
        <v>338</v>
      </c>
      <c r="H638" s="7">
        <v>4</v>
      </c>
      <c r="I638" s="4" t="s">
        <v>329</v>
      </c>
      <c r="J638" s="4" t="s">
        <v>330</v>
      </c>
      <c r="K638" s="7">
        <v>662.43677700000001</v>
      </c>
      <c r="L638" s="7">
        <v>750</v>
      </c>
      <c r="M638" s="7">
        <v>88.324904000000004</v>
      </c>
      <c r="N638" s="7">
        <v>1</v>
      </c>
      <c r="O638" s="7">
        <v>0</v>
      </c>
      <c r="P638" s="7">
        <v>71.404742999999996</v>
      </c>
      <c r="Q638" s="7">
        <v>47.603161999999998</v>
      </c>
      <c r="R638" s="7">
        <v>50</v>
      </c>
      <c r="S638" s="7">
        <v>67.529375000000002</v>
      </c>
      <c r="T638" s="7">
        <v>75</v>
      </c>
      <c r="U638" s="7">
        <v>45.019584000000002</v>
      </c>
      <c r="V638" s="7">
        <v>50</v>
      </c>
      <c r="W638" s="7">
        <v>74.644191000000006</v>
      </c>
      <c r="X638" s="7">
        <v>49.762794</v>
      </c>
      <c r="Y638" s="7">
        <v>50</v>
      </c>
      <c r="Z638" s="7">
        <v>75</v>
      </c>
      <c r="AA638" s="7">
        <v>69.74709</v>
      </c>
      <c r="AB638" s="7">
        <v>46.498060000000002</v>
      </c>
      <c r="AC638" s="7">
        <v>50</v>
      </c>
      <c r="AD638" s="4" t="s">
        <v>124</v>
      </c>
      <c r="AE638" s="4" t="s">
        <v>124</v>
      </c>
      <c r="AF638" s="4" t="s">
        <v>124</v>
      </c>
      <c r="AG638" s="4" t="s">
        <v>124</v>
      </c>
      <c r="AH638" s="4" t="s">
        <v>124</v>
      </c>
      <c r="AI638" s="4" t="s">
        <v>124</v>
      </c>
      <c r="AJ638" s="4" t="s">
        <v>124</v>
      </c>
      <c r="AK638" s="7">
        <v>7.47</v>
      </c>
      <c r="AL638" s="7">
        <v>5.25</v>
      </c>
      <c r="AM638" s="4" t="s">
        <v>124</v>
      </c>
      <c r="AN638" s="7">
        <v>0.72038100000000005</v>
      </c>
      <c r="AO638" s="7">
        <v>72.038139999999999</v>
      </c>
      <c r="AP638" s="7">
        <v>100</v>
      </c>
      <c r="AQ638" s="7">
        <v>1</v>
      </c>
      <c r="AR638" s="7">
        <v>100</v>
      </c>
      <c r="AS638" s="7">
        <v>100</v>
      </c>
      <c r="AT638" s="7">
        <v>0.679728</v>
      </c>
      <c r="AU638" s="7">
        <v>0.77241800000000005</v>
      </c>
      <c r="AV638" s="7">
        <v>67.972764999999995</v>
      </c>
      <c r="AW638" s="7">
        <v>100</v>
      </c>
      <c r="AX638" s="7">
        <v>0.97959399999999996</v>
      </c>
      <c r="AY638" s="7">
        <v>1</v>
      </c>
      <c r="AZ638" s="7">
        <v>97.959387000000007</v>
      </c>
      <c r="BA638" s="7">
        <v>100</v>
      </c>
      <c r="BB638" s="4" t="s">
        <v>124</v>
      </c>
      <c r="BC638" s="4" t="s">
        <v>124</v>
      </c>
      <c r="BD638" s="4" t="s">
        <v>124</v>
      </c>
      <c r="BE638" s="4" t="s">
        <v>124</v>
      </c>
      <c r="BF638" s="4" t="s">
        <v>124</v>
      </c>
      <c r="BG638" s="4" t="s">
        <v>124</v>
      </c>
      <c r="BH638" s="7">
        <v>0</v>
      </c>
      <c r="BI638" s="7">
        <v>0.99166699999999997</v>
      </c>
      <c r="BJ638" s="7">
        <v>0.98571399999999998</v>
      </c>
      <c r="BK638" s="7">
        <v>1</v>
      </c>
      <c r="BL638" s="7">
        <v>0.99166699999999997</v>
      </c>
      <c r="BM638" s="7">
        <v>0.98571399999999998</v>
      </c>
      <c r="BN638" s="7">
        <v>1</v>
      </c>
      <c r="BO638" s="4" t="s">
        <v>124</v>
      </c>
      <c r="BP638" s="4" t="s">
        <v>124</v>
      </c>
      <c r="BQ638" s="4" t="s">
        <v>124</v>
      </c>
      <c r="BR638" s="7">
        <v>7.0632E-2</v>
      </c>
      <c r="BS638" s="7">
        <v>45.873606000000002</v>
      </c>
      <c r="BT638" s="7">
        <v>50</v>
      </c>
      <c r="BU638" s="7">
        <v>9.8765000000000006E-2</v>
      </c>
      <c r="BV638" s="7">
        <v>40.246913999999997</v>
      </c>
      <c r="BW638" s="7">
        <v>50</v>
      </c>
      <c r="BX638" s="4" t="s">
        <v>124</v>
      </c>
      <c r="BY638" s="4" t="s">
        <v>124</v>
      </c>
      <c r="BZ638" s="4" t="s">
        <v>124</v>
      </c>
      <c r="CA638" s="4" t="s">
        <v>124</v>
      </c>
      <c r="CB638" s="4" t="s">
        <v>124</v>
      </c>
      <c r="CC638" s="4" t="s">
        <v>124</v>
      </c>
      <c r="CD638" s="4" t="s">
        <v>124</v>
      </c>
      <c r="CE638" s="4" t="s">
        <v>124</v>
      </c>
      <c r="CF638" s="4" t="s">
        <v>124</v>
      </c>
      <c r="CG638" s="4" t="s">
        <v>124</v>
      </c>
      <c r="CH638" s="4" t="s">
        <v>124</v>
      </c>
      <c r="CI638" s="4" t="s">
        <v>124</v>
      </c>
      <c r="CJ638" s="4" t="s">
        <v>124</v>
      </c>
      <c r="CK638" s="4" t="s">
        <v>124</v>
      </c>
      <c r="CL638" s="4" t="s">
        <v>124</v>
      </c>
      <c r="CM638" s="4" t="s">
        <v>124</v>
      </c>
      <c r="CN638" s="4" t="s">
        <v>124</v>
      </c>
      <c r="CO638" s="4" t="s">
        <v>124</v>
      </c>
      <c r="CP638" s="4" t="s">
        <v>124</v>
      </c>
      <c r="CQ638" s="7">
        <v>0.74193500000000001</v>
      </c>
      <c r="CR638" s="7">
        <v>0.96875</v>
      </c>
      <c r="CS638" s="7">
        <v>49.462366000000003</v>
      </c>
      <c r="CT638" s="7">
        <v>50</v>
      </c>
      <c r="CU638" s="4" t="s">
        <v>124</v>
      </c>
      <c r="CV638" s="4" t="s">
        <v>124</v>
      </c>
      <c r="CW638" s="4" t="s">
        <v>124</v>
      </c>
      <c r="CX638" s="4" t="s">
        <v>124</v>
      </c>
      <c r="CY638" s="4" t="s">
        <v>124</v>
      </c>
      <c r="CZ638" s="4" t="s">
        <v>124</v>
      </c>
      <c r="DA638" s="7">
        <v>15.314097</v>
      </c>
      <c r="DB638" s="7">
        <v>17.400950000000002</v>
      </c>
      <c r="DC638" s="7">
        <v>16.332519999999999</v>
      </c>
      <c r="DD638" s="4" t="s">
        <v>124</v>
      </c>
      <c r="DE638" s="7">
        <v>0</v>
      </c>
      <c r="DF638" s="6"/>
      <c r="DG638" s="6"/>
      <c r="DH638" s="4" t="s">
        <v>331</v>
      </c>
      <c r="DI638" s="4" t="s">
        <v>796</v>
      </c>
      <c r="DJ638" s="7">
        <v>1</v>
      </c>
      <c r="DK638" s="7">
        <v>0</v>
      </c>
      <c r="DL638" s="7">
        <v>1</v>
      </c>
      <c r="DM638" s="7">
        <v>0</v>
      </c>
      <c r="DN638" s="7">
        <v>1</v>
      </c>
      <c r="DO638" s="7">
        <v>0</v>
      </c>
      <c r="DP638" s="6"/>
      <c r="DQ638" s="4" t="s">
        <v>125</v>
      </c>
    </row>
    <row r="639" spans="1:121" ht="20" customHeight="1" x14ac:dyDescent="0.15">
      <c r="A639" s="5">
        <v>2018</v>
      </c>
      <c r="B639" s="3" t="s">
        <v>165</v>
      </c>
      <c r="C639" s="4" t="str">
        <f t="shared" si="40"/>
        <v>0890011</v>
      </c>
      <c r="D639" s="4" t="s">
        <v>797</v>
      </c>
      <c r="E639" s="4" t="str">
        <f>"0890311"</f>
        <v>0890311</v>
      </c>
      <c r="F639" s="4" t="s">
        <v>327</v>
      </c>
      <c r="G639" s="4" t="s">
        <v>338</v>
      </c>
      <c r="H639" s="7">
        <v>5</v>
      </c>
      <c r="I639" s="4" t="s">
        <v>335</v>
      </c>
      <c r="J639" s="4" t="s">
        <v>330</v>
      </c>
      <c r="K639" s="7">
        <v>493.71169400000002</v>
      </c>
      <c r="L639" s="7">
        <v>950</v>
      </c>
      <c r="M639" s="7">
        <v>51.969652000000004</v>
      </c>
      <c r="N639" s="7">
        <v>4</v>
      </c>
      <c r="O639" s="7">
        <v>0</v>
      </c>
      <c r="P639" s="7">
        <v>55.507002999999997</v>
      </c>
      <c r="Q639" s="7">
        <v>37.004669</v>
      </c>
      <c r="R639" s="7">
        <v>50</v>
      </c>
      <c r="S639" s="7">
        <v>54.465823999999998</v>
      </c>
      <c r="T639" s="4" t="s">
        <v>124</v>
      </c>
      <c r="U639" s="7">
        <v>36.310549000000002</v>
      </c>
      <c r="V639" s="7">
        <v>50</v>
      </c>
      <c r="W639" s="7">
        <v>44.982605999999997</v>
      </c>
      <c r="X639" s="7">
        <v>29.988403999999999</v>
      </c>
      <c r="Y639" s="7">
        <v>50</v>
      </c>
      <c r="Z639" s="4" t="s">
        <v>124</v>
      </c>
      <c r="AA639" s="7">
        <v>44.025736999999999</v>
      </c>
      <c r="AB639" s="7">
        <v>29.350491999999999</v>
      </c>
      <c r="AC639" s="7">
        <v>50</v>
      </c>
      <c r="AD639" s="7">
        <v>47.108587</v>
      </c>
      <c r="AE639" s="7">
        <v>31.405725</v>
      </c>
      <c r="AF639" s="7">
        <v>50</v>
      </c>
      <c r="AG639" s="7">
        <v>46.556925999999997</v>
      </c>
      <c r="AH639" s="4" t="s">
        <v>124</v>
      </c>
      <c r="AI639" s="7">
        <v>31.037951</v>
      </c>
      <c r="AJ639" s="7">
        <v>50</v>
      </c>
      <c r="AK639" s="4" t="s">
        <v>124</v>
      </c>
      <c r="AL639" s="4" t="s">
        <v>124</v>
      </c>
      <c r="AM639" s="4" t="s">
        <v>124</v>
      </c>
      <c r="AN639" s="7">
        <v>0.50625100000000001</v>
      </c>
      <c r="AO639" s="7">
        <v>50.625053000000001</v>
      </c>
      <c r="AP639" s="7">
        <v>100</v>
      </c>
      <c r="AQ639" s="7">
        <v>0.375469</v>
      </c>
      <c r="AR639" s="7">
        <v>37.546878999999997</v>
      </c>
      <c r="AS639" s="7">
        <v>100</v>
      </c>
      <c r="AT639" s="7">
        <v>0.494199</v>
      </c>
      <c r="AU639" s="4" t="s">
        <v>124</v>
      </c>
      <c r="AV639" s="7">
        <v>49.419853000000003</v>
      </c>
      <c r="AW639" s="7">
        <v>100</v>
      </c>
      <c r="AX639" s="7">
        <v>0.35979499999999998</v>
      </c>
      <c r="AY639" s="4" t="s">
        <v>124</v>
      </c>
      <c r="AZ639" s="7">
        <v>35.979525000000002</v>
      </c>
      <c r="BA639" s="7">
        <v>100</v>
      </c>
      <c r="BB639" s="7">
        <v>0.457675</v>
      </c>
      <c r="BC639" s="7">
        <v>22.883724999999998</v>
      </c>
      <c r="BD639" s="7">
        <v>50</v>
      </c>
      <c r="BE639" s="7">
        <v>0.39414500000000002</v>
      </c>
      <c r="BF639" s="7">
        <v>19.707270999999999</v>
      </c>
      <c r="BG639" s="7">
        <v>50</v>
      </c>
      <c r="BH639" s="7">
        <v>0</v>
      </c>
      <c r="BI639" s="7">
        <v>1</v>
      </c>
      <c r="BJ639" s="7">
        <v>1</v>
      </c>
      <c r="BK639" s="4" t="s">
        <v>124</v>
      </c>
      <c r="BL639" s="7">
        <v>0.99604700000000002</v>
      </c>
      <c r="BM639" s="7">
        <v>0.99574499999999999</v>
      </c>
      <c r="BN639" s="4" t="s">
        <v>124</v>
      </c>
      <c r="BO639" s="7">
        <v>1</v>
      </c>
      <c r="BP639" s="7">
        <v>1</v>
      </c>
      <c r="BQ639" s="4" t="s">
        <v>124</v>
      </c>
      <c r="BR639" s="7">
        <v>0.137712</v>
      </c>
      <c r="BS639" s="7">
        <v>32.457627000000002</v>
      </c>
      <c r="BT639" s="7">
        <v>50</v>
      </c>
      <c r="BU639" s="7">
        <v>0.14285700000000001</v>
      </c>
      <c r="BV639" s="7">
        <v>31.428571000000002</v>
      </c>
      <c r="BW639" s="7">
        <v>50</v>
      </c>
      <c r="BX639" s="4" t="s">
        <v>124</v>
      </c>
      <c r="BY639" s="4" t="s">
        <v>124</v>
      </c>
      <c r="BZ639" s="4" t="s">
        <v>124</v>
      </c>
      <c r="CA639" s="4" t="s">
        <v>124</v>
      </c>
      <c r="CB639" s="4" t="s">
        <v>124</v>
      </c>
      <c r="CC639" s="4" t="s">
        <v>124</v>
      </c>
      <c r="CD639" s="4" t="s">
        <v>124</v>
      </c>
      <c r="CE639" s="4" t="s">
        <v>124</v>
      </c>
      <c r="CF639" s="4" t="s">
        <v>124</v>
      </c>
      <c r="CG639" s="4" t="s">
        <v>124</v>
      </c>
      <c r="CH639" s="4" t="s">
        <v>124</v>
      </c>
      <c r="CI639" s="4" t="s">
        <v>124</v>
      </c>
      <c r="CJ639" s="4" t="s">
        <v>124</v>
      </c>
      <c r="CK639" s="4" t="s">
        <v>124</v>
      </c>
      <c r="CL639" s="4" t="s">
        <v>124</v>
      </c>
      <c r="CM639" s="4" t="s">
        <v>124</v>
      </c>
      <c r="CN639" s="4" t="s">
        <v>124</v>
      </c>
      <c r="CO639" s="4" t="s">
        <v>124</v>
      </c>
      <c r="CP639" s="4" t="s">
        <v>124</v>
      </c>
      <c r="CQ639" s="7">
        <v>0.27848099999999998</v>
      </c>
      <c r="CR639" s="7">
        <v>1.0259739999999999</v>
      </c>
      <c r="CS639" s="7">
        <v>18.565401000000001</v>
      </c>
      <c r="CT639" s="7">
        <v>50</v>
      </c>
      <c r="CU639" s="4" t="s">
        <v>124</v>
      </c>
      <c r="CV639" s="4" t="s">
        <v>124</v>
      </c>
      <c r="CW639" s="4" t="s">
        <v>124</v>
      </c>
      <c r="CX639" s="4" t="s">
        <v>124</v>
      </c>
      <c r="CY639" s="4" t="s">
        <v>124</v>
      </c>
      <c r="CZ639" s="4" t="s">
        <v>124</v>
      </c>
      <c r="DA639" s="7">
        <v>15.314097</v>
      </c>
      <c r="DB639" s="7">
        <v>17.400950000000002</v>
      </c>
      <c r="DC639" s="7">
        <v>16.332519999999999</v>
      </c>
      <c r="DD639" s="4" t="s">
        <v>124</v>
      </c>
      <c r="DE639" s="7">
        <v>0</v>
      </c>
      <c r="DF639" s="4" t="s">
        <v>375</v>
      </c>
      <c r="DG639" s="4" t="s">
        <v>376</v>
      </c>
      <c r="DH639" s="6"/>
      <c r="DI639" s="6"/>
      <c r="DJ639" s="7">
        <v>0</v>
      </c>
      <c r="DK639" s="7">
        <v>0</v>
      </c>
      <c r="DL639" s="7">
        <v>0</v>
      </c>
      <c r="DM639" s="7">
        <v>0</v>
      </c>
      <c r="DN639" s="7">
        <v>0</v>
      </c>
      <c r="DO639" s="7">
        <v>0</v>
      </c>
      <c r="DP639" s="6"/>
      <c r="DQ639" s="4" t="s">
        <v>125</v>
      </c>
    </row>
    <row r="640" spans="1:121" ht="20" customHeight="1" x14ac:dyDescent="0.15">
      <c r="A640" s="5">
        <v>2018</v>
      </c>
      <c r="B640" s="3" t="s">
        <v>165</v>
      </c>
      <c r="C640" s="4" t="str">
        <f t="shared" ref="C640:C641" si="225">"0890011"</f>
        <v>0890011</v>
      </c>
      <c r="D640" s="4" t="s">
        <v>798</v>
      </c>
      <c r="E640" s="4" t="str">
        <f>"0891111"</f>
        <v>0891111</v>
      </c>
      <c r="F640" s="4" t="s">
        <v>327</v>
      </c>
      <c r="G640" s="4" t="s">
        <v>328</v>
      </c>
      <c r="H640" s="7">
        <v>8</v>
      </c>
      <c r="I640" s="4" t="s">
        <v>335</v>
      </c>
      <c r="J640" s="4" t="s">
        <v>330</v>
      </c>
      <c r="K640" s="7">
        <v>543.12550999999996</v>
      </c>
      <c r="L640" s="7">
        <v>1000</v>
      </c>
      <c r="M640" s="7">
        <v>54.312550999999999</v>
      </c>
      <c r="N640" s="7">
        <v>3</v>
      </c>
      <c r="O640" s="7">
        <v>0</v>
      </c>
      <c r="P640" s="7">
        <v>52.968454000000001</v>
      </c>
      <c r="Q640" s="7">
        <v>35.312303</v>
      </c>
      <c r="R640" s="7">
        <v>50</v>
      </c>
      <c r="S640" s="7">
        <v>51.783684999999998</v>
      </c>
      <c r="T640" s="7">
        <v>63.832557999999999</v>
      </c>
      <c r="U640" s="7">
        <v>34.522457000000003</v>
      </c>
      <c r="V640" s="7">
        <v>50</v>
      </c>
      <c r="W640" s="7">
        <v>43.312918000000003</v>
      </c>
      <c r="X640" s="7">
        <v>28.875278999999999</v>
      </c>
      <c r="Y640" s="7">
        <v>50</v>
      </c>
      <c r="Z640" s="7">
        <v>56.500658999999999</v>
      </c>
      <c r="AA640" s="7">
        <v>41.862814</v>
      </c>
      <c r="AB640" s="7">
        <v>27.908542000000001</v>
      </c>
      <c r="AC640" s="7">
        <v>50</v>
      </c>
      <c r="AD640" s="7">
        <v>51.224550999999998</v>
      </c>
      <c r="AE640" s="7">
        <v>34.149701</v>
      </c>
      <c r="AF640" s="7">
        <v>50</v>
      </c>
      <c r="AG640" s="7">
        <v>50.533451999999997</v>
      </c>
      <c r="AH640" s="4" t="s">
        <v>124</v>
      </c>
      <c r="AI640" s="7">
        <v>33.688968000000003</v>
      </c>
      <c r="AJ640" s="7">
        <v>50</v>
      </c>
      <c r="AK640" s="7">
        <v>12.04</v>
      </c>
      <c r="AL640" s="7">
        <v>14.63</v>
      </c>
      <c r="AM640" s="4" t="s">
        <v>124</v>
      </c>
      <c r="AN640" s="7">
        <v>0.45379199999999997</v>
      </c>
      <c r="AO640" s="7">
        <v>45.379151999999998</v>
      </c>
      <c r="AP640" s="7">
        <v>100</v>
      </c>
      <c r="AQ640" s="7">
        <v>0.40656599999999998</v>
      </c>
      <c r="AR640" s="7">
        <v>40.656565999999998</v>
      </c>
      <c r="AS640" s="7">
        <v>100</v>
      </c>
      <c r="AT640" s="7">
        <v>0.45784399999999997</v>
      </c>
      <c r="AU640" s="7">
        <v>0.41491</v>
      </c>
      <c r="AV640" s="7">
        <v>45.784365000000001</v>
      </c>
      <c r="AW640" s="7">
        <v>100</v>
      </c>
      <c r="AX640" s="7">
        <v>0.39768100000000001</v>
      </c>
      <c r="AY640" s="7">
        <v>0.49096600000000001</v>
      </c>
      <c r="AZ640" s="7">
        <v>39.768143000000002</v>
      </c>
      <c r="BA640" s="7">
        <v>100</v>
      </c>
      <c r="BB640" s="7">
        <v>0.50509000000000004</v>
      </c>
      <c r="BC640" s="7">
        <v>25.254474999999999</v>
      </c>
      <c r="BD640" s="7">
        <v>50</v>
      </c>
      <c r="BE640" s="7">
        <v>0.48678300000000002</v>
      </c>
      <c r="BF640" s="7">
        <v>24.339169999999999</v>
      </c>
      <c r="BG640" s="7">
        <v>50</v>
      </c>
      <c r="BH640" s="7">
        <v>0</v>
      </c>
      <c r="BI640" s="7">
        <v>0.99638300000000002</v>
      </c>
      <c r="BJ640" s="7">
        <v>0.99599199999999999</v>
      </c>
      <c r="BK640" s="7">
        <v>1</v>
      </c>
      <c r="BL640" s="7">
        <v>0.98914999999999997</v>
      </c>
      <c r="BM640" s="7">
        <v>0.98797599999999997</v>
      </c>
      <c r="BN640" s="7">
        <v>1</v>
      </c>
      <c r="BO640" s="7">
        <v>1</v>
      </c>
      <c r="BP640" s="7">
        <v>1</v>
      </c>
      <c r="BQ640" s="4" t="s">
        <v>124</v>
      </c>
      <c r="BR640" s="7">
        <v>9.3284000000000006E-2</v>
      </c>
      <c r="BS640" s="7">
        <v>41.343283999999997</v>
      </c>
      <c r="BT640" s="7">
        <v>50</v>
      </c>
      <c r="BU640" s="7">
        <v>0.101865</v>
      </c>
      <c r="BV640" s="7">
        <v>39.626973</v>
      </c>
      <c r="BW640" s="7">
        <v>50</v>
      </c>
      <c r="BX640" s="4" t="s">
        <v>124</v>
      </c>
      <c r="BY640" s="4" t="s">
        <v>124</v>
      </c>
      <c r="BZ640" s="4" t="s">
        <v>124</v>
      </c>
      <c r="CA640" s="4" t="s">
        <v>124</v>
      </c>
      <c r="CB640" s="4" t="s">
        <v>124</v>
      </c>
      <c r="CC640" s="4" t="s">
        <v>124</v>
      </c>
      <c r="CD640" s="7">
        <v>0.75</v>
      </c>
      <c r="CE640" s="7">
        <v>39.893616999999999</v>
      </c>
      <c r="CF640" s="7">
        <v>50</v>
      </c>
      <c r="CG640" s="4" t="s">
        <v>124</v>
      </c>
      <c r="CH640" s="4" t="s">
        <v>124</v>
      </c>
      <c r="CI640" s="4" t="s">
        <v>124</v>
      </c>
      <c r="CJ640" s="4" t="s">
        <v>124</v>
      </c>
      <c r="CK640" s="4" t="s">
        <v>124</v>
      </c>
      <c r="CL640" s="4" t="s">
        <v>124</v>
      </c>
      <c r="CM640" s="4" t="s">
        <v>124</v>
      </c>
      <c r="CN640" s="4" t="s">
        <v>124</v>
      </c>
      <c r="CO640" s="4" t="s">
        <v>124</v>
      </c>
      <c r="CP640" s="4" t="s">
        <v>124</v>
      </c>
      <c r="CQ640" s="7">
        <v>0.39735100000000001</v>
      </c>
      <c r="CR640" s="7">
        <v>0.55311399999999999</v>
      </c>
      <c r="CS640" s="7">
        <v>6.6225170000000002</v>
      </c>
      <c r="CT640" s="7">
        <v>50</v>
      </c>
      <c r="CU640" s="4" t="s">
        <v>124</v>
      </c>
      <c r="CV640" s="4" t="s">
        <v>124</v>
      </c>
      <c r="CW640" s="4" t="s">
        <v>124</v>
      </c>
      <c r="CX640" s="4" t="s">
        <v>124</v>
      </c>
      <c r="CY640" s="4" t="s">
        <v>124</v>
      </c>
      <c r="CZ640" s="4" t="s">
        <v>124</v>
      </c>
      <c r="DA640" s="7">
        <v>15.314097</v>
      </c>
      <c r="DB640" s="7">
        <v>17.400950000000002</v>
      </c>
      <c r="DC640" s="7">
        <v>16.332519999999999</v>
      </c>
      <c r="DD640" s="4" t="s">
        <v>124</v>
      </c>
      <c r="DE640" s="7">
        <v>0</v>
      </c>
      <c r="DF640" s="6"/>
      <c r="DG640" s="6"/>
      <c r="DH640" s="6"/>
      <c r="DI640" s="6"/>
      <c r="DJ640" s="7">
        <v>0</v>
      </c>
      <c r="DK640" s="7">
        <v>0</v>
      </c>
      <c r="DL640" s="7">
        <v>0</v>
      </c>
      <c r="DM640" s="7">
        <v>0</v>
      </c>
      <c r="DN640" s="7">
        <v>0</v>
      </c>
      <c r="DO640" s="7">
        <v>0</v>
      </c>
      <c r="DP640" s="6"/>
      <c r="DQ640" s="4" t="s">
        <v>125</v>
      </c>
    </row>
    <row r="641" spans="1:121" ht="20" customHeight="1" x14ac:dyDescent="0.15">
      <c r="A641" s="5">
        <v>2018</v>
      </c>
      <c r="B641" s="3" t="s">
        <v>165</v>
      </c>
      <c r="C641" s="4" t="str">
        <f t="shared" si="225"/>
        <v>0890011</v>
      </c>
      <c r="D641" s="4" t="s">
        <v>799</v>
      </c>
      <c r="E641" s="4" t="str">
        <f>"0890511"</f>
        <v>0890511</v>
      </c>
      <c r="F641" s="4" t="s">
        <v>327</v>
      </c>
      <c r="G641" s="4" t="s">
        <v>328</v>
      </c>
      <c r="H641" s="7">
        <v>5</v>
      </c>
      <c r="I641" s="4" t="s">
        <v>335</v>
      </c>
      <c r="J641" s="4" t="s">
        <v>330</v>
      </c>
      <c r="K641" s="7">
        <v>583.90251499999999</v>
      </c>
      <c r="L641" s="7">
        <v>950</v>
      </c>
      <c r="M641" s="7">
        <v>61.463422999999999</v>
      </c>
      <c r="N641" s="7">
        <v>3</v>
      </c>
      <c r="O641" s="7">
        <v>0</v>
      </c>
      <c r="P641" s="7">
        <v>53.996381999999997</v>
      </c>
      <c r="Q641" s="7">
        <v>35.997588</v>
      </c>
      <c r="R641" s="7">
        <v>50</v>
      </c>
      <c r="S641" s="7">
        <v>52.595484999999996</v>
      </c>
      <c r="T641" s="7">
        <v>64.433063000000004</v>
      </c>
      <c r="U641" s="7">
        <v>35.063656999999999</v>
      </c>
      <c r="V641" s="7">
        <v>50</v>
      </c>
      <c r="W641" s="7">
        <v>46.892800000000001</v>
      </c>
      <c r="X641" s="7">
        <v>31.261866000000001</v>
      </c>
      <c r="Y641" s="7">
        <v>50</v>
      </c>
      <c r="Z641" s="7">
        <v>53.512583999999997</v>
      </c>
      <c r="AA641" s="7">
        <v>45.998233999999997</v>
      </c>
      <c r="AB641" s="7">
        <v>30.665489000000001</v>
      </c>
      <c r="AC641" s="7">
        <v>50</v>
      </c>
      <c r="AD641" s="7">
        <v>51.271081000000002</v>
      </c>
      <c r="AE641" s="7">
        <v>34.180720999999998</v>
      </c>
      <c r="AF641" s="7">
        <v>50</v>
      </c>
      <c r="AG641" s="7">
        <v>51.014887999999999</v>
      </c>
      <c r="AH641" s="4" t="s">
        <v>124</v>
      </c>
      <c r="AI641" s="7">
        <v>34.009926</v>
      </c>
      <c r="AJ641" s="7">
        <v>50</v>
      </c>
      <c r="AK641" s="7">
        <v>11.83</v>
      </c>
      <c r="AL641" s="7">
        <v>7.51</v>
      </c>
      <c r="AM641" s="4" t="s">
        <v>124</v>
      </c>
      <c r="AN641" s="7">
        <v>0.65082600000000002</v>
      </c>
      <c r="AO641" s="7">
        <v>65.082594</v>
      </c>
      <c r="AP641" s="7">
        <v>100</v>
      </c>
      <c r="AQ641" s="7">
        <v>0.52450799999999997</v>
      </c>
      <c r="AR641" s="7">
        <v>52.450806999999998</v>
      </c>
      <c r="AS641" s="7">
        <v>100</v>
      </c>
      <c r="AT641" s="7">
        <v>0.64638200000000001</v>
      </c>
      <c r="AU641" s="4" t="s">
        <v>124</v>
      </c>
      <c r="AV641" s="7">
        <v>64.638210999999998</v>
      </c>
      <c r="AW641" s="7">
        <v>100</v>
      </c>
      <c r="AX641" s="7">
        <v>0.53401900000000002</v>
      </c>
      <c r="AY641" s="4" t="s">
        <v>124</v>
      </c>
      <c r="AZ641" s="7">
        <v>53.401862999999999</v>
      </c>
      <c r="BA641" s="7">
        <v>100</v>
      </c>
      <c r="BB641" s="7">
        <v>0.49619799999999997</v>
      </c>
      <c r="BC641" s="7">
        <v>24.809913999999999</v>
      </c>
      <c r="BD641" s="7">
        <v>50</v>
      </c>
      <c r="BE641" s="7">
        <v>0.474053</v>
      </c>
      <c r="BF641" s="7">
        <v>23.702648</v>
      </c>
      <c r="BG641" s="7">
        <v>50</v>
      </c>
      <c r="BH641" s="7">
        <v>0</v>
      </c>
      <c r="BI641" s="7">
        <v>1</v>
      </c>
      <c r="BJ641" s="7">
        <v>1</v>
      </c>
      <c r="BK641" s="7">
        <v>1</v>
      </c>
      <c r="BL641" s="7">
        <v>0.99476399999999998</v>
      </c>
      <c r="BM641" s="7">
        <v>0.99397599999999997</v>
      </c>
      <c r="BN641" s="7">
        <v>1</v>
      </c>
      <c r="BO641" s="7">
        <v>1</v>
      </c>
      <c r="BP641" s="7">
        <v>1</v>
      </c>
      <c r="BQ641" s="4" t="s">
        <v>124</v>
      </c>
      <c r="BR641" s="7">
        <v>0.101523</v>
      </c>
      <c r="BS641" s="7">
        <v>39.695430999999999</v>
      </c>
      <c r="BT641" s="7">
        <v>50</v>
      </c>
      <c r="BU641" s="7">
        <v>0.111111</v>
      </c>
      <c r="BV641" s="7">
        <v>37.777777999999998</v>
      </c>
      <c r="BW641" s="7">
        <v>50</v>
      </c>
      <c r="BX641" s="4" t="s">
        <v>124</v>
      </c>
      <c r="BY641" s="4" t="s">
        <v>124</v>
      </c>
      <c r="BZ641" s="4" t="s">
        <v>124</v>
      </c>
      <c r="CA641" s="4" t="s">
        <v>124</v>
      </c>
      <c r="CB641" s="4" t="s">
        <v>124</v>
      </c>
      <c r="CC641" s="4" t="s">
        <v>124</v>
      </c>
      <c r="CD641" s="4" t="s">
        <v>124</v>
      </c>
      <c r="CE641" s="4" t="s">
        <v>124</v>
      </c>
      <c r="CF641" s="4" t="s">
        <v>124</v>
      </c>
      <c r="CG641" s="4" t="s">
        <v>124</v>
      </c>
      <c r="CH641" s="4" t="s">
        <v>124</v>
      </c>
      <c r="CI641" s="4" t="s">
        <v>124</v>
      </c>
      <c r="CJ641" s="4" t="s">
        <v>124</v>
      </c>
      <c r="CK641" s="4" t="s">
        <v>124</v>
      </c>
      <c r="CL641" s="4" t="s">
        <v>124</v>
      </c>
      <c r="CM641" s="4" t="s">
        <v>124</v>
      </c>
      <c r="CN641" s="4" t="s">
        <v>124</v>
      </c>
      <c r="CO641" s="4" t="s">
        <v>124</v>
      </c>
      <c r="CP641" s="4" t="s">
        <v>124</v>
      </c>
      <c r="CQ641" s="7">
        <v>0.31746000000000002</v>
      </c>
      <c r="CR641" s="7">
        <v>1.0677970000000001</v>
      </c>
      <c r="CS641" s="7">
        <v>21.164021000000002</v>
      </c>
      <c r="CT641" s="7">
        <v>50</v>
      </c>
      <c r="CU641" s="4" t="s">
        <v>124</v>
      </c>
      <c r="CV641" s="4" t="s">
        <v>124</v>
      </c>
      <c r="CW641" s="4" t="s">
        <v>124</v>
      </c>
      <c r="CX641" s="4" t="s">
        <v>124</v>
      </c>
      <c r="CY641" s="4" t="s">
        <v>124</v>
      </c>
      <c r="CZ641" s="4" t="s">
        <v>124</v>
      </c>
      <c r="DA641" s="7">
        <v>15.314097</v>
      </c>
      <c r="DB641" s="7">
        <v>17.400950000000002</v>
      </c>
      <c r="DC641" s="7">
        <v>16.332519999999999</v>
      </c>
      <c r="DD641" s="4" t="s">
        <v>124</v>
      </c>
      <c r="DE641" s="7">
        <v>0</v>
      </c>
      <c r="DF641" s="6"/>
      <c r="DG641" s="6"/>
      <c r="DH641" s="6"/>
      <c r="DI641" s="6"/>
      <c r="DJ641" s="7">
        <v>0</v>
      </c>
      <c r="DK641" s="7">
        <v>0</v>
      </c>
      <c r="DL641" s="7">
        <v>0</v>
      </c>
      <c r="DM641" s="7">
        <v>0</v>
      </c>
      <c r="DN641" s="7">
        <v>0</v>
      </c>
      <c r="DO641" s="7">
        <v>0</v>
      </c>
      <c r="DP641" s="6"/>
      <c r="DQ641" s="4" t="s">
        <v>125</v>
      </c>
    </row>
    <row r="642" spans="1:121" ht="20" customHeight="1" x14ac:dyDescent="0.15">
      <c r="A642" s="5">
        <v>2018</v>
      </c>
      <c r="B642" s="3" t="s">
        <v>165</v>
      </c>
      <c r="C642" s="4" t="str">
        <f t="shared" ref="C642:C652" si="226">"0890011"</f>
        <v>0890011</v>
      </c>
      <c r="D642" s="4" t="s">
        <v>494</v>
      </c>
      <c r="E642" s="4" t="str">
        <f>"0890611"</f>
        <v>0890611</v>
      </c>
      <c r="F642" s="4" t="s">
        <v>327</v>
      </c>
      <c r="G642" s="4" t="s">
        <v>338</v>
      </c>
      <c r="H642" s="7">
        <v>5</v>
      </c>
      <c r="I642" s="4" t="s">
        <v>335</v>
      </c>
      <c r="J642" s="4" t="s">
        <v>330</v>
      </c>
      <c r="K642" s="7">
        <v>612.18375900000001</v>
      </c>
      <c r="L642" s="7">
        <v>950</v>
      </c>
      <c r="M642" s="7">
        <v>64.440396000000007</v>
      </c>
      <c r="N642" s="7">
        <v>3</v>
      </c>
      <c r="O642" s="7">
        <v>0</v>
      </c>
      <c r="P642" s="7">
        <v>61.316802000000003</v>
      </c>
      <c r="Q642" s="7">
        <v>40.877867999999999</v>
      </c>
      <c r="R642" s="7">
        <v>50</v>
      </c>
      <c r="S642" s="7">
        <v>58.497622999999997</v>
      </c>
      <c r="T642" s="7">
        <v>69.037015999999994</v>
      </c>
      <c r="U642" s="7">
        <v>38.998415000000001</v>
      </c>
      <c r="V642" s="7">
        <v>50</v>
      </c>
      <c r="W642" s="7">
        <v>51.783583</v>
      </c>
      <c r="X642" s="7">
        <v>34.522388999999997</v>
      </c>
      <c r="Y642" s="7">
        <v>50</v>
      </c>
      <c r="Z642" s="7">
        <v>58.352074999999999</v>
      </c>
      <c r="AA642" s="7">
        <v>49.384976999999999</v>
      </c>
      <c r="AB642" s="7">
        <v>32.923318000000002</v>
      </c>
      <c r="AC642" s="7">
        <v>50</v>
      </c>
      <c r="AD642" s="7">
        <v>60.538946000000003</v>
      </c>
      <c r="AE642" s="7">
        <v>40.359296999999998</v>
      </c>
      <c r="AF642" s="7">
        <v>50</v>
      </c>
      <c r="AG642" s="7">
        <v>57.483871000000001</v>
      </c>
      <c r="AH642" s="7">
        <v>68.375877000000003</v>
      </c>
      <c r="AI642" s="7">
        <v>38.322581</v>
      </c>
      <c r="AJ642" s="7">
        <v>50</v>
      </c>
      <c r="AK642" s="7">
        <v>10.53</v>
      </c>
      <c r="AL642" s="7">
        <v>8.9600000000000009</v>
      </c>
      <c r="AM642" s="7">
        <v>10.89</v>
      </c>
      <c r="AN642" s="7">
        <v>0.59013300000000002</v>
      </c>
      <c r="AO642" s="7">
        <v>59.013252000000001</v>
      </c>
      <c r="AP642" s="7">
        <v>100</v>
      </c>
      <c r="AQ642" s="7">
        <v>0.488672</v>
      </c>
      <c r="AR642" s="7">
        <v>48.867199999999997</v>
      </c>
      <c r="AS642" s="7">
        <v>100</v>
      </c>
      <c r="AT642" s="7">
        <v>0.571465</v>
      </c>
      <c r="AU642" s="7">
        <v>0.63241999999999998</v>
      </c>
      <c r="AV642" s="7">
        <v>57.146514000000003</v>
      </c>
      <c r="AW642" s="7">
        <v>100</v>
      </c>
      <c r="AX642" s="7">
        <v>0.47919099999999998</v>
      </c>
      <c r="AY642" s="7">
        <v>0.51014899999999996</v>
      </c>
      <c r="AZ642" s="7">
        <v>47.919117999999997</v>
      </c>
      <c r="BA642" s="7">
        <v>100</v>
      </c>
      <c r="BB642" s="7">
        <v>0.75527900000000003</v>
      </c>
      <c r="BC642" s="7">
        <v>37.763925999999998</v>
      </c>
      <c r="BD642" s="7">
        <v>50</v>
      </c>
      <c r="BE642" s="7">
        <v>0.58940800000000004</v>
      </c>
      <c r="BF642" s="7">
        <v>29.470376000000002</v>
      </c>
      <c r="BG642" s="7">
        <v>50</v>
      </c>
      <c r="BH642" s="7">
        <v>0</v>
      </c>
      <c r="BI642" s="7">
        <v>1</v>
      </c>
      <c r="BJ642" s="7">
        <v>1</v>
      </c>
      <c r="BK642" s="7">
        <v>1</v>
      </c>
      <c r="BL642" s="7">
        <v>1</v>
      </c>
      <c r="BM642" s="7">
        <v>1</v>
      </c>
      <c r="BN642" s="7">
        <v>1</v>
      </c>
      <c r="BO642" s="7">
        <v>1</v>
      </c>
      <c r="BP642" s="7">
        <v>1</v>
      </c>
      <c r="BQ642" s="7">
        <v>1</v>
      </c>
      <c r="BR642" s="7">
        <v>9.8618999999999998E-2</v>
      </c>
      <c r="BS642" s="7">
        <v>40.276133999999999</v>
      </c>
      <c r="BT642" s="7">
        <v>50</v>
      </c>
      <c r="BU642" s="7">
        <v>0.124324</v>
      </c>
      <c r="BV642" s="7">
        <v>35.135134999999998</v>
      </c>
      <c r="BW642" s="7">
        <v>50</v>
      </c>
      <c r="BX642" s="4" t="s">
        <v>124</v>
      </c>
      <c r="BY642" s="4" t="s">
        <v>124</v>
      </c>
      <c r="BZ642" s="4" t="s">
        <v>124</v>
      </c>
      <c r="CA642" s="4" t="s">
        <v>124</v>
      </c>
      <c r="CB642" s="4" t="s">
        <v>124</v>
      </c>
      <c r="CC642" s="4" t="s">
        <v>124</v>
      </c>
      <c r="CD642" s="4" t="s">
        <v>124</v>
      </c>
      <c r="CE642" s="4" t="s">
        <v>124</v>
      </c>
      <c r="CF642" s="4" t="s">
        <v>124</v>
      </c>
      <c r="CG642" s="4" t="s">
        <v>124</v>
      </c>
      <c r="CH642" s="4" t="s">
        <v>124</v>
      </c>
      <c r="CI642" s="4" t="s">
        <v>124</v>
      </c>
      <c r="CJ642" s="4" t="s">
        <v>124</v>
      </c>
      <c r="CK642" s="4" t="s">
        <v>124</v>
      </c>
      <c r="CL642" s="4" t="s">
        <v>124</v>
      </c>
      <c r="CM642" s="4" t="s">
        <v>124</v>
      </c>
      <c r="CN642" s="4" t="s">
        <v>124</v>
      </c>
      <c r="CO642" s="4" t="s">
        <v>124</v>
      </c>
      <c r="CP642" s="4" t="s">
        <v>124</v>
      </c>
      <c r="CQ642" s="7">
        <v>0.45882400000000001</v>
      </c>
      <c r="CR642" s="7">
        <v>1.0119050000000001</v>
      </c>
      <c r="CS642" s="7">
        <v>30.588235000000001</v>
      </c>
      <c r="CT642" s="7">
        <v>50</v>
      </c>
      <c r="CU642" s="4" t="s">
        <v>124</v>
      </c>
      <c r="CV642" s="4" t="s">
        <v>124</v>
      </c>
      <c r="CW642" s="4" t="s">
        <v>124</v>
      </c>
      <c r="CX642" s="4" t="s">
        <v>124</v>
      </c>
      <c r="CY642" s="4" t="s">
        <v>124</v>
      </c>
      <c r="CZ642" s="4" t="s">
        <v>124</v>
      </c>
      <c r="DA642" s="7">
        <v>15.314097</v>
      </c>
      <c r="DB642" s="7">
        <v>17.400950000000002</v>
      </c>
      <c r="DC642" s="7">
        <v>16.332519999999999</v>
      </c>
      <c r="DD642" s="4" t="s">
        <v>124</v>
      </c>
      <c r="DE642" s="7">
        <v>0</v>
      </c>
      <c r="DF642" s="6"/>
      <c r="DG642" s="6"/>
      <c r="DH642" s="6"/>
      <c r="DI642" s="6"/>
      <c r="DJ642" s="7">
        <v>0</v>
      </c>
      <c r="DK642" s="7">
        <v>0</v>
      </c>
      <c r="DL642" s="7">
        <v>0</v>
      </c>
      <c r="DM642" s="7">
        <v>0</v>
      </c>
      <c r="DN642" s="7">
        <v>0</v>
      </c>
      <c r="DO642" s="7">
        <v>0</v>
      </c>
      <c r="DP642" s="6"/>
      <c r="DQ642" s="4" t="s">
        <v>125</v>
      </c>
    </row>
    <row r="643" spans="1:121" ht="20" customHeight="1" x14ac:dyDescent="0.15">
      <c r="A643" s="5">
        <v>2018</v>
      </c>
      <c r="B643" s="3" t="s">
        <v>165</v>
      </c>
      <c r="C643" s="4" t="str">
        <f t="shared" si="226"/>
        <v>0890011</v>
      </c>
      <c r="D643" s="4" t="s">
        <v>800</v>
      </c>
      <c r="E643" s="4" t="str">
        <f>"0895411"</f>
        <v>0895411</v>
      </c>
      <c r="F643" s="4" t="s">
        <v>327</v>
      </c>
      <c r="G643" s="7">
        <v>6</v>
      </c>
      <c r="H643" s="7">
        <v>8</v>
      </c>
      <c r="I643" s="4" t="s">
        <v>335</v>
      </c>
      <c r="J643" s="4" t="s">
        <v>330</v>
      </c>
      <c r="K643" s="7">
        <v>763.83624599999996</v>
      </c>
      <c r="L643" s="7">
        <v>900</v>
      </c>
      <c r="M643" s="7">
        <v>84.870694</v>
      </c>
      <c r="N643" s="7">
        <v>2</v>
      </c>
      <c r="O643" s="7">
        <v>0</v>
      </c>
      <c r="P643" s="7">
        <v>85.307723999999993</v>
      </c>
      <c r="Q643" s="7">
        <v>50</v>
      </c>
      <c r="R643" s="7">
        <v>50</v>
      </c>
      <c r="S643" s="7">
        <v>84.716904999999997</v>
      </c>
      <c r="T643" s="7">
        <v>75</v>
      </c>
      <c r="U643" s="7">
        <v>50</v>
      </c>
      <c r="V643" s="7">
        <v>50</v>
      </c>
      <c r="W643" s="7">
        <v>80.522019999999998</v>
      </c>
      <c r="X643" s="7">
        <v>50</v>
      </c>
      <c r="Y643" s="7">
        <v>50</v>
      </c>
      <c r="Z643" s="7">
        <v>75</v>
      </c>
      <c r="AA643" s="7">
        <v>78.849902999999998</v>
      </c>
      <c r="AB643" s="7">
        <v>50</v>
      </c>
      <c r="AC643" s="7">
        <v>50</v>
      </c>
      <c r="AD643" s="7">
        <v>82.310344999999998</v>
      </c>
      <c r="AE643" s="7">
        <v>50</v>
      </c>
      <c r="AF643" s="7">
        <v>50</v>
      </c>
      <c r="AG643" s="7">
        <v>81.717671999999993</v>
      </c>
      <c r="AH643" s="4" t="s">
        <v>124</v>
      </c>
      <c r="AI643" s="7">
        <v>50</v>
      </c>
      <c r="AJ643" s="7">
        <v>50</v>
      </c>
      <c r="AK643" s="7">
        <v>-9.7100000000000009</v>
      </c>
      <c r="AL643" s="7">
        <v>-3.84</v>
      </c>
      <c r="AM643" s="4" t="s">
        <v>124</v>
      </c>
      <c r="AN643" s="7">
        <v>0.63078999999999996</v>
      </c>
      <c r="AO643" s="7">
        <v>63.079037999999997</v>
      </c>
      <c r="AP643" s="7">
        <v>100</v>
      </c>
      <c r="AQ643" s="7">
        <v>0.80400000000000005</v>
      </c>
      <c r="AR643" s="7">
        <v>80.399991999999997</v>
      </c>
      <c r="AS643" s="7">
        <v>100</v>
      </c>
      <c r="AT643" s="7">
        <v>0.61898500000000001</v>
      </c>
      <c r="AU643" s="7">
        <v>0.65879399999999999</v>
      </c>
      <c r="AV643" s="7">
        <v>61.898477</v>
      </c>
      <c r="AW643" s="7">
        <v>100</v>
      </c>
      <c r="AX643" s="7">
        <v>0.79032400000000003</v>
      </c>
      <c r="AY643" s="7">
        <v>0.83643999999999996</v>
      </c>
      <c r="AZ643" s="7">
        <v>79.032437000000002</v>
      </c>
      <c r="BA643" s="7">
        <v>100</v>
      </c>
      <c r="BB643" s="4" t="s">
        <v>124</v>
      </c>
      <c r="BC643" s="4" t="s">
        <v>124</v>
      </c>
      <c r="BD643" s="4" t="s">
        <v>124</v>
      </c>
      <c r="BE643" s="4" t="s">
        <v>124</v>
      </c>
      <c r="BF643" s="4" t="s">
        <v>124</v>
      </c>
      <c r="BG643" s="4" t="s">
        <v>124</v>
      </c>
      <c r="BH643" s="7">
        <v>0</v>
      </c>
      <c r="BI643" s="7">
        <v>0.98657700000000004</v>
      </c>
      <c r="BJ643" s="7">
        <v>0.99065400000000003</v>
      </c>
      <c r="BK643" s="7">
        <v>0.97619</v>
      </c>
      <c r="BL643" s="7">
        <v>0.98657700000000004</v>
      </c>
      <c r="BM643" s="7">
        <v>0.99065400000000003</v>
      </c>
      <c r="BN643" s="7">
        <v>0.97619</v>
      </c>
      <c r="BO643" s="7">
        <v>1</v>
      </c>
      <c r="BP643" s="7">
        <v>1</v>
      </c>
      <c r="BQ643" s="4" t="s">
        <v>124</v>
      </c>
      <c r="BR643" s="7">
        <v>6.0402999999999998E-2</v>
      </c>
      <c r="BS643" s="7">
        <v>47.919463</v>
      </c>
      <c r="BT643" s="7">
        <v>50</v>
      </c>
      <c r="BU643" s="7">
        <v>8.4905999999999995E-2</v>
      </c>
      <c r="BV643" s="7">
        <v>43.018867999999998</v>
      </c>
      <c r="BW643" s="7">
        <v>50</v>
      </c>
      <c r="BX643" s="4" t="s">
        <v>124</v>
      </c>
      <c r="BY643" s="4" t="s">
        <v>124</v>
      </c>
      <c r="BZ643" s="4" t="s">
        <v>124</v>
      </c>
      <c r="CA643" s="4" t="s">
        <v>124</v>
      </c>
      <c r="CB643" s="4" t="s">
        <v>124</v>
      </c>
      <c r="CC643" s="4" t="s">
        <v>124</v>
      </c>
      <c r="CD643" s="7">
        <v>1</v>
      </c>
      <c r="CE643" s="7">
        <v>50</v>
      </c>
      <c r="CF643" s="7">
        <v>50</v>
      </c>
      <c r="CG643" s="4" t="s">
        <v>124</v>
      </c>
      <c r="CH643" s="4" t="s">
        <v>124</v>
      </c>
      <c r="CI643" s="4" t="s">
        <v>124</v>
      </c>
      <c r="CJ643" s="4" t="s">
        <v>124</v>
      </c>
      <c r="CK643" s="4" t="s">
        <v>124</v>
      </c>
      <c r="CL643" s="4" t="s">
        <v>124</v>
      </c>
      <c r="CM643" s="4" t="s">
        <v>124</v>
      </c>
      <c r="CN643" s="4" t="s">
        <v>124</v>
      </c>
      <c r="CO643" s="4" t="s">
        <v>124</v>
      </c>
      <c r="CP643" s="4" t="s">
        <v>124</v>
      </c>
      <c r="CQ643" s="7">
        <v>0.57732000000000006</v>
      </c>
      <c r="CR643" s="7">
        <v>0.95098000000000005</v>
      </c>
      <c r="CS643" s="7">
        <v>38.487972999999997</v>
      </c>
      <c r="CT643" s="7">
        <v>50</v>
      </c>
      <c r="CU643" s="4" t="s">
        <v>124</v>
      </c>
      <c r="CV643" s="4" t="s">
        <v>124</v>
      </c>
      <c r="CW643" s="4" t="s">
        <v>124</v>
      </c>
      <c r="CX643" s="4" t="s">
        <v>124</v>
      </c>
      <c r="CY643" s="4" t="s">
        <v>124</v>
      </c>
      <c r="CZ643" s="4" t="s">
        <v>124</v>
      </c>
      <c r="DA643" s="7">
        <v>15.314097</v>
      </c>
      <c r="DB643" s="7">
        <v>17.400950000000002</v>
      </c>
      <c r="DC643" s="7">
        <v>16.332519999999999</v>
      </c>
      <c r="DD643" s="4" t="s">
        <v>124</v>
      </c>
      <c r="DE643" s="7">
        <v>0</v>
      </c>
      <c r="DF643" s="6"/>
      <c r="DG643" s="6"/>
      <c r="DH643" s="4" t="s">
        <v>331</v>
      </c>
      <c r="DI643" s="4" t="s">
        <v>431</v>
      </c>
      <c r="DJ643" s="7">
        <v>0</v>
      </c>
      <c r="DK643" s="7">
        <v>0</v>
      </c>
      <c r="DL643" s="7">
        <v>0</v>
      </c>
      <c r="DM643" s="7">
        <v>0</v>
      </c>
      <c r="DN643" s="7">
        <v>1</v>
      </c>
      <c r="DO643" s="7">
        <v>0</v>
      </c>
      <c r="DP643" s="6"/>
      <c r="DQ643" s="4" t="s">
        <v>125</v>
      </c>
    </row>
    <row r="644" spans="1:121" ht="20" customHeight="1" x14ac:dyDescent="0.15">
      <c r="A644" s="5">
        <v>2018</v>
      </c>
      <c r="B644" s="3" t="s">
        <v>165</v>
      </c>
      <c r="C644" s="4" t="str">
        <f t="shared" si="226"/>
        <v>0890011</v>
      </c>
      <c r="D644" s="4" t="s">
        <v>801</v>
      </c>
      <c r="E644" s="4" t="str">
        <f>"0890711"</f>
        <v>0890711</v>
      </c>
      <c r="F644" s="4" t="s">
        <v>327</v>
      </c>
      <c r="G644" s="4" t="s">
        <v>338</v>
      </c>
      <c r="H644" s="7">
        <v>5</v>
      </c>
      <c r="I644" s="4" t="s">
        <v>335</v>
      </c>
      <c r="J644" s="4" t="s">
        <v>330</v>
      </c>
      <c r="K644" s="7">
        <v>634.80415600000003</v>
      </c>
      <c r="L644" s="7">
        <v>950</v>
      </c>
      <c r="M644" s="7">
        <v>66.821489999999997</v>
      </c>
      <c r="N644" s="7">
        <v>3</v>
      </c>
      <c r="O644" s="7">
        <v>0</v>
      </c>
      <c r="P644" s="7">
        <v>62.770854999999997</v>
      </c>
      <c r="Q644" s="7">
        <v>41.847236000000002</v>
      </c>
      <c r="R644" s="7">
        <v>50</v>
      </c>
      <c r="S644" s="7">
        <v>61.616773999999999</v>
      </c>
      <c r="T644" s="4" t="s">
        <v>124</v>
      </c>
      <c r="U644" s="7">
        <v>41.077849000000001</v>
      </c>
      <c r="V644" s="7">
        <v>50</v>
      </c>
      <c r="W644" s="7">
        <v>55.645477999999997</v>
      </c>
      <c r="X644" s="7">
        <v>37.096984999999997</v>
      </c>
      <c r="Y644" s="7">
        <v>50</v>
      </c>
      <c r="Z644" s="4" t="s">
        <v>124</v>
      </c>
      <c r="AA644" s="7">
        <v>54.892071999999999</v>
      </c>
      <c r="AB644" s="7">
        <v>36.594715000000001</v>
      </c>
      <c r="AC644" s="7">
        <v>50</v>
      </c>
      <c r="AD644" s="7">
        <v>61.453628999999999</v>
      </c>
      <c r="AE644" s="7">
        <v>40.969085999999997</v>
      </c>
      <c r="AF644" s="7">
        <v>50</v>
      </c>
      <c r="AG644" s="7">
        <v>60.260328000000001</v>
      </c>
      <c r="AH644" s="4" t="s">
        <v>124</v>
      </c>
      <c r="AI644" s="7">
        <v>40.173552000000001</v>
      </c>
      <c r="AJ644" s="7">
        <v>50</v>
      </c>
      <c r="AK644" s="4" t="s">
        <v>124</v>
      </c>
      <c r="AL644" s="4" t="s">
        <v>124</v>
      </c>
      <c r="AM644" s="4" t="s">
        <v>124</v>
      </c>
      <c r="AN644" s="7">
        <v>0.605707</v>
      </c>
      <c r="AO644" s="7">
        <v>60.570653999999998</v>
      </c>
      <c r="AP644" s="7">
        <v>100</v>
      </c>
      <c r="AQ644" s="7">
        <v>0.55971800000000005</v>
      </c>
      <c r="AR644" s="7">
        <v>55.971806999999998</v>
      </c>
      <c r="AS644" s="7">
        <v>100</v>
      </c>
      <c r="AT644" s="7">
        <v>0.58811000000000002</v>
      </c>
      <c r="AU644" s="4" t="s">
        <v>124</v>
      </c>
      <c r="AV644" s="7">
        <v>58.810994000000001</v>
      </c>
      <c r="AW644" s="7">
        <v>100</v>
      </c>
      <c r="AX644" s="7">
        <v>0.57842800000000005</v>
      </c>
      <c r="AY644" s="4" t="s">
        <v>124</v>
      </c>
      <c r="AZ644" s="7">
        <v>57.842809000000003</v>
      </c>
      <c r="BA644" s="7">
        <v>100</v>
      </c>
      <c r="BB644" s="7">
        <v>0.69354700000000002</v>
      </c>
      <c r="BC644" s="7">
        <v>34.677365000000002</v>
      </c>
      <c r="BD644" s="7">
        <v>50</v>
      </c>
      <c r="BE644" s="7">
        <v>0.49255199999999999</v>
      </c>
      <c r="BF644" s="7">
        <v>24.627576000000001</v>
      </c>
      <c r="BG644" s="7">
        <v>50</v>
      </c>
      <c r="BH644" s="7">
        <v>0</v>
      </c>
      <c r="BI644" s="7">
        <v>0.995475</v>
      </c>
      <c r="BJ644" s="7">
        <v>0.99507400000000001</v>
      </c>
      <c r="BK644" s="4" t="s">
        <v>124</v>
      </c>
      <c r="BL644" s="7">
        <v>0.995475</v>
      </c>
      <c r="BM644" s="7">
        <v>0.99507400000000001</v>
      </c>
      <c r="BN644" s="4" t="s">
        <v>124</v>
      </c>
      <c r="BO644" s="7">
        <v>1</v>
      </c>
      <c r="BP644" s="7">
        <v>1</v>
      </c>
      <c r="BQ644" s="4" t="s">
        <v>124</v>
      </c>
      <c r="BR644" s="7">
        <v>0.104911</v>
      </c>
      <c r="BS644" s="7">
        <v>39.017856999999999</v>
      </c>
      <c r="BT644" s="7">
        <v>50</v>
      </c>
      <c r="BU644" s="7">
        <v>0.111675</v>
      </c>
      <c r="BV644" s="7">
        <v>37.664974999999998</v>
      </c>
      <c r="BW644" s="7">
        <v>50</v>
      </c>
      <c r="BX644" s="4" t="s">
        <v>124</v>
      </c>
      <c r="BY644" s="4" t="s">
        <v>124</v>
      </c>
      <c r="BZ644" s="4" t="s">
        <v>124</v>
      </c>
      <c r="CA644" s="4" t="s">
        <v>124</v>
      </c>
      <c r="CB644" s="4" t="s">
        <v>124</v>
      </c>
      <c r="CC644" s="4" t="s">
        <v>124</v>
      </c>
      <c r="CD644" s="4" t="s">
        <v>124</v>
      </c>
      <c r="CE644" s="4" t="s">
        <v>124</v>
      </c>
      <c r="CF644" s="4" t="s">
        <v>124</v>
      </c>
      <c r="CG644" s="4" t="s">
        <v>124</v>
      </c>
      <c r="CH644" s="4" t="s">
        <v>124</v>
      </c>
      <c r="CI644" s="4" t="s">
        <v>124</v>
      </c>
      <c r="CJ644" s="4" t="s">
        <v>124</v>
      </c>
      <c r="CK644" s="4" t="s">
        <v>124</v>
      </c>
      <c r="CL644" s="4" t="s">
        <v>124</v>
      </c>
      <c r="CM644" s="4" t="s">
        <v>124</v>
      </c>
      <c r="CN644" s="4" t="s">
        <v>124</v>
      </c>
      <c r="CO644" s="4" t="s">
        <v>124</v>
      </c>
      <c r="CP644" s="4" t="s">
        <v>124</v>
      </c>
      <c r="CQ644" s="7">
        <v>0.41791</v>
      </c>
      <c r="CR644" s="7">
        <v>1.0151520000000001</v>
      </c>
      <c r="CS644" s="7">
        <v>27.860696999999998</v>
      </c>
      <c r="CT644" s="7">
        <v>50</v>
      </c>
      <c r="CU644" s="4" t="s">
        <v>124</v>
      </c>
      <c r="CV644" s="4" t="s">
        <v>124</v>
      </c>
      <c r="CW644" s="4" t="s">
        <v>124</v>
      </c>
      <c r="CX644" s="4" t="s">
        <v>124</v>
      </c>
      <c r="CY644" s="4" t="s">
        <v>124</v>
      </c>
      <c r="CZ644" s="4" t="s">
        <v>124</v>
      </c>
      <c r="DA644" s="7">
        <v>15.314097</v>
      </c>
      <c r="DB644" s="7">
        <v>17.400950000000002</v>
      </c>
      <c r="DC644" s="7">
        <v>16.332519999999999</v>
      </c>
      <c r="DD644" s="4" t="s">
        <v>124</v>
      </c>
      <c r="DE644" s="7">
        <v>0</v>
      </c>
      <c r="DF644" s="6"/>
      <c r="DG644" s="6"/>
      <c r="DH644" s="6"/>
      <c r="DI644" s="6"/>
      <c r="DJ644" s="7">
        <v>0</v>
      </c>
      <c r="DK644" s="7">
        <v>0</v>
      </c>
      <c r="DL644" s="7">
        <v>0</v>
      </c>
      <c r="DM644" s="7">
        <v>0</v>
      </c>
      <c r="DN644" s="7">
        <v>0</v>
      </c>
      <c r="DO644" s="7">
        <v>0</v>
      </c>
      <c r="DP644" s="6"/>
      <c r="DQ644" s="4" t="s">
        <v>125</v>
      </c>
    </row>
    <row r="645" spans="1:121" ht="20" customHeight="1" x14ac:dyDescent="0.15">
      <c r="A645" s="5">
        <v>2018</v>
      </c>
      <c r="B645" s="3" t="s">
        <v>165</v>
      </c>
      <c r="C645" s="4" t="str">
        <f t="shared" si="226"/>
        <v>0890011</v>
      </c>
      <c r="D645" s="4" t="s">
        <v>802</v>
      </c>
      <c r="E645" s="4" t="str">
        <f>"0890811"</f>
        <v>0890811</v>
      </c>
      <c r="F645" s="4" t="s">
        <v>327</v>
      </c>
      <c r="G645" s="4" t="s">
        <v>328</v>
      </c>
      <c r="H645" s="7">
        <v>5</v>
      </c>
      <c r="I645" s="4" t="s">
        <v>335</v>
      </c>
      <c r="J645" s="4" t="s">
        <v>330</v>
      </c>
      <c r="K645" s="7">
        <v>521.91144799999995</v>
      </c>
      <c r="L645" s="7">
        <v>950</v>
      </c>
      <c r="M645" s="7">
        <v>54.938046999999997</v>
      </c>
      <c r="N645" s="7">
        <v>3</v>
      </c>
      <c r="O645" s="7">
        <v>1</v>
      </c>
      <c r="P645" s="7">
        <v>52.873685999999999</v>
      </c>
      <c r="Q645" s="7">
        <v>35.249124000000002</v>
      </c>
      <c r="R645" s="7">
        <v>50</v>
      </c>
      <c r="S645" s="7">
        <v>51.526010999999997</v>
      </c>
      <c r="T645" s="7">
        <v>69.397345000000001</v>
      </c>
      <c r="U645" s="7">
        <v>34.350673999999998</v>
      </c>
      <c r="V645" s="7">
        <v>50</v>
      </c>
      <c r="W645" s="7">
        <v>44.733508</v>
      </c>
      <c r="X645" s="7">
        <v>29.822338999999999</v>
      </c>
      <c r="Y645" s="7">
        <v>50</v>
      </c>
      <c r="Z645" s="7">
        <v>58.946354999999997</v>
      </c>
      <c r="AA645" s="7">
        <v>43.561839999999997</v>
      </c>
      <c r="AB645" s="7">
        <v>29.041226999999999</v>
      </c>
      <c r="AC645" s="7">
        <v>50</v>
      </c>
      <c r="AD645" s="7">
        <v>50.636239000000003</v>
      </c>
      <c r="AE645" s="7">
        <v>33.757492999999997</v>
      </c>
      <c r="AF645" s="7">
        <v>50</v>
      </c>
      <c r="AG645" s="7">
        <v>48.967742000000001</v>
      </c>
      <c r="AH645" s="4" t="s">
        <v>124</v>
      </c>
      <c r="AI645" s="7">
        <v>32.645161000000002</v>
      </c>
      <c r="AJ645" s="7">
        <v>50</v>
      </c>
      <c r="AK645" s="7">
        <v>17.87</v>
      </c>
      <c r="AL645" s="7">
        <v>15.38</v>
      </c>
      <c r="AM645" s="4" t="s">
        <v>124</v>
      </c>
      <c r="AN645" s="7">
        <v>0.48615399999999998</v>
      </c>
      <c r="AO645" s="7">
        <v>48.615402000000003</v>
      </c>
      <c r="AP645" s="7">
        <v>100</v>
      </c>
      <c r="AQ645" s="7">
        <v>0.45927400000000002</v>
      </c>
      <c r="AR645" s="7">
        <v>45.927447999999998</v>
      </c>
      <c r="AS645" s="7">
        <v>100</v>
      </c>
      <c r="AT645" s="7">
        <v>0.48041</v>
      </c>
      <c r="AU645" s="4" t="s">
        <v>124</v>
      </c>
      <c r="AV645" s="7">
        <v>48.041037000000003</v>
      </c>
      <c r="AW645" s="7">
        <v>100</v>
      </c>
      <c r="AX645" s="7">
        <v>0.45333800000000002</v>
      </c>
      <c r="AY645" s="4" t="s">
        <v>124</v>
      </c>
      <c r="AZ645" s="7">
        <v>45.333809000000002</v>
      </c>
      <c r="BA645" s="7">
        <v>100</v>
      </c>
      <c r="BB645" s="7">
        <v>0.56820499999999996</v>
      </c>
      <c r="BC645" s="7">
        <v>28.410266</v>
      </c>
      <c r="BD645" s="7">
        <v>50</v>
      </c>
      <c r="BE645" s="7">
        <v>0.48458899999999999</v>
      </c>
      <c r="BF645" s="7">
        <v>24.229472000000001</v>
      </c>
      <c r="BG645" s="7">
        <v>50</v>
      </c>
      <c r="BH645" s="7">
        <v>0</v>
      </c>
      <c r="BI645" s="7">
        <v>1</v>
      </c>
      <c r="BJ645" s="7">
        <v>1</v>
      </c>
      <c r="BK645" s="7">
        <v>1</v>
      </c>
      <c r="BL645" s="7">
        <v>1</v>
      </c>
      <c r="BM645" s="7">
        <v>1</v>
      </c>
      <c r="BN645" s="7">
        <v>1</v>
      </c>
      <c r="BO645" s="7">
        <v>0.99082599999999998</v>
      </c>
      <c r="BP645" s="7">
        <v>0.99009899999999995</v>
      </c>
      <c r="BQ645" s="4" t="s">
        <v>124</v>
      </c>
      <c r="BR645" s="7">
        <v>0.18038000000000001</v>
      </c>
      <c r="BS645" s="7">
        <v>23.924050999999999</v>
      </c>
      <c r="BT645" s="7">
        <v>50</v>
      </c>
      <c r="BU645" s="7">
        <v>0.19478300000000001</v>
      </c>
      <c r="BV645" s="7">
        <v>21.043478</v>
      </c>
      <c r="BW645" s="7">
        <v>50</v>
      </c>
      <c r="BX645" s="4" t="s">
        <v>124</v>
      </c>
      <c r="BY645" s="4" t="s">
        <v>124</v>
      </c>
      <c r="BZ645" s="4" t="s">
        <v>124</v>
      </c>
      <c r="CA645" s="4" t="s">
        <v>124</v>
      </c>
      <c r="CB645" s="4" t="s">
        <v>124</v>
      </c>
      <c r="CC645" s="4" t="s">
        <v>124</v>
      </c>
      <c r="CD645" s="4" t="s">
        <v>124</v>
      </c>
      <c r="CE645" s="4" t="s">
        <v>124</v>
      </c>
      <c r="CF645" s="4" t="s">
        <v>124</v>
      </c>
      <c r="CG645" s="4" t="s">
        <v>124</v>
      </c>
      <c r="CH645" s="4" t="s">
        <v>124</v>
      </c>
      <c r="CI645" s="4" t="s">
        <v>124</v>
      </c>
      <c r="CJ645" s="4" t="s">
        <v>124</v>
      </c>
      <c r="CK645" s="4" t="s">
        <v>124</v>
      </c>
      <c r="CL645" s="4" t="s">
        <v>124</v>
      </c>
      <c r="CM645" s="4" t="s">
        <v>124</v>
      </c>
      <c r="CN645" s="4" t="s">
        <v>124</v>
      </c>
      <c r="CO645" s="4" t="s">
        <v>124</v>
      </c>
      <c r="CP645" s="4" t="s">
        <v>124</v>
      </c>
      <c r="CQ645" s="7">
        <v>0.622807</v>
      </c>
      <c r="CR645" s="7">
        <v>1.017857</v>
      </c>
      <c r="CS645" s="7">
        <v>41.520468000000001</v>
      </c>
      <c r="CT645" s="7">
        <v>50</v>
      </c>
      <c r="CU645" s="4" t="s">
        <v>124</v>
      </c>
      <c r="CV645" s="4" t="s">
        <v>124</v>
      </c>
      <c r="CW645" s="4" t="s">
        <v>124</v>
      </c>
      <c r="CX645" s="4" t="s">
        <v>124</v>
      </c>
      <c r="CY645" s="4" t="s">
        <v>124</v>
      </c>
      <c r="CZ645" s="4" t="s">
        <v>124</v>
      </c>
      <c r="DA645" s="7">
        <v>15.314097</v>
      </c>
      <c r="DB645" s="7">
        <v>17.400950000000002</v>
      </c>
      <c r="DC645" s="7">
        <v>16.332519999999999</v>
      </c>
      <c r="DD645" s="4" t="s">
        <v>124</v>
      </c>
      <c r="DE645" s="7">
        <v>1</v>
      </c>
      <c r="DF645" s="6"/>
      <c r="DG645" s="6"/>
      <c r="DH645" s="6"/>
      <c r="DI645" s="6"/>
      <c r="DJ645" s="7">
        <v>0</v>
      </c>
      <c r="DK645" s="7">
        <v>0</v>
      </c>
      <c r="DL645" s="7">
        <v>0</v>
      </c>
      <c r="DM645" s="7">
        <v>0</v>
      </c>
      <c r="DN645" s="7">
        <v>0</v>
      </c>
      <c r="DO645" s="7">
        <v>0</v>
      </c>
      <c r="DP645" s="6"/>
      <c r="DQ645" s="4" t="s">
        <v>125</v>
      </c>
    </row>
    <row r="646" spans="1:121" ht="20" customHeight="1" x14ac:dyDescent="0.15">
      <c r="A646" s="5">
        <v>2018</v>
      </c>
      <c r="B646" s="3" t="s">
        <v>165</v>
      </c>
      <c r="C646" s="4" t="str">
        <f t="shared" si="226"/>
        <v>0890011</v>
      </c>
      <c r="D646" s="4" t="s">
        <v>803</v>
      </c>
      <c r="E646" s="4" t="str">
        <f>"0896111"</f>
        <v>0896111</v>
      </c>
      <c r="F646" s="4" t="s">
        <v>327</v>
      </c>
      <c r="G646" s="7">
        <v>9</v>
      </c>
      <c r="H646" s="7">
        <v>12</v>
      </c>
      <c r="I646" s="4" t="s">
        <v>335</v>
      </c>
      <c r="J646" s="4" t="s">
        <v>330</v>
      </c>
      <c r="K646" s="7">
        <v>868.12329299999999</v>
      </c>
      <c r="L646" s="7">
        <v>1550</v>
      </c>
      <c r="M646" s="7">
        <v>56.007953999999998</v>
      </c>
      <c r="N646" s="7">
        <v>3</v>
      </c>
      <c r="O646" s="7">
        <v>0</v>
      </c>
      <c r="P646" s="7">
        <v>43.704062</v>
      </c>
      <c r="Q646" s="7">
        <v>87.408124999999998</v>
      </c>
      <c r="R646" s="7">
        <v>150</v>
      </c>
      <c r="S646" s="7">
        <v>41.054225000000002</v>
      </c>
      <c r="T646" s="7">
        <v>54.907173</v>
      </c>
      <c r="U646" s="7">
        <v>82.108450000000005</v>
      </c>
      <c r="V646" s="7">
        <v>150</v>
      </c>
      <c r="W646" s="7">
        <v>40.339252000000002</v>
      </c>
      <c r="X646" s="7">
        <v>80.678504000000004</v>
      </c>
      <c r="Y646" s="7">
        <v>150</v>
      </c>
      <c r="Z646" s="7">
        <v>50.149788999999998</v>
      </c>
      <c r="AA646" s="7">
        <v>38.018796000000002</v>
      </c>
      <c r="AB646" s="7">
        <v>76.037591000000006</v>
      </c>
      <c r="AC646" s="7">
        <v>150</v>
      </c>
      <c r="AD646" s="7">
        <v>44.940219999999997</v>
      </c>
      <c r="AE646" s="7">
        <v>59.920293000000001</v>
      </c>
      <c r="AF646" s="7">
        <v>100</v>
      </c>
      <c r="AG646" s="7">
        <v>42.592353000000003</v>
      </c>
      <c r="AH646" s="7">
        <v>54.807205000000003</v>
      </c>
      <c r="AI646" s="7">
        <v>56.789803999999997</v>
      </c>
      <c r="AJ646" s="7">
        <v>100</v>
      </c>
      <c r="AK646" s="7">
        <v>13.85</v>
      </c>
      <c r="AL646" s="7">
        <v>12.13</v>
      </c>
      <c r="AM646" s="7">
        <v>12.21</v>
      </c>
      <c r="AN646" s="4" t="s">
        <v>124</v>
      </c>
      <c r="AO646" s="4" t="s">
        <v>124</v>
      </c>
      <c r="AP646" s="4" t="s">
        <v>124</v>
      </c>
      <c r="AQ646" s="4" t="s">
        <v>124</v>
      </c>
      <c r="AR646" s="4" t="s">
        <v>124</v>
      </c>
      <c r="AS646" s="4" t="s">
        <v>124</v>
      </c>
      <c r="AT646" s="4" t="s">
        <v>124</v>
      </c>
      <c r="AU646" s="4" t="s">
        <v>124</v>
      </c>
      <c r="AV646" s="4" t="s">
        <v>124</v>
      </c>
      <c r="AW646" s="4" t="s">
        <v>124</v>
      </c>
      <c r="AX646" s="4" t="s">
        <v>124</v>
      </c>
      <c r="AY646" s="4" t="s">
        <v>124</v>
      </c>
      <c r="AZ646" s="4" t="s">
        <v>124</v>
      </c>
      <c r="BA646" s="4" t="s">
        <v>124</v>
      </c>
      <c r="BB646" s="7">
        <v>0.31177700000000003</v>
      </c>
      <c r="BC646" s="7">
        <v>15.588850000000001</v>
      </c>
      <c r="BD646" s="7">
        <v>50</v>
      </c>
      <c r="BE646" s="7">
        <v>0.42723100000000003</v>
      </c>
      <c r="BF646" s="7">
        <v>21.361543999999999</v>
      </c>
      <c r="BG646" s="7">
        <v>50</v>
      </c>
      <c r="BH646" s="7">
        <v>1</v>
      </c>
      <c r="BI646" s="7">
        <v>0.93487399999999998</v>
      </c>
      <c r="BJ646" s="7">
        <v>0.92583099999999996</v>
      </c>
      <c r="BK646" s="7">
        <v>0.97647099999999998</v>
      </c>
      <c r="BL646" s="7">
        <v>0.93487399999999998</v>
      </c>
      <c r="BM646" s="7">
        <v>0.92583099999999996</v>
      </c>
      <c r="BN646" s="7">
        <v>0.97647099999999998</v>
      </c>
      <c r="BO646" s="7">
        <v>0.92452800000000002</v>
      </c>
      <c r="BP646" s="7">
        <v>0.91071400000000002</v>
      </c>
      <c r="BQ646" s="7">
        <v>0.98823499999999997</v>
      </c>
      <c r="BR646" s="7">
        <v>0.39605800000000002</v>
      </c>
      <c r="BS646" s="7">
        <v>0</v>
      </c>
      <c r="BT646" s="7">
        <v>50</v>
      </c>
      <c r="BU646" s="7">
        <v>0.43732900000000002</v>
      </c>
      <c r="BV646" s="7">
        <v>0</v>
      </c>
      <c r="BW646" s="7">
        <v>50</v>
      </c>
      <c r="BX646" s="7">
        <v>0.766845</v>
      </c>
      <c r="BY646" s="7">
        <v>50</v>
      </c>
      <c r="BZ646" s="7">
        <v>50</v>
      </c>
      <c r="CA646" s="7">
        <v>0.13796800000000001</v>
      </c>
      <c r="CB646" s="7">
        <v>9.1978609999999996</v>
      </c>
      <c r="CC646" s="7">
        <v>50</v>
      </c>
      <c r="CD646" s="7">
        <v>0.59071700000000005</v>
      </c>
      <c r="CE646" s="7">
        <v>31.421133000000001</v>
      </c>
      <c r="CF646" s="7">
        <v>50</v>
      </c>
      <c r="CG646" s="7">
        <v>0.80477200000000004</v>
      </c>
      <c r="CH646" s="7">
        <v>85.614067000000006</v>
      </c>
      <c r="CI646" s="7">
        <v>100</v>
      </c>
      <c r="CJ646" s="7">
        <v>1</v>
      </c>
      <c r="CK646" s="7">
        <v>0.77559100000000003</v>
      </c>
      <c r="CL646" s="7">
        <v>82.509632999999994</v>
      </c>
      <c r="CM646" s="7">
        <v>100</v>
      </c>
      <c r="CN646" s="7">
        <v>0.56608499999999995</v>
      </c>
      <c r="CO646" s="7">
        <v>75.477971999999994</v>
      </c>
      <c r="CP646" s="7">
        <v>100</v>
      </c>
      <c r="CQ646" s="7">
        <v>0.34975400000000001</v>
      </c>
      <c r="CR646" s="7">
        <v>0.727599</v>
      </c>
      <c r="CS646" s="7">
        <v>11.658455999999999</v>
      </c>
      <c r="CT646" s="7">
        <v>50</v>
      </c>
      <c r="CU646" s="7">
        <v>0.508212</v>
      </c>
      <c r="CV646" s="7">
        <v>42.351008999999998</v>
      </c>
      <c r="CW646" s="7">
        <v>50</v>
      </c>
      <c r="CX646" s="7">
        <v>0.77559100000000003</v>
      </c>
      <c r="CY646" s="7">
        <v>0.94</v>
      </c>
      <c r="CZ646" s="7">
        <v>0.164409</v>
      </c>
      <c r="DA646" s="7">
        <v>15.314097</v>
      </c>
      <c r="DB646" s="7">
        <v>17.400950000000002</v>
      </c>
      <c r="DC646" s="7">
        <v>16.332519999999999</v>
      </c>
      <c r="DD646" s="7">
        <v>7.9891730000000001</v>
      </c>
      <c r="DE646" s="7">
        <v>1</v>
      </c>
      <c r="DF646" s="6"/>
      <c r="DG646" s="6"/>
      <c r="DH646" s="6"/>
      <c r="DI646" s="6"/>
      <c r="DJ646" s="7">
        <v>0</v>
      </c>
      <c r="DK646" s="7">
        <v>0</v>
      </c>
      <c r="DL646" s="7">
        <v>0</v>
      </c>
      <c r="DM646" s="7">
        <v>0</v>
      </c>
      <c r="DN646" s="7">
        <v>0</v>
      </c>
      <c r="DO646" s="7">
        <v>0</v>
      </c>
      <c r="DP646" s="6"/>
      <c r="DQ646" s="4" t="s">
        <v>125</v>
      </c>
    </row>
    <row r="647" spans="1:121" ht="20" customHeight="1" x14ac:dyDescent="0.15">
      <c r="A647" s="5">
        <v>2018</v>
      </c>
      <c r="B647" s="3" t="s">
        <v>165</v>
      </c>
      <c r="C647" s="4" t="str">
        <f t="shared" si="226"/>
        <v>0890011</v>
      </c>
      <c r="D647" s="4" t="s">
        <v>804</v>
      </c>
      <c r="E647" s="4" t="str">
        <f>"0890911"</f>
        <v>0890911</v>
      </c>
      <c r="F647" s="4" t="s">
        <v>327</v>
      </c>
      <c r="G647" s="4" t="s">
        <v>338</v>
      </c>
      <c r="H647" s="7">
        <v>5</v>
      </c>
      <c r="I647" s="4" t="s">
        <v>335</v>
      </c>
      <c r="J647" s="4" t="s">
        <v>330</v>
      </c>
      <c r="K647" s="7">
        <v>526.20578499999999</v>
      </c>
      <c r="L647" s="7">
        <v>950</v>
      </c>
      <c r="M647" s="7">
        <v>55.390082999999997</v>
      </c>
      <c r="N647" s="7">
        <v>5</v>
      </c>
      <c r="O647" s="7">
        <v>0</v>
      </c>
      <c r="P647" s="7">
        <v>54.213726999999999</v>
      </c>
      <c r="Q647" s="7">
        <v>36.142484000000003</v>
      </c>
      <c r="R647" s="7">
        <v>50</v>
      </c>
      <c r="S647" s="7">
        <v>53.232781000000003</v>
      </c>
      <c r="T647" s="4" t="s">
        <v>124</v>
      </c>
      <c r="U647" s="7">
        <v>35.488520999999999</v>
      </c>
      <c r="V647" s="7">
        <v>50</v>
      </c>
      <c r="W647" s="7">
        <v>44.734788999999999</v>
      </c>
      <c r="X647" s="7">
        <v>29.823191999999999</v>
      </c>
      <c r="Y647" s="7">
        <v>50</v>
      </c>
      <c r="Z647" s="4" t="s">
        <v>124</v>
      </c>
      <c r="AA647" s="7">
        <v>43.692208000000001</v>
      </c>
      <c r="AB647" s="7">
        <v>29.128139000000001</v>
      </c>
      <c r="AC647" s="7">
        <v>50</v>
      </c>
      <c r="AD647" s="7">
        <v>50.387096999999997</v>
      </c>
      <c r="AE647" s="7">
        <v>33.591397999999998</v>
      </c>
      <c r="AF647" s="7">
        <v>50</v>
      </c>
      <c r="AG647" s="7">
        <v>49.034274000000003</v>
      </c>
      <c r="AH647" s="4" t="s">
        <v>124</v>
      </c>
      <c r="AI647" s="7">
        <v>32.689515999999998</v>
      </c>
      <c r="AJ647" s="7">
        <v>50</v>
      </c>
      <c r="AK647" s="4" t="s">
        <v>124</v>
      </c>
      <c r="AL647" s="4" t="s">
        <v>124</v>
      </c>
      <c r="AM647" s="4" t="s">
        <v>124</v>
      </c>
      <c r="AN647" s="7">
        <v>0.51078800000000002</v>
      </c>
      <c r="AO647" s="7">
        <v>51.078750999999997</v>
      </c>
      <c r="AP647" s="7">
        <v>100</v>
      </c>
      <c r="AQ647" s="7">
        <v>0.47858699999999998</v>
      </c>
      <c r="AR647" s="7">
        <v>47.858722</v>
      </c>
      <c r="AS647" s="7">
        <v>100</v>
      </c>
      <c r="AT647" s="7">
        <v>0.52970899999999999</v>
      </c>
      <c r="AU647" s="4" t="s">
        <v>124</v>
      </c>
      <c r="AV647" s="7">
        <v>52.970931999999998</v>
      </c>
      <c r="AW647" s="7">
        <v>100</v>
      </c>
      <c r="AX647" s="7">
        <v>0.47747000000000001</v>
      </c>
      <c r="AY647" s="4" t="s">
        <v>124</v>
      </c>
      <c r="AZ647" s="7">
        <v>47.746997</v>
      </c>
      <c r="BA647" s="7">
        <v>100</v>
      </c>
      <c r="BB647" s="7">
        <v>0.56184400000000001</v>
      </c>
      <c r="BC647" s="7">
        <v>28.092222</v>
      </c>
      <c r="BD647" s="7">
        <v>50</v>
      </c>
      <c r="BE647" s="7">
        <v>0.44313200000000003</v>
      </c>
      <c r="BF647" s="7">
        <v>22.156624000000001</v>
      </c>
      <c r="BG647" s="7">
        <v>50</v>
      </c>
      <c r="BH647" s="7">
        <v>0</v>
      </c>
      <c r="BI647" s="7">
        <v>1</v>
      </c>
      <c r="BJ647" s="7">
        <v>1</v>
      </c>
      <c r="BK647" s="4" t="s">
        <v>124</v>
      </c>
      <c r="BL647" s="7">
        <v>1</v>
      </c>
      <c r="BM647" s="7">
        <v>1</v>
      </c>
      <c r="BN647" s="4" t="s">
        <v>124</v>
      </c>
      <c r="BO647" s="7">
        <v>1</v>
      </c>
      <c r="BP647" s="7">
        <v>1</v>
      </c>
      <c r="BQ647" s="4" t="s">
        <v>124</v>
      </c>
      <c r="BR647" s="7">
        <v>0.177536</v>
      </c>
      <c r="BS647" s="7">
        <v>24.492754000000001</v>
      </c>
      <c r="BT647" s="7">
        <v>50</v>
      </c>
      <c r="BU647" s="7">
        <v>0.18823500000000001</v>
      </c>
      <c r="BV647" s="7">
        <v>22.352941000000001</v>
      </c>
      <c r="BW647" s="7">
        <v>50</v>
      </c>
      <c r="BX647" s="4" t="s">
        <v>124</v>
      </c>
      <c r="BY647" s="4" t="s">
        <v>124</v>
      </c>
      <c r="BZ647" s="4" t="s">
        <v>124</v>
      </c>
      <c r="CA647" s="4" t="s">
        <v>124</v>
      </c>
      <c r="CB647" s="4" t="s">
        <v>124</v>
      </c>
      <c r="CC647" s="4" t="s">
        <v>124</v>
      </c>
      <c r="CD647" s="4" t="s">
        <v>124</v>
      </c>
      <c r="CE647" s="4" t="s">
        <v>124</v>
      </c>
      <c r="CF647" s="4" t="s">
        <v>124</v>
      </c>
      <c r="CG647" s="4" t="s">
        <v>124</v>
      </c>
      <c r="CH647" s="4" t="s">
        <v>124</v>
      </c>
      <c r="CI647" s="4" t="s">
        <v>124</v>
      </c>
      <c r="CJ647" s="4" t="s">
        <v>124</v>
      </c>
      <c r="CK647" s="4" t="s">
        <v>124</v>
      </c>
      <c r="CL647" s="4" t="s">
        <v>124</v>
      </c>
      <c r="CM647" s="4" t="s">
        <v>124</v>
      </c>
      <c r="CN647" s="4" t="s">
        <v>124</v>
      </c>
      <c r="CO647" s="4" t="s">
        <v>124</v>
      </c>
      <c r="CP647" s="4" t="s">
        <v>124</v>
      </c>
      <c r="CQ647" s="7">
        <v>0.48888900000000002</v>
      </c>
      <c r="CR647" s="7">
        <v>0.9375</v>
      </c>
      <c r="CS647" s="7">
        <v>32.592593000000001</v>
      </c>
      <c r="CT647" s="7">
        <v>50</v>
      </c>
      <c r="CU647" s="4" t="s">
        <v>124</v>
      </c>
      <c r="CV647" s="4" t="s">
        <v>124</v>
      </c>
      <c r="CW647" s="4" t="s">
        <v>124</v>
      </c>
      <c r="CX647" s="4" t="s">
        <v>124</v>
      </c>
      <c r="CY647" s="4" t="s">
        <v>124</v>
      </c>
      <c r="CZ647" s="4" t="s">
        <v>124</v>
      </c>
      <c r="DA647" s="7">
        <v>15.314097</v>
      </c>
      <c r="DB647" s="7">
        <v>17.400950000000002</v>
      </c>
      <c r="DC647" s="7">
        <v>16.332519999999999</v>
      </c>
      <c r="DD647" s="4" t="s">
        <v>124</v>
      </c>
      <c r="DE647" s="7">
        <v>0</v>
      </c>
      <c r="DF647" s="4" t="s">
        <v>384</v>
      </c>
      <c r="DG647" s="4" t="s">
        <v>417</v>
      </c>
      <c r="DH647" s="6"/>
      <c r="DI647" s="6"/>
      <c r="DJ647" s="7">
        <v>0</v>
      </c>
      <c r="DK647" s="7">
        <v>0</v>
      </c>
      <c r="DL647" s="7">
        <v>0</v>
      </c>
      <c r="DM647" s="7">
        <v>0</v>
      </c>
      <c r="DN647" s="7">
        <v>0</v>
      </c>
      <c r="DO647" s="7">
        <v>0</v>
      </c>
      <c r="DP647" s="6"/>
      <c r="DQ647" s="4" t="s">
        <v>125</v>
      </c>
    </row>
    <row r="648" spans="1:121" ht="20" customHeight="1" x14ac:dyDescent="0.15">
      <c r="A648" s="5">
        <v>2018</v>
      </c>
      <c r="B648" s="3" t="s">
        <v>165</v>
      </c>
      <c r="C648" s="4" t="str">
        <f t="shared" si="226"/>
        <v>0890011</v>
      </c>
      <c r="D648" s="4" t="s">
        <v>805</v>
      </c>
      <c r="E648" s="4" t="str">
        <f>"0895311"</f>
        <v>0895311</v>
      </c>
      <c r="F648" s="4" t="s">
        <v>327</v>
      </c>
      <c r="G648" s="7">
        <v>6</v>
      </c>
      <c r="H648" s="7">
        <v>8</v>
      </c>
      <c r="I648" s="4" t="s">
        <v>335</v>
      </c>
      <c r="J648" s="4" t="s">
        <v>330</v>
      </c>
      <c r="K648" s="7">
        <v>423.84471100000002</v>
      </c>
      <c r="L648" s="7">
        <v>1000</v>
      </c>
      <c r="M648" s="7">
        <v>42.384470999999998</v>
      </c>
      <c r="N648" s="7">
        <v>5</v>
      </c>
      <c r="O648" s="7">
        <v>0</v>
      </c>
      <c r="P648" s="7">
        <v>45.521056000000002</v>
      </c>
      <c r="Q648" s="7">
        <v>30.347370999999999</v>
      </c>
      <c r="R648" s="7">
        <v>50</v>
      </c>
      <c r="S648" s="7">
        <v>44.383786000000001</v>
      </c>
      <c r="T648" s="7">
        <v>58.283757999999999</v>
      </c>
      <c r="U648" s="7">
        <v>29.589191</v>
      </c>
      <c r="V648" s="7">
        <v>50</v>
      </c>
      <c r="W648" s="7">
        <v>35.150916000000002</v>
      </c>
      <c r="X648" s="7">
        <v>23.433944</v>
      </c>
      <c r="Y648" s="7">
        <v>50</v>
      </c>
      <c r="Z648" s="7">
        <v>48.982360999999997</v>
      </c>
      <c r="AA648" s="7">
        <v>33.898932000000002</v>
      </c>
      <c r="AB648" s="7">
        <v>22.599288000000001</v>
      </c>
      <c r="AC648" s="7">
        <v>50</v>
      </c>
      <c r="AD648" s="7">
        <v>44.303463000000001</v>
      </c>
      <c r="AE648" s="7">
        <v>29.535641999999999</v>
      </c>
      <c r="AF648" s="7">
        <v>50</v>
      </c>
      <c r="AG648" s="7">
        <v>43.545509000000003</v>
      </c>
      <c r="AH648" s="4" t="s">
        <v>124</v>
      </c>
      <c r="AI648" s="7">
        <v>29.030339000000001</v>
      </c>
      <c r="AJ648" s="7">
        <v>50</v>
      </c>
      <c r="AK648" s="7">
        <v>13.89</v>
      </c>
      <c r="AL648" s="7">
        <v>15.08</v>
      </c>
      <c r="AM648" s="4" t="s">
        <v>124</v>
      </c>
      <c r="AN648" s="7">
        <v>0.42835099999999998</v>
      </c>
      <c r="AO648" s="7">
        <v>42.835140000000003</v>
      </c>
      <c r="AP648" s="7">
        <v>100</v>
      </c>
      <c r="AQ648" s="7">
        <v>0.35688700000000001</v>
      </c>
      <c r="AR648" s="7">
        <v>35.688687000000002</v>
      </c>
      <c r="AS648" s="7">
        <v>100</v>
      </c>
      <c r="AT648" s="7">
        <v>0.43162899999999998</v>
      </c>
      <c r="AU648" s="7">
        <v>0.39401700000000001</v>
      </c>
      <c r="AV648" s="7">
        <v>43.162855999999998</v>
      </c>
      <c r="AW648" s="7">
        <v>100</v>
      </c>
      <c r="AX648" s="7">
        <v>0.35866100000000001</v>
      </c>
      <c r="AY648" s="7">
        <v>0.33855000000000002</v>
      </c>
      <c r="AZ648" s="7">
        <v>35.866050999999999</v>
      </c>
      <c r="BA648" s="7">
        <v>100</v>
      </c>
      <c r="BB648" s="7">
        <v>0.49827100000000002</v>
      </c>
      <c r="BC648" s="7">
        <v>24.913544000000002</v>
      </c>
      <c r="BD648" s="7">
        <v>50</v>
      </c>
      <c r="BE648" s="7">
        <v>0.419902</v>
      </c>
      <c r="BF648" s="7">
        <v>20.995121999999999</v>
      </c>
      <c r="BG648" s="7">
        <v>50</v>
      </c>
      <c r="BH648" s="7">
        <v>0</v>
      </c>
      <c r="BI648" s="7">
        <v>0.98863599999999996</v>
      </c>
      <c r="BJ648" s="7">
        <v>0.98770000000000002</v>
      </c>
      <c r="BK648" s="7">
        <v>1</v>
      </c>
      <c r="BL648" s="7">
        <v>0.97383399999999998</v>
      </c>
      <c r="BM648" s="7">
        <v>0.97167499999999996</v>
      </c>
      <c r="BN648" s="7">
        <v>1</v>
      </c>
      <c r="BO648" s="7">
        <v>0.97857099999999997</v>
      </c>
      <c r="BP648" s="7">
        <v>0.97701099999999996</v>
      </c>
      <c r="BQ648" s="4" t="s">
        <v>124</v>
      </c>
      <c r="BR648" s="7">
        <v>0.278613</v>
      </c>
      <c r="BS648" s="7">
        <v>4.2774570000000001</v>
      </c>
      <c r="BT648" s="7">
        <v>50</v>
      </c>
      <c r="BU648" s="7">
        <v>0.29308200000000001</v>
      </c>
      <c r="BV648" s="7">
        <v>1.383648</v>
      </c>
      <c r="BW648" s="7">
        <v>50</v>
      </c>
      <c r="BX648" s="4" t="s">
        <v>124</v>
      </c>
      <c r="BY648" s="4" t="s">
        <v>124</v>
      </c>
      <c r="BZ648" s="4" t="s">
        <v>124</v>
      </c>
      <c r="CA648" s="4" t="s">
        <v>124</v>
      </c>
      <c r="CB648" s="4" t="s">
        <v>124</v>
      </c>
      <c r="CC648" s="4" t="s">
        <v>124</v>
      </c>
      <c r="CD648" s="7">
        <v>0.64285700000000001</v>
      </c>
      <c r="CE648" s="7">
        <v>34.194529000000003</v>
      </c>
      <c r="CF648" s="7">
        <v>50</v>
      </c>
      <c r="CG648" s="4" t="s">
        <v>124</v>
      </c>
      <c r="CH648" s="4" t="s">
        <v>124</v>
      </c>
      <c r="CI648" s="4" t="s">
        <v>124</v>
      </c>
      <c r="CJ648" s="4" t="s">
        <v>124</v>
      </c>
      <c r="CK648" s="4" t="s">
        <v>124</v>
      </c>
      <c r="CL648" s="4" t="s">
        <v>124</v>
      </c>
      <c r="CM648" s="4" t="s">
        <v>124</v>
      </c>
      <c r="CN648" s="4" t="s">
        <v>124</v>
      </c>
      <c r="CO648" s="4" t="s">
        <v>124</v>
      </c>
      <c r="CP648" s="4" t="s">
        <v>124</v>
      </c>
      <c r="CQ648" s="7">
        <v>0.47975699999999999</v>
      </c>
      <c r="CR648" s="7">
        <v>0.83728800000000003</v>
      </c>
      <c r="CS648" s="7">
        <v>15.991903000000001</v>
      </c>
      <c r="CT648" s="7">
        <v>50</v>
      </c>
      <c r="CU648" s="4" t="s">
        <v>124</v>
      </c>
      <c r="CV648" s="4" t="s">
        <v>124</v>
      </c>
      <c r="CW648" s="4" t="s">
        <v>124</v>
      </c>
      <c r="CX648" s="4" t="s">
        <v>124</v>
      </c>
      <c r="CY648" s="4" t="s">
        <v>124</v>
      </c>
      <c r="CZ648" s="4" t="s">
        <v>124</v>
      </c>
      <c r="DA648" s="7">
        <v>15.314097</v>
      </c>
      <c r="DB648" s="7">
        <v>17.400950000000002</v>
      </c>
      <c r="DC648" s="7">
        <v>16.332519999999999</v>
      </c>
      <c r="DD648" s="4" t="s">
        <v>124</v>
      </c>
      <c r="DE648" s="7">
        <v>0</v>
      </c>
      <c r="DF648" s="4" t="s">
        <v>375</v>
      </c>
      <c r="DG648" s="4" t="s">
        <v>376</v>
      </c>
      <c r="DH648" s="6"/>
      <c r="DI648" s="6"/>
      <c r="DJ648" s="7">
        <v>0</v>
      </c>
      <c r="DK648" s="7">
        <v>0</v>
      </c>
      <c r="DL648" s="7">
        <v>0</v>
      </c>
      <c r="DM648" s="7">
        <v>0</v>
      </c>
      <c r="DN648" s="7">
        <v>0</v>
      </c>
      <c r="DO648" s="7">
        <v>0</v>
      </c>
      <c r="DP648" s="6"/>
      <c r="DQ648" s="4" t="s">
        <v>125</v>
      </c>
    </row>
    <row r="649" spans="1:121" ht="20" customHeight="1" x14ac:dyDescent="0.15">
      <c r="A649" s="5">
        <v>2018</v>
      </c>
      <c r="B649" s="3" t="s">
        <v>165</v>
      </c>
      <c r="C649" s="4" t="str">
        <f t="shared" si="226"/>
        <v>0890011</v>
      </c>
      <c r="D649" s="4" t="s">
        <v>806</v>
      </c>
      <c r="E649" s="4" t="str">
        <f>"0895211"</f>
        <v>0895211</v>
      </c>
      <c r="F649" s="4" t="s">
        <v>327</v>
      </c>
      <c r="G649" s="7">
        <v>6</v>
      </c>
      <c r="H649" s="7">
        <v>8</v>
      </c>
      <c r="I649" s="4" t="s">
        <v>335</v>
      </c>
      <c r="J649" s="4" t="s">
        <v>330</v>
      </c>
      <c r="K649" s="7">
        <v>429.86152800000002</v>
      </c>
      <c r="L649" s="7">
        <v>1000</v>
      </c>
      <c r="M649" s="7">
        <v>42.986153000000002</v>
      </c>
      <c r="N649" s="7">
        <v>5</v>
      </c>
      <c r="O649" s="7">
        <v>0</v>
      </c>
      <c r="P649" s="7">
        <v>45.399489000000003</v>
      </c>
      <c r="Q649" s="7">
        <v>30.266325999999999</v>
      </c>
      <c r="R649" s="7">
        <v>50</v>
      </c>
      <c r="S649" s="7">
        <v>44.727415000000001</v>
      </c>
      <c r="T649" s="7">
        <v>55.096545999999996</v>
      </c>
      <c r="U649" s="7">
        <v>29.818276999999998</v>
      </c>
      <c r="V649" s="7">
        <v>50</v>
      </c>
      <c r="W649" s="7">
        <v>35.232731999999999</v>
      </c>
      <c r="X649" s="7">
        <v>23.488488</v>
      </c>
      <c r="Y649" s="7">
        <v>50</v>
      </c>
      <c r="Z649" s="7">
        <v>41.087767999999997</v>
      </c>
      <c r="AA649" s="7">
        <v>34.827772000000003</v>
      </c>
      <c r="AB649" s="7">
        <v>23.218515</v>
      </c>
      <c r="AC649" s="7">
        <v>50</v>
      </c>
      <c r="AD649" s="7">
        <v>40.946902999999999</v>
      </c>
      <c r="AE649" s="7">
        <v>27.297936</v>
      </c>
      <c r="AF649" s="7">
        <v>50</v>
      </c>
      <c r="AG649" s="7">
        <v>40.859346000000002</v>
      </c>
      <c r="AH649" s="4" t="s">
        <v>124</v>
      </c>
      <c r="AI649" s="7">
        <v>27.239564000000001</v>
      </c>
      <c r="AJ649" s="7">
        <v>50</v>
      </c>
      <c r="AK649" s="7">
        <v>10.36</v>
      </c>
      <c r="AL649" s="7">
        <v>6.25</v>
      </c>
      <c r="AM649" s="4" t="s">
        <v>124</v>
      </c>
      <c r="AN649" s="7">
        <v>0.45575199999999999</v>
      </c>
      <c r="AO649" s="7">
        <v>45.575218</v>
      </c>
      <c r="AP649" s="7">
        <v>100</v>
      </c>
      <c r="AQ649" s="7">
        <v>0.33609699999999998</v>
      </c>
      <c r="AR649" s="7">
        <v>33.609734000000003</v>
      </c>
      <c r="AS649" s="7">
        <v>100</v>
      </c>
      <c r="AT649" s="7">
        <v>0.45399200000000001</v>
      </c>
      <c r="AU649" s="7">
        <v>0.48011199999999998</v>
      </c>
      <c r="AV649" s="7">
        <v>45.399165000000004</v>
      </c>
      <c r="AW649" s="7">
        <v>100</v>
      </c>
      <c r="AX649" s="7">
        <v>0.34179399999999999</v>
      </c>
      <c r="AY649" s="7">
        <v>0.25914100000000001</v>
      </c>
      <c r="AZ649" s="7">
        <v>34.179352000000002</v>
      </c>
      <c r="BA649" s="7">
        <v>100</v>
      </c>
      <c r="BB649" s="7">
        <v>0.590507</v>
      </c>
      <c r="BC649" s="7">
        <v>29.525327999999998</v>
      </c>
      <c r="BD649" s="7">
        <v>50</v>
      </c>
      <c r="BE649" s="7">
        <v>0.46116699999999999</v>
      </c>
      <c r="BF649" s="7">
        <v>23.058327999999999</v>
      </c>
      <c r="BG649" s="7">
        <v>50</v>
      </c>
      <c r="BH649" s="7">
        <v>0</v>
      </c>
      <c r="BI649" s="7">
        <v>0.97538100000000005</v>
      </c>
      <c r="BJ649" s="7">
        <v>0.97733000000000003</v>
      </c>
      <c r="BK649" s="7">
        <v>0.94915300000000002</v>
      </c>
      <c r="BL649" s="7">
        <v>0.95779599999999998</v>
      </c>
      <c r="BM649" s="7">
        <v>0.95974800000000005</v>
      </c>
      <c r="BN649" s="7">
        <v>0.93103400000000003</v>
      </c>
      <c r="BO649" s="7">
        <v>0.973244</v>
      </c>
      <c r="BP649" s="7">
        <v>0.97142899999999999</v>
      </c>
      <c r="BQ649" s="4" t="s">
        <v>124</v>
      </c>
      <c r="BR649" s="7">
        <v>0.271868</v>
      </c>
      <c r="BS649" s="7">
        <v>5.6264779999999996</v>
      </c>
      <c r="BT649" s="7">
        <v>50</v>
      </c>
      <c r="BU649" s="7">
        <v>0.28335500000000002</v>
      </c>
      <c r="BV649" s="7">
        <v>3.3290980000000001</v>
      </c>
      <c r="BW649" s="7">
        <v>50</v>
      </c>
      <c r="BX649" s="4" t="s">
        <v>124</v>
      </c>
      <c r="BY649" s="4" t="s">
        <v>124</v>
      </c>
      <c r="BZ649" s="4" t="s">
        <v>124</v>
      </c>
      <c r="CA649" s="4" t="s">
        <v>124</v>
      </c>
      <c r="CB649" s="4" t="s">
        <v>124</v>
      </c>
      <c r="CC649" s="4" t="s">
        <v>124</v>
      </c>
      <c r="CD649" s="7">
        <v>0.70428000000000002</v>
      </c>
      <c r="CE649" s="7">
        <v>37.461709999999997</v>
      </c>
      <c r="CF649" s="7">
        <v>50</v>
      </c>
      <c r="CG649" s="4" t="s">
        <v>124</v>
      </c>
      <c r="CH649" s="4" t="s">
        <v>124</v>
      </c>
      <c r="CI649" s="4" t="s">
        <v>124</v>
      </c>
      <c r="CJ649" s="4" t="s">
        <v>124</v>
      </c>
      <c r="CK649" s="4" t="s">
        <v>124</v>
      </c>
      <c r="CL649" s="4" t="s">
        <v>124</v>
      </c>
      <c r="CM649" s="4" t="s">
        <v>124</v>
      </c>
      <c r="CN649" s="4" t="s">
        <v>124</v>
      </c>
      <c r="CO649" s="4" t="s">
        <v>124</v>
      </c>
      <c r="CP649" s="4" t="s">
        <v>124</v>
      </c>
      <c r="CQ649" s="7">
        <v>0.32303999999999999</v>
      </c>
      <c r="CR649" s="7">
        <v>0.73217399999999999</v>
      </c>
      <c r="CS649" s="7">
        <v>10.768013</v>
      </c>
      <c r="CT649" s="7">
        <v>50</v>
      </c>
      <c r="CU649" s="4" t="s">
        <v>124</v>
      </c>
      <c r="CV649" s="4" t="s">
        <v>124</v>
      </c>
      <c r="CW649" s="4" t="s">
        <v>124</v>
      </c>
      <c r="CX649" s="4" t="s">
        <v>124</v>
      </c>
      <c r="CY649" s="4" t="s">
        <v>124</v>
      </c>
      <c r="CZ649" s="4" t="s">
        <v>124</v>
      </c>
      <c r="DA649" s="7">
        <v>15.314097</v>
      </c>
      <c r="DB649" s="7">
        <v>17.400950000000002</v>
      </c>
      <c r="DC649" s="7">
        <v>16.332519999999999</v>
      </c>
      <c r="DD649" s="4" t="s">
        <v>124</v>
      </c>
      <c r="DE649" s="7">
        <v>0</v>
      </c>
      <c r="DF649" s="4" t="s">
        <v>375</v>
      </c>
      <c r="DG649" s="4" t="s">
        <v>376</v>
      </c>
      <c r="DH649" s="6"/>
      <c r="DI649" s="6"/>
      <c r="DJ649" s="7">
        <v>0</v>
      </c>
      <c r="DK649" s="7">
        <v>0</v>
      </c>
      <c r="DL649" s="7">
        <v>0</v>
      </c>
      <c r="DM649" s="7">
        <v>0</v>
      </c>
      <c r="DN649" s="7">
        <v>0</v>
      </c>
      <c r="DO649" s="7">
        <v>0</v>
      </c>
      <c r="DP649" s="6"/>
      <c r="DQ649" s="4" t="s">
        <v>125</v>
      </c>
    </row>
    <row r="650" spans="1:121" ht="20" customHeight="1" x14ac:dyDescent="0.15">
      <c r="A650" s="5">
        <v>2018</v>
      </c>
      <c r="B650" s="3" t="s">
        <v>165</v>
      </c>
      <c r="C650" s="4" t="str">
        <f t="shared" si="226"/>
        <v>0890011</v>
      </c>
      <c r="D650" s="4" t="s">
        <v>807</v>
      </c>
      <c r="E650" s="4" t="str">
        <f>"0891211"</f>
        <v>0891211</v>
      </c>
      <c r="F650" s="4" t="s">
        <v>327</v>
      </c>
      <c r="G650" s="4" t="s">
        <v>338</v>
      </c>
      <c r="H650" s="7">
        <v>5</v>
      </c>
      <c r="I650" s="4" t="s">
        <v>335</v>
      </c>
      <c r="J650" s="4" t="s">
        <v>330</v>
      </c>
      <c r="K650" s="7">
        <v>447.74677500000001</v>
      </c>
      <c r="L650" s="7">
        <v>950</v>
      </c>
      <c r="M650" s="7">
        <v>47.131239000000001</v>
      </c>
      <c r="N650" s="7">
        <v>5</v>
      </c>
      <c r="O650" s="7">
        <v>0</v>
      </c>
      <c r="P650" s="7">
        <v>46.060524999999998</v>
      </c>
      <c r="Q650" s="7">
        <v>30.707015999999999</v>
      </c>
      <c r="R650" s="7">
        <v>50</v>
      </c>
      <c r="S650" s="7">
        <v>45.799931000000001</v>
      </c>
      <c r="T650" s="4" t="s">
        <v>124</v>
      </c>
      <c r="U650" s="7">
        <v>30.533287000000001</v>
      </c>
      <c r="V650" s="7">
        <v>50</v>
      </c>
      <c r="W650" s="7">
        <v>41.040002999999999</v>
      </c>
      <c r="X650" s="7">
        <v>27.360002000000001</v>
      </c>
      <c r="Y650" s="7">
        <v>50</v>
      </c>
      <c r="Z650" s="4" t="s">
        <v>124</v>
      </c>
      <c r="AA650" s="7">
        <v>40.998038000000001</v>
      </c>
      <c r="AB650" s="7">
        <v>27.332025000000002</v>
      </c>
      <c r="AC650" s="7">
        <v>50</v>
      </c>
      <c r="AD650" s="7">
        <v>45.292627000000003</v>
      </c>
      <c r="AE650" s="7">
        <v>30.195084000000001</v>
      </c>
      <c r="AF650" s="7">
        <v>50</v>
      </c>
      <c r="AG650" s="7">
        <v>45.292627000000003</v>
      </c>
      <c r="AH650" s="4" t="s">
        <v>124</v>
      </c>
      <c r="AI650" s="7">
        <v>30.195084000000001</v>
      </c>
      <c r="AJ650" s="7">
        <v>50</v>
      </c>
      <c r="AK650" s="4" t="s">
        <v>124</v>
      </c>
      <c r="AL650" s="4" t="s">
        <v>124</v>
      </c>
      <c r="AM650" s="4" t="s">
        <v>124</v>
      </c>
      <c r="AN650" s="7">
        <v>0.46138499999999999</v>
      </c>
      <c r="AO650" s="7">
        <v>46.138516000000003</v>
      </c>
      <c r="AP650" s="7">
        <v>100</v>
      </c>
      <c r="AQ650" s="7">
        <v>0.52606200000000003</v>
      </c>
      <c r="AR650" s="7">
        <v>52.606214000000001</v>
      </c>
      <c r="AS650" s="7">
        <v>100</v>
      </c>
      <c r="AT650" s="7">
        <v>0.46308700000000003</v>
      </c>
      <c r="AU650" s="4" t="s">
        <v>124</v>
      </c>
      <c r="AV650" s="7">
        <v>46.308669000000002</v>
      </c>
      <c r="AW650" s="7">
        <v>100</v>
      </c>
      <c r="AX650" s="7">
        <v>0.53380700000000003</v>
      </c>
      <c r="AY650" s="4" t="s">
        <v>124</v>
      </c>
      <c r="AZ650" s="7">
        <v>53.380729000000002</v>
      </c>
      <c r="BA650" s="7">
        <v>100</v>
      </c>
      <c r="BB650" s="7">
        <v>0.45897199999999999</v>
      </c>
      <c r="BC650" s="7">
        <v>22.948605000000001</v>
      </c>
      <c r="BD650" s="7">
        <v>50</v>
      </c>
      <c r="BE650" s="7">
        <v>0.485097</v>
      </c>
      <c r="BF650" s="7">
        <v>24.254857999999999</v>
      </c>
      <c r="BG650" s="7">
        <v>50</v>
      </c>
      <c r="BH650" s="7">
        <v>0</v>
      </c>
      <c r="BI650" s="7">
        <v>0.99365099999999995</v>
      </c>
      <c r="BJ650" s="7">
        <v>0.99674300000000005</v>
      </c>
      <c r="BK650" s="4" t="s">
        <v>124</v>
      </c>
      <c r="BL650" s="7">
        <v>0.99053599999999997</v>
      </c>
      <c r="BM650" s="7">
        <v>0.993506</v>
      </c>
      <c r="BN650" s="4" t="s">
        <v>124</v>
      </c>
      <c r="BO650" s="7">
        <v>0.98876399999999998</v>
      </c>
      <c r="BP650" s="7">
        <v>0.98863599999999996</v>
      </c>
      <c r="BQ650" s="4" t="s">
        <v>124</v>
      </c>
      <c r="BR650" s="7">
        <v>0.26412200000000002</v>
      </c>
      <c r="BS650" s="7">
        <v>7.175573</v>
      </c>
      <c r="BT650" s="7">
        <v>50</v>
      </c>
      <c r="BU650" s="7">
        <v>0.263492</v>
      </c>
      <c r="BV650" s="7">
        <v>7.3015869999999996</v>
      </c>
      <c r="BW650" s="7">
        <v>50</v>
      </c>
      <c r="BX650" s="4" t="s">
        <v>124</v>
      </c>
      <c r="BY650" s="4" t="s">
        <v>124</v>
      </c>
      <c r="BZ650" s="4" t="s">
        <v>124</v>
      </c>
      <c r="CA650" s="4" t="s">
        <v>124</v>
      </c>
      <c r="CB650" s="4" t="s">
        <v>124</v>
      </c>
      <c r="CC650" s="4" t="s">
        <v>124</v>
      </c>
      <c r="CD650" s="4" t="s">
        <v>124</v>
      </c>
      <c r="CE650" s="4" t="s">
        <v>124</v>
      </c>
      <c r="CF650" s="4" t="s">
        <v>124</v>
      </c>
      <c r="CG650" s="4" t="s">
        <v>124</v>
      </c>
      <c r="CH650" s="4" t="s">
        <v>124</v>
      </c>
      <c r="CI650" s="4" t="s">
        <v>124</v>
      </c>
      <c r="CJ650" s="4" t="s">
        <v>124</v>
      </c>
      <c r="CK650" s="4" t="s">
        <v>124</v>
      </c>
      <c r="CL650" s="4" t="s">
        <v>124</v>
      </c>
      <c r="CM650" s="4" t="s">
        <v>124</v>
      </c>
      <c r="CN650" s="4" t="s">
        <v>124</v>
      </c>
      <c r="CO650" s="4" t="s">
        <v>124</v>
      </c>
      <c r="CP650" s="4" t="s">
        <v>124</v>
      </c>
      <c r="CQ650" s="7">
        <v>0.16964299999999999</v>
      </c>
      <c r="CR650" s="7">
        <v>1.027523</v>
      </c>
      <c r="CS650" s="7">
        <v>11.309524</v>
      </c>
      <c r="CT650" s="7">
        <v>50</v>
      </c>
      <c r="CU650" s="4" t="s">
        <v>124</v>
      </c>
      <c r="CV650" s="4" t="s">
        <v>124</v>
      </c>
      <c r="CW650" s="4" t="s">
        <v>124</v>
      </c>
      <c r="CX650" s="4" t="s">
        <v>124</v>
      </c>
      <c r="CY650" s="4" t="s">
        <v>124</v>
      </c>
      <c r="CZ650" s="4" t="s">
        <v>124</v>
      </c>
      <c r="DA650" s="7">
        <v>15.314097</v>
      </c>
      <c r="DB650" s="7">
        <v>17.400950000000002</v>
      </c>
      <c r="DC650" s="7">
        <v>16.332519999999999</v>
      </c>
      <c r="DD650" s="4" t="s">
        <v>124</v>
      </c>
      <c r="DE650" s="7">
        <v>0</v>
      </c>
      <c r="DF650" s="4" t="s">
        <v>375</v>
      </c>
      <c r="DG650" s="4" t="s">
        <v>376</v>
      </c>
      <c r="DH650" s="6"/>
      <c r="DI650" s="6"/>
      <c r="DJ650" s="7">
        <v>0</v>
      </c>
      <c r="DK650" s="7">
        <v>0</v>
      </c>
      <c r="DL650" s="7">
        <v>0</v>
      </c>
      <c r="DM650" s="7">
        <v>0</v>
      </c>
      <c r="DN650" s="7">
        <v>0</v>
      </c>
      <c r="DO650" s="7">
        <v>0</v>
      </c>
      <c r="DP650" s="6"/>
      <c r="DQ650" s="4" t="s">
        <v>125</v>
      </c>
    </row>
    <row r="651" spans="1:121" ht="20" customHeight="1" x14ac:dyDescent="0.15">
      <c r="A651" s="5">
        <v>2018</v>
      </c>
      <c r="B651" s="3" t="s">
        <v>165</v>
      </c>
      <c r="C651" s="4" t="str">
        <f t="shared" si="226"/>
        <v>0890011</v>
      </c>
      <c r="D651" s="4" t="s">
        <v>808</v>
      </c>
      <c r="E651" s="4" t="str">
        <f>"0891311"</f>
        <v>0891311</v>
      </c>
      <c r="F651" s="4" t="s">
        <v>327</v>
      </c>
      <c r="G651" s="4" t="s">
        <v>338</v>
      </c>
      <c r="H651" s="7">
        <v>5</v>
      </c>
      <c r="I651" s="4" t="s">
        <v>335</v>
      </c>
      <c r="J651" s="4" t="s">
        <v>330</v>
      </c>
      <c r="K651" s="7">
        <v>594.66245000000004</v>
      </c>
      <c r="L651" s="7">
        <v>950</v>
      </c>
      <c r="M651" s="7">
        <v>62.596046999999999</v>
      </c>
      <c r="N651" s="7">
        <v>3</v>
      </c>
      <c r="O651" s="7">
        <v>0</v>
      </c>
      <c r="P651" s="7">
        <v>52.249924</v>
      </c>
      <c r="Q651" s="7">
        <v>34.833283000000002</v>
      </c>
      <c r="R651" s="7">
        <v>50</v>
      </c>
      <c r="S651" s="7">
        <v>51.355465000000002</v>
      </c>
      <c r="T651" s="7">
        <v>59.834932999999999</v>
      </c>
      <c r="U651" s="7">
        <v>34.236977000000003</v>
      </c>
      <c r="V651" s="7">
        <v>50</v>
      </c>
      <c r="W651" s="7">
        <v>52.137349999999998</v>
      </c>
      <c r="X651" s="7">
        <v>34.758232999999997</v>
      </c>
      <c r="Y651" s="7">
        <v>50</v>
      </c>
      <c r="Z651" s="7">
        <v>58.985715999999996</v>
      </c>
      <c r="AA651" s="7">
        <v>51.344715000000001</v>
      </c>
      <c r="AB651" s="7">
        <v>34.229810000000001</v>
      </c>
      <c r="AC651" s="7">
        <v>50</v>
      </c>
      <c r="AD651" s="7">
        <v>52.998009000000003</v>
      </c>
      <c r="AE651" s="7">
        <v>35.332006</v>
      </c>
      <c r="AF651" s="7">
        <v>50</v>
      </c>
      <c r="AG651" s="7">
        <v>52.525466999999999</v>
      </c>
      <c r="AH651" s="4" t="s">
        <v>124</v>
      </c>
      <c r="AI651" s="7">
        <v>35.016978000000002</v>
      </c>
      <c r="AJ651" s="7">
        <v>50</v>
      </c>
      <c r="AK651" s="7">
        <v>8.4700000000000006</v>
      </c>
      <c r="AL651" s="7">
        <v>7.64</v>
      </c>
      <c r="AM651" s="4" t="s">
        <v>124</v>
      </c>
      <c r="AN651" s="7">
        <v>0.510687</v>
      </c>
      <c r="AO651" s="7">
        <v>51.068707000000003</v>
      </c>
      <c r="AP651" s="7">
        <v>100</v>
      </c>
      <c r="AQ651" s="7">
        <v>0.68381499999999995</v>
      </c>
      <c r="AR651" s="7">
        <v>68.381512000000001</v>
      </c>
      <c r="AS651" s="7">
        <v>100</v>
      </c>
      <c r="AT651" s="7">
        <v>0.50304899999999997</v>
      </c>
      <c r="AU651" s="4" t="s">
        <v>124</v>
      </c>
      <c r="AV651" s="7">
        <v>50.304927999999997</v>
      </c>
      <c r="AW651" s="7">
        <v>100</v>
      </c>
      <c r="AX651" s="7">
        <v>0.68023999999999996</v>
      </c>
      <c r="AY651" s="4" t="s">
        <v>124</v>
      </c>
      <c r="AZ651" s="7">
        <v>68.023951999999994</v>
      </c>
      <c r="BA651" s="7">
        <v>100</v>
      </c>
      <c r="BB651" s="7">
        <v>0.63574399999999998</v>
      </c>
      <c r="BC651" s="7">
        <v>31.787191</v>
      </c>
      <c r="BD651" s="7">
        <v>50</v>
      </c>
      <c r="BE651" s="7">
        <v>0.50119800000000003</v>
      </c>
      <c r="BF651" s="7">
        <v>25.059920000000002</v>
      </c>
      <c r="BG651" s="7">
        <v>50</v>
      </c>
      <c r="BH651" s="7">
        <v>0</v>
      </c>
      <c r="BI651" s="7">
        <v>1</v>
      </c>
      <c r="BJ651" s="7">
        <v>1</v>
      </c>
      <c r="BK651" s="7">
        <v>1</v>
      </c>
      <c r="BL651" s="7">
        <v>1</v>
      </c>
      <c r="BM651" s="7">
        <v>1</v>
      </c>
      <c r="BN651" s="7">
        <v>1</v>
      </c>
      <c r="BO651" s="7">
        <v>1</v>
      </c>
      <c r="BP651" s="7">
        <v>1</v>
      </c>
      <c r="BQ651" s="4" t="s">
        <v>124</v>
      </c>
      <c r="BR651" s="7">
        <v>0.110476</v>
      </c>
      <c r="BS651" s="7">
        <v>37.904761999999998</v>
      </c>
      <c r="BT651" s="7">
        <v>50</v>
      </c>
      <c r="BU651" s="7">
        <v>0.117521</v>
      </c>
      <c r="BV651" s="7">
        <v>36.495725999999998</v>
      </c>
      <c r="BW651" s="7">
        <v>50</v>
      </c>
      <c r="BX651" s="4" t="s">
        <v>124</v>
      </c>
      <c r="BY651" s="4" t="s">
        <v>124</v>
      </c>
      <c r="BZ651" s="4" t="s">
        <v>124</v>
      </c>
      <c r="CA651" s="4" t="s">
        <v>124</v>
      </c>
      <c r="CB651" s="4" t="s">
        <v>124</v>
      </c>
      <c r="CC651" s="4" t="s">
        <v>124</v>
      </c>
      <c r="CD651" s="4" t="s">
        <v>124</v>
      </c>
      <c r="CE651" s="4" t="s">
        <v>124</v>
      </c>
      <c r="CF651" s="4" t="s">
        <v>124</v>
      </c>
      <c r="CG651" s="4" t="s">
        <v>124</v>
      </c>
      <c r="CH651" s="4" t="s">
        <v>124</v>
      </c>
      <c r="CI651" s="4" t="s">
        <v>124</v>
      </c>
      <c r="CJ651" s="4" t="s">
        <v>124</v>
      </c>
      <c r="CK651" s="4" t="s">
        <v>124</v>
      </c>
      <c r="CL651" s="4" t="s">
        <v>124</v>
      </c>
      <c r="CM651" s="4" t="s">
        <v>124</v>
      </c>
      <c r="CN651" s="4" t="s">
        <v>124</v>
      </c>
      <c r="CO651" s="4" t="s">
        <v>124</v>
      </c>
      <c r="CP651" s="4" t="s">
        <v>124</v>
      </c>
      <c r="CQ651" s="7">
        <v>0.25842700000000002</v>
      </c>
      <c r="CR651" s="7">
        <v>0.94680900000000001</v>
      </c>
      <c r="CS651" s="7">
        <v>17.228463999999999</v>
      </c>
      <c r="CT651" s="7">
        <v>50</v>
      </c>
      <c r="CU651" s="4" t="s">
        <v>124</v>
      </c>
      <c r="CV651" s="4" t="s">
        <v>124</v>
      </c>
      <c r="CW651" s="4" t="s">
        <v>124</v>
      </c>
      <c r="CX651" s="4" t="s">
        <v>124</v>
      </c>
      <c r="CY651" s="4" t="s">
        <v>124</v>
      </c>
      <c r="CZ651" s="4" t="s">
        <v>124</v>
      </c>
      <c r="DA651" s="7">
        <v>15.314097</v>
      </c>
      <c r="DB651" s="7">
        <v>17.400950000000002</v>
      </c>
      <c r="DC651" s="7">
        <v>16.332519999999999</v>
      </c>
      <c r="DD651" s="4" t="s">
        <v>124</v>
      </c>
      <c r="DE651" s="7">
        <v>0</v>
      </c>
      <c r="DF651" s="6"/>
      <c r="DG651" s="6"/>
      <c r="DH651" s="6"/>
      <c r="DI651" s="6"/>
      <c r="DJ651" s="7">
        <v>0</v>
      </c>
      <c r="DK651" s="7">
        <v>0</v>
      </c>
      <c r="DL651" s="7">
        <v>0</v>
      </c>
      <c r="DM651" s="7">
        <v>0</v>
      </c>
      <c r="DN651" s="7">
        <v>0</v>
      </c>
      <c r="DO651" s="7">
        <v>0</v>
      </c>
      <c r="DP651" s="6"/>
      <c r="DQ651" s="4" t="s">
        <v>125</v>
      </c>
    </row>
    <row r="652" spans="1:121" ht="20" customHeight="1" x14ac:dyDescent="0.15">
      <c r="A652" s="5">
        <v>2018</v>
      </c>
      <c r="B652" s="3" t="s">
        <v>165</v>
      </c>
      <c r="C652" s="4" t="str">
        <f t="shared" si="226"/>
        <v>0890011</v>
      </c>
      <c r="D652" s="4" t="s">
        <v>809</v>
      </c>
      <c r="E652" s="4" t="str">
        <f>"0891511"</f>
        <v>0891511</v>
      </c>
      <c r="F652" s="4" t="s">
        <v>327</v>
      </c>
      <c r="G652" s="4" t="s">
        <v>338</v>
      </c>
      <c r="H652" s="7">
        <v>5</v>
      </c>
      <c r="I652" s="4" t="s">
        <v>335</v>
      </c>
      <c r="J652" s="4" t="s">
        <v>330</v>
      </c>
      <c r="K652" s="7">
        <v>568.51224200000001</v>
      </c>
      <c r="L652" s="7">
        <v>950</v>
      </c>
      <c r="M652" s="7">
        <v>59.843394000000004</v>
      </c>
      <c r="N652" s="7">
        <v>3</v>
      </c>
      <c r="O652" s="7">
        <v>1</v>
      </c>
      <c r="P652" s="7">
        <v>51.878202000000002</v>
      </c>
      <c r="Q652" s="7">
        <v>34.585467999999999</v>
      </c>
      <c r="R652" s="7">
        <v>50</v>
      </c>
      <c r="S652" s="7">
        <v>49.657581</v>
      </c>
      <c r="T652" s="7">
        <v>65.125360000000001</v>
      </c>
      <c r="U652" s="7">
        <v>33.105054000000003</v>
      </c>
      <c r="V652" s="7">
        <v>50</v>
      </c>
      <c r="W652" s="7">
        <v>46.047083999999998</v>
      </c>
      <c r="X652" s="7">
        <v>30.698056000000001</v>
      </c>
      <c r="Y652" s="7">
        <v>50</v>
      </c>
      <c r="Z652" s="7">
        <v>58.384269000000003</v>
      </c>
      <c r="AA652" s="7">
        <v>43.966977</v>
      </c>
      <c r="AB652" s="7">
        <v>29.311318</v>
      </c>
      <c r="AC652" s="7">
        <v>50</v>
      </c>
      <c r="AD652" s="7">
        <v>50.004244</v>
      </c>
      <c r="AE652" s="7">
        <v>33.336162999999999</v>
      </c>
      <c r="AF652" s="7">
        <v>50</v>
      </c>
      <c r="AG652" s="7">
        <v>47.013558000000003</v>
      </c>
      <c r="AH652" s="4" t="s">
        <v>124</v>
      </c>
      <c r="AI652" s="7">
        <v>31.342372000000001</v>
      </c>
      <c r="AJ652" s="7">
        <v>50</v>
      </c>
      <c r="AK652" s="7">
        <v>15.46</v>
      </c>
      <c r="AL652" s="7">
        <v>14.41</v>
      </c>
      <c r="AM652" s="4" t="s">
        <v>124</v>
      </c>
      <c r="AN652" s="7">
        <v>0.54830199999999996</v>
      </c>
      <c r="AO652" s="7">
        <v>54.830198000000003</v>
      </c>
      <c r="AP652" s="7">
        <v>100</v>
      </c>
      <c r="AQ652" s="7">
        <v>0.60054099999999999</v>
      </c>
      <c r="AR652" s="7">
        <v>60.054102</v>
      </c>
      <c r="AS652" s="7">
        <v>100</v>
      </c>
      <c r="AT652" s="7">
        <v>0.52754299999999998</v>
      </c>
      <c r="AU652" s="4" t="s">
        <v>124</v>
      </c>
      <c r="AV652" s="7">
        <v>52.754339000000002</v>
      </c>
      <c r="AW652" s="7">
        <v>100</v>
      </c>
      <c r="AX652" s="7">
        <v>0.56254300000000002</v>
      </c>
      <c r="AY652" s="4" t="s">
        <v>124</v>
      </c>
      <c r="AZ652" s="7">
        <v>56.254255999999998</v>
      </c>
      <c r="BA652" s="7">
        <v>100</v>
      </c>
      <c r="BB652" s="7">
        <v>0.60765899999999995</v>
      </c>
      <c r="BC652" s="7">
        <v>30.382971999999999</v>
      </c>
      <c r="BD652" s="7">
        <v>50</v>
      </c>
      <c r="BE652" s="7">
        <v>0.59869700000000003</v>
      </c>
      <c r="BF652" s="7">
        <v>29.934861999999999</v>
      </c>
      <c r="BG652" s="7">
        <v>50</v>
      </c>
      <c r="BH652" s="7">
        <v>0</v>
      </c>
      <c r="BI652" s="7">
        <v>1</v>
      </c>
      <c r="BJ652" s="7">
        <v>1</v>
      </c>
      <c r="BK652" s="7">
        <v>1</v>
      </c>
      <c r="BL652" s="7">
        <v>0.99576299999999995</v>
      </c>
      <c r="BM652" s="7">
        <v>0.99507400000000001</v>
      </c>
      <c r="BN652" s="7">
        <v>1</v>
      </c>
      <c r="BO652" s="7">
        <v>1</v>
      </c>
      <c r="BP652" s="7">
        <v>1</v>
      </c>
      <c r="BQ652" s="4" t="s">
        <v>124</v>
      </c>
      <c r="BR652" s="7">
        <v>0.15835099999999999</v>
      </c>
      <c r="BS652" s="7">
        <v>28.329718</v>
      </c>
      <c r="BT652" s="7">
        <v>50</v>
      </c>
      <c r="BU652" s="7">
        <v>0.16953299999999999</v>
      </c>
      <c r="BV652" s="7">
        <v>26.093366</v>
      </c>
      <c r="BW652" s="7">
        <v>50</v>
      </c>
      <c r="BX652" s="4" t="s">
        <v>124</v>
      </c>
      <c r="BY652" s="4" t="s">
        <v>124</v>
      </c>
      <c r="BZ652" s="4" t="s">
        <v>124</v>
      </c>
      <c r="CA652" s="4" t="s">
        <v>124</v>
      </c>
      <c r="CB652" s="4" t="s">
        <v>124</v>
      </c>
      <c r="CC652" s="4" t="s">
        <v>124</v>
      </c>
      <c r="CD652" s="4" t="s">
        <v>124</v>
      </c>
      <c r="CE652" s="4" t="s">
        <v>124</v>
      </c>
      <c r="CF652" s="4" t="s">
        <v>124</v>
      </c>
      <c r="CG652" s="4" t="s">
        <v>124</v>
      </c>
      <c r="CH652" s="4" t="s">
        <v>124</v>
      </c>
      <c r="CI652" s="4" t="s">
        <v>124</v>
      </c>
      <c r="CJ652" s="4" t="s">
        <v>124</v>
      </c>
      <c r="CK652" s="4" t="s">
        <v>124</v>
      </c>
      <c r="CL652" s="4" t="s">
        <v>124</v>
      </c>
      <c r="CM652" s="4" t="s">
        <v>124</v>
      </c>
      <c r="CN652" s="4" t="s">
        <v>124</v>
      </c>
      <c r="CO652" s="4" t="s">
        <v>124</v>
      </c>
      <c r="CP652" s="4" t="s">
        <v>124</v>
      </c>
      <c r="CQ652" s="7">
        <v>0.5625</v>
      </c>
      <c r="CR652" s="7">
        <v>1.0126580000000001</v>
      </c>
      <c r="CS652" s="7">
        <v>37.5</v>
      </c>
      <c r="CT652" s="7">
        <v>50</v>
      </c>
      <c r="CU652" s="4" t="s">
        <v>124</v>
      </c>
      <c r="CV652" s="4" t="s">
        <v>124</v>
      </c>
      <c r="CW652" s="4" t="s">
        <v>124</v>
      </c>
      <c r="CX652" s="4" t="s">
        <v>124</v>
      </c>
      <c r="CY652" s="4" t="s">
        <v>124</v>
      </c>
      <c r="CZ652" s="4" t="s">
        <v>124</v>
      </c>
      <c r="DA652" s="7">
        <v>15.314097</v>
      </c>
      <c r="DB652" s="7">
        <v>17.400950000000002</v>
      </c>
      <c r="DC652" s="7">
        <v>16.332519999999999</v>
      </c>
      <c r="DD652" s="4" t="s">
        <v>124</v>
      </c>
      <c r="DE652" s="7">
        <v>1</v>
      </c>
      <c r="DF652" s="6"/>
      <c r="DG652" s="6"/>
      <c r="DH652" s="6"/>
      <c r="DI652" s="6"/>
      <c r="DJ652" s="7">
        <v>0</v>
      </c>
      <c r="DK652" s="7">
        <v>0</v>
      </c>
      <c r="DL652" s="7">
        <v>0</v>
      </c>
      <c r="DM652" s="7">
        <v>0</v>
      </c>
      <c r="DN652" s="7">
        <v>0</v>
      </c>
      <c r="DO652" s="7">
        <v>0</v>
      </c>
      <c r="DP652" s="6"/>
      <c r="DQ652" s="4" t="s">
        <v>125</v>
      </c>
    </row>
    <row r="653" spans="1:121" ht="20" customHeight="1" x14ac:dyDescent="0.15">
      <c r="A653" s="5">
        <v>2018</v>
      </c>
      <c r="B653" s="3" t="s">
        <v>203</v>
      </c>
      <c r="C653" s="4" t="str">
        <f t="shared" si="78"/>
        <v>0900011</v>
      </c>
      <c r="D653" s="4" t="s">
        <v>810</v>
      </c>
      <c r="E653" s="4" t="str">
        <f>"0900411"</f>
        <v>0900411</v>
      </c>
      <c r="F653" s="4" t="s">
        <v>327</v>
      </c>
      <c r="G653" s="4" t="s">
        <v>338</v>
      </c>
      <c r="H653" s="7">
        <v>4</v>
      </c>
      <c r="I653" s="6"/>
      <c r="J653" s="4" t="s">
        <v>330</v>
      </c>
      <c r="K653" s="7">
        <v>507.92955499999999</v>
      </c>
      <c r="L653" s="7">
        <v>550</v>
      </c>
      <c r="M653" s="7">
        <v>92.350828000000007</v>
      </c>
      <c r="N653" s="7">
        <v>2</v>
      </c>
      <c r="O653" s="7">
        <v>0</v>
      </c>
      <c r="P653" s="7">
        <v>86.885717999999997</v>
      </c>
      <c r="Q653" s="7">
        <v>50</v>
      </c>
      <c r="R653" s="7">
        <v>50</v>
      </c>
      <c r="S653" s="7">
        <v>68.380609000000007</v>
      </c>
      <c r="T653" s="7">
        <v>75</v>
      </c>
      <c r="U653" s="7">
        <v>45.587072999999997</v>
      </c>
      <c r="V653" s="7">
        <v>50</v>
      </c>
      <c r="W653" s="7">
        <v>84.967459000000005</v>
      </c>
      <c r="X653" s="7">
        <v>50</v>
      </c>
      <c r="Y653" s="7">
        <v>50</v>
      </c>
      <c r="Z653" s="7">
        <v>75</v>
      </c>
      <c r="AA653" s="7">
        <v>65.819073000000003</v>
      </c>
      <c r="AB653" s="7">
        <v>43.879382</v>
      </c>
      <c r="AC653" s="7">
        <v>50</v>
      </c>
      <c r="AD653" s="4" t="s">
        <v>124</v>
      </c>
      <c r="AE653" s="4" t="s">
        <v>124</v>
      </c>
      <c r="AF653" s="4" t="s">
        <v>124</v>
      </c>
      <c r="AG653" s="4" t="s">
        <v>124</v>
      </c>
      <c r="AH653" s="4" t="s">
        <v>124</v>
      </c>
      <c r="AI653" s="4" t="s">
        <v>124</v>
      </c>
      <c r="AJ653" s="4" t="s">
        <v>124</v>
      </c>
      <c r="AK653" s="7">
        <v>6.61</v>
      </c>
      <c r="AL653" s="7">
        <v>9.18</v>
      </c>
      <c r="AM653" s="4" t="s">
        <v>124</v>
      </c>
      <c r="AN653" s="7">
        <v>0.76864200000000005</v>
      </c>
      <c r="AO653" s="7">
        <v>76.864151000000007</v>
      </c>
      <c r="AP653" s="7">
        <v>100</v>
      </c>
      <c r="AQ653" s="7">
        <v>0.917439</v>
      </c>
      <c r="AR653" s="7">
        <v>91.743876</v>
      </c>
      <c r="AS653" s="7">
        <v>100</v>
      </c>
      <c r="AT653" s="4" t="s">
        <v>124</v>
      </c>
      <c r="AU653" s="7">
        <v>0.82046699999999995</v>
      </c>
      <c r="AV653" s="4" t="s">
        <v>124</v>
      </c>
      <c r="AW653" s="4" t="s">
        <v>124</v>
      </c>
      <c r="AX653" s="4" t="s">
        <v>124</v>
      </c>
      <c r="AY653" s="7">
        <v>0.94996100000000006</v>
      </c>
      <c r="AZ653" s="4" t="s">
        <v>124</v>
      </c>
      <c r="BA653" s="4" t="s">
        <v>124</v>
      </c>
      <c r="BB653" s="4" t="s">
        <v>124</v>
      </c>
      <c r="BC653" s="4" t="s">
        <v>124</v>
      </c>
      <c r="BD653" s="4" t="s">
        <v>124</v>
      </c>
      <c r="BE653" s="4" t="s">
        <v>124</v>
      </c>
      <c r="BF653" s="4" t="s">
        <v>124</v>
      </c>
      <c r="BG653" s="4" t="s">
        <v>124</v>
      </c>
      <c r="BH653" s="7">
        <v>1</v>
      </c>
      <c r="BI653" s="7">
        <v>0.98636400000000002</v>
      </c>
      <c r="BJ653" s="7">
        <v>0.93939399999999995</v>
      </c>
      <c r="BK653" s="7">
        <v>0.99465199999999998</v>
      </c>
      <c r="BL653" s="7">
        <v>0.98636400000000002</v>
      </c>
      <c r="BM653" s="7">
        <v>0.93939399999999995</v>
      </c>
      <c r="BN653" s="7">
        <v>0.99465199999999998</v>
      </c>
      <c r="BO653" s="4" t="s">
        <v>124</v>
      </c>
      <c r="BP653" s="4" t="s">
        <v>124</v>
      </c>
      <c r="BQ653" s="4" t="s">
        <v>124</v>
      </c>
      <c r="BR653" s="7">
        <v>2.4119000000000002E-2</v>
      </c>
      <c r="BS653" s="7">
        <v>50</v>
      </c>
      <c r="BT653" s="7">
        <v>50</v>
      </c>
      <c r="BU653" s="7">
        <v>1.4925000000000001E-2</v>
      </c>
      <c r="BV653" s="7">
        <v>50</v>
      </c>
      <c r="BW653" s="7">
        <v>50</v>
      </c>
      <c r="BX653" s="4" t="s">
        <v>124</v>
      </c>
      <c r="BY653" s="4" t="s">
        <v>124</v>
      </c>
      <c r="BZ653" s="4" t="s">
        <v>124</v>
      </c>
      <c r="CA653" s="4" t="s">
        <v>124</v>
      </c>
      <c r="CB653" s="4" t="s">
        <v>124</v>
      </c>
      <c r="CC653" s="4" t="s">
        <v>124</v>
      </c>
      <c r="CD653" s="4" t="s">
        <v>124</v>
      </c>
      <c r="CE653" s="4" t="s">
        <v>124</v>
      </c>
      <c r="CF653" s="4" t="s">
        <v>124</v>
      </c>
      <c r="CG653" s="4" t="s">
        <v>124</v>
      </c>
      <c r="CH653" s="4" t="s">
        <v>124</v>
      </c>
      <c r="CI653" s="4" t="s">
        <v>124</v>
      </c>
      <c r="CJ653" s="4" t="s">
        <v>124</v>
      </c>
      <c r="CK653" s="4" t="s">
        <v>124</v>
      </c>
      <c r="CL653" s="4" t="s">
        <v>124</v>
      </c>
      <c r="CM653" s="4" t="s">
        <v>124</v>
      </c>
      <c r="CN653" s="4" t="s">
        <v>124</v>
      </c>
      <c r="CO653" s="4" t="s">
        <v>124</v>
      </c>
      <c r="CP653" s="4" t="s">
        <v>124</v>
      </c>
      <c r="CQ653" s="7">
        <v>0.74782599999999999</v>
      </c>
      <c r="CR653" s="7">
        <v>0.98290599999999995</v>
      </c>
      <c r="CS653" s="7">
        <v>49.855072</v>
      </c>
      <c r="CT653" s="7">
        <v>50</v>
      </c>
      <c r="CU653" s="4" t="s">
        <v>124</v>
      </c>
      <c r="CV653" s="4" t="s">
        <v>124</v>
      </c>
      <c r="CW653" s="4" t="s">
        <v>124</v>
      </c>
      <c r="CX653" s="4" t="s">
        <v>124</v>
      </c>
      <c r="CY653" s="4" t="s">
        <v>124</v>
      </c>
      <c r="CZ653" s="4" t="s">
        <v>124</v>
      </c>
      <c r="DA653" s="7">
        <v>15.314097</v>
      </c>
      <c r="DB653" s="7">
        <v>17.400950000000002</v>
      </c>
      <c r="DC653" s="7">
        <v>16.332519999999999</v>
      </c>
      <c r="DD653" s="4" t="s">
        <v>124</v>
      </c>
      <c r="DE653" s="7">
        <v>1</v>
      </c>
      <c r="DF653" s="6"/>
      <c r="DG653" s="6"/>
      <c r="DH653" s="6"/>
      <c r="DI653" s="6"/>
      <c r="DJ653" s="7">
        <v>0</v>
      </c>
      <c r="DK653" s="7">
        <v>0</v>
      </c>
      <c r="DL653" s="7">
        <v>0</v>
      </c>
      <c r="DM653" s="7">
        <v>0</v>
      </c>
      <c r="DN653" s="7">
        <v>0</v>
      </c>
      <c r="DO653" s="7">
        <v>0</v>
      </c>
      <c r="DP653" s="6"/>
      <c r="DQ653" s="4" t="s">
        <v>125</v>
      </c>
    </row>
    <row r="654" spans="1:121" ht="20" customHeight="1" x14ac:dyDescent="0.15">
      <c r="A654" s="5">
        <v>2018</v>
      </c>
      <c r="B654" s="3" t="s">
        <v>203</v>
      </c>
      <c r="C654" s="4" t="str">
        <f t="shared" ref="C654:C657" si="227">"0900011"</f>
        <v>0900011</v>
      </c>
      <c r="D654" s="4" t="s">
        <v>811</v>
      </c>
      <c r="E654" s="4" t="str">
        <f>"0906111"</f>
        <v>0906111</v>
      </c>
      <c r="F654" s="4" t="s">
        <v>327</v>
      </c>
      <c r="G654" s="7">
        <v>9</v>
      </c>
      <c r="H654" s="7">
        <v>12</v>
      </c>
      <c r="I654" s="6"/>
      <c r="J654" s="4" t="s">
        <v>330</v>
      </c>
      <c r="K654" s="7">
        <v>1322.314073</v>
      </c>
      <c r="L654" s="7">
        <v>1450</v>
      </c>
      <c r="M654" s="7">
        <v>91.194074000000001</v>
      </c>
      <c r="N654" s="7">
        <v>2</v>
      </c>
      <c r="O654" s="7">
        <v>1</v>
      </c>
      <c r="P654" s="7">
        <v>76.54786</v>
      </c>
      <c r="Q654" s="7">
        <v>150</v>
      </c>
      <c r="R654" s="7">
        <v>150</v>
      </c>
      <c r="S654" s="7">
        <v>54.738095000000001</v>
      </c>
      <c r="T654" s="7">
        <v>75</v>
      </c>
      <c r="U654" s="7">
        <v>109.47619</v>
      </c>
      <c r="V654" s="7">
        <v>150</v>
      </c>
      <c r="W654" s="7">
        <v>76.521021000000005</v>
      </c>
      <c r="X654" s="7">
        <v>150</v>
      </c>
      <c r="Y654" s="7">
        <v>150</v>
      </c>
      <c r="Z654" s="7">
        <v>75</v>
      </c>
      <c r="AA654" s="7">
        <v>53.201587000000004</v>
      </c>
      <c r="AB654" s="7">
        <v>106.403175</v>
      </c>
      <c r="AC654" s="7">
        <v>150</v>
      </c>
      <c r="AD654" s="7">
        <v>76.244741000000005</v>
      </c>
      <c r="AE654" s="7">
        <v>100</v>
      </c>
      <c r="AF654" s="7">
        <v>100</v>
      </c>
      <c r="AG654" s="7">
        <v>57.396284999999999</v>
      </c>
      <c r="AH654" s="7">
        <v>75</v>
      </c>
      <c r="AI654" s="7">
        <v>76.528379999999999</v>
      </c>
      <c r="AJ654" s="7">
        <v>100</v>
      </c>
      <c r="AK654" s="7">
        <v>20.260000000000002</v>
      </c>
      <c r="AL654" s="7">
        <v>21.79</v>
      </c>
      <c r="AM654" s="7">
        <v>17.600000000000001</v>
      </c>
      <c r="AN654" s="4" t="s">
        <v>124</v>
      </c>
      <c r="AO654" s="4" t="s">
        <v>124</v>
      </c>
      <c r="AP654" s="4" t="s">
        <v>124</v>
      </c>
      <c r="AQ654" s="4" t="s">
        <v>124</v>
      </c>
      <c r="AR654" s="4" t="s">
        <v>124</v>
      </c>
      <c r="AS654" s="4" t="s">
        <v>124</v>
      </c>
      <c r="AT654" s="4" t="s">
        <v>124</v>
      </c>
      <c r="AU654" s="4" t="s">
        <v>124</v>
      </c>
      <c r="AV654" s="4" t="s">
        <v>124</v>
      </c>
      <c r="AW654" s="4" t="s">
        <v>124</v>
      </c>
      <c r="AX654" s="4" t="s">
        <v>124</v>
      </c>
      <c r="AY654" s="4" t="s">
        <v>124</v>
      </c>
      <c r="AZ654" s="4" t="s">
        <v>124</v>
      </c>
      <c r="BA654" s="4" t="s">
        <v>124</v>
      </c>
      <c r="BB654" s="4" t="s">
        <v>124</v>
      </c>
      <c r="BC654" s="4" t="s">
        <v>124</v>
      </c>
      <c r="BD654" s="4" t="s">
        <v>124</v>
      </c>
      <c r="BE654" s="4" t="s">
        <v>124</v>
      </c>
      <c r="BF654" s="4" t="s">
        <v>124</v>
      </c>
      <c r="BG654" s="4" t="s">
        <v>124</v>
      </c>
      <c r="BH654" s="7">
        <v>1</v>
      </c>
      <c r="BI654" s="7">
        <v>0.98355300000000001</v>
      </c>
      <c r="BJ654" s="7">
        <v>0.94736799999999999</v>
      </c>
      <c r="BK654" s="7">
        <v>0.98872199999999999</v>
      </c>
      <c r="BL654" s="7">
        <v>0.98355300000000001</v>
      </c>
      <c r="BM654" s="7">
        <v>0.94736799999999999</v>
      </c>
      <c r="BN654" s="7">
        <v>0.98872199999999999</v>
      </c>
      <c r="BO654" s="7">
        <v>0.993421</v>
      </c>
      <c r="BP654" s="7">
        <v>0.94736799999999999</v>
      </c>
      <c r="BQ654" s="7">
        <v>1</v>
      </c>
      <c r="BR654" s="7">
        <v>4.5985999999999999E-2</v>
      </c>
      <c r="BS654" s="7">
        <v>50</v>
      </c>
      <c r="BT654" s="7">
        <v>50</v>
      </c>
      <c r="BU654" s="7">
        <v>9.0909000000000004E-2</v>
      </c>
      <c r="BV654" s="7">
        <v>41.818182</v>
      </c>
      <c r="BW654" s="7">
        <v>50</v>
      </c>
      <c r="BX654" s="7">
        <v>0.98713799999999996</v>
      </c>
      <c r="BY654" s="7">
        <v>50</v>
      </c>
      <c r="BZ654" s="7">
        <v>50</v>
      </c>
      <c r="CA654" s="7">
        <v>0.85209000000000001</v>
      </c>
      <c r="CB654" s="7">
        <v>50</v>
      </c>
      <c r="CC654" s="7">
        <v>50</v>
      </c>
      <c r="CD654" s="7">
        <v>0.986348</v>
      </c>
      <c r="CE654" s="7">
        <v>50</v>
      </c>
      <c r="CF654" s="7">
        <v>50</v>
      </c>
      <c r="CG654" s="7">
        <v>0.98717900000000003</v>
      </c>
      <c r="CH654" s="7">
        <v>100</v>
      </c>
      <c r="CI654" s="7">
        <v>100</v>
      </c>
      <c r="CJ654" s="7">
        <v>0</v>
      </c>
      <c r="CK654" s="7">
        <v>0.97674399999999995</v>
      </c>
      <c r="CL654" s="7">
        <v>100</v>
      </c>
      <c r="CM654" s="7">
        <v>100</v>
      </c>
      <c r="CN654" s="7">
        <v>0.85667800000000005</v>
      </c>
      <c r="CO654" s="7">
        <v>100</v>
      </c>
      <c r="CP654" s="7">
        <v>100</v>
      </c>
      <c r="CQ654" s="7">
        <v>0.66855500000000001</v>
      </c>
      <c r="CR654" s="7">
        <v>0.95923899999999995</v>
      </c>
      <c r="CS654" s="7">
        <v>44.570349</v>
      </c>
      <c r="CT654" s="7">
        <v>50</v>
      </c>
      <c r="CU654" s="7">
        <v>0.52221399999999996</v>
      </c>
      <c r="CV654" s="7">
        <v>43.517797000000002</v>
      </c>
      <c r="CW654" s="7">
        <v>50</v>
      </c>
      <c r="CX654" s="7">
        <v>0.97674399999999995</v>
      </c>
      <c r="CY654" s="7">
        <v>0.94</v>
      </c>
      <c r="CZ654" s="7">
        <v>-3.6743999999999999E-2</v>
      </c>
      <c r="DA654" s="7">
        <v>15.314097</v>
      </c>
      <c r="DB654" s="7">
        <v>17.400950000000002</v>
      </c>
      <c r="DC654" s="7">
        <v>16.332519999999999</v>
      </c>
      <c r="DD654" s="7">
        <v>7.9891730000000001</v>
      </c>
      <c r="DE654" s="7">
        <v>1</v>
      </c>
      <c r="DF654" s="6"/>
      <c r="DG654" s="6"/>
      <c r="DH654" s="6"/>
      <c r="DI654" s="6"/>
      <c r="DJ654" s="7">
        <v>0</v>
      </c>
      <c r="DK654" s="7">
        <v>0</v>
      </c>
      <c r="DL654" s="7">
        <v>0</v>
      </c>
      <c r="DM654" s="7">
        <v>0</v>
      </c>
      <c r="DN654" s="7">
        <v>0</v>
      </c>
      <c r="DO654" s="7">
        <v>0</v>
      </c>
      <c r="DP654" s="6"/>
      <c r="DQ654" s="4" t="s">
        <v>125</v>
      </c>
    </row>
    <row r="655" spans="1:121" ht="20" customHeight="1" x14ac:dyDescent="0.15">
      <c r="A655" s="5">
        <v>2018</v>
      </c>
      <c r="B655" s="3" t="s">
        <v>203</v>
      </c>
      <c r="C655" s="4" t="str">
        <f t="shared" si="227"/>
        <v>0900011</v>
      </c>
      <c r="D655" s="4" t="s">
        <v>812</v>
      </c>
      <c r="E655" s="4" t="str">
        <f>"0905111"</f>
        <v>0905111</v>
      </c>
      <c r="F655" s="4" t="s">
        <v>327</v>
      </c>
      <c r="G655" s="7">
        <v>5</v>
      </c>
      <c r="H655" s="7">
        <v>8</v>
      </c>
      <c r="I655" s="4" t="s">
        <v>335</v>
      </c>
      <c r="J655" s="4" t="s">
        <v>330</v>
      </c>
      <c r="K655" s="7">
        <v>747.16285800000003</v>
      </c>
      <c r="L655" s="7">
        <v>900</v>
      </c>
      <c r="M655" s="7">
        <v>83.018095000000002</v>
      </c>
      <c r="N655" s="7">
        <v>2</v>
      </c>
      <c r="O655" s="7">
        <v>0</v>
      </c>
      <c r="P655" s="7">
        <v>87.751293000000004</v>
      </c>
      <c r="Q655" s="7">
        <v>50</v>
      </c>
      <c r="R655" s="7">
        <v>50</v>
      </c>
      <c r="S655" s="7">
        <v>67.151373000000007</v>
      </c>
      <c r="T655" s="7">
        <v>75</v>
      </c>
      <c r="U655" s="7">
        <v>44.767581999999997</v>
      </c>
      <c r="V655" s="7">
        <v>50</v>
      </c>
      <c r="W655" s="7">
        <v>87.309132000000005</v>
      </c>
      <c r="X655" s="7">
        <v>50</v>
      </c>
      <c r="Y655" s="7">
        <v>50</v>
      </c>
      <c r="Z655" s="7">
        <v>75</v>
      </c>
      <c r="AA655" s="7">
        <v>66.476590999999999</v>
      </c>
      <c r="AB655" s="7">
        <v>44.317726999999998</v>
      </c>
      <c r="AC655" s="7">
        <v>50</v>
      </c>
      <c r="AD655" s="7">
        <v>84.018563</v>
      </c>
      <c r="AE655" s="7">
        <v>50</v>
      </c>
      <c r="AF655" s="7">
        <v>50</v>
      </c>
      <c r="AG655" s="7">
        <v>67.217838</v>
      </c>
      <c r="AH655" s="7">
        <v>75</v>
      </c>
      <c r="AI655" s="7">
        <v>44.811892</v>
      </c>
      <c r="AJ655" s="7">
        <v>50</v>
      </c>
      <c r="AK655" s="7">
        <v>7.84</v>
      </c>
      <c r="AL655" s="7">
        <v>8.52</v>
      </c>
      <c r="AM655" s="7">
        <v>7.78</v>
      </c>
      <c r="AN655" s="7">
        <v>0.69799999999999995</v>
      </c>
      <c r="AO655" s="7">
        <v>69.799964000000003</v>
      </c>
      <c r="AP655" s="7">
        <v>100</v>
      </c>
      <c r="AQ655" s="7">
        <v>0.82940899999999995</v>
      </c>
      <c r="AR655" s="7">
        <v>82.940903000000006</v>
      </c>
      <c r="AS655" s="7">
        <v>100</v>
      </c>
      <c r="AT655" s="7">
        <v>0.52534099999999995</v>
      </c>
      <c r="AU655" s="7">
        <v>0.72052700000000003</v>
      </c>
      <c r="AV655" s="7">
        <v>52.534132</v>
      </c>
      <c r="AW655" s="7">
        <v>100</v>
      </c>
      <c r="AX655" s="7">
        <v>0.57990699999999995</v>
      </c>
      <c r="AY655" s="7">
        <v>0.861765</v>
      </c>
      <c r="AZ655" s="7">
        <v>57.990658000000003</v>
      </c>
      <c r="BA655" s="7">
        <v>100</v>
      </c>
      <c r="BB655" s="4" t="s">
        <v>124</v>
      </c>
      <c r="BC655" s="4" t="s">
        <v>124</v>
      </c>
      <c r="BD655" s="4" t="s">
        <v>124</v>
      </c>
      <c r="BE655" s="4" t="s">
        <v>124</v>
      </c>
      <c r="BF655" s="4" t="s">
        <v>124</v>
      </c>
      <c r="BG655" s="4" t="s">
        <v>124</v>
      </c>
      <c r="BH655" s="7">
        <v>0</v>
      </c>
      <c r="BI655" s="7">
        <v>0.99032699999999996</v>
      </c>
      <c r="BJ655" s="7">
        <v>0.96482400000000001</v>
      </c>
      <c r="BK655" s="7">
        <v>0.99475999999999998</v>
      </c>
      <c r="BL655" s="7">
        <v>0.98958299999999999</v>
      </c>
      <c r="BM655" s="7">
        <v>0.96482400000000001</v>
      </c>
      <c r="BN655" s="7">
        <v>0.99388600000000005</v>
      </c>
      <c r="BO655" s="7">
        <v>0.99694199999999999</v>
      </c>
      <c r="BP655" s="7">
        <v>0.98958299999999999</v>
      </c>
      <c r="BQ655" s="7">
        <v>0.99820799999999998</v>
      </c>
      <c r="BR655" s="7">
        <v>3.5714000000000003E-2</v>
      </c>
      <c r="BS655" s="7">
        <v>50</v>
      </c>
      <c r="BT655" s="7">
        <v>50</v>
      </c>
      <c r="BU655" s="7">
        <v>4.5713999999999998E-2</v>
      </c>
      <c r="BV655" s="7">
        <v>50</v>
      </c>
      <c r="BW655" s="7">
        <v>50</v>
      </c>
      <c r="BX655" s="4" t="s">
        <v>124</v>
      </c>
      <c r="BY655" s="4" t="s">
        <v>124</v>
      </c>
      <c r="BZ655" s="4" t="s">
        <v>124</v>
      </c>
      <c r="CA655" s="4" t="s">
        <v>124</v>
      </c>
      <c r="CB655" s="4" t="s">
        <v>124</v>
      </c>
      <c r="CC655" s="4" t="s">
        <v>124</v>
      </c>
      <c r="CD655" s="7">
        <v>0.99259299999999995</v>
      </c>
      <c r="CE655" s="7">
        <v>50</v>
      </c>
      <c r="CF655" s="7">
        <v>50</v>
      </c>
      <c r="CG655" s="4" t="s">
        <v>124</v>
      </c>
      <c r="CH655" s="4" t="s">
        <v>124</v>
      </c>
      <c r="CI655" s="4" t="s">
        <v>124</v>
      </c>
      <c r="CJ655" s="4" t="s">
        <v>124</v>
      </c>
      <c r="CK655" s="4" t="s">
        <v>124</v>
      </c>
      <c r="CL655" s="4" t="s">
        <v>124</v>
      </c>
      <c r="CM655" s="4" t="s">
        <v>124</v>
      </c>
      <c r="CN655" s="4" t="s">
        <v>124</v>
      </c>
      <c r="CO655" s="4" t="s">
        <v>124</v>
      </c>
      <c r="CP655" s="4" t="s">
        <v>124</v>
      </c>
      <c r="CQ655" s="7">
        <v>0.77410500000000004</v>
      </c>
      <c r="CR655" s="7">
        <v>1.016807</v>
      </c>
      <c r="CS655" s="7">
        <v>50</v>
      </c>
      <c r="CT655" s="7">
        <v>50</v>
      </c>
      <c r="CU655" s="4" t="s">
        <v>124</v>
      </c>
      <c r="CV655" s="4" t="s">
        <v>124</v>
      </c>
      <c r="CW655" s="4" t="s">
        <v>124</v>
      </c>
      <c r="CX655" s="4" t="s">
        <v>124</v>
      </c>
      <c r="CY655" s="4" t="s">
        <v>124</v>
      </c>
      <c r="CZ655" s="4" t="s">
        <v>124</v>
      </c>
      <c r="DA655" s="7">
        <v>15.314097</v>
      </c>
      <c r="DB655" s="7">
        <v>17.400950000000002</v>
      </c>
      <c r="DC655" s="7">
        <v>16.332519999999999</v>
      </c>
      <c r="DD655" s="4" t="s">
        <v>124</v>
      </c>
      <c r="DE655" s="7">
        <v>0</v>
      </c>
      <c r="DF655" s="6"/>
      <c r="DG655" s="6"/>
      <c r="DH655" s="6"/>
      <c r="DI655" s="6"/>
      <c r="DJ655" s="7">
        <v>0</v>
      </c>
      <c r="DK655" s="7">
        <v>0</v>
      </c>
      <c r="DL655" s="7">
        <v>0</v>
      </c>
      <c r="DM655" s="7">
        <v>0</v>
      </c>
      <c r="DN655" s="7">
        <v>0</v>
      </c>
      <c r="DO655" s="7">
        <v>0</v>
      </c>
      <c r="DP655" s="6"/>
      <c r="DQ655" s="4" t="s">
        <v>125</v>
      </c>
    </row>
    <row r="656" spans="1:121" ht="20" customHeight="1" x14ac:dyDescent="0.15">
      <c r="A656" s="5">
        <v>2018</v>
      </c>
      <c r="B656" s="3" t="s">
        <v>203</v>
      </c>
      <c r="C656" s="4" t="str">
        <f t="shared" si="227"/>
        <v>0900011</v>
      </c>
      <c r="D656" s="4" t="s">
        <v>813</v>
      </c>
      <c r="E656" s="4" t="str">
        <f>"0900211"</f>
        <v>0900211</v>
      </c>
      <c r="F656" s="4" t="s">
        <v>327</v>
      </c>
      <c r="G656" s="4" t="s">
        <v>338</v>
      </c>
      <c r="H656" s="7">
        <v>4</v>
      </c>
      <c r="I656" s="6"/>
      <c r="J656" s="4" t="s">
        <v>330</v>
      </c>
      <c r="K656" s="7">
        <v>537.36035100000004</v>
      </c>
      <c r="L656" s="7">
        <v>550</v>
      </c>
      <c r="M656" s="7">
        <v>97.701881999999998</v>
      </c>
      <c r="N656" s="7">
        <v>1</v>
      </c>
      <c r="O656" s="7">
        <v>0</v>
      </c>
      <c r="P656" s="7">
        <v>91.212603999999999</v>
      </c>
      <c r="Q656" s="7">
        <v>50</v>
      </c>
      <c r="R656" s="7">
        <v>50</v>
      </c>
      <c r="S656" s="7">
        <v>76.321804999999998</v>
      </c>
      <c r="T656" s="7">
        <v>75</v>
      </c>
      <c r="U656" s="7">
        <v>50</v>
      </c>
      <c r="V656" s="7">
        <v>50</v>
      </c>
      <c r="W656" s="7">
        <v>89.705179000000001</v>
      </c>
      <c r="X656" s="7">
        <v>50</v>
      </c>
      <c r="Y656" s="7">
        <v>50</v>
      </c>
      <c r="Z656" s="7">
        <v>75</v>
      </c>
      <c r="AA656" s="7">
        <v>75.124695000000003</v>
      </c>
      <c r="AB656" s="7">
        <v>50</v>
      </c>
      <c r="AC656" s="7">
        <v>50</v>
      </c>
      <c r="AD656" s="4" t="s">
        <v>124</v>
      </c>
      <c r="AE656" s="4" t="s">
        <v>124</v>
      </c>
      <c r="AF656" s="4" t="s">
        <v>124</v>
      </c>
      <c r="AG656" s="4" t="s">
        <v>124</v>
      </c>
      <c r="AH656" s="4" t="s">
        <v>124</v>
      </c>
      <c r="AI656" s="4" t="s">
        <v>124</v>
      </c>
      <c r="AJ656" s="4" t="s">
        <v>124</v>
      </c>
      <c r="AK656" s="7">
        <v>-1.32</v>
      </c>
      <c r="AL656" s="7">
        <v>-0.12</v>
      </c>
      <c r="AM656" s="4" t="s">
        <v>124</v>
      </c>
      <c r="AN656" s="7">
        <v>0.92125299999999999</v>
      </c>
      <c r="AO656" s="7">
        <v>92.125309999999999</v>
      </c>
      <c r="AP656" s="7">
        <v>100</v>
      </c>
      <c r="AQ656" s="7">
        <v>0.96502600000000005</v>
      </c>
      <c r="AR656" s="7">
        <v>96.502645999999999</v>
      </c>
      <c r="AS656" s="7">
        <v>100</v>
      </c>
      <c r="AT656" s="4" t="s">
        <v>124</v>
      </c>
      <c r="AU656" s="7">
        <v>0.92432400000000003</v>
      </c>
      <c r="AV656" s="4" t="s">
        <v>124</v>
      </c>
      <c r="AW656" s="4" t="s">
        <v>124</v>
      </c>
      <c r="AX656" s="4" t="s">
        <v>124</v>
      </c>
      <c r="AY656" s="7">
        <v>0.97114800000000001</v>
      </c>
      <c r="AZ656" s="4" t="s">
        <v>124</v>
      </c>
      <c r="BA656" s="4" t="s">
        <v>124</v>
      </c>
      <c r="BB656" s="4" t="s">
        <v>124</v>
      </c>
      <c r="BC656" s="4" t="s">
        <v>124</v>
      </c>
      <c r="BD656" s="4" t="s">
        <v>124</v>
      </c>
      <c r="BE656" s="4" t="s">
        <v>124</v>
      </c>
      <c r="BF656" s="4" t="s">
        <v>124</v>
      </c>
      <c r="BG656" s="4" t="s">
        <v>124</v>
      </c>
      <c r="BH656" s="7">
        <v>0</v>
      </c>
      <c r="BI656" s="7">
        <v>1</v>
      </c>
      <c r="BJ656" s="7">
        <v>1</v>
      </c>
      <c r="BK656" s="7">
        <v>1</v>
      </c>
      <c r="BL656" s="7">
        <v>1</v>
      </c>
      <c r="BM656" s="7">
        <v>1</v>
      </c>
      <c r="BN656" s="7">
        <v>1</v>
      </c>
      <c r="BO656" s="4" t="s">
        <v>124</v>
      </c>
      <c r="BP656" s="4" t="s">
        <v>124</v>
      </c>
      <c r="BQ656" s="4" t="s">
        <v>124</v>
      </c>
      <c r="BR656" s="7">
        <v>3.0418000000000001E-2</v>
      </c>
      <c r="BS656" s="7">
        <v>50</v>
      </c>
      <c r="BT656" s="7">
        <v>50</v>
      </c>
      <c r="BU656" s="7">
        <v>5.6337999999999999E-2</v>
      </c>
      <c r="BV656" s="7">
        <v>48.732393999999999</v>
      </c>
      <c r="BW656" s="7">
        <v>50</v>
      </c>
      <c r="BX656" s="4" t="s">
        <v>124</v>
      </c>
      <c r="BY656" s="4" t="s">
        <v>124</v>
      </c>
      <c r="BZ656" s="4" t="s">
        <v>124</v>
      </c>
      <c r="CA656" s="4" t="s">
        <v>124</v>
      </c>
      <c r="CB656" s="4" t="s">
        <v>124</v>
      </c>
      <c r="CC656" s="4" t="s">
        <v>124</v>
      </c>
      <c r="CD656" s="4" t="s">
        <v>124</v>
      </c>
      <c r="CE656" s="4" t="s">
        <v>124</v>
      </c>
      <c r="CF656" s="4" t="s">
        <v>124</v>
      </c>
      <c r="CG656" s="4" t="s">
        <v>124</v>
      </c>
      <c r="CH656" s="4" t="s">
        <v>124</v>
      </c>
      <c r="CI656" s="4" t="s">
        <v>124</v>
      </c>
      <c r="CJ656" s="4" t="s">
        <v>124</v>
      </c>
      <c r="CK656" s="4" t="s">
        <v>124</v>
      </c>
      <c r="CL656" s="4" t="s">
        <v>124</v>
      </c>
      <c r="CM656" s="4" t="s">
        <v>124</v>
      </c>
      <c r="CN656" s="4" t="s">
        <v>124</v>
      </c>
      <c r="CO656" s="4" t="s">
        <v>124</v>
      </c>
      <c r="CP656" s="4" t="s">
        <v>124</v>
      </c>
      <c r="CQ656" s="7">
        <v>0.89908299999999997</v>
      </c>
      <c r="CR656" s="7">
        <v>1</v>
      </c>
      <c r="CS656" s="7">
        <v>50</v>
      </c>
      <c r="CT656" s="7">
        <v>50</v>
      </c>
      <c r="CU656" s="4" t="s">
        <v>124</v>
      </c>
      <c r="CV656" s="4" t="s">
        <v>124</v>
      </c>
      <c r="CW656" s="4" t="s">
        <v>124</v>
      </c>
      <c r="CX656" s="4" t="s">
        <v>124</v>
      </c>
      <c r="CY656" s="4" t="s">
        <v>124</v>
      </c>
      <c r="CZ656" s="4" t="s">
        <v>124</v>
      </c>
      <c r="DA656" s="7">
        <v>15.314097</v>
      </c>
      <c r="DB656" s="7">
        <v>17.400950000000002</v>
      </c>
      <c r="DC656" s="7">
        <v>16.332519999999999</v>
      </c>
      <c r="DD656" s="4" t="s">
        <v>124</v>
      </c>
      <c r="DE656" s="7">
        <v>0</v>
      </c>
      <c r="DF656" s="6"/>
      <c r="DG656" s="6"/>
      <c r="DH656" s="4" t="s">
        <v>331</v>
      </c>
      <c r="DI656" s="4" t="s">
        <v>497</v>
      </c>
      <c r="DJ656" s="7">
        <v>1</v>
      </c>
      <c r="DK656" s="7">
        <v>1</v>
      </c>
      <c r="DL656" s="7">
        <v>1</v>
      </c>
      <c r="DM656" s="7">
        <v>0</v>
      </c>
      <c r="DN656" s="7">
        <v>0</v>
      </c>
      <c r="DO656" s="7">
        <v>0</v>
      </c>
      <c r="DP656" s="6"/>
      <c r="DQ656" s="4" t="s">
        <v>125</v>
      </c>
    </row>
    <row r="657" spans="1:121" ht="20" customHeight="1" x14ac:dyDescent="0.15">
      <c r="A657" s="5">
        <v>2018</v>
      </c>
      <c r="B657" s="3" t="s">
        <v>203</v>
      </c>
      <c r="C657" s="4" t="str">
        <f t="shared" si="227"/>
        <v>0900011</v>
      </c>
      <c r="D657" s="4" t="s">
        <v>814</v>
      </c>
      <c r="E657" s="4" t="str">
        <f>"0900311"</f>
        <v>0900311</v>
      </c>
      <c r="F657" s="4" t="s">
        <v>327</v>
      </c>
      <c r="G657" s="4" t="s">
        <v>328</v>
      </c>
      <c r="H657" s="7">
        <v>4</v>
      </c>
      <c r="I657" s="6"/>
      <c r="J657" s="4" t="s">
        <v>330</v>
      </c>
      <c r="K657" s="7">
        <v>512.44611799999996</v>
      </c>
      <c r="L657" s="7">
        <v>550</v>
      </c>
      <c r="M657" s="7">
        <v>93.172021999999998</v>
      </c>
      <c r="N657" s="7">
        <v>1</v>
      </c>
      <c r="O657" s="7">
        <v>0</v>
      </c>
      <c r="P657" s="7">
        <v>89.406101000000007</v>
      </c>
      <c r="Q657" s="7">
        <v>50</v>
      </c>
      <c r="R657" s="7">
        <v>50</v>
      </c>
      <c r="S657" s="7">
        <v>67.374091000000007</v>
      </c>
      <c r="T657" s="7">
        <v>75</v>
      </c>
      <c r="U657" s="7">
        <v>44.916060999999999</v>
      </c>
      <c r="V657" s="7">
        <v>50</v>
      </c>
      <c r="W657" s="7">
        <v>88.587061000000006</v>
      </c>
      <c r="X657" s="7">
        <v>50</v>
      </c>
      <c r="Y657" s="7">
        <v>50</v>
      </c>
      <c r="Z657" s="7">
        <v>75</v>
      </c>
      <c r="AA657" s="7">
        <v>67.661475999999993</v>
      </c>
      <c r="AB657" s="7">
        <v>45.107650999999997</v>
      </c>
      <c r="AC657" s="7">
        <v>50</v>
      </c>
      <c r="AD657" s="4" t="s">
        <v>124</v>
      </c>
      <c r="AE657" s="4" t="s">
        <v>124</v>
      </c>
      <c r="AF657" s="4" t="s">
        <v>124</v>
      </c>
      <c r="AG657" s="4" t="s">
        <v>124</v>
      </c>
      <c r="AH657" s="4" t="s">
        <v>124</v>
      </c>
      <c r="AI657" s="4" t="s">
        <v>124</v>
      </c>
      <c r="AJ657" s="4" t="s">
        <v>124</v>
      </c>
      <c r="AK657" s="7">
        <v>7.62</v>
      </c>
      <c r="AL657" s="7">
        <v>7.33</v>
      </c>
      <c r="AM657" s="4" t="s">
        <v>124</v>
      </c>
      <c r="AN657" s="7">
        <v>0.85999000000000003</v>
      </c>
      <c r="AO657" s="7">
        <v>85.998996000000005</v>
      </c>
      <c r="AP657" s="7">
        <v>100</v>
      </c>
      <c r="AQ657" s="7">
        <v>0.86423399999999995</v>
      </c>
      <c r="AR657" s="7">
        <v>86.423411999999999</v>
      </c>
      <c r="AS657" s="7">
        <v>100</v>
      </c>
      <c r="AT657" s="4" t="s">
        <v>124</v>
      </c>
      <c r="AU657" s="7">
        <v>0.91464100000000004</v>
      </c>
      <c r="AV657" s="4" t="s">
        <v>124</v>
      </c>
      <c r="AW657" s="4" t="s">
        <v>124</v>
      </c>
      <c r="AX657" s="4" t="s">
        <v>124</v>
      </c>
      <c r="AY657" s="7">
        <v>0.88992599999999999</v>
      </c>
      <c r="AZ657" s="4" t="s">
        <v>124</v>
      </c>
      <c r="BA657" s="4" t="s">
        <v>124</v>
      </c>
      <c r="BB657" s="4" t="s">
        <v>124</v>
      </c>
      <c r="BC657" s="4" t="s">
        <v>124</v>
      </c>
      <c r="BD657" s="4" t="s">
        <v>124</v>
      </c>
      <c r="BE657" s="4" t="s">
        <v>124</v>
      </c>
      <c r="BF657" s="4" t="s">
        <v>124</v>
      </c>
      <c r="BG657" s="4" t="s">
        <v>124</v>
      </c>
      <c r="BH657" s="7">
        <v>0</v>
      </c>
      <c r="BI657" s="7">
        <v>0.99516899999999997</v>
      </c>
      <c r="BJ657" s="7">
        <v>0.97297299999999998</v>
      </c>
      <c r="BK657" s="7">
        <v>1</v>
      </c>
      <c r="BL657" s="7">
        <v>0.99516899999999997</v>
      </c>
      <c r="BM657" s="7">
        <v>0.97297299999999998</v>
      </c>
      <c r="BN657" s="7">
        <v>1</v>
      </c>
      <c r="BO657" s="4" t="s">
        <v>124</v>
      </c>
      <c r="BP657" s="4" t="s">
        <v>124</v>
      </c>
      <c r="BQ657" s="4" t="s">
        <v>124</v>
      </c>
      <c r="BR657" s="7">
        <v>2.9613E-2</v>
      </c>
      <c r="BS657" s="7">
        <v>50</v>
      </c>
      <c r="BT657" s="7">
        <v>50</v>
      </c>
      <c r="BU657" s="7">
        <v>4.6875E-2</v>
      </c>
      <c r="BV657" s="7">
        <v>50</v>
      </c>
      <c r="BW657" s="7">
        <v>50</v>
      </c>
      <c r="BX657" s="4" t="s">
        <v>124</v>
      </c>
      <c r="BY657" s="4" t="s">
        <v>124</v>
      </c>
      <c r="BZ657" s="4" t="s">
        <v>124</v>
      </c>
      <c r="CA657" s="4" t="s">
        <v>124</v>
      </c>
      <c r="CB657" s="4" t="s">
        <v>124</v>
      </c>
      <c r="CC657" s="4" t="s">
        <v>124</v>
      </c>
      <c r="CD657" s="4" t="s">
        <v>124</v>
      </c>
      <c r="CE657" s="4" t="s">
        <v>124</v>
      </c>
      <c r="CF657" s="4" t="s">
        <v>124</v>
      </c>
      <c r="CG657" s="4" t="s">
        <v>124</v>
      </c>
      <c r="CH657" s="4" t="s">
        <v>124</v>
      </c>
      <c r="CI657" s="4" t="s">
        <v>124</v>
      </c>
      <c r="CJ657" s="4" t="s">
        <v>124</v>
      </c>
      <c r="CK657" s="4" t="s">
        <v>124</v>
      </c>
      <c r="CL657" s="4" t="s">
        <v>124</v>
      </c>
      <c r="CM657" s="4" t="s">
        <v>124</v>
      </c>
      <c r="CN657" s="4" t="s">
        <v>124</v>
      </c>
      <c r="CO657" s="4" t="s">
        <v>124</v>
      </c>
      <c r="CP657" s="4" t="s">
        <v>124</v>
      </c>
      <c r="CQ657" s="7">
        <v>0.75454500000000002</v>
      </c>
      <c r="CR657" s="7">
        <v>1</v>
      </c>
      <c r="CS657" s="7">
        <v>50</v>
      </c>
      <c r="CT657" s="7">
        <v>50</v>
      </c>
      <c r="CU657" s="4" t="s">
        <v>124</v>
      </c>
      <c r="CV657" s="4" t="s">
        <v>124</v>
      </c>
      <c r="CW657" s="4" t="s">
        <v>124</v>
      </c>
      <c r="CX657" s="4" t="s">
        <v>124</v>
      </c>
      <c r="CY657" s="4" t="s">
        <v>124</v>
      </c>
      <c r="CZ657" s="4" t="s">
        <v>124</v>
      </c>
      <c r="DA657" s="7">
        <v>15.314097</v>
      </c>
      <c r="DB657" s="7">
        <v>17.400950000000002</v>
      </c>
      <c r="DC657" s="7">
        <v>16.332519999999999</v>
      </c>
      <c r="DD657" s="4" t="s">
        <v>124</v>
      </c>
      <c r="DE657" s="7">
        <v>0</v>
      </c>
      <c r="DF657" s="6"/>
      <c r="DG657" s="6"/>
      <c r="DH657" s="4" t="s">
        <v>331</v>
      </c>
      <c r="DI657" s="4" t="s">
        <v>497</v>
      </c>
      <c r="DJ657" s="7">
        <v>1</v>
      </c>
      <c r="DK657" s="7">
        <v>1</v>
      </c>
      <c r="DL657" s="7">
        <v>1</v>
      </c>
      <c r="DM657" s="7">
        <v>0</v>
      </c>
      <c r="DN657" s="7">
        <v>0</v>
      </c>
      <c r="DO657" s="7">
        <v>0</v>
      </c>
      <c r="DP657" s="6"/>
      <c r="DQ657" s="4" t="s">
        <v>125</v>
      </c>
    </row>
    <row r="658" spans="1:121" ht="20" customHeight="1" x14ac:dyDescent="0.15">
      <c r="A658" s="5">
        <v>2018</v>
      </c>
      <c r="B658" s="3" t="s">
        <v>136</v>
      </c>
      <c r="C658" s="4" t="str">
        <f t="shared" si="12"/>
        <v>0910011</v>
      </c>
      <c r="D658" s="4" t="s">
        <v>815</v>
      </c>
      <c r="E658" s="4" t="str">
        <f>"0910111"</f>
        <v>0910111</v>
      </c>
      <c r="F658" s="4" t="s">
        <v>327</v>
      </c>
      <c r="G658" s="4" t="s">
        <v>328</v>
      </c>
      <c r="H658" s="7">
        <v>2</v>
      </c>
      <c r="I658" s="4" t="s">
        <v>329</v>
      </c>
      <c r="J658" s="4" t="s">
        <v>330</v>
      </c>
      <c r="K658" s="7">
        <v>164.56661700000001</v>
      </c>
      <c r="L658" s="7">
        <v>200</v>
      </c>
      <c r="M658" s="7">
        <v>82.283308000000005</v>
      </c>
      <c r="N658" s="7">
        <v>2</v>
      </c>
      <c r="O658" s="4" t="s">
        <v>124</v>
      </c>
      <c r="P658" s="4" t="s">
        <v>124</v>
      </c>
      <c r="Q658" s="4" t="s">
        <v>124</v>
      </c>
      <c r="R658" s="4" t="s">
        <v>124</v>
      </c>
      <c r="S658" s="4" t="s">
        <v>124</v>
      </c>
      <c r="T658" s="4" t="s">
        <v>124</v>
      </c>
      <c r="U658" s="4" t="s">
        <v>124</v>
      </c>
      <c r="V658" s="4" t="s">
        <v>124</v>
      </c>
      <c r="W658" s="4" t="s">
        <v>124</v>
      </c>
      <c r="X658" s="4" t="s">
        <v>124</v>
      </c>
      <c r="Y658" s="4" t="s">
        <v>124</v>
      </c>
      <c r="Z658" s="4" t="s">
        <v>124</v>
      </c>
      <c r="AA658" s="4" t="s">
        <v>124</v>
      </c>
      <c r="AB658" s="4" t="s">
        <v>124</v>
      </c>
      <c r="AC658" s="4" t="s">
        <v>124</v>
      </c>
      <c r="AD658" s="4" t="s">
        <v>124</v>
      </c>
      <c r="AE658" s="4" t="s">
        <v>124</v>
      </c>
      <c r="AF658" s="4" t="s">
        <v>124</v>
      </c>
      <c r="AG658" s="4" t="s">
        <v>124</v>
      </c>
      <c r="AH658" s="4" t="s">
        <v>124</v>
      </c>
      <c r="AI658" s="4" t="s">
        <v>124</v>
      </c>
      <c r="AJ658" s="4" t="s">
        <v>124</v>
      </c>
      <c r="AK658" s="4" t="s">
        <v>124</v>
      </c>
      <c r="AL658" s="4" t="s">
        <v>124</v>
      </c>
      <c r="AM658" s="4" t="s">
        <v>124</v>
      </c>
      <c r="AN658" s="4" t="s">
        <v>124</v>
      </c>
      <c r="AO658" s="4" t="s">
        <v>124</v>
      </c>
      <c r="AP658" s="4" t="s">
        <v>124</v>
      </c>
      <c r="AQ658" s="4" t="s">
        <v>124</v>
      </c>
      <c r="AR658" s="4" t="s">
        <v>124</v>
      </c>
      <c r="AS658" s="4" t="s">
        <v>124</v>
      </c>
      <c r="AT658" s="4" t="s">
        <v>124</v>
      </c>
      <c r="AU658" s="4" t="s">
        <v>124</v>
      </c>
      <c r="AV658" s="4" t="s">
        <v>124</v>
      </c>
      <c r="AW658" s="4" t="s">
        <v>124</v>
      </c>
      <c r="AX658" s="4" t="s">
        <v>124</v>
      </c>
      <c r="AY658" s="4" t="s">
        <v>124</v>
      </c>
      <c r="AZ658" s="4" t="s">
        <v>124</v>
      </c>
      <c r="BA658" s="4" t="s">
        <v>124</v>
      </c>
      <c r="BB658" s="7">
        <v>0.70758600000000005</v>
      </c>
      <c r="BC658" s="7">
        <v>35.379283999999998</v>
      </c>
      <c r="BD658" s="7">
        <v>50</v>
      </c>
      <c r="BE658" s="7">
        <v>0.68837899999999996</v>
      </c>
      <c r="BF658" s="7">
        <v>34.418962999999998</v>
      </c>
      <c r="BG658" s="7">
        <v>50</v>
      </c>
      <c r="BH658" s="4" t="s">
        <v>124</v>
      </c>
      <c r="BI658" s="4" t="s">
        <v>124</v>
      </c>
      <c r="BJ658" s="4" t="s">
        <v>124</v>
      </c>
      <c r="BK658" s="4" t="s">
        <v>124</v>
      </c>
      <c r="BL658" s="4" t="s">
        <v>124</v>
      </c>
      <c r="BM658" s="4" t="s">
        <v>124</v>
      </c>
      <c r="BN658" s="4" t="s">
        <v>124</v>
      </c>
      <c r="BO658" s="4" t="s">
        <v>124</v>
      </c>
      <c r="BP658" s="4" t="s">
        <v>124</v>
      </c>
      <c r="BQ658" s="4" t="s">
        <v>124</v>
      </c>
      <c r="BR658" s="7">
        <v>5.3789999999999998E-2</v>
      </c>
      <c r="BS658" s="7">
        <v>49.242054000000003</v>
      </c>
      <c r="BT658" s="7">
        <v>50</v>
      </c>
      <c r="BU658" s="7">
        <v>7.2368000000000002E-2</v>
      </c>
      <c r="BV658" s="7">
        <v>45.526316000000001</v>
      </c>
      <c r="BW658" s="7">
        <v>50</v>
      </c>
      <c r="BX658" s="4" t="s">
        <v>124</v>
      </c>
      <c r="BY658" s="4" t="s">
        <v>124</v>
      </c>
      <c r="BZ658" s="4" t="s">
        <v>124</v>
      </c>
      <c r="CA658" s="4" t="s">
        <v>124</v>
      </c>
      <c r="CB658" s="4" t="s">
        <v>124</v>
      </c>
      <c r="CC658" s="4" t="s">
        <v>124</v>
      </c>
      <c r="CD658" s="4" t="s">
        <v>124</v>
      </c>
      <c r="CE658" s="4" t="s">
        <v>124</v>
      </c>
      <c r="CF658" s="4" t="s">
        <v>124</v>
      </c>
      <c r="CG658" s="4" t="s">
        <v>124</v>
      </c>
      <c r="CH658" s="4" t="s">
        <v>124</v>
      </c>
      <c r="CI658" s="4" t="s">
        <v>124</v>
      </c>
      <c r="CJ658" s="4" t="s">
        <v>124</v>
      </c>
      <c r="CK658" s="4" t="s">
        <v>124</v>
      </c>
      <c r="CL658" s="4" t="s">
        <v>124</v>
      </c>
      <c r="CM658" s="4" t="s">
        <v>124</v>
      </c>
      <c r="CN658" s="4" t="s">
        <v>124</v>
      </c>
      <c r="CO658" s="4" t="s">
        <v>124</v>
      </c>
      <c r="CP658" s="4" t="s">
        <v>124</v>
      </c>
      <c r="CQ658" s="4" t="s">
        <v>124</v>
      </c>
      <c r="CR658" s="4" t="s">
        <v>124</v>
      </c>
      <c r="CS658" s="4" t="s">
        <v>124</v>
      </c>
      <c r="CT658" s="4" t="s">
        <v>124</v>
      </c>
      <c r="CU658" s="4" t="s">
        <v>124</v>
      </c>
      <c r="CV658" s="4" t="s">
        <v>124</v>
      </c>
      <c r="CW658" s="4" t="s">
        <v>124</v>
      </c>
      <c r="CX658" s="4" t="s">
        <v>124</v>
      </c>
      <c r="CY658" s="4" t="s">
        <v>124</v>
      </c>
      <c r="CZ658" s="4" t="s">
        <v>124</v>
      </c>
      <c r="DA658" s="4" t="s">
        <v>124</v>
      </c>
      <c r="DB658" s="4" t="s">
        <v>124</v>
      </c>
      <c r="DC658" s="4" t="s">
        <v>124</v>
      </c>
      <c r="DD658" s="4" t="s">
        <v>124</v>
      </c>
      <c r="DE658" s="7">
        <v>0</v>
      </c>
      <c r="DF658" s="6"/>
      <c r="DG658" s="6"/>
      <c r="DH658" s="6"/>
      <c r="DI658" s="6"/>
      <c r="DJ658" s="7">
        <v>0</v>
      </c>
      <c r="DK658" s="7">
        <v>0</v>
      </c>
      <c r="DL658" s="7">
        <v>0</v>
      </c>
      <c r="DM658" s="7">
        <v>0</v>
      </c>
      <c r="DN658" s="7">
        <v>0</v>
      </c>
      <c r="DO658" s="7">
        <v>0</v>
      </c>
      <c r="DP658" s="6"/>
      <c r="DQ658" s="4" t="s">
        <v>125</v>
      </c>
    </row>
    <row r="659" spans="1:121" ht="20" customHeight="1" x14ac:dyDescent="0.15">
      <c r="A659" s="5">
        <v>2018</v>
      </c>
      <c r="B659" s="3" t="s">
        <v>136</v>
      </c>
      <c r="C659" s="4" t="str">
        <f t="shared" ref="C659:C661" si="228">"0910011"</f>
        <v>0910011</v>
      </c>
      <c r="D659" s="4" t="s">
        <v>816</v>
      </c>
      <c r="E659" s="4" t="str">
        <f>"0910211"</f>
        <v>0910211</v>
      </c>
      <c r="F659" s="4" t="s">
        <v>327</v>
      </c>
      <c r="G659" s="7">
        <v>3</v>
      </c>
      <c r="H659" s="7">
        <v>5</v>
      </c>
      <c r="I659" s="4" t="s">
        <v>329</v>
      </c>
      <c r="J659" s="4" t="s">
        <v>330</v>
      </c>
      <c r="K659" s="7">
        <v>680.690112</v>
      </c>
      <c r="L659" s="7">
        <v>850</v>
      </c>
      <c r="M659" s="7">
        <v>80.081190000000007</v>
      </c>
      <c r="N659" s="7">
        <v>2</v>
      </c>
      <c r="O659" s="7">
        <v>0</v>
      </c>
      <c r="P659" s="7">
        <v>77.945846000000003</v>
      </c>
      <c r="Q659" s="7">
        <v>50</v>
      </c>
      <c r="R659" s="7">
        <v>50</v>
      </c>
      <c r="S659" s="7">
        <v>67.282949000000002</v>
      </c>
      <c r="T659" s="7">
        <v>75</v>
      </c>
      <c r="U659" s="7">
        <v>44.855299000000002</v>
      </c>
      <c r="V659" s="7">
        <v>50</v>
      </c>
      <c r="W659" s="7">
        <v>75.115519000000006</v>
      </c>
      <c r="X659" s="7">
        <v>50</v>
      </c>
      <c r="Y659" s="7">
        <v>50</v>
      </c>
      <c r="Z659" s="7">
        <v>75</v>
      </c>
      <c r="AA659" s="7">
        <v>64.630250000000004</v>
      </c>
      <c r="AB659" s="7">
        <v>43.086832999999999</v>
      </c>
      <c r="AC659" s="7">
        <v>50</v>
      </c>
      <c r="AD659" s="7">
        <v>81.900367000000003</v>
      </c>
      <c r="AE659" s="7">
        <v>50</v>
      </c>
      <c r="AF659" s="7">
        <v>50</v>
      </c>
      <c r="AG659" s="7">
        <v>72.961597999999995</v>
      </c>
      <c r="AH659" s="7">
        <v>75</v>
      </c>
      <c r="AI659" s="7">
        <v>48.641064999999998</v>
      </c>
      <c r="AJ659" s="7">
        <v>50</v>
      </c>
      <c r="AK659" s="7">
        <v>7.71</v>
      </c>
      <c r="AL659" s="7">
        <v>10.36</v>
      </c>
      <c r="AM659" s="7">
        <v>2.0299999999999998</v>
      </c>
      <c r="AN659" s="7">
        <v>0.71885200000000005</v>
      </c>
      <c r="AO659" s="7">
        <v>71.885240999999994</v>
      </c>
      <c r="AP659" s="7">
        <v>100</v>
      </c>
      <c r="AQ659" s="7">
        <v>0.61946999999999997</v>
      </c>
      <c r="AR659" s="7">
        <v>61.946981000000001</v>
      </c>
      <c r="AS659" s="7">
        <v>100</v>
      </c>
      <c r="AT659" s="7">
        <v>0.59063100000000002</v>
      </c>
      <c r="AU659" s="7">
        <v>0.76949999999999996</v>
      </c>
      <c r="AV659" s="7">
        <v>59.063133000000001</v>
      </c>
      <c r="AW659" s="7">
        <v>100</v>
      </c>
      <c r="AX659" s="7">
        <v>0.52192000000000005</v>
      </c>
      <c r="AY659" s="7">
        <v>0.658196</v>
      </c>
      <c r="AZ659" s="7">
        <v>52.191951000000003</v>
      </c>
      <c r="BA659" s="7">
        <v>100</v>
      </c>
      <c r="BB659" s="4" t="s">
        <v>124</v>
      </c>
      <c r="BC659" s="4" t="s">
        <v>124</v>
      </c>
      <c r="BD659" s="4" t="s">
        <v>124</v>
      </c>
      <c r="BE659" s="4" t="s">
        <v>124</v>
      </c>
      <c r="BF659" s="4" t="s">
        <v>124</v>
      </c>
      <c r="BG659" s="4" t="s">
        <v>124</v>
      </c>
      <c r="BH659" s="7">
        <v>0</v>
      </c>
      <c r="BI659" s="7">
        <v>0.98924699999999999</v>
      </c>
      <c r="BJ659" s="7">
        <v>0.97810200000000003</v>
      </c>
      <c r="BK659" s="7">
        <v>0.99390199999999995</v>
      </c>
      <c r="BL659" s="7">
        <v>0.987097</v>
      </c>
      <c r="BM659" s="7">
        <v>0.97810200000000003</v>
      </c>
      <c r="BN659" s="7">
        <v>0.99085400000000001</v>
      </c>
      <c r="BO659" s="7">
        <v>0.98795200000000005</v>
      </c>
      <c r="BP659" s="7">
        <v>0.97727299999999995</v>
      </c>
      <c r="BQ659" s="7">
        <v>0.99180299999999999</v>
      </c>
      <c r="BR659" s="7">
        <v>2.3656E-2</v>
      </c>
      <c r="BS659" s="7">
        <v>50</v>
      </c>
      <c r="BT659" s="7">
        <v>50</v>
      </c>
      <c r="BU659" s="7">
        <v>1.5037999999999999E-2</v>
      </c>
      <c r="BV659" s="7">
        <v>50</v>
      </c>
      <c r="BW659" s="7">
        <v>50</v>
      </c>
      <c r="BX659" s="4" t="s">
        <v>124</v>
      </c>
      <c r="BY659" s="4" t="s">
        <v>124</v>
      </c>
      <c r="BZ659" s="4" t="s">
        <v>124</v>
      </c>
      <c r="CA659" s="4" t="s">
        <v>124</v>
      </c>
      <c r="CB659" s="4" t="s">
        <v>124</v>
      </c>
      <c r="CC659" s="4" t="s">
        <v>124</v>
      </c>
      <c r="CD659" s="4" t="s">
        <v>124</v>
      </c>
      <c r="CE659" s="4" t="s">
        <v>124</v>
      </c>
      <c r="CF659" s="4" t="s">
        <v>124</v>
      </c>
      <c r="CG659" s="4" t="s">
        <v>124</v>
      </c>
      <c r="CH659" s="4" t="s">
        <v>124</v>
      </c>
      <c r="CI659" s="4" t="s">
        <v>124</v>
      </c>
      <c r="CJ659" s="4" t="s">
        <v>124</v>
      </c>
      <c r="CK659" s="4" t="s">
        <v>124</v>
      </c>
      <c r="CL659" s="4" t="s">
        <v>124</v>
      </c>
      <c r="CM659" s="4" t="s">
        <v>124</v>
      </c>
      <c r="CN659" s="4" t="s">
        <v>124</v>
      </c>
      <c r="CO659" s="4" t="s">
        <v>124</v>
      </c>
      <c r="CP659" s="4" t="s">
        <v>124</v>
      </c>
      <c r="CQ659" s="7">
        <v>0.735294</v>
      </c>
      <c r="CR659" s="7">
        <v>0.97142899999999999</v>
      </c>
      <c r="CS659" s="7">
        <v>49.019607999999998</v>
      </c>
      <c r="CT659" s="7">
        <v>50</v>
      </c>
      <c r="CU659" s="4" t="s">
        <v>124</v>
      </c>
      <c r="CV659" s="4" t="s">
        <v>124</v>
      </c>
      <c r="CW659" s="4" t="s">
        <v>124</v>
      </c>
      <c r="CX659" s="4" t="s">
        <v>124</v>
      </c>
      <c r="CY659" s="4" t="s">
        <v>124</v>
      </c>
      <c r="CZ659" s="4" t="s">
        <v>124</v>
      </c>
      <c r="DA659" s="7">
        <v>15.314097</v>
      </c>
      <c r="DB659" s="7">
        <v>17.400950000000002</v>
      </c>
      <c r="DC659" s="7">
        <v>16.332519999999999</v>
      </c>
      <c r="DD659" s="4" t="s">
        <v>124</v>
      </c>
      <c r="DE659" s="7">
        <v>0</v>
      </c>
      <c r="DF659" s="6"/>
      <c r="DG659" s="6"/>
      <c r="DH659" s="6"/>
      <c r="DI659" s="6"/>
      <c r="DJ659" s="7">
        <v>0</v>
      </c>
      <c r="DK659" s="7">
        <v>0</v>
      </c>
      <c r="DL659" s="7">
        <v>0</v>
      </c>
      <c r="DM659" s="7">
        <v>0</v>
      </c>
      <c r="DN659" s="7">
        <v>0</v>
      </c>
      <c r="DO659" s="7">
        <v>0</v>
      </c>
      <c r="DP659" s="6"/>
      <c r="DQ659" s="4" t="s">
        <v>125</v>
      </c>
    </row>
    <row r="660" spans="1:121" ht="20" customHeight="1" x14ac:dyDescent="0.15">
      <c r="A660" s="5">
        <v>2018</v>
      </c>
      <c r="B660" s="3" t="s">
        <v>136</v>
      </c>
      <c r="C660" s="4" t="str">
        <f t="shared" si="228"/>
        <v>0910011</v>
      </c>
      <c r="D660" s="4" t="s">
        <v>817</v>
      </c>
      <c r="E660" s="4" t="str">
        <f>"0916111"</f>
        <v>0916111</v>
      </c>
      <c r="F660" s="4" t="s">
        <v>327</v>
      </c>
      <c r="G660" s="7">
        <v>9</v>
      </c>
      <c r="H660" s="7">
        <v>12</v>
      </c>
      <c r="I660" s="4" t="s">
        <v>329</v>
      </c>
      <c r="J660" s="4" t="s">
        <v>330</v>
      </c>
      <c r="K660" s="7">
        <v>1195.0619859999999</v>
      </c>
      <c r="L660" s="7">
        <v>1450</v>
      </c>
      <c r="M660" s="7">
        <v>82.418068000000005</v>
      </c>
      <c r="N660" s="7">
        <v>3</v>
      </c>
      <c r="O660" s="7">
        <v>0</v>
      </c>
      <c r="P660" s="7">
        <v>63.529412000000001</v>
      </c>
      <c r="Q660" s="7">
        <v>127.058824</v>
      </c>
      <c r="R660" s="7">
        <v>150</v>
      </c>
      <c r="S660" s="7">
        <v>52.226495999999997</v>
      </c>
      <c r="T660" s="7">
        <v>66.507883000000007</v>
      </c>
      <c r="U660" s="7">
        <v>104.452991</v>
      </c>
      <c r="V660" s="7">
        <v>150</v>
      </c>
      <c r="W660" s="7">
        <v>59.039216000000003</v>
      </c>
      <c r="X660" s="7">
        <v>118.07843099999999</v>
      </c>
      <c r="Y660" s="7">
        <v>150</v>
      </c>
      <c r="Z660" s="7">
        <v>62.085585999999999</v>
      </c>
      <c r="AA660" s="7">
        <v>47.478631999999998</v>
      </c>
      <c r="AB660" s="7">
        <v>94.957265000000007</v>
      </c>
      <c r="AC660" s="7">
        <v>150</v>
      </c>
      <c r="AD660" s="7">
        <v>58.4756</v>
      </c>
      <c r="AE660" s="7">
        <v>77.967466000000002</v>
      </c>
      <c r="AF660" s="7">
        <v>100</v>
      </c>
      <c r="AG660" s="7">
        <v>53.079002000000003</v>
      </c>
      <c r="AH660" s="7">
        <v>59.815694000000001</v>
      </c>
      <c r="AI660" s="7">
        <v>70.772002999999998</v>
      </c>
      <c r="AJ660" s="7">
        <v>100</v>
      </c>
      <c r="AK660" s="7">
        <v>14.28</v>
      </c>
      <c r="AL660" s="7">
        <v>14.6</v>
      </c>
      <c r="AM660" s="7">
        <v>6.73</v>
      </c>
      <c r="AN660" s="4" t="s">
        <v>124</v>
      </c>
      <c r="AO660" s="4" t="s">
        <v>124</v>
      </c>
      <c r="AP660" s="4" t="s">
        <v>124</v>
      </c>
      <c r="AQ660" s="4" t="s">
        <v>124</v>
      </c>
      <c r="AR660" s="4" t="s">
        <v>124</v>
      </c>
      <c r="AS660" s="4" t="s">
        <v>124</v>
      </c>
      <c r="AT660" s="4" t="s">
        <v>124</v>
      </c>
      <c r="AU660" s="4" t="s">
        <v>124</v>
      </c>
      <c r="AV660" s="4" t="s">
        <v>124</v>
      </c>
      <c r="AW660" s="4" t="s">
        <v>124</v>
      </c>
      <c r="AX660" s="4" t="s">
        <v>124</v>
      </c>
      <c r="AY660" s="4" t="s">
        <v>124</v>
      </c>
      <c r="AZ660" s="4" t="s">
        <v>124</v>
      </c>
      <c r="BA660" s="4" t="s">
        <v>124</v>
      </c>
      <c r="BB660" s="4" t="s">
        <v>124</v>
      </c>
      <c r="BC660" s="4" t="s">
        <v>124</v>
      </c>
      <c r="BD660" s="4" t="s">
        <v>124</v>
      </c>
      <c r="BE660" s="4" t="s">
        <v>124</v>
      </c>
      <c r="BF660" s="4" t="s">
        <v>124</v>
      </c>
      <c r="BG660" s="4" t="s">
        <v>124</v>
      </c>
      <c r="BH660" s="7">
        <v>1</v>
      </c>
      <c r="BI660" s="7">
        <v>0.97422699999999995</v>
      </c>
      <c r="BJ660" s="7">
        <v>0.90697700000000003</v>
      </c>
      <c r="BK660" s="7">
        <v>0.99337699999999995</v>
      </c>
      <c r="BL660" s="7">
        <v>0.97422699999999995</v>
      </c>
      <c r="BM660" s="7">
        <v>0.90697700000000003</v>
      </c>
      <c r="BN660" s="7">
        <v>0.99337699999999995</v>
      </c>
      <c r="BO660" s="7">
        <v>0.968912</v>
      </c>
      <c r="BP660" s="7">
        <v>0.86046500000000004</v>
      </c>
      <c r="BQ660" s="7">
        <v>1</v>
      </c>
      <c r="BR660" s="7">
        <v>2.7132E-2</v>
      </c>
      <c r="BS660" s="7">
        <v>50</v>
      </c>
      <c r="BT660" s="7">
        <v>50</v>
      </c>
      <c r="BU660" s="7">
        <v>5.5248999999999999E-2</v>
      </c>
      <c r="BV660" s="7">
        <v>48.950276000000002</v>
      </c>
      <c r="BW660" s="7">
        <v>50</v>
      </c>
      <c r="BX660" s="7">
        <v>0.98780500000000004</v>
      </c>
      <c r="BY660" s="7">
        <v>50</v>
      </c>
      <c r="BZ660" s="7">
        <v>50</v>
      </c>
      <c r="CA660" s="7">
        <v>0.63414599999999999</v>
      </c>
      <c r="CB660" s="7">
        <v>42.276423000000001</v>
      </c>
      <c r="CC660" s="7">
        <v>50</v>
      </c>
      <c r="CD660" s="7">
        <v>0.97206700000000001</v>
      </c>
      <c r="CE660" s="7">
        <v>50</v>
      </c>
      <c r="CF660" s="7">
        <v>50</v>
      </c>
      <c r="CG660" s="7">
        <v>0.97927500000000001</v>
      </c>
      <c r="CH660" s="7">
        <v>100</v>
      </c>
      <c r="CI660" s="7">
        <v>100</v>
      </c>
      <c r="CJ660" s="7">
        <v>0</v>
      </c>
      <c r="CK660" s="7">
        <v>0.90476199999999996</v>
      </c>
      <c r="CL660" s="7">
        <v>96.251266000000001</v>
      </c>
      <c r="CM660" s="7">
        <v>100</v>
      </c>
      <c r="CN660" s="7">
        <v>0.87046599999999996</v>
      </c>
      <c r="CO660" s="7">
        <v>100</v>
      </c>
      <c r="CP660" s="7">
        <v>100</v>
      </c>
      <c r="CQ660" s="7">
        <v>0.52840900000000002</v>
      </c>
      <c r="CR660" s="7">
        <v>0.95135099999999995</v>
      </c>
      <c r="CS660" s="7">
        <v>35.227272999999997</v>
      </c>
      <c r="CT660" s="7">
        <v>50</v>
      </c>
      <c r="CU660" s="7">
        <v>0.34883700000000001</v>
      </c>
      <c r="CV660" s="7">
        <v>29.069766999999999</v>
      </c>
      <c r="CW660" s="7">
        <v>50</v>
      </c>
      <c r="CX660" s="7">
        <v>0.90476199999999996</v>
      </c>
      <c r="CY660" s="7">
        <v>0.94</v>
      </c>
      <c r="CZ660" s="7">
        <v>3.5237999999999998E-2</v>
      </c>
      <c r="DA660" s="7">
        <v>15.314097</v>
      </c>
      <c r="DB660" s="7">
        <v>17.400950000000002</v>
      </c>
      <c r="DC660" s="7">
        <v>16.332519999999999</v>
      </c>
      <c r="DD660" s="7">
        <v>7.9891730000000001</v>
      </c>
      <c r="DE660" s="7">
        <v>1</v>
      </c>
      <c r="DF660" s="6"/>
      <c r="DG660" s="6"/>
      <c r="DH660" s="6"/>
      <c r="DI660" s="6"/>
      <c r="DJ660" s="7">
        <v>0</v>
      </c>
      <c r="DK660" s="7">
        <v>0</v>
      </c>
      <c r="DL660" s="7">
        <v>0</v>
      </c>
      <c r="DM660" s="7">
        <v>0</v>
      </c>
      <c r="DN660" s="7">
        <v>0</v>
      </c>
      <c r="DO660" s="7">
        <v>0</v>
      </c>
      <c r="DP660" s="6"/>
      <c r="DQ660" s="4" t="s">
        <v>125</v>
      </c>
    </row>
    <row r="661" spans="1:121" ht="20" customHeight="1" x14ac:dyDescent="0.15">
      <c r="A661" s="5">
        <v>2018</v>
      </c>
      <c r="B661" s="3" t="s">
        <v>136</v>
      </c>
      <c r="C661" s="4" t="str">
        <f t="shared" si="228"/>
        <v>0910011</v>
      </c>
      <c r="D661" s="4" t="s">
        <v>818</v>
      </c>
      <c r="E661" s="4" t="str">
        <f>"0915211"</f>
        <v>0915211</v>
      </c>
      <c r="F661" s="4" t="s">
        <v>327</v>
      </c>
      <c r="G661" s="7">
        <v>6</v>
      </c>
      <c r="H661" s="7">
        <v>8</v>
      </c>
      <c r="I661" s="4" t="s">
        <v>329</v>
      </c>
      <c r="J661" s="4" t="s">
        <v>330</v>
      </c>
      <c r="K661" s="7">
        <v>659.84370899999999</v>
      </c>
      <c r="L661" s="7">
        <v>900</v>
      </c>
      <c r="M661" s="7">
        <v>73.315967999999998</v>
      </c>
      <c r="N661" s="7">
        <v>3</v>
      </c>
      <c r="O661" s="7">
        <v>1</v>
      </c>
      <c r="P661" s="7">
        <v>77.036911000000003</v>
      </c>
      <c r="Q661" s="7">
        <v>50</v>
      </c>
      <c r="R661" s="7">
        <v>50</v>
      </c>
      <c r="S661" s="7">
        <v>64.753901999999997</v>
      </c>
      <c r="T661" s="7">
        <v>75</v>
      </c>
      <c r="U661" s="7">
        <v>43.169268000000002</v>
      </c>
      <c r="V661" s="7">
        <v>50</v>
      </c>
      <c r="W661" s="7">
        <v>73.129215000000002</v>
      </c>
      <c r="X661" s="7">
        <v>48.752809999999997</v>
      </c>
      <c r="Y661" s="7">
        <v>50</v>
      </c>
      <c r="Z661" s="7">
        <v>75</v>
      </c>
      <c r="AA661" s="7">
        <v>60.016438999999998</v>
      </c>
      <c r="AB661" s="7">
        <v>40.010959</v>
      </c>
      <c r="AC661" s="7">
        <v>50</v>
      </c>
      <c r="AD661" s="7">
        <v>67.196304999999995</v>
      </c>
      <c r="AE661" s="7">
        <v>44.797536999999998</v>
      </c>
      <c r="AF661" s="7">
        <v>50</v>
      </c>
      <c r="AG661" s="7">
        <v>52.982052000000003</v>
      </c>
      <c r="AH661" s="7">
        <v>72.855682999999999</v>
      </c>
      <c r="AI661" s="7">
        <v>35.321368</v>
      </c>
      <c r="AJ661" s="7">
        <v>50</v>
      </c>
      <c r="AK661" s="7">
        <v>10.24</v>
      </c>
      <c r="AL661" s="7">
        <v>14.98</v>
      </c>
      <c r="AM661" s="7">
        <v>19.87</v>
      </c>
      <c r="AN661" s="7">
        <v>0.56202399999999997</v>
      </c>
      <c r="AO661" s="7">
        <v>56.202432999999999</v>
      </c>
      <c r="AP661" s="7">
        <v>100</v>
      </c>
      <c r="AQ661" s="7">
        <v>0.676091</v>
      </c>
      <c r="AR661" s="7">
        <v>67.609105999999997</v>
      </c>
      <c r="AS661" s="7">
        <v>100</v>
      </c>
      <c r="AT661" s="7">
        <v>0.40594200000000003</v>
      </c>
      <c r="AU661" s="7">
        <v>0.607931</v>
      </c>
      <c r="AV661" s="7">
        <v>40.594234</v>
      </c>
      <c r="AW661" s="7">
        <v>100</v>
      </c>
      <c r="AX661" s="7">
        <v>0.54620299999999999</v>
      </c>
      <c r="AY661" s="7">
        <v>0.71429299999999996</v>
      </c>
      <c r="AZ661" s="7">
        <v>54.620323999999997</v>
      </c>
      <c r="BA661" s="7">
        <v>100</v>
      </c>
      <c r="BB661" s="4" t="s">
        <v>124</v>
      </c>
      <c r="BC661" s="4" t="s">
        <v>124</v>
      </c>
      <c r="BD661" s="4" t="s">
        <v>124</v>
      </c>
      <c r="BE661" s="4" t="s">
        <v>124</v>
      </c>
      <c r="BF661" s="4" t="s">
        <v>124</v>
      </c>
      <c r="BG661" s="4" t="s">
        <v>124</v>
      </c>
      <c r="BH661" s="7">
        <v>0</v>
      </c>
      <c r="BI661" s="7">
        <v>0.98446599999999995</v>
      </c>
      <c r="BJ661" s="7">
        <v>0.97058800000000001</v>
      </c>
      <c r="BK661" s="7">
        <v>0.98944600000000005</v>
      </c>
      <c r="BL661" s="7">
        <v>0.98058299999999998</v>
      </c>
      <c r="BM661" s="7">
        <v>0.96323499999999995</v>
      </c>
      <c r="BN661" s="7">
        <v>0.98680699999999999</v>
      </c>
      <c r="BO661" s="7">
        <v>0.980769</v>
      </c>
      <c r="BP661" s="7">
        <v>0.97777800000000004</v>
      </c>
      <c r="BQ661" s="7">
        <v>0.98198200000000002</v>
      </c>
      <c r="BR661" s="7">
        <v>5.4369000000000001E-2</v>
      </c>
      <c r="BS661" s="7">
        <v>49.126213999999997</v>
      </c>
      <c r="BT661" s="7">
        <v>50</v>
      </c>
      <c r="BU661" s="7">
        <v>0.104478</v>
      </c>
      <c r="BV661" s="7">
        <v>39.104478</v>
      </c>
      <c r="BW661" s="7">
        <v>50</v>
      </c>
      <c r="BX661" s="4" t="s">
        <v>124</v>
      </c>
      <c r="BY661" s="4" t="s">
        <v>124</v>
      </c>
      <c r="BZ661" s="4" t="s">
        <v>124</v>
      </c>
      <c r="CA661" s="4" t="s">
        <v>124</v>
      </c>
      <c r="CB661" s="4" t="s">
        <v>124</v>
      </c>
      <c r="CC661" s="4" t="s">
        <v>124</v>
      </c>
      <c r="CD661" s="7">
        <v>0.97206700000000001</v>
      </c>
      <c r="CE661" s="7">
        <v>50</v>
      </c>
      <c r="CF661" s="7">
        <v>50</v>
      </c>
      <c r="CG661" s="4" t="s">
        <v>124</v>
      </c>
      <c r="CH661" s="4" t="s">
        <v>124</v>
      </c>
      <c r="CI661" s="4" t="s">
        <v>124</v>
      </c>
      <c r="CJ661" s="4" t="s">
        <v>124</v>
      </c>
      <c r="CK661" s="4" t="s">
        <v>124</v>
      </c>
      <c r="CL661" s="4" t="s">
        <v>124</v>
      </c>
      <c r="CM661" s="4" t="s">
        <v>124</v>
      </c>
      <c r="CN661" s="4" t="s">
        <v>124</v>
      </c>
      <c r="CO661" s="4" t="s">
        <v>124</v>
      </c>
      <c r="CP661" s="4" t="s">
        <v>124</v>
      </c>
      <c r="CQ661" s="7">
        <v>0.60802500000000004</v>
      </c>
      <c r="CR661" s="7">
        <v>0.98181799999999997</v>
      </c>
      <c r="CS661" s="7">
        <v>40.534979</v>
      </c>
      <c r="CT661" s="7">
        <v>50</v>
      </c>
      <c r="CU661" s="4" t="s">
        <v>124</v>
      </c>
      <c r="CV661" s="4" t="s">
        <v>124</v>
      </c>
      <c r="CW661" s="4" t="s">
        <v>124</v>
      </c>
      <c r="CX661" s="4" t="s">
        <v>124</v>
      </c>
      <c r="CY661" s="4" t="s">
        <v>124</v>
      </c>
      <c r="CZ661" s="4" t="s">
        <v>124</v>
      </c>
      <c r="DA661" s="7">
        <v>15.314097</v>
      </c>
      <c r="DB661" s="7">
        <v>17.400950000000002</v>
      </c>
      <c r="DC661" s="7">
        <v>16.332519999999999</v>
      </c>
      <c r="DD661" s="4" t="s">
        <v>124</v>
      </c>
      <c r="DE661" s="7">
        <v>1</v>
      </c>
      <c r="DF661" s="6"/>
      <c r="DG661" s="6"/>
      <c r="DH661" s="6"/>
      <c r="DI661" s="6"/>
      <c r="DJ661" s="7">
        <v>0</v>
      </c>
      <c r="DK661" s="7">
        <v>0</v>
      </c>
      <c r="DL661" s="7">
        <v>0</v>
      </c>
      <c r="DM661" s="7">
        <v>0</v>
      </c>
      <c r="DN661" s="7">
        <v>0</v>
      </c>
      <c r="DO661" s="7">
        <v>0</v>
      </c>
      <c r="DP661" s="6"/>
      <c r="DQ661" s="4" t="s">
        <v>125</v>
      </c>
    </row>
    <row r="662" spans="1:121" ht="20" customHeight="1" x14ac:dyDescent="0.15">
      <c r="A662" s="5">
        <v>2018</v>
      </c>
      <c r="B662" s="3" t="s">
        <v>229</v>
      </c>
      <c r="C662" s="4" t="str">
        <f t="shared" si="104"/>
        <v>0920011</v>
      </c>
      <c r="D662" s="4" t="s">
        <v>819</v>
      </c>
      <c r="E662" s="4" t="str">
        <f>"0920311"</f>
        <v>0920311</v>
      </c>
      <c r="F662" s="4" t="s">
        <v>327</v>
      </c>
      <c r="G662" s="7">
        <v>3</v>
      </c>
      <c r="H662" s="7">
        <v>6</v>
      </c>
      <c r="I662" s="4" t="s">
        <v>329</v>
      </c>
      <c r="J662" s="4" t="s">
        <v>330</v>
      </c>
      <c r="K662" s="7">
        <v>562.94608600000004</v>
      </c>
      <c r="L662" s="7">
        <v>800</v>
      </c>
      <c r="M662" s="7">
        <v>70.368261000000004</v>
      </c>
      <c r="N662" s="7">
        <v>2</v>
      </c>
      <c r="O662" s="7">
        <v>0</v>
      </c>
      <c r="P662" s="7">
        <v>74.927463000000003</v>
      </c>
      <c r="Q662" s="7">
        <v>49.951642</v>
      </c>
      <c r="R662" s="7">
        <v>50</v>
      </c>
      <c r="S662" s="7">
        <v>63.956159</v>
      </c>
      <c r="T662" s="7">
        <v>75</v>
      </c>
      <c r="U662" s="7">
        <v>42.637439000000001</v>
      </c>
      <c r="V662" s="7">
        <v>50</v>
      </c>
      <c r="W662" s="7">
        <v>68.701695000000001</v>
      </c>
      <c r="X662" s="7">
        <v>45.801130000000001</v>
      </c>
      <c r="Y662" s="7">
        <v>50</v>
      </c>
      <c r="Z662" s="7">
        <v>72.427251999999996</v>
      </c>
      <c r="AA662" s="7">
        <v>57.696970999999998</v>
      </c>
      <c r="AB662" s="7">
        <v>38.464647999999997</v>
      </c>
      <c r="AC662" s="7">
        <v>50</v>
      </c>
      <c r="AD662" s="7">
        <v>64.531126</v>
      </c>
      <c r="AE662" s="7">
        <v>43.020750999999997</v>
      </c>
      <c r="AF662" s="7">
        <v>50</v>
      </c>
      <c r="AG662" s="4" t="s">
        <v>124</v>
      </c>
      <c r="AH662" s="7">
        <v>67.237808999999999</v>
      </c>
      <c r="AI662" s="4" t="s">
        <v>124</v>
      </c>
      <c r="AJ662" s="4" t="s">
        <v>124</v>
      </c>
      <c r="AK662" s="7">
        <v>11.04</v>
      </c>
      <c r="AL662" s="7">
        <v>14.73</v>
      </c>
      <c r="AM662" s="4" t="s">
        <v>124</v>
      </c>
      <c r="AN662" s="7">
        <v>0.63203600000000004</v>
      </c>
      <c r="AO662" s="7">
        <v>63.203620999999998</v>
      </c>
      <c r="AP662" s="7">
        <v>100</v>
      </c>
      <c r="AQ662" s="7">
        <v>0.62339900000000004</v>
      </c>
      <c r="AR662" s="7">
        <v>62.339942999999998</v>
      </c>
      <c r="AS662" s="7">
        <v>100</v>
      </c>
      <c r="AT662" s="7">
        <v>0.502718</v>
      </c>
      <c r="AU662" s="7">
        <v>0.67360299999999995</v>
      </c>
      <c r="AV662" s="7">
        <v>50.271818000000003</v>
      </c>
      <c r="AW662" s="7">
        <v>100</v>
      </c>
      <c r="AX662" s="7">
        <v>0.59947899999999998</v>
      </c>
      <c r="AY662" s="7">
        <v>0.63114300000000001</v>
      </c>
      <c r="AZ662" s="7">
        <v>59.947902999999997</v>
      </c>
      <c r="BA662" s="7">
        <v>100</v>
      </c>
      <c r="BB662" s="4" t="s">
        <v>124</v>
      </c>
      <c r="BC662" s="4" t="s">
        <v>124</v>
      </c>
      <c r="BD662" s="4" t="s">
        <v>124</v>
      </c>
      <c r="BE662" s="4" t="s">
        <v>124</v>
      </c>
      <c r="BF662" s="4" t="s">
        <v>124</v>
      </c>
      <c r="BG662" s="4" t="s">
        <v>124</v>
      </c>
      <c r="BH662" s="7">
        <v>0</v>
      </c>
      <c r="BI662" s="7">
        <v>0.99236599999999997</v>
      </c>
      <c r="BJ662" s="7">
        <v>0.98507500000000003</v>
      </c>
      <c r="BK662" s="7">
        <v>0.99487199999999998</v>
      </c>
      <c r="BL662" s="7">
        <v>0.99236599999999997</v>
      </c>
      <c r="BM662" s="7">
        <v>0.98507500000000003</v>
      </c>
      <c r="BN662" s="7">
        <v>0.99487199999999998</v>
      </c>
      <c r="BO662" s="7">
        <v>1</v>
      </c>
      <c r="BP662" s="4" t="s">
        <v>124</v>
      </c>
      <c r="BQ662" s="7">
        <v>1</v>
      </c>
      <c r="BR662" s="7">
        <v>8.0153000000000002E-2</v>
      </c>
      <c r="BS662" s="7">
        <v>43.969465999999997</v>
      </c>
      <c r="BT662" s="7">
        <v>50</v>
      </c>
      <c r="BU662" s="7">
        <v>0.144928</v>
      </c>
      <c r="BV662" s="7">
        <v>31.014493000000002</v>
      </c>
      <c r="BW662" s="7">
        <v>50</v>
      </c>
      <c r="BX662" s="4" t="s">
        <v>124</v>
      </c>
      <c r="BY662" s="4" t="s">
        <v>124</v>
      </c>
      <c r="BZ662" s="4" t="s">
        <v>124</v>
      </c>
      <c r="CA662" s="4" t="s">
        <v>124</v>
      </c>
      <c r="CB662" s="4" t="s">
        <v>124</v>
      </c>
      <c r="CC662" s="4" t="s">
        <v>124</v>
      </c>
      <c r="CD662" s="4" t="s">
        <v>124</v>
      </c>
      <c r="CE662" s="4" t="s">
        <v>124</v>
      </c>
      <c r="CF662" s="4" t="s">
        <v>124</v>
      </c>
      <c r="CG662" s="4" t="s">
        <v>124</v>
      </c>
      <c r="CH662" s="4" t="s">
        <v>124</v>
      </c>
      <c r="CI662" s="4" t="s">
        <v>124</v>
      </c>
      <c r="CJ662" s="4" t="s">
        <v>124</v>
      </c>
      <c r="CK662" s="4" t="s">
        <v>124</v>
      </c>
      <c r="CL662" s="4" t="s">
        <v>124</v>
      </c>
      <c r="CM662" s="4" t="s">
        <v>124</v>
      </c>
      <c r="CN662" s="4" t="s">
        <v>124</v>
      </c>
      <c r="CO662" s="4" t="s">
        <v>124</v>
      </c>
      <c r="CP662" s="4" t="s">
        <v>124</v>
      </c>
      <c r="CQ662" s="7">
        <v>0.484848</v>
      </c>
      <c r="CR662" s="7">
        <v>0.99248099999999995</v>
      </c>
      <c r="CS662" s="7">
        <v>32.323231999999997</v>
      </c>
      <c r="CT662" s="7">
        <v>50</v>
      </c>
      <c r="CU662" s="4" t="s">
        <v>124</v>
      </c>
      <c r="CV662" s="4" t="s">
        <v>124</v>
      </c>
      <c r="CW662" s="4" t="s">
        <v>124</v>
      </c>
      <c r="CX662" s="4" t="s">
        <v>124</v>
      </c>
      <c r="CY662" s="4" t="s">
        <v>124</v>
      </c>
      <c r="CZ662" s="4" t="s">
        <v>124</v>
      </c>
      <c r="DA662" s="7">
        <v>15.314097</v>
      </c>
      <c r="DB662" s="7">
        <v>17.400950000000002</v>
      </c>
      <c r="DC662" s="7">
        <v>16.332519999999999</v>
      </c>
      <c r="DD662" s="4" t="s">
        <v>124</v>
      </c>
      <c r="DE662" s="7">
        <v>0</v>
      </c>
      <c r="DF662" s="6"/>
      <c r="DG662" s="6"/>
      <c r="DH662" s="6"/>
      <c r="DI662" s="6"/>
      <c r="DJ662" s="7">
        <v>0</v>
      </c>
      <c r="DK662" s="7">
        <v>0</v>
      </c>
      <c r="DL662" s="7">
        <v>0</v>
      </c>
      <c r="DM662" s="7">
        <v>0</v>
      </c>
      <c r="DN662" s="7">
        <v>0</v>
      </c>
      <c r="DO662" s="7">
        <v>0</v>
      </c>
      <c r="DP662" s="6"/>
      <c r="DQ662" s="4" t="s">
        <v>125</v>
      </c>
    </row>
    <row r="663" spans="1:121" ht="20" customHeight="1" x14ac:dyDescent="0.15">
      <c r="A663" s="5">
        <v>2018</v>
      </c>
      <c r="B663" s="3" t="s">
        <v>229</v>
      </c>
      <c r="C663" s="4" t="str">
        <f t="shared" ref="C663:C664" si="229">"0920011"</f>
        <v>0920011</v>
      </c>
      <c r="D663" s="4" t="s">
        <v>820</v>
      </c>
      <c r="E663" s="4" t="str">
        <f>"0920111"</f>
        <v>0920111</v>
      </c>
      <c r="F663" s="4" t="s">
        <v>327</v>
      </c>
      <c r="G663" s="4" t="s">
        <v>338</v>
      </c>
      <c r="H663" s="7">
        <v>2</v>
      </c>
      <c r="I663" s="6"/>
      <c r="J663" s="4" t="s">
        <v>330</v>
      </c>
      <c r="K663" s="7">
        <v>50</v>
      </c>
      <c r="L663" s="7">
        <v>50</v>
      </c>
      <c r="M663" s="7">
        <v>100</v>
      </c>
      <c r="N663" s="4" t="s">
        <v>124</v>
      </c>
      <c r="O663" s="4" t="s">
        <v>124</v>
      </c>
      <c r="P663" s="4" t="s">
        <v>124</v>
      </c>
      <c r="Q663" s="4" t="s">
        <v>124</v>
      </c>
      <c r="R663" s="4" t="s">
        <v>124</v>
      </c>
      <c r="S663" s="4" t="s">
        <v>124</v>
      </c>
      <c r="T663" s="4" t="s">
        <v>124</v>
      </c>
      <c r="U663" s="4" t="s">
        <v>124</v>
      </c>
      <c r="V663" s="4" t="s">
        <v>124</v>
      </c>
      <c r="W663" s="4" t="s">
        <v>124</v>
      </c>
      <c r="X663" s="4" t="s">
        <v>124</v>
      </c>
      <c r="Y663" s="4" t="s">
        <v>124</v>
      </c>
      <c r="Z663" s="4" t="s">
        <v>124</v>
      </c>
      <c r="AA663" s="4" t="s">
        <v>124</v>
      </c>
      <c r="AB663" s="4" t="s">
        <v>124</v>
      </c>
      <c r="AC663" s="4" t="s">
        <v>124</v>
      </c>
      <c r="AD663" s="4" t="s">
        <v>124</v>
      </c>
      <c r="AE663" s="4" t="s">
        <v>124</v>
      </c>
      <c r="AF663" s="4" t="s">
        <v>124</v>
      </c>
      <c r="AG663" s="4" t="s">
        <v>124</v>
      </c>
      <c r="AH663" s="4" t="s">
        <v>124</v>
      </c>
      <c r="AI663" s="4" t="s">
        <v>124</v>
      </c>
      <c r="AJ663" s="4" t="s">
        <v>124</v>
      </c>
      <c r="AK663" s="4" t="s">
        <v>124</v>
      </c>
      <c r="AL663" s="4" t="s">
        <v>124</v>
      </c>
      <c r="AM663" s="4" t="s">
        <v>124</v>
      </c>
      <c r="AN663" s="4" t="s">
        <v>124</v>
      </c>
      <c r="AO663" s="4" t="s">
        <v>124</v>
      </c>
      <c r="AP663" s="4" t="s">
        <v>124</v>
      </c>
      <c r="AQ663" s="4" t="s">
        <v>124</v>
      </c>
      <c r="AR663" s="4" t="s">
        <v>124</v>
      </c>
      <c r="AS663" s="4" t="s">
        <v>124</v>
      </c>
      <c r="AT663" s="4" t="s">
        <v>124</v>
      </c>
      <c r="AU663" s="4" t="s">
        <v>124</v>
      </c>
      <c r="AV663" s="4" t="s">
        <v>124</v>
      </c>
      <c r="AW663" s="4" t="s">
        <v>124</v>
      </c>
      <c r="AX663" s="4" t="s">
        <v>124</v>
      </c>
      <c r="AY663" s="4" t="s">
        <v>124</v>
      </c>
      <c r="AZ663" s="4" t="s">
        <v>124</v>
      </c>
      <c r="BA663" s="4" t="s">
        <v>124</v>
      </c>
      <c r="BB663" s="4" t="s">
        <v>124</v>
      </c>
      <c r="BC663" s="4" t="s">
        <v>124</v>
      </c>
      <c r="BD663" s="4" t="s">
        <v>124</v>
      </c>
      <c r="BE663" s="4" t="s">
        <v>124</v>
      </c>
      <c r="BF663" s="4" t="s">
        <v>124</v>
      </c>
      <c r="BG663" s="4" t="s">
        <v>124</v>
      </c>
      <c r="BH663" s="4" t="s">
        <v>124</v>
      </c>
      <c r="BI663" s="4" t="s">
        <v>124</v>
      </c>
      <c r="BJ663" s="4" t="s">
        <v>124</v>
      </c>
      <c r="BK663" s="4" t="s">
        <v>124</v>
      </c>
      <c r="BL663" s="4" t="s">
        <v>124</v>
      </c>
      <c r="BM663" s="4" t="s">
        <v>124</v>
      </c>
      <c r="BN663" s="4" t="s">
        <v>124</v>
      </c>
      <c r="BO663" s="4" t="s">
        <v>124</v>
      </c>
      <c r="BP663" s="4" t="s">
        <v>124</v>
      </c>
      <c r="BQ663" s="4" t="s">
        <v>124</v>
      </c>
      <c r="BR663" s="7">
        <v>4.3956000000000002E-2</v>
      </c>
      <c r="BS663" s="7">
        <v>50</v>
      </c>
      <c r="BT663" s="7">
        <v>50</v>
      </c>
      <c r="BU663" s="4" t="s">
        <v>124</v>
      </c>
      <c r="BV663" s="4" t="s">
        <v>124</v>
      </c>
      <c r="BW663" s="4" t="s">
        <v>124</v>
      </c>
      <c r="BX663" s="4" t="s">
        <v>124</v>
      </c>
      <c r="BY663" s="4" t="s">
        <v>124</v>
      </c>
      <c r="BZ663" s="4" t="s">
        <v>124</v>
      </c>
      <c r="CA663" s="4" t="s">
        <v>124</v>
      </c>
      <c r="CB663" s="4" t="s">
        <v>124</v>
      </c>
      <c r="CC663" s="4" t="s">
        <v>124</v>
      </c>
      <c r="CD663" s="4" t="s">
        <v>124</v>
      </c>
      <c r="CE663" s="4" t="s">
        <v>124</v>
      </c>
      <c r="CF663" s="4" t="s">
        <v>124</v>
      </c>
      <c r="CG663" s="4" t="s">
        <v>124</v>
      </c>
      <c r="CH663" s="4" t="s">
        <v>124</v>
      </c>
      <c r="CI663" s="4" t="s">
        <v>124</v>
      </c>
      <c r="CJ663" s="4" t="s">
        <v>124</v>
      </c>
      <c r="CK663" s="4" t="s">
        <v>124</v>
      </c>
      <c r="CL663" s="4" t="s">
        <v>124</v>
      </c>
      <c r="CM663" s="4" t="s">
        <v>124</v>
      </c>
      <c r="CN663" s="4" t="s">
        <v>124</v>
      </c>
      <c r="CO663" s="4" t="s">
        <v>124</v>
      </c>
      <c r="CP663" s="4" t="s">
        <v>124</v>
      </c>
      <c r="CQ663" s="4" t="s">
        <v>124</v>
      </c>
      <c r="CR663" s="4" t="s">
        <v>124</v>
      </c>
      <c r="CS663" s="4" t="s">
        <v>124</v>
      </c>
      <c r="CT663" s="4" t="s">
        <v>124</v>
      </c>
      <c r="CU663" s="4" t="s">
        <v>124</v>
      </c>
      <c r="CV663" s="4" t="s">
        <v>124</v>
      </c>
      <c r="CW663" s="4" t="s">
        <v>124</v>
      </c>
      <c r="CX663" s="4" t="s">
        <v>124</v>
      </c>
      <c r="CY663" s="4" t="s">
        <v>124</v>
      </c>
      <c r="CZ663" s="4" t="s">
        <v>124</v>
      </c>
      <c r="DA663" s="4" t="s">
        <v>124</v>
      </c>
      <c r="DB663" s="4" t="s">
        <v>124</v>
      </c>
      <c r="DC663" s="4" t="s">
        <v>124</v>
      </c>
      <c r="DD663" s="4" t="s">
        <v>124</v>
      </c>
      <c r="DE663" s="4" t="s">
        <v>124</v>
      </c>
      <c r="DF663" s="6"/>
      <c r="DG663" s="6"/>
      <c r="DH663" s="6"/>
      <c r="DI663" s="6"/>
      <c r="DJ663" s="4" t="s">
        <v>124</v>
      </c>
      <c r="DK663" s="4" t="s">
        <v>124</v>
      </c>
      <c r="DL663" s="4" t="s">
        <v>124</v>
      </c>
      <c r="DM663" s="4" t="s">
        <v>124</v>
      </c>
      <c r="DN663" s="4" t="s">
        <v>124</v>
      </c>
      <c r="DO663" s="4" t="s">
        <v>124</v>
      </c>
      <c r="DP663" s="6"/>
      <c r="DQ663" s="4" t="s">
        <v>125</v>
      </c>
    </row>
    <row r="664" spans="1:121" ht="20" customHeight="1" x14ac:dyDescent="0.15">
      <c r="A664" s="5">
        <v>2018</v>
      </c>
      <c r="B664" s="3" t="s">
        <v>229</v>
      </c>
      <c r="C664" s="4" t="str">
        <f t="shared" si="229"/>
        <v>0920011</v>
      </c>
      <c r="D664" s="4" t="s">
        <v>821</v>
      </c>
      <c r="E664" s="4" t="str">
        <f>"0920211"</f>
        <v>0920211</v>
      </c>
      <c r="F664" s="4" t="s">
        <v>327</v>
      </c>
      <c r="G664" s="4" t="s">
        <v>328</v>
      </c>
      <c r="H664" s="7">
        <v>2</v>
      </c>
      <c r="I664" s="4" t="s">
        <v>329</v>
      </c>
      <c r="J664" s="4" t="s">
        <v>330</v>
      </c>
      <c r="K664" s="7">
        <v>97.5</v>
      </c>
      <c r="L664" s="7">
        <v>100</v>
      </c>
      <c r="M664" s="7">
        <v>97.5</v>
      </c>
      <c r="N664" s="4" t="s">
        <v>124</v>
      </c>
      <c r="O664" s="4" t="s">
        <v>124</v>
      </c>
      <c r="P664" s="4" t="s">
        <v>124</v>
      </c>
      <c r="Q664" s="4" t="s">
        <v>124</v>
      </c>
      <c r="R664" s="4" t="s">
        <v>124</v>
      </c>
      <c r="S664" s="4" t="s">
        <v>124</v>
      </c>
      <c r="T664" s="4" t="s">
        <v>124</v>
      </c>
      <c r="U664" s="4" t="s">
        <v>124</v>
      </c>
      <c r="V664" s="4" t="s">
        <v>124</v>
      </c>
      <c r="W664" s="4" t="s">
        <v>124</v>
      </c>
      <c r="X664" s="4" t="s">
        <v>124</v>
      </c>
      <c r="Y664" s="4" t="s">
        <v>124</v>
      </c>
      <c r="Z664" s="4" t="s">
        <v>124</v>
      </c>
      <c r="AA664" s="4" t="s">
        <v>124</v>
      </c>
      <c r="AB664" s="4" t="s">
        <v>124</v>
      </c>
      <c r="AC664" s="4" t="s">
        <v>124</v>
      </c>
      <c r="AD664" s="4" t="s">
        <v>124</v>
      </c>
      <c r="AE664" s="4" t="s">
        <v>124</v>
      </c>
      <c r="AF664" s="4" t="s">
        <v>124</v>
      </c>
      <c r="AG664" s="4" t="s">
        <v>124</v>
      </c>
      <c r="AH664" s="4" t="s">
        <v>124</v>
      </c>
      <c r="AI664" s="4" t="s">
        <v>124</v>
      </c>
      <c r="AJ664" s="4" t="s">
        <v>124</v>
      </c>
      <c r="AK664" s="4" t="s">
        <v>124</v>
      </c>
      <c r="AL664" s="4" t="s">
        <v>124</v>
      </c>
      <c r="AM664" s="4" t="s">
        <v>124</v>
      </c>
      <c r="AN664" s="4" t="s">
        <v>124</v>
      </c>
      <c r="AO664" s="4" t="s">
        <v>124</v>
      </c>
      <c r="AP664" s="4" t="s">
        <v>124</v>
      </c>
      <c r="AQ664" s="4" t="s">
        <v>124</v>
      </c>
      <c r="AR664" s="4" t="s">
        <v>124</v>
      </c>
      <c r="AS664" s="4" t="s">
        <v>124</v>
      </c>
      <c r="AT664" s="4" t="s">
        <v>124</v>
      </c>
      <c r="AU664" s="4" t="s">
        <v>124</v>
      </c>
      <c r="AV664" s="4" t="s">
        <v>124</v>
      </c>
      <c r="AW664" s="4" t="s">
        <v>124</v>
      </c>
      <c r="AX664" s="4" t="s">
        <v>124</v>
      </c>
      <c r="AY664" s="4" t="s">
        <v>124</v>
      </c>
      <c r="AZ664" s="4" t="s">
        <v>124</v>
      </c>
      <c r="BA664" s="4" t="s">
        <v>124</v>
      </c>
      <c r="BB664" s="4" t="s">
        <v>124</v>
      </c>
      <c r="BC664" s="4" t="s">
        <v>124</v>
      </c>
      <c r="BD664" s="4" t="s">
        <v>124</v>
      </c>
      <c r="BE664" s="4" t="s">
        <v>124</v>
      </c>
      <c r="BF664" s="4" t="s">
        <v>124</v>
      </c>
      <c r="BG664" s="4" t="s">
        <v>124</v>
      </c>
      <c r="BH664" s="4" t="s">
        <v>124</v>
      </c>
      <c r="BI664" s="4" t="s">
        <v>124</v>
      </c>
      <c r="BJ664" s="4" t="s">
        <v>124</v>
      </c>
      <c r="BK664" s="4" t="s">
        <v>124</v>
      </c>
      <c r="BL664" s="4" t="s">
        <v>124</v>
      </c>
      <c r="BM664" s="4" t="s">
        <v>124</v>
      </c>
      <c r="BN664" s="4" t="s">
        <v>124</v>
      </c>
      <c r="BO664" s="4" t="s">
        <v>124</v>
      </c>
      <c r="BP664" s="4" t="s">
        <v>124</v>
      </c>
      <c r="BQ664" s="4" t="s">
        <v>124</v>
      </c>
      <c r="BR664" s="7">
        <v>0.04</v>
      </c>
      <c r="BS664" s="7">
        <v>50</v>
      </c>
      <c r="BT664" s="7">
        <v>50</v>
      </c>
      <c r="BU664" s="7">
        <v>6.25E-2</v>
      </c>
      <c r="BV664" s="7">
        <v>47.5</v>
      </c>
      <c r="BW664" s="7">
        <v>50</v>
      </c>
      <c r="BX664" s="4" t="s">
        <v>124</v>
      </c>
      <c r="BY664" s="4" t="s">
        <v>124</v>
      </c>
      <c r="BZ664" s="4" t="s">
        <v>124</v>
      </c>
      <c r="CA664" s="4" t="s">
        <v>124</v>
      </c>
      <c r="CB664" s="4" t="s">
        <v>124</v>
      </c>
      <c r="CC664" s="4" t="s">
        <v>124</v>
      </c>
      <c r="CD664" s="4" t="s">
        <v>124</v>
      </c>
      <c r="CE664" s="4" t="s">
        <v>124</v>
      </c>
      <c r="CF664" s="4" t="s">
        <v>124</v>
      </c>
      <c r="CG664" s="4" t="s">
        <v>124</v>
      </c>
      <c r="CH664" s="4" t="s">
        <v>124</v>
      </c>
      <c r="CI664" s="4" t="s">
        <v>124</v>
      </c>
      <c r="CJ664" s="4" t="s">
        <v>124</v>
      </c>
      <c r="CK664" s="4" t="s">
        <v>124</v>
      </c>
      <c r="CL664" s="4" t="s">
        <v>124</v>
      </c>
      <c r="CM664" s="4" t="s">
        <v>124</v>
      </c>
      <c r="CN664" s="4" t="s">
        <v>124</v>
      </c>
      <c r="CO664" s="4" t="s">
        <v>124</v>
      </c>
      <c r="CP664" s="4" t="s">
        <v>124</v>
      </c>
      <c r="CQ664" s="4" t="s">
        <v>124</v>
      </c>
      <c r="CR664" s="4" t="s">
        <v>124</v>
      </c>
      <c r="CS664" s="4" t="s">
        <v>124</v>
      </c>
      <c r="CT664" s="4" t="s">
        <v>124</v>
      </c>
      <c r="CU664" s="4" t="s">
        <v>124</v>
      </c>
      <c r="CV664" s="4" t="s">
        <v>124</v>
      </c>
      <c r="CW664" s="4" t="s">
        <v>124</v>
      </c>
      <c r="CX664" s="4" t="s">
        <v>124</v>
      </c>
      <c r="CY664" s="4" t="s">
        <v>124</v>
      </c>
      <c r="CZ664" s="4" t="s">
        <v>124</v>
      </c>
      <c r="DA664" s="4" t="s">
        <v>124</v>
      </c>
      <c r="DB664" s="4" t="s">
        <v>124</v>
      </c>
      <c r="DC664" s="4" t="s">
        <v>124</v>
      </c>
      <c r="DD664" s="4" t="s">
        <v>124</v>
      </c>
      <c r="DE664" s="4" t="s">
        <v>124</v>
      </c>
      <c r="DF664" s="6"/>
      <c r="DG664" s="6"/>
      <c r="DH664" s="6"/>
      <c r="DI664" s="6"/>
      <c r="DJ664" s="4" t="s">
        <v>124</v>
      </c>
      <c r="DK664" s="4" t="s">
        <v>124</v>
      </c>
      <c r="DL664" s="4" t="s">
        <v>124</v>
      </c>
      <c r="DM664" s="4" t="s">
        <v>124</v>
      </c>
      <c r="DN664" s="4" t="s">
        <v>124</v>
      </c>
      <c r="DO664" s="4" t="s">
        <v>124</v>
      </c>
      <c r="DP664" s="6"/>
      <c r="DQ664" s="4" t="s">
        <v>125</v>
      </c>
    </row>
    <row r="665" spans="1:121" ht="20" customHeight="1" x14ac:dyDescent="0.15">
      <c r="A665" s="5">
        <v>2018</v>
      </c>
      <c r="B665" s="3" t="s">
        <v>205</v>
      </c>
      <c r="C665" s="4" t="str">
        <f t="shared" si="80"/>
        <v>0930011</v>
      </c>
      <c r="D665" s="4" t="s">
        <v>822</v>
      </c>
      <c r="E665" s="4" t="str">
        <f>"0931511"</f>
        <v>0931511</v>
      </c>
      <c r="F665" s="4" t="s">
        <v>327</v>
      </c>
      <c r="G665" s="4" t="s">
        <v>328</v>
      </c>
      <c r="H665" s="7">
        <v>8</v>
      </c>
      <c r="I665" s="4" t="s">
        <v>335</v>
      </c>
      <c r="J665" s="4" t="s">
        <v>330</v>
      </c>
      <c r="K665" s="7">
        <v>482.06196399999999</v>
      </c>
      <c r="L665" s="7">
        <v>1000</v>
      </c>
      <c r="M665" s="7">
        <v>48.206195999999998</v>
      </c>
      <c r="N665" s="7">
        <v>5</v>
      </c>
      <c r="O665" s="7">
        <v>0</v>
      </c>
      <c r="P665" s="7">
        <v>48.332469000000003</v>
      </c>
      <c r="Q665" s="7">
        <v>32.221646</v>
      </c>
      <c r="R665" s="7">
        <v>50</v>
      </c>
      <c r="S665" s="7">
        <v>46.610047000000002</v>
      </c>
      <c r="T665" s="7">
        <v>60.806980000000003</v>
      </c>
      <c r="U665" s="7">
        <v>31.073364000000002</v>
      </c>
      <c r="V665" s="7">
        <v>50</v>
      </c>
      <c r="W665" s="7">
        <v>37.434894</v>
      </c>
      <c r="X665" s="7">
        <v>24.956596000000001</v>
      </c>
      <c r="Y665" s="7">
        <v>50</v>
      </c>
      <c r="Z665" s="7">
        <v>46.5745</v>
      </c>
      <c r="AA665" s="7">
        <v>36.211179999999999</v>
      </c>
      <c r="AB665" s="7">
        <v>24.140787</v>
      </c>
      <c r="AC665" s="7">
        <v>50</v>
      </c>
      <c r="AD665" s="7">
        <v>50.889930999999997</v>
      </c>
      <c r="AE665" s="7">
        <v>33.926620999999997</v>
      </c>
      <c r="AF665" s="7">
        <v>50</v>
      </c>
      <c r="AG665" s="7">
        <v>50.024773000000003</v>
      </c>
      <c r="AH665" s="4" t="s">
        <v>124</v>
      </c>
      <c r="AI665" s="7">
        <v>33.349848000000001</v>
      </c>
      <c r="AJ665" s="7">
        <v>50</v>
      </c>
      <c r="AK665" s="7">
        <v>14.19</v>
      </c>
      <c r="AL665" s="7">
        <v>10.36</v>
      </c>
      <c r="AM665" s="4" t="s">
        <v>124</v>
      </c>
      <c r="AN665" s="7">
        <v>0.41384799999999999</v>
      </c>
      <c r="AO665" s="7">
        <v>41.384849000000003</v>
      </c>
      <c r="AP665" s="7">
        <v>100</v>
      </c>
      <c r="AQ665" s="7">
        <v>0.36374299999999998</v>
      </c>
      <c r="AR665" s="7">
        <v>36.374335000000002</v>
      </c>
      <c r="AS665" s="7">
        <v>100</v>
      </c>
      <c r="AT665" s="7">
        <v>0.39865400000000001</v>
      </c>
      <c r="AU665" s="4" t="s">
        <v>124</v>
      </c>
      <c r="AV665" s="7">
        <v>39.865367999999997</v>
      </c>
      <c r="AW665" s="7">
        <v>100</v>
      </c>
      <c r="AX665" s="7">
        <v>0.34895900000000002</v>
      </c>
      <c r="AY665" s="4" t="s">
        <v>124</v>
      </c>
      <c r="AZ665" s="7">
        <v>34.895876000000001</v>
      </c>
      <c r="BA665" s="7">
        <v>100</v>
      </c>
      <c r="BB665" s="7">
        <v>0.76952200000000004</v>
      </c>
      <c r="BC665" s="7">
        <v>38.476109000000001</v>
      </c>
      <c r="BD665" s="7">
        <v>50</v>
      </c>
      <c r="BE665" s="7">
        <v>0.338341</v>
      </c>
      <c r="BF665" s="7">
        <v>16.917045999999999</v>
      </c>
      <c r="BG665" s="7">
        <v>50</v>
      </c>
      <c r="BH665" s="7">
        <v>0</v>
      </c>
      <c r="BI665" s="7">
        <v>0.99026000000000003</v>
      </c>
      <c r="BJ665" s="7">
        <v>0.988506</v>
      </c>
      <c r="BK665" s="7">
        <v>1</v>
      </c>
      <c r="BL665" s="7">
        <v>0.990228</v>
      </c>
      <c r="BM665" s="7">
        <v>0.988506</v>
      </c>
      <c r="BN665" s="7">
        <v>1</v>
      </c>
      <c r="BO665" s="7">
        <v>0.99145300000000003</v>
      </c>
      <c r="BP665" s="7">
        <v>0.99009899999999995</v>
      </c>
      <c r="BQ665" s="4" t="s">
        <v>124</v>
      </c>
      <c r="BR665" s="7">
        <v>0.27231100000000003</v>
      </c>
      <c r="BS665" s="7">
        <v>5.537757</v>
      </c>
      <c r="BT665" s="7">
        <v>50</v>
      </c>
      <c r="BU665" s="7">
        <v>0.27665699999999999</v>
      </c>
      <c r="BV665" s="7">
        <v>4.6685879999999997</v>
      </c>
      <c r="BW665" s="7">
        <v>50</v>
      </c>
      <c r="BX665" s="4" t="s">
        <v>124</v>
      </c>
      <c r="BY665" s="4" t="s">
        <v>124</v>
      </c>
      <c r="BZ665" s="4" t="s">
        <v>124</v>
      </c>
      <c r="CA665" s="4" t="s">
        <v>124</v>
      </c>
      <c r="CB665" s="4" t="s">
        <v>124</v>
      </c>
      <c r="CC665" s="4" t="s">
        <v>124</v>
      </c>
      <c r="CD665" s="7">
        <v>0.769231</v>
      </c>
      <c r="CE665" s="7">
        <v>40.916530000000002</v>
      </c>
      <c r="CF665" s="7">
        <v>50</v>
      </c>
      <c r="CG665" s="4" t="s">
        <v>124</v>
      </c>
      <c r="CH665" s="4" t="s">
        <v>124</v>
      </c>
      <c r="CI665" s="4" t="s">
        <v>124</v>
      </c>
      <c r="CJ665" s="4" t="s">
        <v>124</v>
      </c>
      <c r="CK665" s="4" t="s">
        <v>124</v>
      </c>
      <c r="CL665" s="4" t="s">
        <v>124</v>
      </c>
      <c r="CM665" s="4" t="s">
        <v>124</v>
      </c>
      <c r="CN665" s="4" t="s">
        <v>124</v>
      </c>
      <c r="CO665" s="4" t="s">
        <v>124</v>
      </c>
      <c r="CP665" s="4" t="s">
        <v>124</v>
      </c>
      <c r="CQ665" s="7">
        <v>0.65034999999999998</v>
      </c>
      <c r="CR665" s="7">
        <v>0.97945199999999999</v>
      </c>
      <c r="CS665" s="7">
        <v>43.356642999999998</v>
      </c>
      <c r="CT665" s="7">
        <v>50</v>
      </c>
      <c r="CU665" s="4" t="s">
        <v>124</v>
      </c>
      <c r="CV665" s="4" t="s">
        <v>124</v>
      </c>
      <c r="CW665" s="4" t="s">
        <v>124</v>
      </c>
      <c r="CX665" s="4" t="s">
        <v>124</v>
      </c>
      <c r="CY665" s="4" t="s">
        <v>124</v>
      </c>
      <c r="CZ665" s="4" t="s">
        <v>124</v>
      </c>
      <c r="DA665" s="7">
        <v>15.314097</v>
      </c>
      <c r="DB665" s="7">
        <v>17.400950000000002</v>
      </c>
      <c r="DC665" s="7">
        <v>16.332519999999999</v>
      </c>
      <c r="DD665" s="4" t="s">
        <v>124</v>
      </c>
      <c r="DE665" s="7">
        <v>0</v>
      </c>
      <c r="DF665" s="4" t="s">
        <v>375</v>
      </c>
      <c r="DG665" s="4" t="s">
        <v>376</v>
      </c>
      <c r="DH665" s="6"/>
      <c r="DI665" s="6"/>
      <c r="DJ665" s="7">
        <v>0</v>
      </c>
      <c r="DK665" s="7">
        <v>0</v>
      </c>
      <c r="DL665" s="7">
        <v>0</v>
      </c>
      <c r="DM665" s="7">
        <v>0</v>
      </c>
      <c r="DN665" s="7">
        <v>0</v>
      </c>
      <c r="DO665" s="7">
        <v>0</v>
      </c>
      <c r="DP665" s="6"/>
      <c r="DQ665" s="4" t="s">
        <v>125</v>
      </c>
    </row>
    <row r="666" spans="1:121" ht="20" customHeight="1" x14ac:dyDescent="0.15">
      <c r="A666" s="5">
        <v>2018</v>
      </c>
      <c r="B666" s="3" t="s">
        <v>205</v>
      </c>
      <c r="C666" s="4" t="str">
        <f t="shared" ref="C666:C703" si="230">"0930011"</f>
        <v>0930011</v>
      </c>
      <c r="D666" s="4" t="s">
        <v>823</v>
      </c>
      <c r="E666" s="4" t="str">
        <f>"0932811"</f>
        <v>0932811</v>
      </c>
      <c r="F666" s="4" t="s">
        <v>327</v>
      </c>
      <c r="G666" s="4" t="s">
        <v>338</v>
      </c>
      <c r="H666" s="7">
        <v>4</v>
      </c>
      <c r="I666" s="4" t="s">
        <v>335</v>
      </c>
      <c r="J666" s="4" t="s">
        <v>330</v>
      </c>
      <c r="K666" s="7">
        <v>635.46932100000004</v>
      </c>
      <c r="L666" s="7">
        <v>850</v>
      </c>
      <c r="M666" s="7">
        <v>74.761097000000007</v>
      </c>
      <c r="N666" s="7">
        <v>2</v>
      </c>
      <c r="O666" s="7">
        <v>0</v>
      </c>
      <c r="P666" s="7">
        <v>61.230302999999999</v>
      </c>
      <c r="Q666" s="7">
        <v>40.820202000000002</v>
      </c>
      <c r="R666" s="7">
        <v>50</v>
      </c>
      <c r="S666" s="7">
        <v>61.378813999999998</v>
      </c>
      <c r="T666" s="4" t="s">
        <v>124</v>
      </c>
      <c r="U666" s="7">
        <v>40.91921</v>
      </c>
      <c r="V666" s="7">
        <v>50</v>
      </c>
      <c r="W666" s="7">
        <v>51.796194999999997</v>
      </c>
      <c r="X666" s="7">
        <v>34.530796000000002</v>
      </c>
      <c r="Y666" s="7">
        <v>50</v>
      </c>
      <c r="Z666" s="4" t="s">
        <v>124</v>
      </c>
      <c r="AA666" s="7">
        <v>51.703885999999997</v>
      </c>
      <c r="AB666" s="7">
        <v>34.469256999999999</v>
      </c>
      <c r="AC666" s="7">
        <v>50</v>
      </c>
      <c r="AD666" s="4" t="s">
        <v>124</v>
      </c>
      <c r="AE666" s="4" t="s">
        <v>124</v>
      </c>
      <c r="AF666" s="4" t="s">
        <v>124</v>
      </c>
      <c r="AG666" s="4" t="s">
        <v>124</v>
      </c>
      <c r="AH666" s="4" t="s">
        <v>124</v>
      </c>
      <c r="AI666" s="4" t="s">
        <v>124</v>
      </c>
      <c r="AJ666" s="4" t="s">
        <v>124</v>
      </c>
      <c r="AK666" s="4" t="s">
        <v>124</v>
      </c>
      <c r="AL666" s="4" t="s">
        <v>124</v>
      </c>
      <c r="AM666" s="4" t="s">
        <v>124</v>
      </c>
      <c r="AN666" s="7">
        <v>0.78056000000000003</v>
      </c>
      <c r="AO666" s="7">
        <v>78.055998000000002</v>
      </c>
      <c r="AP666" s="7">
        <v>100</v>
      </c>
      <c r="AQ666" s="7">
        <v>0.791242</v>
      </c>
      <c r="AR666" s="7">
        <v>79.124201999999997</v>
      </c>
      <c r="AS666" s="7">
        <v>100</v>
      </c>
      <c r="AT666" s="7">
        <v>0.78056000000000003</v>
      </c>
      <c r="AU666" s="4" t="s">
        <v>124</v>
      </c>
      <c r="AV666" s="7">
        <v>78.055998000000002</v>
      </c>
      <c r="AW666" s="7">
        <v>100</v>
      </c>
      <c r="AX666" s="7">
        <v>0.791242</v>
      </c>
      <c r="AY666" s="4" t="s">
        <v>124</v>
      </c>
      <c r="AZ666" s="7">
        <v>79.124201999999997</v>
      </c>
      <c r="BA666" s="7">
        <v>100</v>
      </c>
      <c r="BB666" s="7">
        <v>0.64293599999999995</v>
      </c>
      <c r="BC666" s="7">
        <v>32.146801000000004</v>
      </c>
      <c r="BD666" s="7">
        <v>50</v>
      </c>
      <c r="BE666" s="7">
        <v>0.48719800000000002</v>
      </c>
      <c r="BF666" s="7">
        <v>24.359874999999999</v>
      </c>
      <c r="BG666" s="7">
        <v>50</v>
      </c>
      <c r="BH666" s="7">
        <v>0</v>
      </c>
      <c r="BI666" s="7">
        <v>1</v>
      </c>
      <c r="BJ666" s="7">
        <v>1</v>
      </c>
      <c r="BK666" s="4" t="s">
        <v>124</v>
      </c>
      <c r="BL666" s="7">
        <v>1</v>
      </c>
      <c r="BM666" s="7">
        <v>1</v>
      </c>
      <c r="BN666" s="4" t="s">
        <v>124</v>
      </c>
      <c r="BO666" s="4" t="s">
        <v>124</v>
      </c>
      <c r="BP666" s="4" t="s">
        <v>124</v>
      </c>
      <c r="BQ666" s="4" t="s">
        <v>124</v>
      </c>
      <c r="BR666" s="7">
        <v>0.110294</v>
      </c>
      <c r="BS666" s="7">
        <v>37.941175999999999</v>
      </c>
      <c r="BT666" s="7">
        <v>50</v>
      </c>
      <c r="BU666" s="7">
        <v>0.104603</v>
      </c>
      <c r="BV666" s="7">
        <v>39.079498000000001</v>
      </c>
      <c r="BW666" s="7">
        <v>50</v>
      </c>
      <c r="BX666" s="4" t="s">
        <v>124</v>
      </c>
      <c r="BY666" s="4" t="s">
        <v>124</v>
      </c>
      <c r="BZ666" s="4" t="s">
        <v>124</v>
      </c>
      <c r="CA666" s="4" t="s">
        <v>124</v>
      </c>
      <c r="CB666" s="4" t="s">
        <v>124</v>
      </c>
      <c r="CC666" s="4" t="s">
        <v>124</v>
      </c>
      <c r="CD666" s="4" t="s">
        <v>124</v>
      </c>
      <c r="CE666" s="4" t="s">
        <v>124</v>
      </c>
      <c r="CF666" s="4" t="s">
        <v>124</v>
      </c>
      <c r="CG666" s="4" t="s">
        <v>124</v>
      </c>
      <c r="CH666" s="4" t="s">
        <v>124</v>
      </c>
      <c r="CI666" s="4" t="s">
        <v>124</v>
      </c>
      <c r="CJ666" s="4" t="s">
        <v>124</v>
      </c>
      <c r="CK666" s="4" t="s">
        <v>124</v>
      </c>
      <c r="CL666" s="4" t="s">
        <v>124</v>
      </c>
      <c r="CM666" s="4" t="s">
        <v>124</v>
      </c>
      <c r="CN666" s="4" t="s">
        <v>124</v>
      </c>
      <c r="CO666" s="4" t="s">
        <v>124</v>
      </c>
      <c r="CP666" s="4" t="s">
        <v>124</v>
      </c>
      <c r="CQ666" s="7">
        <v>0.55263200000000001</v>
      </c>
      <c r="CR666" s="7">
        <v>0.90476199999999996</v>
      </c>
      <c r="CS666" s="7">
        <v>36.842104999999997</v>
      </c>
      <c r="CT666" s="7">
        <v>50</v>
      </c>
      <c r="CU666" s="4" t="s">
        <v>124</v>
      </c>
      <c r="CV666" s="4" t="s">
        <v>124</v>
      </c>
      <c r="CW666" s="4" t="s">
        <v>124</v>
      </c>
      <c r="CX666" s="4" t="s">
        <v>124</v>
      </c>
      <c r="CY666" s="4" t="s">
        <v>124</v>
      </c>
      <c r="CZ666" s="4" t="s">
        <v>124</v>
      </c>
      <c r="DA666" s="7">
        <v>15.314097</v>
      </c>
      <c r="DB666" s="7">
        <v>17.400950000000002</v>
      </c>
      <c r="DC666" s="7">
        <v>16.332519999999999</v>
      </c>
      <c r="DD666" s="4" t="s">
        <v>124</v>
      </c>
      <c r="DE666" s="7">
        <v>0</v>
      </c>
      <c r="DF666" s="6"/>
      <c r="DG666" s="6"/>
      <c r="DH666" s="4" t="s">
        <v>331</v>
      </c>
      <c r="DI666" s="4" t="s">
        <v>628</v>
      </c>
      <c r="DJ666" s="7">
        <v>0</v>
      </c>
      <c r="DK666" s="7">
        <v>1</v>
      </c>
      <c r="DL666" s="7">
        <v>0</v>
      </c>
      <c r="DM666" s="7">
        <v>1</v>
      </c>
      <c r="DN666" s="7">
        <v>1</v>
      </c>
      <c r="DO666" s="7">
        <v>0</v>
      </c>
      <c r="DP666" s="6"/>
      <c r="DQ666" s="4" t="s">
        <v>125</v>
      </c>
    </row>
    <row r="667" spans="1:121" ht="20" customHeight="1" x14ac:dyDescent="0.15">
      <c r="A667" s="5">
        <v>2018</v>
      </c>
      <c r="B667" s="3" t="s">
        <v>205</v>
      </c>
      <c r="C667" s="4" t="str">
        <f>"0930011"</f>
        <v>0930011</v>
      </c>
      <c r="D667" s="4" t="s">
        <v>824</v>
      </c>
      <c r="E667" s="4" t="str">
        <f>"0930211"</f>
        <v>0930211</v>
      </c>
      <c r="F667" s="4" t="s">
        <v>327</v>
      </c>
      <c r="G667" s="4" t="s">
        <v>328</v>
      </c>
      <c r="H667" s="7">
        <v>8</v>
      </c>
      <c r="I667" s="4" t="s">
        <v>335</v>
      </c>
      <c r="J667" s="4" t="s">
        <v>330</v>
      </c>
      <c r="K667" s="7">
        <v>560.85637699999995</v>
      </c>
      <c r="L667" s="7">
        <v>1000</v>
      </c>
      <c r="M667" s="7">
        <v>56.085638000000003</v>
      </c>
      <c r="N667" s="7">
        <v>3</v>
      </c>
      <c r="O667" s="7">
        <v>0</v>
      </c>
      <c r="P667" s="7">
        <v>52.874215</v>
      </c>
      <c r="Q667" s="7">
        <v>35.249476999999999</v>
      </c>
      <c r="R667" s="7">
        <v>50</v>
      </c>
      <c r="S667" s="7">
        <v>51.313555000000001</v>
      </c>
      <c r="T667" s="7">
        <v>60.833582</v>
      </c>
      <c r="U667" s="7">
        <v>34.209037000000002</v>
      </c>
      <c r="V667" s="7">
        <v>50</v>
      </c>
      <c r="W667" s="7">
        <v>43.902132000000002</v>
      </c>
      <c r="X667" s="7">
        <v>29.268087999999999</v>
      </c>
      <c r="Y667" s="7">
        <v>50</v>
      </c>
      <c r="Z667" s="7">
        <v>49.174911000000002</v>
      </c>
      <c r="AA667" s="7">
        <v>42.860081000000001</v>
      </c>
      <c r="AB667" s="7">
        <v>28.573387</v>
      </c>
      <c r="AC667" s="7">
        <v>50</v>
      </c>
      <c r="AD667" s="7">
        <v>50.572853000000002</v>
      </c>
      <c r="AE667" s="7">
        <v>33.715235</v>
      </c>
      <c r="AF667" s="7">
        <v>50</v>
      </c>
      <c r="AG667" s="7">
        <v>48.431682000000002</v>
      </c>
      <c r="AH667" s="7">
        <v>59.030478000000002</v>
      </c>
      <c r="AI667" s="7">
        <v>32.287787999999999</v>
      </c>
      <c r="AJ667" s="7">
        <v>50</v>
      </c>
      <c r="AK667" s="7">
        <v>9.52</v>
      </c>
      <c r="AL667" s="7">
        <v>6.31</v>
      </c>
      <c r="AM667" s="7">
        <v>10.59</v>
      </c>
      <c r="AN667" s="7">
        <v>0.48822900000000002</v>
      </c>
      <c r="AO667" s="7">
        <v>48.822892000000003</v>
      </c>
      <c r="AP667" s="7">
        <v>100</v>
      </c>
      <c r="AQ667" s="7">
        <v>0.50271699999999997</v>
      </c>
      <c r="AR667" s="7">
        <v>50.271729000000001</v>
      </c>
      <c r="AS667" s="7">
        <v>100</v>
      </c>
      <c r="AT667" s="7">
        <v>0.48909799999999998</v>
      </c>
      <c r="AU667" s="7">
        <v>0.48372599999999999</v>
      </c>
      <c r="AV667" s="7">
        <v>48.909759999999999</v>
      </c>
      <c r="AW667" s="7">
        <v>100</v>
      </c>
      <c r="AX667" s="7">
        <v>0.53340399999999999</v>
      </c>
      <c r="AY667" s="7">
        <v>0.34016200000000002</v>
      </c>
      <c r="AZ667" s="7">
        <v>53.340366000000003</v>
      </c>
      <c r="BA667" s="7">
        <v>100</v>
      </c>
      <c r="BB667" s="7">
        <v>0.65098400000000001</v>
      </c>
      <c r="BC667" s="7">
        <v>32.549196000000002</v>
      </c>
      <c r="BD667" s="7">
        <v>50</v>
      </c>
      <c r="BE667" s="7">
        <v>0.52997300000000003</v>
      </c>
      <c r="BF667" s="7">
        <v>26.498639000000001</v>
      </c>
      <c r="BG667" s="7">
        <v>50</v>
      </c>
      <c r="BH667" s="7">
        <v>0</v>
      </c>
      <c r="BI667" s="7">
        <v>0.99680500000000005</v>
      </c>
      <c r="BJ667" s="7">
        <v>1</v>
      </c>
      <c r="BK667" s="7">
        <v>0.980769</v>
      </c>
      <c r="BL667" s="7">
        <v>0.99041500000000005</v>
      </c>
      <c r="BM667" s="7">
        <v>0.99233700000000002</v>
      </c>
      <c r="BN667" s="7">
        <v>0.980769</v>
      </c>
      <c r="BO667" s="7">
        <v>1</v>
      </c>
      <c r="BP667" s="7">
        <v>1</v>
      </c>
      <c r="BQ667" s="7">
        <v>1</v>
      </c>
      <c r="BR667" s="7">
        <v>0.217949</v>
      </c>
      <c r="BS667" s="7">
        <v>16.410256</v>
      </c>
      <c r="BT667" s="7">
        <v>50</v>
      </c>
      <c r="BU667" s="7">
        <v>0.22933300000000001</v>
      </c>
      <c r="BV667" s="7">
        <v>14.133333</v>
      </c>
      <c r="BW667" s="7">
        <v>50</v>
      </c>
      <c r="BX667" s="4" t="s">
        <v>124</v>
      </c>
      <c r="BY667" s="4" t="s">
        <v>124</v>
      </c>
      <c r="BZ667" s="4" t="s">
        <v>124</v>
      </c>
      <c r="CA667" s="4" t="s">
        <v>124</v>
      </c>
      <c r="CB667" s="4" t="s">
        <v>124</v>
      </c>
      <c r="CC667" s="4" t="s">
        <v>124</v>
      </c>
      <c r="CD667" s="7">
        <v>0.85416700000000001</v>
      </c>
      <c r="CE667" s="7">
        <v>45.434396999999997</v>
      </c>
      <c r="CF667" s="7">
        <v>50</v>
      </c>
      <c r="CG667" s="4" t="s">
        <v>124</v>
      </c>
      <c r="CH667" s="4" t="s">
        <v>124</v>
      </c>
      <c r="CI667" s="4" t="s">
        <v>124</v>
      </c>
      <c r="CJ667" s="4" t="s">
        <v>124</v>
      </c>
      <c r="CK667" s="4" t="s">
        <v>124</v>
      </c>
      <c r="CL667" s="4" t="s">
        <v>124</v>
      </c>
      <c r="CM667" s="4" t="s">
        <v>124</v>
      </c>
      <c r="CN667" s="4" t="s">
        <v>124</v>
      </c>
      <c r="CO667" s="4" t="s">
        <v>124</v>
      </c>
      <c r="CP667" s="4" t="s">
        <v>124</v>
      </c>
      <c r="CQ667" s="7">
        <v>0.46774199999999999</v>
      </c>
      <c r="CR667" s="7">
        <v>0.98412699999999997</v>
      </c>
      <c r="CS667" s="7">
        <v>31.182796</v>
      </c>
      <c r="CT667" s="7">
        <v>50</v>
      </c>
      <c r="CU667" s="4" t="s">
        <v>124</v>
      </c>
      <c r="CV667" s="4" t="s">
        <v>124</v>
      </c>
      <c r="CW667" s="4" t="s">
        <v>124</v>
      </c>
      <c r="CX667" s="4" t="s">
        <v>124</v>
      </c>
      <c r="CY667" s="4" t="s">
        <v>124</v>
      </c>
      <c r="CZ667" s="4" t="s">
        <v>124</v>
      </c>
      <c r="DA667" s="7">
        <v>15.314097</v>
      </c>
      <c r="DB667" s="7">
        <v>17.400950000000002</v>
      </c>
      <c r="DC667" s="7">
        <v>16.332519999999999</v>
      </c>
      <c r="DD667" s="4" t="s">
        <v>124</v>
      </c>
      <c r="DE667" s="7">
        <v>0</v>
      </c>
      <c r="DF667" s="6"/>
      <c r="DG667" s="6"/>
      <c r="DH667" s="6"/>
      <c r="DI667" s="6"/>
      <c r="DJ667" s="7">
        <v>0</v>
      </c>
      <c r="DK667" s="7">
        <v>0</v>
      </c>
      <c r="DL667" s="7">
        <v>0</v>
      </c>
      <c r="DM667" s="7">
        <v>0</v>
      </c>
      <c r="DN667" s="7">
        <v>0</v>
      </c>
      <c r="DO667" s="7">
        <v>0</v>
      </c>
      <c r="DP667" s="6"/>
      <c r="DQ667" s="4" t="s">
        <v>125</v>
      </c>
    </row>
    <row r="668" spans="1:121" ht="20" customHeight="1" x14ac:dyDescent="0.15">
      <c r="A668" s="5">
        <v>2018</v>
      </c>
      <c r="B668" s="3" t="s">
        <v>205</v>
      </c>
      <c r="C668" s="4" t="str">
        <f t="shared" si="230"/>
        <v>0930011</v>
      </c>
      <c r="D668" s="4" t="s">
        <v>825</v>
      </c>
      <c r="E668" s="4" t="str">
        <f>"0930311"</f>
        <v>0930311</v>
      </c>
      <c r="F668" s="4" t="s">
        <v>327</v>
      </c>
      <c r="G668" s="4" t="s">
        <v>328</v>
      </c>
      <c r="H668" s="7">
        <v>8</v>
      </c>
      <c r="I668" s="6"/>
      <c r="J668" s="4" t="s">
        <v>330</v>
      </c>
      <c r="K668" s="7">
        <v>581.08916599999998</v>
      </c>
      <c r="L668" s="7">
        <v>900</v>
      </c>
      <c r="M668" s="7">
        <v>64.565462999999994</v>
      </c>
      <c r="N668" s="7">
        <v>3</v>
      </c>
      <c r="O668" s="7">
        <v>0</v>
      </c>
      <c r="P668" s="7">
        <v>63.387275000000002</v>
      </c>
      <c r="Q668" s="7">
        <v>42.258183000000002</v>
      </c>
      <c r="R668" s="7">
        <v>50</v>
      </c>
      <c r="S668" s="7">
        <v>61.077309999999997</v>
      </c>
      <c r="T668" s="7">
        <v>71.750941999999995</v>
      </c>
      <c r="U668" s="7">
        <v>40.718207</v>
      </c>
      <c r="V668" s="7">
        <v>50</v>
      </c>
      <c r="W668" s="7">
        <v>56.781795000000002</v>
      </c>
      <c r="X668" s="7">
        <v>37.854529999999997</v>
      </c>
      <c r="Y668" s="7">
        <v>50</v>
      </c>
      <c r="Z668" s="7">
        <v>65.420765000000003</v>
      </c>
      <c r="AA668" s="7">
        <v>54.384377000000001</v>
      </c>
      <c r="AB668" s="7">
        <v>36.256250999999999</v>
      </c>
      <c r="AC668" s="7">
        <v>50</v>
      </c>
      <c r="AD668" s="7">
        <v>54.727021000000001</v>
      </c>
      <c r="AE668" s="7">
        <v>36.484681000000002</v>
      </c>
      <c r="AF668" s="7">
        <v>50</v>
      </c>
      <c r="AG668" s="7">
        <v>53.931534999999997</v>
      </c>
      <c r="AH668" s="4" t="s">
        <v>124</v>
      </c>
      <c r="AI668" s="7">
        <v>35.954357000000002</v>
      </c>
      <c r="AJ668" s="7">
        <v>50</v>
      </c>
      <c r="AK668" s="7">
        <v>10.67</v>
      </c>
      <c r="AL668" s="7">
        <v>11.03</v>
      </c>
      <c r="AM668" s="4" t="s">
        <v>124</v>
      </c>
      <c r="AN668" s="7">
        <v>0.61770499999999995</v>
      </c>
      <c r="AO668" s="7">
        <v>61.770488999999998</v>
      </c>
      <c r="AP668" s="7">
        <v>100</v>
      </c>
      <c r="AQ668" s="7">
        <v>0.61759200000000003</v>
      </c>
      <c r="AR668" s="7">
        <v>61.759247000000002</v>
      </c>
      <c r="AS668" s="7">
        <v>100</v>
      </c>
      <c r="AT668" s="7">
        <v>0.61004000000000003</v>
      </c>
      <c r="AU668" s="7">
        <v>0.64575400000000005</v>
      </c>
      <c r="AV668" s="7">
        <v>61.004044</v>
      </c>
      <c r="AW668" s="7">
        <v>100</v>
      </c>
      <c r="AX668" s="7">
        <v>0.58176000000000005</v>
      </c>
      <c r="AY668" s="7">
        <v>0.74719999999999998</v>
      </c>
      <c r="AZ668" s="7">
        <v>58.17597</v>
      </c>
      <c r="BA668" s="7">
        <v>100</v>
      </c>
      <c r="BB668" s="4" t="s">
        <v>124</v>
      </c>
      <c r="BC668" s="4" t="s">
        <v>124</v>
      </c>
      <c r="BD668" s="4" t="s">
        <v>124</v>
      </c>
      <c r="BE668" s="4" t="s">
        <v>124</v>
      </c>
      <c r="BF668" s="4" t="s">
        <v>124</v>
      </c>
      <c r="BG668" s="4" t="s">
        <v>124</v>
      </c>
      <c r="BH668" s="7">
        <v>0</v>
      </c>
      <c r="BI668" s="7">
        <v>1</v>
      </c>
      <c r="BJ668" s="7">
        <v>1</v>
      </c>
      <c r="BK668" s="7">
        <v>1</v>
      </c>
      <c r="BL668" s="7">
        <v>1</v>
      </c>
      <c r="BM668" s="7">
        <v>1</v>
      </c>
      <c r="BN668" s="7">
        <v>1</v>
      </c>
      <c r="BO668" s="7">
        <v>1</v>
      </c>
      <c r="BP668" s="7">
        <v>1</v>
      </c>
      <c r="BQ668" s="4" t="s">
        <v>124</v>
      </c>
      <c r="BR668" s="7">
        <v>0.173267</v>
      </c>
      <c r="BS668" s="7">
        <v>25.346534999999999</v>
      </c>
      <c r="BT668" s="7">
        <v>50</v>
      </c>
      <c r="BU668" s="7">
        <v>0.20588200000000001</v>
      </c>
      <c r="BV668" s="7">
        <v>18.823529000000001</v>
      </c>
      <c r="BW668" s="7">
        <v>50</v>
      </c>
      <c r="BX668" s="4" t="s">
        <v>124</v>
      </c>
      <c r="BY668" s="4" t="s">
        <v>124</v>
      </c>
      <c r="BZ668" s="4" t="s">
        <v>124</v>
      </c>
      <c r="CA668" s="4" t="s">
        <v>124</v>
      </c>
      <c r="CB668" s="4" t="s">
        <v>124</v>
      </c>
      <c r="CC668" s="4" t="s">
        <v>124</v>
      </c>
      <c r="CD668" s="7">
        <v>0.875</v>
      </c>
      <c r="CE668" s="7">
        <v>46.542552999999998</v>
      </c>
      <c r="CF668" s="7">
        <v>50</v>
      </c>
      <c r="CG668" s="4" t="s">
        <v>124</v>
      </c>
      <c r="CH668" s="4" t="s">
        <v>124</v>
      </c>
      <c r="CI668" s="4" t="s">
        <v>124</v>
      </c>
      <c r="CJ668" s="4" t="s">
        <v>124</v>
      </c>
      <c r="CK668" s="4" t="s">
        <v>124</v>
      </c>
      <c r="CL668" s="4" t="s">
        <v>124</v>
      </c>
      <c r="CM668" s="4" t="s">
        <v>124</v>
      </c>
      <c r="CN668" s="4" t="s">
        <v>124</v>
      </c>
      <c r="CO668" s="4" t="s">
        <v>124</v>
      </c>
      <c r="CP668" s="4" t="s">
        <v>124</v>
      </c>
      <c r="CQ668" s="7">
        <v>0.27210899999999999</v>
      </c>
      <c r="CR668" s="7">
        <v>1.0575540000000001</v>
      </c>
      <c r="CS668" s="7">
        <v>18.14059</v>
      </c>
      <c r="CT668" s="7">
        <v>50</v>
      </c>
      <c r="CU668" s="4" t="s">
        <v>124</v>
      </c>
      <c r="CV668" s="4" t="s">
        <v>124</v>
      </c>
      <c r="CW668" s="4" t="s">
        <v>124</v>
      </c>
      <c r="CX668" s="4" t="s">
        <v>124</v>
      </c>
      <c r="CY668" s="4" t="s">
        <v>124</v>
      </c>
      <c r="CZ668" s="4" t="s">
        <v>124</v>
      </c>
      <c r="DA668" s="7">
        <v>15.314097</v>
      </c>
      <c r="DB668" s="7">
        <v>17.400950000000002</v>
      </c>
      <c r="DC668" s="7">
        <v>16.332519999999999</v>
      </c>
      <c r="DD668" s="4" t="s">
        <v>124</v>
      </c>
      <c r="DE668" s="7">
        <v>0</v>
      </c>
      <c r="DF668" s="6"/>
      <c r="DG668" s="6"/>
      <c r="DH668" s="6"/>
      <c r="DI668" s="6"/>
      <c r="DJ668" s="7">
        <v>0</v>
      </c>
      <c r="DK668" s="7">
        <v>0</v>
      </c>
      <c r="DL668" s="7">
        <v>0</v>
      </c>
      <c r="DM668" s="7">
        <v>0</v>
      </c>
      <c r="DN668" s="7">
        <v>0</v>
      </c>
      <c r="DO668" s="7">
        <v>0</v>
      </c>
      <c r="DP668" s="6"/>
      <c r="DQ668" s="4" t="s">
        <v>125</v>
      </c>
    </row>
    <row r="669" spans="1:121" ht="20" customHeight="1" x14ac:dyDescent="0.15">
      <c r="A669" s="5">
        <v>2018</v>
      </c>
      <c r="B669" s="3" t="s">
        <v>205</v>
      </c>
      <c r="C669" s="4" t="str">
        <f t="shared" si="230"/>
        <v>0930011</v>
      </c>
      <c r="D669" s="4" t="s">
        <v>826</v>
      </c>
      <c r="E669" s="4" t="str">
        <f>"0931811"</f>
        <v>0931811</v>
      </c>
      <c r="F669" s="4" t="s">
        <v>327</v>
      </c>
      <c r="G669" s="4" t="s">
        <v>328</v>
      </c>
      <c r="H669" s="7">
        <v>8</v>
      </c>
      <c r="I669" s="6"/>
      <c r="J669" s="4" t="s">
        <v>330</v>
      </c>
      <c r="K669" s="7">
        <v>673.61182099999996</v>
      </c>
      <c r="L669" s="7">
        <v>1000</v>
      </c>
      <c r="M669" s="7">
        <v>67.361181999999999</v>
      </c>
      <c r="N669" s="7">
        <v>3</v>
      </c>
      <c r="O669" s="7">
        <v>0</v>
      </c>
      <c r="P669" s="7">
        <v>64.216446000000005</v>
      </c>
      <c r="Q669" s="7">
        <v>42.810963999999998</v>
      </c>
      <c r="R669" s="7">
        <v>50</v>
      </c>
      <c r="S669" s="7">
        <v>61.835988999999998</v>
      </c>
      <c r="T669" s="7">
        <v>74.560609999999997</v>
      </c>
      <c r="U669" s="7">
        <v>41.223993</v>
      </c>
      <c r="V669" s="7">
        <v>50</v>
      </c>
      <c r="W669" s="7">
        <v>54.79251</v>
      </c>
      <c r="X669" s="7">
        <v>36.52834</v>
      </c>
      <c r="Y669" s="7">
        <v>50</v>
      </c>
      <c r="Z669" s="7">
        <v>62.280445</v>
      </c>
      <c r="AA669" s="7">
        <v>53.069344999999998</v>
      </c>
      <c r="AB669" s="7">
        <v>35.379562999999997</v>
      </c>
      <c r="AC669" s="7">
        <v>50</v>
      </c>
      <c r="AD669" s="7">
        <v>55.451951999999999</v>
      </c>
      <c r="AE669" s="7">
        <v>36.967967999999999</v>
      </c>
      <c r="AF669" s="7">
        <v>50</v>
      </c>
      <c r="AG669" s="7">
        <v>54.467663999999999</v>
      </c>
      <c r="AH669" s="4" t="s">
        <v>124</v>
      </c>
      <c r="AI669" s="7">
        <v>36.311776000000002</v>
      </c>
      <c r="AJ669" s="7">
        <v>50</v>
      </c>
      <c r="AK669" s="7">
        <v>12.72</v>
      </c>
      <c r="AL669" s="7">
        <v>9.2100000000000009</v>
      </c>
      <c r="AM669" s="4" t="s">
        <v>124</v>
      </c>
      <c r="AN669" s="7">
        <v>0.61272599999999999</v>
      </c>
      <c r="AO669" s="7">
        <v>61.272565</v>
      </c>
      <c r="AP669" s="7">
        <v>100</v>
      </c>
      <c r="AQ669" s="7">
        <v>0.47744599999999998</v>
      </c>
      <c r="AR669" s="7">
        <v>47.744563999999997</v>
      </c>
      <c r="AS669" s="7">
        <v>100</v>
      </c>
      <c r="AT669" s="7">
        <v>0.59749600000000003</v>
      </c>
      <c r="AU669" s="7">
        <v>0.68773300000000004</v>
      </c>
      <c r="AV669" s="7">
        <v>59.749580000000002</v>
      </c>
      <c r="AW669" s="7">
        <v>100</v>
      </c>
      <c r="AX669" s="7">
        <v>0.49482700000000002</v>
      </c>
      <c r="AY669" s="7">
        <v>0.39184000000000002</v>
      </c>
      <c r="AZ669" s="7">
        <v>49.482748999999998</v>
      </c>
      <c r="BA669" s="7">
        <v>100</v>
      </c>
      <c r="BB669" s="7">
        <v>0.57827899999999999</v>
      </c>
      <c r="BC669" s="7">
        <v>28.913952999999999</v>
      </c>
      <c r="BD669" s="7">
        <v>50</v>
      </c>
      <c r="BE669" s="7">
        <v>0.65415000000000001</v>
      </c>
      <c r="BF669" s="7">
        <v>32.707512999999999</v>
      </c>
      <c r="BG669" s="7">
        <v>50</v>
      </c>
      <c r="BH669" s="7">
        <v>0</v>
      </c>
      <c r="BI669" s="7">
        <v>0.99677400000000005</v>
      </c>
      <c r="BJ669" s="7">
        <v>1</v>
      </c>
      <c r="BK669" s="7">
        <v>0.98360700000000001</v>
      </c>
      <c r="BL669" s="7">
        <v>0.99677400000000005</v>
      </c>
      <c r="BM669" s="7">
        <v>1</v>
      </c>
      <c r="BN669" s="7">
        <v>0.98360700000000001</v>
      </c>
      <c r="BO669" s="7">
        <v>0.99</v>
      </c>
      <c r="BP669" s="7">
        <v>1</v>
      </c>
      <c r="BQ669" s="4" t="s">
        <v>124</v>
      </c>
      <c r="BR669" s="7">
        <v>9.3478000000000006E-2</v>
      </c>
      <c r="BS669" s="7">
        <v>41.304347999999997</v>
      </c>
      <c r="BT669" s="7">
        <v>50</v>
      </c>
      <c r="BU669" s="7">
        <v>9.9447999999999995E-2</v>
      </c>
      <c r="BV669" s="7">
        <v>40.110497000000002</v>
      </c>
      <c r="BW669" s="7">
        <v>50</v>
      </c>
      <c r="BX669" s="4" t="s">
        <v>124</v>
      </c>
      <c r="BY669" s="4" t="s">
        <v>124</v>
      </c>
      <c r="BZ669" s="4" t="s">
        <v>124</v>
      </c>
      <c r="CA669" s="4" t="s">
        <v>124</v>
      </c>
      <c r="CB669" s="4" t="s">
        <v>124</v>
      </c>
      <c r="CC669" s="4" t="s">
        <v>124</v>
      </c>
      <c r="CD669" s="7">
        <v>0.97674399999999995</v>
      </c>
      <c r="CE669" s="7">
        <v>50</v>
      </c>
      <c r="CF669" s="7">
        <v>50</v>
      </c>
      <c r="CG669" s="4" t="s">
        <v>124</v>
      </c>
      <c r="CH669" s="4" t="s">
        <v>124</v>
      </c>
      <c r="CI669" s="4" t="s">
        <v>124</v>
      </c>
      <c r="CJ669" s="4" t="s">
        <v>124</v>
      </c>
      <c r="CK669" s="4" t="s">
        <v>124</v>
      </c>
      <c r="CL669" s="4" t="s">
        <v>124</v>
      </c>
      <c r="CM669" s="4" t="s">
        <v>124</v>
      </c>
      <c r="CN669" s="4" t="s">
        <v>124</v>
      </c>
      <c r="CO669" s="4" t="s">
        <v>124</v>
      </c>
      <c r="CP669" s="4" t="s">
        <v>124</v>
      </c>
      <c r="CQ669" s="7">
        <v>0.49655199999999999</v>
      </c>
      <c r="CR669" s="7">
        <v>0.94155800000000001</v>
      </c>
      <c r="CS669" s="7">
        <v>33.103448</v>
      </c>
      <c r="CT669" s="7">
        <v>50</v>
      </c>
      <c r="CU669" s="4" t="s">
        <v>124</v>
      </c>
      <c r="CV669" s="4" t="s">
        <v>124</v>
      </c>
      <c r="CW669" s="4" t="s">
        <v>124</v>
      </c>
      <c r="CX669" s="4" t="s">
        <v>124</v>
      </c>
      <c r="CY669" s="4" t="s">
        <v>124</v>
      </c>
      <c r="CZ669" s="4" t="s">
        <v>124</v>
      </c>
      <c r="DA669" s="7">
        <v>15.314097</v>
      </c>
      <c r="DB669" s="7">
        <v>17.400950000000002</v>
      </c>
      <c r="DC669" s="7">
        <v>16.332519999999999</v>
      </c>
      <c r="DD669" s="4" t="s">
        <v>124</v>
      </c>
      <c r="DE669" s="7">
        <v>0</v>
      </c>
      <c r="DF669" s="6"/>
      <c r="DG669" s="6"/>
      <c r="DH669" s="6"/>
      <c r="DI669" s="6"/>
      <c r="DJ669" s="7">
        <v>0</v>
      </c>
      <c r="DK669" s="7">
        <v>0</v>
      </c>
      <c r="DL669" s="7">
        <v>0</v>
      </c>
      <c r="DM669" s="7">
        <v>0</v>
      </c>
      <c r="DN669" s="7">
        <v>0</v>
      </c>
      <c r="DO669" s="7">
        <v>0</v>
      </c>
      <c r="DP669" s="6"/>
      <c r="DQ669" s="4" t="s">
        <v>125</v>
      </c>
    </row>
    <row r="670" spans="1:121" ht="20" customHeight="1" x14ac:dyDescent="0.15">
      <c r="A670" s="5">
        <v>2018</v>
      </c>
      <c r="B670" s="3" t="s">
        <v>205</v>
      </c>
      <c r="C670" s="4" t="str">
        <f t="shared" si="230"/>
        <v>0930011</v>
      </c>
      <c r="D670" s="4" t="s">
        <v>827</v>
      </c>
      <c r="E670" s="4" t="str">
        <f>"0935511"</f>
        <v>0935511</v>
      </c>
      <c r="F670" s="4" t="s">
        <v>327</v>
      </c>
      <c r="G670" s="7">
        <v>5</v>
      </c>
      <c r="H670" s="7">
        <v>8</v>
      </c>
      <c r="I670" s="6"/>
      <c r="J670" s="4" t="s">
        <v>330</v>
      </c>
      <c r="K670" s="7">
        <v>593.843975</v>
      </c>
      <c r="L670" s="7">
        <v>1000</v>
      </c>
      <c r="M670" s="7">
        <v>59.384397</v>
      </c>
      <c r="N670" s="7">
        <v>3</v>
      </c>
      <c r="O670" s="7">
        <v>1</v>
      </c>
      <c r="P670" s="7">
        <v>62.060893999999998</v>
      </c>
      <c r="Q670" s="7">
        <v>41.373928999999997</v>
      </c>
      <c r="R670" s="7">
        <v>50</v>
      </c>
      <c r="S670" s="7">
        <v>55.998251000000003</v>
      </c>
      <c r="T670" s="7">
        <v>72.834636000000003</v>
      </c>
      <c r="U670" s="7">
        <v>37.332166999999998</v>
      </c>
      <c r="V670" s="7">
        <v>50</v>
      </c>
      <c r="W670" s="7">
        <v>56.391018000000003</v>
      </c>
      <c r="X670" s="7">
        <v>37.594011999999999</v>
      </c>
      <c r="Y670" s="7">
        <v>50</v>
      </c>
      <c r="Z670" s="7">
        <v>64.826839000000007</v>
      </c>
      <c r="AA670" s="7">
        <v>51.636282999999999</v>
      </c>
      <c r="AB670" s="7">
        <v>34.424188999999998</v>
      </c>
      <c r="AC670" s="7">
        <v>50</v>
      </c>
      <c r="AD670" s="7">
        <v>57.527234999999997</v>
      </c>
      <c r="AE670" s="7">
        <v>38.351489999999998</v>
      </c>
      <c r="AF670" s="7">
        <v>50</v>
      </c>
      <c r="AG670" s="7">
        <v>52.923336999999997</v>
      </c>
      <c r="AH670" s="7">
        <v>65.990283000000005</v>
      </c>
      <c r="AI670" s="7">
        <v>35.282224999999997</v>
      </c>
      <c r="AJ670" s="7">
        <v>50</v>
      </c>
      <c r="AK670" s="7">
        <v>16.829999999999998</v>
      </c>
      <c r="AL670" s="7">
        <v>13.19</v>
      </c>
      <c r="AM670" s="7">
        <v>13.06</v>
      </c>
      <c r="AN670" s="7">
        <v>0.43964599999999998</v>
      </c>
      <c r="AO670" s="7">
        <v>43.964570999999999</v>
      </c>
      <c r="AP670" s="7">
        <v>100</v>
      </c>
      <c r="AQ670" s="7">
        <v>0.53206200000000003</v>
      </c>
      <c r="AR670" s="7">
        <v>53.206229</v>
      </c>
      <c r="AS670" s="7">
        <v>100</v>
      </c>
      <c r="AT670" s="7">
        <v>0.36830800000000002</v>
      </c>
      <c r="AU670" s="7">
        <v>0.56862100000000004</v>
      </c>
      <c r="AV670" s="7">
        <v>36.830765</v>
      </c>
      <c r="AW670" s="7">
        <v>100</v>
      </c>
      <c r="AX670" s="7">
        <v>0.50587599999999999</v>
      </c>
      <c r="AY670" s="7">
        <v>0.57983399999999996</v>
      </c>
      <c r="AZ670" s="7">
        <v>50.587611000000003</v>
      </c>
      <c r="BA670" s="7">
        <v>100</v>
      </c>
      <c r="BB670" s="7">
        <v>0.74179399999999995</v>
      </c>
      <c r="BC670" s="7">
        <v>37.089705000000002</v>
      </c>
      <c r="BD670" s="7">
        <v>50</v>
      </c>
      <c r="BE670" s="7">
        <v>0.49137599999999998</v>
      </c>
      <c r="BF670" s="7">
        <v>24.568816000000002</v>
      </c>
      <c r="BG670" s="7">
        <v>50</v>
      </c>
      <c r="BH670" s="7">
        <v>0</v>
      </c>
      <c r="BI670" s="7">
        <v>0.986456</v>
      </c>
      <c r="BJ670" s="7">
        <v>0.98586600000000002</v>
      </c>
      <c r="BK670" s="7">
        <v>0.98750000000000004</v>
      </c>
      <c r="BL670" s="7">
        <v>0.972912</v>
      </c>
      <c r="BM670" s="7">
        <v>0.97173100000000001</v>
      </c>
      <c r="BN670" s="7">
        <v>0.97499999999999998</v>
      </c>
      <c r="BO670" s="7">
        <v>0.98974399999999996</v>
      </c>
      <c r="BP670" s="7">
        <v>0.99206300000000003</v>
      </c>
      <c r="BQ670" s="7">
        <v>0.98550700000000002</v>
      </c>
      <c r="BR670" s="7">
        <v>0.151584</v>
      </c>
      <c r="BS670" s="7">
        <v>29.683257999999999</v>
      </c>
      <c r="BT670" s="7">
        <v>50</v>
      </c>
      <c r="BU670" s="7">
        <v>0.192857</v>
      </c>
      <c r="BV670" s="7">
        <v>21.428571000000002</v>
      </c>
      <c r="BW670" s="7">
        <v>50</v>
      </c>
      <c r="BX670" s="4" t="s">
        <v>124</v>
      </c>
      <c r="BY670" s="4" t="s">
        <v>124</v>
      </c>
      <c r="BZ670" s="4" t="s">
        <v>124</v>
      </c>
      <c r="CA670" s="4" t="s">
        <v>124</v>
      </c>
      <c r="CB670" s="4" t="s">
        <v>124</v>
      </c>
      <c r="CC670" s="4" t="s">
        <v>124</v>
      </c>
      <c r="CD670" s="7">
        <v>0.96261699999999994</v>
      </c>
      <c r="CE670" s="7">
        <v>50</v>
      </c>
      <c r="CF670" s="7">
        <v>50</v>
      </c>
      <c r="CG670" s="4" t="s">
        <v>124</v>
      </c>
      <c r="CH670" s="4" t="s">
        <v>124</v>
      </c>
      <c r="CI670" s="4" t="s">
        <v>124</v>
      </c>
      <c r="CJ670" s="4" t="s">
        <v>124</v>
      </c>
      <c r="CK670" s="4" t="s">
        <v>124</v>
      </c>
      <c r="CL670" s="4" t="s">
        <v>124</v>
      </c>
      <c r="CM670" s="4" t="s">
        <v>124</v>
      </c>
      <c r="CN670" s="4" t="s">
        <v>124</v>
      </c>
      <c r="CO670" s="4" t="s">
        <v>124</v>
      </c>
      <c r="CP670" s="4" t="s">
        <v>124</v>
      </c>
      <c r="CQ670" s="7">
        <v>0.331897</v>
      </c>
      <c r="CR670" s="7">
        <v>0.95082</v>
      </c>
      <c r="CS670" s="7">
        <v>22.126436999999999</v>
      </c>
      <c r="CT670" s="7">
        <v>50</v>
      </c>
      <c r="CU670" s="4" t="s">
        <v>124</v>
      </c>
      <c r="CV670" s="4" t="s">
        <v>124</v>
      </c>
      <c r="CW670" s="4" t="s">
        <v>124</v>
      </c>
      <c r="CX670" s="4" t="s">
        <v>124</v>
      </c>
      <c r="CY670" s="4" t="s">
        <v>124</v>
      </c>
      <c r="CZ670" s="4" t="s">
        <v>124</v>
      </c>
      <c r="DA670" s="7">
        <v>15.314097</v>
      </c>
      <c r="DB670" s="7">
        <v>17.400950000000002</v>
      </c>
      <c r="DC670" s="7">
        <v>16.332519999999999</v>
      </c>
      <c r="DD670" s="4" t="s">
        <v>124</v>
      </c>
      <c r="DE670" s="7">
        <v>1</v>
      </c>
      <c r="DF670" s="6"/>
      <c r="DG670" s="6"/>
      <c r="DH670" s="6"/>
      <c r="DI670" s="6"/>
      <c r="DJ670" s="7">
        <v>0</v>
      </c>
      <c r="DK670" s="7">
        <v>0</v>
      </c>
      <c r="DL670" s="7">
        <v>0</v>
      </c>
      <c r="DM670" s="7">
        <v>0</v>
      </c>
      <c r="DN670" s="7">
        <v>0</v>
      </c>
      <c r="DO670" s="7">
        <v>0</v>
      </c>
      <c r="DP670" s="6"/>
      <c r="DQ670" s="4" t="s">
        <v>125</v>
      </c>
    </row>
    <row r="671" spans="1:121" ht="20" customHeight="1" x14ac:dyDescent="0.15">
      <c r="A671" s="5">
        <v>2018</v>
      </c>
      <c r="B671" s="3" t="s">
        <v>205</v>
      </c>
      <c r="C671" s="4" t="str">
        <f t="shared" si="230"/>
        <v>0930011</v>
      </c>
      <c r="D671" s="4" t="s">
        <v>828</v>
      </c>
      <c r="E671" s="4" t="str">
        <f>"0934311"</f>
        <v>0934311</v>
      </c>
      <c r="F671" s="4" t="s">
        <v>327</v>
      </c>
      <c r="G671" s="4" t="s">
        <v>338</v>
      </c>
      <c r="H671" s="7">
        <v>8</v>
      </c>
      <c r="I671" s="4" t="s">
        <v>335</v>
      </c>
      <c r="J671" s="4" t="s">
        <v>330</v>
      </c>
      <c r="K671" s="7">
        <v>635.59816499999999</v>
      </c>
      <c r="L671" s="7">
        <v>1000</v>
      </c>
      <c r="M671" s="7">
        <v>63.559815999999998</v>
      </c>
      <c r="N671" s="7">
        <v>3</v>
      </c>
      <c r="O671" s="7">
        <v>0</v>
      </c>
      <c r="P671" s="7">
        <v>56.521985999999998</v>
      </c>
      <c r="Q671" s="7">
        <v>37.681323999999996</v>
      </c>
      <c r="R671" s="7">
        <v>50</v>
      </c>
      <c r="S671" s="7">
        <v>55.074528000000001</v>
      </c>
      <c r="T671" s="7">
        <v>65.279104000000004</v>
      </c>
      <c r="U671" s="7">
        <v>36.716352000000001</v>
      </c>
      <c r="V671" s="7">
        <v>50</v>
      </c>
      <c r="W671" s="7">
        <v>52.079231999999998</v>
      </c>
      <c r="X671" s="7">
        <v>34.719487999999998</v>
      </c>
      <c r="Y671" s="7">
        <v>50</v>
      </c>
      <c r="Z671" s="7">
        <v>57.947892000000003</v>
      </c>
      <c r="AA671" s="7">
        <v>51.105181000000002</v>
      </c>
      <c r="AB671" s="7">
        <v>34.070121</v>
      </c>
      <c r="AC671" s="7">
        <v>50</v>
      </c>
      <c r="AD671" s="7">
        <v>53.569119999999998</v>
      </c>
      <c r="AE671" s="7">
        <v>35.712747</v>
      </c>
      <c r="AF671" s="7">
        <v>50</v>
      </c>
      <c r="AG671" s="7">
        <v>52.605466</v>
      </c>
      <c r="AH671" s="4" t="s">
        <v>124</v>
      </c>
      <c r="AI671" s="7">
        <v>35.070309999999999</v>
      </c>
      <c r="AJ671" s="7">
        <v>50</v>
      </c>
      <c r="AK671" s="7">
        <v>10.199999999999999</v>
      </c>
      <c r="AL671" s="7">
        <v>6.84</v>
      </c>
      <c r="AM671" s="4" t="s">
        <v>124</v>
      </c>
      <c r="AN671" s="7">
        <v>0.54607300000000003</v>
      </c>
      <c r="AO671" s="7">
        <v>54.607323000000001</v>
      </c>
      <c r="AP671" s="7">
        <v>100</v>
      </c>
      <c r="AQ671" s="7">
        <v>0.52436099999999997</v>
      </c>
      <c r="AR671" s="7">
        <v>52.436081999999999</v>
      </c>
      <c r="AS671" s="7">
        <v>100</v>
      </c>
      <c r="AT671" s="7">
        <v>0.54014300000000004</v>
      </c>
      <c r="AU671" s="7">
        <v>0.57732899999999998</v>
      </c>
      <c r="AV671" s="7">
        <v>54.014271999999998</v>
      </c>
      <c r="AW671" s="7">
        <v>100</v>
      </c>
      <c r="AX671" s="7">
        <v>0.52828699999999995</v>
      </c>
      <c r="AY671" s="7">
        <v>0.503772</v>
      </c>
      <c r="AZ671" s="7">
        <v>52.828746000000002</v>
      </c>
      <c r="BA671" s="7">
        <v>100</v>
      </c>
      <c r="BB671" s="7">
        <v>0.58683200000000002</v>
      </c>
      <c r="BC671" s="7">
        <v>29.341593</v>
      </c>
      <c r="BD671" s="7">
        <v>50</v>
      </c>
      <c r="BE671" s="7">
        <v>0.53395999999999999</v>
      </c>
      <c r="BF671" s="7">
        <v>26.697993</v>
      </c>
      <c r="BG671" s="7">
        <v>50</v>
      </c>
      <c r="BH671" s="7">
        <v>0</v>
      </c>
      <c r="BI671" s="7">
        <v>1</v>
      </c>
      <c r="BJ671" s="7">
        <v>1</v>
      </c>
      <c r="BK671" s="7">
        <v>1</v>
      </c>
      <c r="BL671" s="7">
        <v>0.996587</v>
      </c>
      <c r="BM671" s="7">
        <v>0.99601600000000001</v>
      </c>
      <c r="BN671" s="7">
        <v>1</v>
      </c>
      <c r="BO671" s="7">
        <v>1</v>
      </c>
      <c r="BP671" s="7">
        <v>1</v>
      </c>
      <c r="BQ671" s="4" t="s">
        <v>124</v>
      </c>
      <c r="BR671" s="7">
        <v>0.14588200000000001</v>
      </c>
      <c r="BS671" s="7">
        <v>30.823529000000001</v>
      </c>
      <c r="BT671" s="7">
        <v>50</v>
      </c>
      <c r="BU671" s="7">
        <v>0.14782600000000001</v>
      </c>
      <c r="BV671" s="7">
        <v>30.434782999999999</v>
      </c>
      <c r="BW671" s="7">
        <v>50</v>
      </c>
      <c r="BX671" s="4" t="s">
        <v>124</v>
      </c>
      <c r="BY671" s="4" t="s">
        <v>124</v>
      </c>
      <c r="BZ671" s="4" t="s">
        <v>124</v>
      </c>
      <c r="CA671" s="4" t="s">
        <v>124</v>
      </c>
      <c r="CB671" s="4" t="s">
        <v>124</v>
      </c>
      <c r="CC671" s="4" t="s">
        <v>124</v>
      </c>
      <c r="CD671" s="7">
        <v>0.89583299999999999</v>
      </c>
      <c r="CE671" s="7">
        <v>47.650708999999999</v>
      </c>
      <c r="CF671" s="7">
        <v>50</v>
      </c>
      <c r="CG671" s="4" t="s">
        <v>124</v>
      </c>
      <c r="CH671" s="4" t="s">
        <v>124</v>
      </c>
      <c r="CI671" s="4" t="s">
        <v>124</v>
      </c>
      <c r="CJ671" s="4" t="s">
        <v>124</v>
      </c>
      <c r="CK671" s="4" t="s">
        <v>124</v>
      </c>
      <c r="CL671" s="4" t="s">
        <v>124</v>
      </c>
      <c r="CM671" s="4" t="s">
        <v>124</v>
      </c>
      <c r="CN671" s="4" t="s">
        <v>124</v>
      </c>
      <c r="CO671" s="4" t="s">
        <v>124</v>
      </c>
      <c r="CP671" s="4" t="s">
        <v>124</v>
      </c>
      <c r="CQ671" s="7">
        <v>0.64189200000000002</v>
      </c>
      <c r="CR671" s="7">
        <v>0.98666699999999996</v>
      </c>
      <c r="CS671" s="7">
        <v>42.792793000000003</v>
      </c>
      <c r="CT671" s="7">
        <v>50</v>
      </c>
      <c r="CU671" s="4" t="s">
        <v>124</v>
      </c>
      <c r="CV671" s="4" t="s">
        <v>124</v>
      </c>
      <c r="CW671" s="4" t="s">
        <v>124</v>
      </c>
      <c r="CX671" s="4" t="s">
        <v>124</v>
      </c>
      <c r="CY671" s="4" t="s">
        <v>124</v>
      </c>
      <c r="CZ671" s="4" t="s">
        <v>124</v>
      </c>
      <c r="DA671" s="7">
        <v>15.314097</v>
      </c>
      <c r="DB671" s="7">
        <v>17.400950000000002</v>
      </c>
      <c r="DC671" s="7">
        <v>16.332519999999999</v>
      </c>
      <c r="DD671" s="4" t="s">
        <v>124</v>
      </c>
      <c r="DE671" s="7">
        <v>0</v>
      </c>
      <c r="DF671" s="6"/>
      <c r="DG671" s="6"/>
      <c r="DH671" s="6"/>
      <c r="DI671" s="6"/>
      <c r="DJ671" s="7">
        <v>0</v>
      </c>
      <c r="DK671" s="7">
        <v>0</v>
      </c>
      <c r="DL671" s="7">
        <v>0</v>
      </c>
      <c r="DM671" s="7">
        <v>0</v>
      </c>
      <c r="DN671" s="7">
        <v>0</v>
      </c>
      <c r="DO671" s="7">
        <v>0</v>
      </c>
      <c r="DP671" s="6"/>
      <c r="DQ671" s="4" t="s">
        <v>125</v>
      </c>
    </row>
    <row r="672" spans="1:121" ht="20" customHeight="1" x14ac:dyDescent="0.15">
      <c r="A672" s="5">
        <v>2018</v>
      </c>
      <c r="B672" s="3" t="s">
        <v>205</v>
      </c>
      <c r="C672" s="4" t="str">
        <f>"0930011"</f>
        <v>0930011</v>
      </c>
      <c r="D672" s="4" t="s">
        <v>829</v>
      </c>
      <c r="E672" s="4" t="str">
        <f>"0932111"</f>
        <v>0932111</v>
      </c>
      <c r="F672" s="4" t="s">
        <v>327</v>
      </c>
      <c r="G672" s="4" t="s">
        <v>328</v>
      </c>
      <c r="H672" s="7">
        <v>8</v>
      </c>
      <c r="I672" s="4" t="s">
        <v>335</v>
      </c>
      <c r="J672" s="4" t="s">
        <v>330</v>
      </c>
      <c r="K672" s="7">
        <v>519.82736199999999</v>
      </c>
      <c r="L672" s="7">
        <v>1000</v>
      </c>
      <c r="M672" s="7">
        <v>51.982736000000003</v>
      </c>
      <c r="N672" s="7">
        <v>3</v>
      </c>
      <c r="O672" s="7">
        <v>0</v>
      </c>
      <c r="P672" s="7">
        <v>51.424467</v>
      </c>
      <c r="Q672" s="7">
        <v>34.282978</v>
      </c>
      <c r="R672" s="7">
        <v>50</v>
      </c>
      <c r="S672" s="7">
        <v>50.560465000000001</v>
      </c>
      <c r="T672" s="7">
        <v>60.202728999999998</v>
      </c>
      <c r="U672" s="7">
        <v>33.706975999999997</v>
      </c>
      <c r="V672" s="7">
        <v>50</v>
      </c>
      <c r="W672" s="7">
        <v>44.578054000000002</v>
      </c>
      <c r="X672" s="7">
        <v>29.718702</v>
      </c>
      <c r="Y672" s="7">
        <v>50</v>
      </c>
      <c r="Z672" s="7">
        <v>53.745615000000001</v>
      </c>
      <c r="AA672" s="7">
        <v>43.704953000000003</v>
      </c>
      <c r="AB672" s="7">
        <v>29.136634999999998</v>
      </c>
      <c r="AC672" s="7">
        <v>50</v>
      </c>
      <c r="AD672" s="7">
        <v>48.082104999999999</v>
      </c>
      <c r="AE672" s="7">
        <v>32.054735999999998</v>
      </c>
      <c r="AF672" s="7">
        <v>50</v>
      </c>
      <c r="AG672" s="7">
        <v>48.145648000000001</v>
      </c>
      <c r="AH672" s="4" t="s">
        <v>124</v>
      </c>
      <c r="AI672" s="7">
        <v>32.097098000000003</v>
      </c>
      <c r="AJ672" s="7">
        <v>50</v>
      </c>
      <c r="AK672" s="7">
        <v>9.64</v>
      </c>
      <c r="AL672" s="7">
        <v>10.039999999999999</v>
      </c>
      <c r="AM672" s="4" t="s">
        <v>124</v>
      </c>
      <c r="AN672" s="7">
        <v>0.41342400000000001</v>
      </c>
      <c r="AO672" s="7">
        <v>41.342435999999999</v>
      </c>
      <c r="AP672" s="7">
        <v>100</v>
      </c>
      <c r="AQ672" s="7">
        <v>0.49393100000000001</v>
      </c>
      <c r="AR672" s="7">
        <v>49.393076999999998</v>
      </c>
      <c r="AS672" s="7">
        <v>100</v>
      </c>
      <c r="AT672" s="7">
        <v>0.40786899999999998</v>
      </c>
      <c r="AU672" s="4" t="s">
        <v>124</v>
      </c>
      <c r="AV672" s="7">
        <v>40.786892000000002</v>
      </c>
      <c r="AW672" s="7">
        <v>100</v>
      </c>
      <c r="AX672" s="7">
        <v>0.49270700000000001</v>
      </c>
      <c r="AY672" s="4" t="s">
        <v>124</v>
      </c>
      <c r="AZ672" s="7">
        <v>49.270721999999999</v>
      </c>
      <c r="BA672" s="7">
        <v>100</v>
      </c>
      <c r="BB672" s="7">
        <v>0.76572399999999996</v>
      </c>
      <c r="BC672" s="7">
        <v>38.286200999999998</v>
      </c>
      <c r="BD672" s="7">
        <v>50</v>
      </c>
      <c r="BE672" s="7">
        <v>0.43576700000000002</v>
      </c>
      <c r="BF672" s="7">
        <v>21.788329000000001</v>
      </c>
      <c r="BG672" s="7">
        <v>50</v>
      </c>
      <c r="BH672" s="7">
        <v>0</v>
      </c>
      <c r="BI672" s="7">
        <v>0.99653999999999998</v>
      </c>
      <c r="BJ672" s="7">
        <v>0.99619800000000003</v>
      </c>
      <c r="BK672" s="7">
        <v>1</v>
      </c>
      <c r="BL672" s="7">
        <v>0.98615900000000001</v>
      </c>
      <c r="BM672" s="7">
        <v>0.98859300000000006</v>
      </c>
      <c r="BN672" s="7">
        <v>0.961538</v>
      </c>
      <c r="BO672" s="7">
        <v>0.98039200000000004</v>
      </c>
      <c r="BP672" s="7">
        <v>0.97826100000000005</v>
      </c>
      <c r="BQ672" s="4" t="s">
        <v>124</v>
      </c>
      <c r="BR672" s="7">
        <v>0.29816500000000001</v>
      </c>
      <c r="BS672" s="7">
        <v>0.36697200000000002</v>
      </c>
      <c r="BT672" s="7">
        <v>50</v>
      </c>
      <c r="BU672" s="7">
        <v>0.30129899999999998</v>
      </c>
      <c r="BV672" s="7">
        <v>0</v>
      </c>
      <c r="BW672" s="7">
        <v>50</v>
      </c>
      <c r="BX672" s="4" t="s">
        <v>124</v>
      </c>
      <c r="BY672" s="4" t="s">
        <v>124</v>
      </c>
      <c r="BZ672" s="4" t="s">
        <v>124</v>
      </c>
      <c r="CA672" s="4" t="s">
        <v>124</v>
      </c>
      <c r="CB672" s="4" t="s">
        <v>124</v>
      </c>
      <c r="CC672" s="4" t="s">
        <v>124</v>
      </c>
      <c r="CD672" s="7">
        <v>0.88235300000000005</v>
      </c>
      <c r="CE672" s="7">
        <v>46.933667</v>
      </c>
      <c r="CF672" s="7">
        <v>50</v>
      </c>
      <c r="CG672" s="4" t="s">
        <v>124</v>
      </c>
      <c r="CH672" s="4" t="s">
        <v>124</v>
      </c>
      <c r="CI672" s="4" t="s">
        <v>124</v>
      </c>
      <c r="CJ672" s="4" t="s">
        <v>124</v>
      </c>
      <c r="CK672" s="4" t="s">
        <v>124</v>
      </c>
      <c r="CL672" s="4" t="s">
        <v>124</v>
      </c>
      <c r="CM672" s="4" t="s">
        <v>124</v>
      </c>
      <c r="CN672" s="4" t="s">
        <v>124</v>
      </c>
      <c r="CO672" s="4" t="s">
        <v>124</v>
      </c>
      <c r="CP672" s="4" t="s">
        <v>124</v>
      </c>
      <c r="CQ672" s="7">
        <v>0.60992900000000005</v>
      </c>
      <c r="CR672" s="7">
        <v>0.98601399999999995</v>
      </c>
      <c r="CS672" s="7">
        <v>40.661938999999997</v>
      </c>
      <c r="CT672" s="7">
        <v>50</v>
      </c>
      <c r="CU672" s="4" t="s">
        <v>124</v>
      </c>
      <c r="CV672" s="4" t="s">
        <v>124</v>
      </c>
      <c r="CW672" s="4" t="s">
        <v>124</v>
      </c>
      <c r="CX672" s="4" t="s">
        <v>124</v>
      </c>
      <c r="CY672" s="4" t="s">
        <v>124</v>
      </c>
      <c r="CZ672" s="4" t="s">
        <v>124</v>
      </c>
      <c r="DA672" s="7">
        <v>15.314097</v>
      </c>
      <c r="DB672" s="7">
        <v>17.400950000000002</v>
      </c>
      <c r="DC672" s="7">
        <v>16.332519999999999</v>
      </c>
      <c r="DD672" s="4" t="s">
        <v>124</v>
      </c>
      <c r="DE672" s="7">
        <v>0</v>
      </c>
      <c r="DF672" s="6"/>
      <c r="DG672" s="6"/>
      <c r="DH672" s="6"/>
      <c r="DI672" s="6"/>
      <c r="DJ672" s="7">
        <v>0</v>
      </c>
      <c r="DK672" s="7">
        <v>0</v>
      </c>
      <c r="DL672" s="7">
        <v>0</v>
      </c>
      <c r="DM672" s="7">
        <v>0</v>
      </c>
      <c r="DN672" s="7">
        <v>0</v>
      </c>
      <c r="DO672" s="7">
        <v>0</v>
      </c>
      <c r="DP672" s="6"/>
      <c r="DQ672" s="4" t="s">
        <v>125</v>
      </c>
    </row>
    <row r="673" spans="1:121" ht="20" customHeight="1" x14ac:dyDescent="0.15">
      <c r="A673" s="5">
        <v>2018</v>
      </c>
      <c r="B673" s="3" t="s">
        <v>205</v>
      </c>
      <c r="C673" s="4" t="str">
        <f t="shared" si="230"/>
        <v>0930011</v>
      </c>
      <c r="D673" s="4" t="s">
        <v>830</v>
      </c>
      <c r="E673" s="4" t="str">
        <f>"0934811"</f>
        <v>0934811</v>
      </c>
      <c r="F673" s="4" t="s">
        <v>327</v>
      </c>
      <c r="G673" s="4" t="s">
        <v>328</v>
      </c>
      <c r="H673" s="7">
        <v>8</v>
      </c>
      <c r="I673" s="4" t="s">
        <v>335</v>
      </c>
      <c r="J673" s="4" t="s">
        <v>330</v>
      </c>
      <c r="K673" s="7">
        <v>629.50518899999997</v>
      </c>
      <c r="L673" s="7">
        <v>1000</v>
      </c>
      <c r="M673" s="7">
        <v>62.950519</v>
      </c>
      <c r="N673" s="7">
        <v>3</v>
      </c>
      <c r="O673" s="7">
        <v>0</v>
      </c>
      <c r="P673" s="7">
        <v>56.200797999999999</v>
      </c>
      <c r="Q673" s="7">
        <v>37.467199000000001</v>
      </c>
      <c r="R673" s="7">
        <v>50</v>
      </c>
      <c r="S673" s="7">
        <v>54.598795000000003</v>
      </c>
      <c r="T673" s="7">
        <v>68.952742000000001</v>
      </c>
      <c r="U673" s="7">
        <v>36.399197000000001</v>
      </c>
      <c r="V673" s="7">
        <v>50</v>
      </c>
      <c r="W673" s="7">
        <v>44.588051999999998</v>
      </c>
      <c r="X673" s="7">
        <v>29.725368</v>
      </c>
      <c r="Y673" s="7">
        <v>50</v>
      </c>
      <c r="Z673" s="7">
        <v>57.092773999999999</v>
      </c>
      <c r="AA673" s="7">
        <v>43.017107000000003</v>
      </c>
      <c r="AB673" s="7">
        <v>28.678070999999999</v>
      </c>
      <c r="AC673" s="7">
        <v>50</v>
      </c>
      <c r="AD673" s="7">
        <v>55.191634000000001</v>
      </c>
      <c r="AE673" s="7">
        <v>36.794423000000002</v>
      </c>
      <c r="AF673" s="7">
        <v>50</v>
      </c>
      <c r="AG673" s="7">
        <v>54.829664999999999</v>
      </c>
      <c r="AH673" s="4" t="s">
        <v>124</v>
      </c>
      <c r="AI673" s="7">
        <v>36.553109999999997</v>
      </c>
      <c r="AJ673" s="7">
        <v>50</v>
      </c>
      <c r="AK673" s="7">
        <v>14.35</v>
      </c>
      <c r="AL673" s="7">
        <v>14.07</v>
      </c>
      <c r="AM673" s="4" t="s">
        <v>124</v>
      </c>
      <c r="AN673" s="7">
        <v>0.565917</v>
      </c>
      <c r="AO673" s="7">
        <v>56.591724999999997</v>
      </c>
      <c r="AP673" s="7">
        <v>100</v>
      </c>
      <c r="AQ673" s="7">
        <v>0.54782600000000004</v>
      </c>
      <c r="AR673" s="7">
        <v>54.782583000000002</v>
      </c>
      <c r="AS673" s="7">
        <v>100</v>
      </c>
      <c r="AT673" s="7">
        <v>0.55605499999999997</v>
      </c>
      <c r="AU673" s="4" t="s">
        <v>124</v>
      </c>
      <c r="AV673" s="7">
        <v>55.605524000000003</v>
      </c>
      <c r="AW673" s="7">
        <v>100</v>
      </c>
      <c r="AX673" s="7">
        <v>0.53888199999999997</v>
      </c>
      <c r="AY673" s="4" t="s">
        <v>124</v>
      </c>
      <c r="AZ673" s="7">
        <v>53.888156000000002</v>
      </c>
      <c r="BA673" s="7">
        <v>100</v>
      </c>
      <c r="BB673" s="7">
        <v>0.62349299999999996</v>
      </c>
      <c r="BC673" s="7">
        <v>31.174638000000002</v>
      </c>
      <c r="BD673" s="7">
        <v>50</v>
      </c>
      <c r="BE673" s="7">
        <v>0.63375599999999999</v>
      </c>
      <c r="BF673" s="7">
        <v>31.687816000000002</v>
      </c>
      <c r="BG673" s="7">
        <v>50</v>
      </c>
      <c r="BH673" s="7">
        <v>0</v>
      </c>
      <c r="BI673" s="7">
        <v>1</v>
      </c>
      <c r="BJ673" s="7">
        <v>1</v>
      </c>
      <c r="BK673" s="7">
        <v>1</v>
      </c>
      <c r="BL673" s="7">
        <v>1</v>
      </c>
      <c r="BM673" s="7">
        <v>1</v>
      </c>
      <c r="BN673" s="7">
        <v>1</v>
      </c>
      <c r="BO673" s="7">
        <v>1</v>
      </c>
      <c r="BP673" s="7">
        <v>1</v>
      </c>
      <c r="BQ673" s="4" t="s">
        <v>124</v>
      </c>
      <c r="BR673" s="7">
        <v>0.16528899999999999</v>
      </c>
      <c r="BS673" s="7">
        <v>26.942149000000001</v>
      </c>
      <c r="BT673" s="7">
        <v>50</v>
      </c>
      <c r="BU673" s="7">
        <v>0.180645</v>
      </c>
      <c r="BV673" s="7">
        <v>23.870968000000001</v>
      </c>
      <c r="BW673" s="7">
        <v>50</v>
      </c>
      <c r="BX673" s="4" t="s">
        <v>124</v>
      </c>
      <c r="BY673" s="4" t="s">
        <v>124</v>
      </c>
      <c r="BZ673" s="4" t="s">
        <v>124</v>
      </c>
      <c r="CA673" s="4" t="s">
        <v>124</v>
      </c>
      <c r="CB673" s="4" t="s">
        <v>124</v>
      </c>
      <c r="CC673" s="4" t="s">
        <v>124</v>
      </c>
      <c r="CD673" s="7">
        <v>0.97222200000000003</v>
      </c>
      <c r="CE673" s="7">
        <v>50</v>
      </c>
      <c r="CF673" s="7">
        <v>50</v>
      </c>
      <c r="CG673" s="4" t="s">
        <v>124</v>
      </c>
      <c r="CH673" s="4" t="s">
        <v>124</v>
      </c>
      <c r="CI673" s="4" t="s">
        <v>124</v>
      </c>
      <c r="CJ673" s="4" t="s">
        <v>124</v>
      </c>
      <c r="CK673" s="4" t="s">
        <v>124</v>
      </c>
      <c r="CL673" s="4" t="s">
        <v>124</v>
      </c>
      <c r="CM673" s="4" t="s">
        <v>124</v>
      </c>
      <c r="CN673" s="4" t="s">
        <v>124</v>
      </c>
      <c r="CO673" s="4" t="s">
        <v>124</v>
      </c>
      <c r="CP673" s="4" t="s">
        <v>124</v>
      </c>
      <c r="CQ673" s="7">
        <v>0.59016400000000002</v>
      </c>
      <c r="CR673" s="7">
        <v>1.016667</v>
      </c>
      <c r="CS673" s="7">
        <v>39.344262000000001</v>
      </c>
      <c r="CT673" s="7">
        <v>50</v>
      </c>
      <c r="CU673" s="4" t="s">
        <v>124</v>
      </c>
      <c r="CV673" s="4" t="s">
        <v>124</v>
      </c>
      <c r="CW673" s="4" t="s">
        <v>124</v>
      </c>
      <c r="CX673" s="4" t="s">
        <v>124</v>
      </c>
      <c r="CY673" s="4" t="s">
        <v>124</v>
      </c>
      <c r="CZ673" s="4" t="s">
        <v>124</v>
      </c>
      <c r="DA673" s="7">
        <v>15.314097</v>
      </c>
      <c r="DB673" s="7">
        <v>17.400950000000002</v>
      </c>
      <c r="DC673" s="7">
        <v>16.332519999999999</v>
      </c>
      <c r="DD673" s="4" t="s">
        <v>124</v>
      </c>
      <c r="DE673" s="7">
        <v>0</v>
      </c>
      <c r="DF673" s="6"/>
      <c r="DG673" s="6"/>
      <c r="DH673" s="6"/>
      <c r="DI673" s="6"/>
      <c r="DJ673" s="7">
        <v>0</v>
      </c>
      <c r="DK673" s="7">
        <v>0</v>
      </c>
      <c r="DL673" s="7">
        <v>0</v>
      </c>
      <c r="DM673" s="7">
        <v>0</v>
      </c>
      <c r="DN673" s="7">
        <v>0</v>
      </c>
      <c r="DO673" s="7">
        <v>0</v>
      </c>
      <c r="DP673" s="6"/>
      <c r="DQ673" s="4" t="s">
        <v>125</v>
      </c>
    </row>
    <row r="674" spans="1:121" ht="20" customHeight="1" x14ac:dyDescent="0.15">
      <c r="A674" s="5">
        <v>2018</v>
      </c>
      <c r="B674" s="3" t="s">
        <v>205</v>
      </c>
      <c r="C674" s="4" t="str">
        <f t="shared" si="230"/>
        <v>0930011</v>
      </c>
      <c r="D674" s="4" t="s">
        <v>831</v>
      </c>
      <c r="E674" s="4" t="str">
        <f>"0930611"</f>
        <v>0930611</v>
      </c>
      <c r="F674" s="4" t="s">
        <v>327</v>
      </c>
      <c r="G674" s="4" t="s">
        <v>338</v>
      </c>
      <c r="H674" s="7">
        <v>8</v>
      </c>
      <c r="I674" s="4" t="s">
        <v>335</v>
      </c>
      <c r="J674" s="4" t="s">
        <v>330</v>
      </c>
      <c r="K674" s="7">
        <v>662.41814599999998</v>
      </c>
      <c r="L674" s="7">
        <v>1000</v>
      </c>
      <c r="M674" s="7">
        <v>66.241815000000003</v>
      </c>
      <c r="N674" s="7">
        <v>3</v>
      </c>
      <c r="O674" s="7">
        <v>0</v>
      </c>
      <c r="P674" s="7">
        <v>62.493506000000004</v>
      </c>
      <c r="Q674" s="7">
        <v>41.662337999999998</v>
      </c>
      <c r="R674" s="7">
        <v>50</v>
      </c>
      <c r="S674" s="7">
        <v>62.351115999999998</v>
      </c>
      <c r="T674" s="4" t="s">
        <v>124</v>
      </c>
      <c r="U674" s="7">
        <v>41.567411</v>
      </c>
      <c r="V674" s="7">
        <v>50</v>
      </c>
      <c r="W674" s="7">
        <v>51.595399</v>
      </c>
      <c r="X674" s="7">
        <v>34.396932999999997</v>
      </c>
      <c r="Y674" s="7">
        <v>50</v>
      </c>
      <c r="Z674" s="4" t="s">
        <v>124</v>
      </c>
      <c r="AA674" s="7">
        <v>51.494325000000003</v>
      </c>
      <c r="AB674" s="7">
        <v>34.329549999999998</v>
      </c>
      <c r="AC674" s="7">
        <v>50</v>
      </c>
      <c r="AD674" s="7">
        <v>56.942326000000001</v>
      </c>
      <c r="AE674" s="7">
        <v>37.961551</v>
      </c>
      <c r="AF674" s="7">
        <v>50</v>
      </c>
      <c r="AG674" s="7">
        <v>56.950437000000001</v>
      </c>
      <c r="AH674" s="4" t="s">
        <v>124</v>
      </c>
      <c r="AI674" s="7">
        <v>37.966957999999998</v>
      </c>
      <c r="AJ674" s="7">
        <v>50</v>
      </c>
      <c r="AK674" s="4" t="s">
        <v>124</v>
      </c>
      <c r="AL674" s="4" t="s">
        <v>124</v>
      </c>
      <c r="AM674" s="4" t="s">
        <v>124</v>
      </c>
      <c r="AN674" s="7">
        <v>0.63070099999999996</v>
      </c>
      <c r="AO674" s="7">
        <v>63.070056000000001</v>
      </c>
      <c r="AP674" s="7">
        <v>100</v>
      </c>
      <c r="AQ674" s="7">
        <v>0.56969999999999998</v>
      </c>
      <c r="AR674" s="7">
        <v>56.970035000000003</v>
      </c>
      <c r="AS674" s="7">
        <v>100</v>
      </c>
      <c r="AT674" s="7">
        <v>0.63050600000000001</v>
      </c>
      <c r="AU674" s="4" t="s">
        <v>124</v>
      </c>
      <c r="AV674" s="7">
        <v>63.050556999999998</v>
      </c>
      <c r="AW674" s="7">
        <v>100</v>
      </c>
      <c r="AX674" s="7">
        <v>0.572716</v>
      </c>
      <c r="AY674" s="4" t="s">
        <v>124</v>
      </c>
      <c r="AZ674" s="7">
        <v>57.271596000000002</v>
      </c>
      <c r="BA674" s="7">
        <v>100</v>
      </c>
      <c r="BB674" s="7">
        <v>0.69516599999999995</v>
      </c>
      <c r="BC674" s="7">
        <v>34.758277</v>
      </c>
      <c r="BD674" s="7">
        <v>50</v>
      </c>
      <c r="BE674" s="7">
        <v>0.51159200000000005</v>
      </c>
      <c r="BF674" s="7">
        <v>25.579611</v>
      </c>
      <c r="BG674" s="7">
        <v>50</v>
      </c>
      <c r="BH674" s="7">
        <v>0</v>
      </c>
      <c r="BI674" s="7">
        <v>0.99363100000000004</v>
      </c>
      <c r="BJ674" s="7">
        <v>0.99346400000000001</v>
      </c>
      <c r="BK674" s="4" t="s">
        <v>124</v>
      </c>
      <c r="BL674" s="7">
        <v>0.99360999999999999</v>
      </c>
      <c r="BM674" s="7">
        <v>0.99344299999999996</v>
      </c>
      <c r="BN674" s="4" t="s">
        <v>124</v>
      </c>
      <c r="BO674" s="7">
        <v>0.99029100000000003</v>
      </c>
      <c r="BP674" s="7">
        <v>0.98989899999999997</v>
      </c>
      <c r="BQ674" s="4" t="s">
        <v>124</v>
      </c>
      <c r="BR674" s="7">
        <v>0.15778300000000001</v>
      </c>
      <c r="BS674" s="7">
        <v>28.443497000000001</v>
      </c>
      <c r="BT674" s="7">
        <v>50</v>
      </c>
      <c r="BU674" s="7">
        <v>0.13625899999999999</v>
      </c>
      <c r="BV674" s="7">
        <v>32.748268000000003</v>
      </c>
      <c r="BW674" s="7">
        <v>50</v>
      </c>
      <c r="BX674" s="4" t="s">
        <v>124</v>
      </c>
      <c r="BY674" s="4" t="s">
        <v>124</v>
      </c>
      <c r="BZ674" s="4" t="s">
        <v>124</v>
      </c>
      <c r="CA674" s="4" t="s">
        <v>124</v>
      </c>
      <c r="CB674" s="4" t="s">
        <v>124</v>
      </c>
      <c r="CC674" s="4" t="s">
        <v>124</v>
      </c>
      <c r="CD674" s="7">
        <v>1</v>
      </c>
      <c r="CE674" s="7">
        <v>50</v>
      </c>
      <c r="CF674" s="7">
        <v>50</v>
      </c>
      <c r="CG674" s="4" t="s">
        <v>124</v>
      </c>
      <c r="CH674" s="4" t="s">
        <v>124</v>
      </c>
      <c r="CI674" s="4" t="s">
        <v>124</v>
      </c>
      <c r="CJ674" s="4" t="s">
        <v>124</v>
      </c>
      <c r="CK674" s="4" t="s">
        <v>124</v>
      </c>
      <c r="CL674" s="4" t="s">
        <v>124</v>
      </c>
      <c r="CM674" s="4" t="s">
        <v>124</v>
      </c>
      <c r="CN674" s="4" t="s">
        <v>124</v>
      </c>
      <c r="CO674" s="4" t="s">
        <v>124</v>
      </c>
      <c r="CP674" s="4" t="s">
        <v>124</v>
      </c>
      <c r="CQ674" s="7">
        <v>0.33962300000000001</v>
      </c>
      <c r="CR674" s="7">
        <v>1.006329</v>
      </c>
      <c r="CS674" s="7">
        <v>22.641508999999999</v>
      </c>
      <c r="CT674" s="7">
        <v>50</v>
      </c>
      <c r="CU674" s="4" t="s">
        <v>124</v>
      </c>
      <c r="CV674" s="4" t="s">
        <v>124</v>
      </c>
      <c r="CW674" s="4" t="s">
        <v>124</v>
      </c>
      <c r="CX674" s="4" t="s">
        <v>124</v>
      </c>
      <c r="CY674" s="4" t="s">
        <v>124</v>
      </c>
      <c r="CZ674" s="4" t="s">
        <v>124</v>
      </c>
      <c r="DA674" s="7">
        <v>15.314097</v>
      </c>
      <c r="DB674" s="7">
        <v>17.400950000000002</v>
      </c>
      <c r="DC674" s="7">
        <v>16.332519999999999</v>
      </c>
      <c r="DD674" s="4" t="s">
        <v>124</v>
      </c>
      <c r="DE674" s="7">
        <v>0</v>
      </c>
      <c r="DF674" s="6"/>
      <c r="DG674" s="6"/>
      <c r="DH674" s="6"/>
      <c r="DI674" s="6"/>
      <c r="DJ674" s="7">
        <v>0</v>
      </c>
      <c r="DK674" s="7">
        <v>0</v>
      </c>
      <c r="DL674" s="7">
        <v>0</v>
      </c>
      <c r="DM674" s="7">
        <v>0</v>
      </c>
      <c r="DN674" s="7">
        <v>0</v>
      </c>
      <c r="DO674" s="7">
        <v>0</v>
      </c>
      <c r="DP674" s="6"/>
      <c r="DQ674" s="4" t="s">
        <v>125</v>
      </c>
    </row>
    <row r="675" spans="1:121" ht="20" customHeight="1" x14ac:dyDescent="0.15">
      <c r="A675" s="5">
        <v>2018</v>
      </c>
      <c r="B675" s="3" t="s">
        <v>205</v>
      </c>
      <c r="C675" s="4" t="str">
        <f>"0930011"</f>
        <v>0930011</v>
      </c>
      <c r="D675" s="4" t="s">
        <v>832</v>
      </c>
      <c r="E675" s="4" t="str">
        <f>"0934111"</f>
        <v>0934111</v>
      </c>
      <c r="F675" s="4" t="s">
        <v>327</v>
      </c>
      <c r="G675" s="4" t="s">
        <v>328</v>
      </c>
      <c r="H675" s="7">
        <v>8</v>
      </c>
      <c r="I675" s="4" t="s">
        <v>335</v>
      </c>
      <c r="J675" s="4" t="s">
        <v>330</v>
      </c>
      <c r="K675" s="7">
        <v>649.32967499999995</v>
      </c>
      <c r="L675" s="7">
        <v>1000</v>
      </c>
      <c r="M675" s="7">
        <v>64.932968000000002</v>
      </c>
      <c r="N675" s="7">
        <v>3</v>
      </c>
      <c r="O675" s="7">
        <v>0</v>
      </c>
      <c r="P675" s="7">
        <v>57.928953999999997</v>
      </c>
      <c r="Q675" s="7">
        <v>38.619303000000002</v>
      </c>
      <c r="R675" s="7">
        <v>50</v>
      </c>
      <c r="S675" s="7">
        <v>57.380606</v>
      </c>
      <c r="T675" s="4" t="s">
        <v>124</v>
      </c>
      <c r="U675" s="7">
        <v>38.253737999999998</v>
      </c>
      <c r="V675" s="7">
        <v>50</v>
      </c>
      <c r="W675" s="7">
        <v>49.987769999999998</v>
      </c>
      <c r="X675" s="7">
        <v>33.325180000000003</v>
      </c>
      <c r="Y675" s="7">
        <v>50</v>
      </c>
      <c r="Z675" s="4" t="s">
        <v>124</v>
      </c>
      <c r="AA675" s="7">
        <v>49.595424000000001</v>
      </c>
      <c r="AB675" s="7">
        <v>33.063616000000003</v>
      </c>
      <c r="AC675" s="7">
        <v>50</v>
      </c>
      <c r="AD675" s="7">
        <v>52.349232000000001</v>
      </c>
      <c r="AE675" s="7">
        <v>34.899487999999998</v>
      </c>
      <c r="AF675" s="7">
        <v>50</v>
      </c>
      <c r="AG675" s="7">
        <v>52.450107000000003</v>
      </c>
      <c r="AH675" s="4" t="s">
        <v>124</v>
      </c>
      <c r="AI675" s="7">
        <v>34.966737999999999</v>
      </c>
      <c r="AJ675" s="7">
        <v>50</v>
      </c>
      <c r="AK675" s="4" t="s">
        <v>124</v>
      </c>
      <c r="AL675" s="4" t="s">
        <v>124</v>
      </c>
      <c r="AM675" s="4" t="s">
        <v>124</v>
      </c>
      <c r="AN675" s="7">
        <v>0.55815700000000001</v>
      </c>
      <c r="AO675" s="7">
        <v>55.815652999999998</v>
      </c>
      <c r="AP675" s="7">
        <v>100</v>
      </c>
      <c r="AQ675" s="7">
        <v>0.55652699999999999</v>
      </c>
      <c r="AR675" s="7">
        <v>55.652706000000002</v>
      </c>
      <c r="AS675" s="7">
        <v>100</v>
      </c>
      <c r="AT675" s="7">
        <v>0.55869100000000005</v>
      </c>
      <c r="AU675" s="4" t="s">
        <v>124</v>
      </c>
      <c r="AV675" s="7">
        <v>55.869134000000003</v>
      </c>
      <c r="AW675" s="7">
        <v>100</v>
      </c>
      <c r="AX675" s="7">
        <v>0.56218800000000002</v>
      </c>
      <c r="AY675" s="4" t="s">
        <v>124</v>
      </c>
      <c r="AZ675" s="7">
        <v>56.218805000000003</v>
      </c>
      <c r="BA675" s="7">
        <v>100</v>
      </c>
      <c r="BB675" s="7">
        <v>0.58419200000000004</v>
      </c>
      <c r="BC675" s="7">
        <v>29.209620000000001</v>
      </c>
      <c r="BD675" s="7">
        <v>50</v>
      </c>
      <c r="BE675" s="7">
        <v>0.44204100000000002</v>
      </c>
      <c r="BF675" s="7">
        <v>22.102029999999999</v>
      </c>
      <c r="BG675" s="7">
        <v>50</v>
      </c>
      <c r="BH675" s="7">
        <v>0</v>
      </c>
      <c r="BI675" s="7">
        <v>0.98422699999999996</v>
      </c>
      <c r="BJ675" s="7">
        <v>0.98327799999999999</v>
      </c>
      <c r="BK675" s="4" t="s">
        <v>124</v>
      </c>
      <c r="BL675" s="7">
        <v>0.98422699999999996</v>
      </c>
      <c r="BM675" s="7">
        <v>0.98327799999999999</v>
      </c>
      <c r="BN675" s="4" t="s">
        <v>124</v>
      </c>
      <c r="BO675" s="7">
        <v>0.99074099999999998</v>
      </c>
      <c r="BP675" s="7">
        <v>0.99029100000000003</v>
      </c>
      <c r="BQ675" s="4" t="s">
        <v>124</v>
      </c>
      <c r="BR675" s="7">
        <v>0.12987000000000001</v>
      </c>
      <c r="BS675" s="7">
        <v>34.025973999999998</v>
      </c>
      <c r="BT675" s="7">
        <v>50</v>
      </c>
      <c r="BU675" s="7">
        <v>0.125</v>
      </c>
      <c r="BV675" s="7">
        <v>35</v>
      </c>
      <c r="BW675" s="7">
        <v>50</v>
      </c>
      <c r="BX675" s="4" t="s">
        <v>124</v>
      </c>
      <c r="BY675" s="4" t="s">
        <v>124</v>
      </c>
      <c r="BZ675" s="4" t="s">
        <v>124</v>
      </c>
      <c r="CA675" s="4" t="s">
        <v>124</v>
      </c>
      <c r="CB675" s="4" t="s">
        <v>124</v>
      </c>
      <c r="CC675" s="4" t="s">
        <v>124</v>
      </c>
      <c r="CD675" s="7">
        <v>0.97959200000000002</v>
      </c>
      <c r="CE675" s="7">
        <v>50</v>
      </c>
      <c r="CF675" s="7">
        <v>50</v>
      </c>
      <c r="CG675" s="4" t="s">
        <v>124</v>
      </c>
      <c r="CH675" s="4" t="s">
        <v>124</v>
      </c>
      <c r="CI675" s="4" t="s">
        <v>124</v>
      </c>
      <c r="CJ675" s="4" t="s">
        <v>124</v>
      </c>
      <c r="CK675" s="4" t="s">
        <v>124</v>
      </c>
      <c r="CL675" s="4" t="s">
        <v>124</v>
      </c>
      <c r="CM675" s="4" t="s">
        <v>124</v>
      </c>
      <c r="CN675" s="4" t="s">
        <v>124</v>
      </c>
      <c r="CO675" s="4" t="s">
        <v>124</v>
      </c>
      <c r="CP675" s="4" t="s">
        <v>124</v>
      </c>
      <c r="CQ675" s="7">
        <v>0.63461500000000004</v>
      </c>
      <c r="CR675" s="7">
        <v>0.99363100000000004</v>
      </c>
      <c r="CS675" s="7">
        <v>42.307692000000003</v>
      </c>
      <c r="CT675" s="7">
        <v>50</v>
      </c>
      <c r="CU675" s="4" t="s">
        <v>124</v>
      </c>
      <c r="CV675" s="4" t="s">
        <v>124</v>
      </c>
      <c r="CW675" s="4" t="s">
        <v>124</v>
      </c>
      <c r="CX675" s="4" t="s">
        <v>124</v>
      </c>
      <c r="CY675" s="4" t="s">
        <v>124</v>
      </c>
      <c r="CZ675" s="4" t="s">
        <v>124</v>
      </c>
      <c r="DA675" s="7">
        <v>15.314097</v>
      </c>
      <c r="DB675" s="7">
        <v>17.400950000000002</v>
      </c>
      <c r="DC675" s="7">
        <v>16.332519999999999</v>
      </c>
      <c r="DD675" s="4" t="s">
        <v>124</v>
      </c>
      <c r="DE675" s="7">
        <v>0</v>
      </c>
      <c r="DF675" s="6"/>
      <c r="DG675" s="6"/>
      <c r="DH675" s="6"/>
      <c r="DI675" s="6"/>
      <c r="DJ675" s="7">
        <v>0</v>
      </c>
      <c r="DK675" s="7">
        <v>0</v>
      </c>
      <c r="DL675" s="7">
        <v>0</v>
      </c>
      <c r="DM675" s="7">
        <v>0</v>
      </c>
      <c r="DN675" s="7">
        <v>0</v>
      </c>
      <c r="DO675" s="7">
        <v>0</v>
      </c>
      <c r="DP675" s="6"/>
      <c r="DQ675" s="4" t="s">
        <v>125</v>
      </c>
    </row>
    <row r="676" spans="1:121" ht="20" customHeight="1" x14ac:dyDescent="0.15">
      <c r="A676" s="5">
        <v>2018</v>
      </c>
      <c r="B676" s="3" t="s">
        <v>205</v>
      </c>
      <c r="C676" s="4" t="str">
        <f>"0930011"</f>
        <v>0930011</v>
      </c>
      <c r="D676" s="4" t="s">
        <v>833</v>
      </c>
      <c r="E676" s="4" t="str">
        <f>"0933111"</f>
        <v>0933111</v>
      </c>
      <c r="F676" s="4" t="s">
        <v>327</v>
      </c>
      <c r="G676" s="4" t="s">
        <v>328</v>
      </c>
      <c r="H676" s="7">
        <v>8</v>
      </c>
      <c r="I676" s="4" t="s">
        <v>335</v>
      </c>
      <c r="J676" s="4" t="s">
        <v>330</v>
      </c>
      <c r="K676" s="7">
        <v>634.06901100000005</v>
      </c>
      <c r="L676" s="7">
        <v>1000</v>
      </c>
      <c r="M676" s="7">
        <v>63.406900999999998</v>
      </c>
      <c r="N676" s="7">
        <v>3</v>
      </c>
      <c r="O676" s="7">
        <v>0</v>
      </c>
      <c r="P676" s="7">
        <v>63.353645999999998</v>
      </c>
      <c r="Q676" s="7">
        <v>42.235764000000003</v>
      </c>
      <c r="R676" s="7">
        <v>50</v>
      </c>
      <c r="S676" s="7">
        <v>62.301684999999999</v>
      </c>
      <c r="T676" s="7">
        <v>71.096078000000006</v>
      </c>
      <c r="U676" s="7">
        <v>41.534457000000003</v>
      </c>
      <c r="V676" s="7">
        <v>50</v>
      </c>
      <c r="W676" s="7">
        <v>54.57882</v>
      </c>
      <c r="X676" s="7">
        <v>36.38588</v>
      </c>
      <c r="Y676" s="7">
        <v>50</v>
      </c>
      <c r="Z676" s="7">
        <v>61.261187999999997</v>
      </c>
      <c r="AA676" s="7">
        <v>53.670889000000003</v>
      </c>
      <c r="AB676" s="7">
        <v>35.780593000000003</v>
      </c>
      <c r="AC676" s="7">
        <v>50</v>
      </c>
      <c r="AD676" s="7">
        <v>57.75609</v>
      </c>
      <c r="AE676" s="7">
        <v>38.504060000000003</v>
      </c>
      <c r="AF676" s="7">
        <v>50</v>
      </c>
      <c r="AG676" s="7">
        <v>55.698596999999999</v>
      </c>
      <c r="AH676" s="7">
        <v>69.072303000000005</v>
      </c>
      <c r="AI676" s="7">
        <v>37.132398000000002</v>
      </c>
      <c r="AJ676" s="7">
        <v>50</v>
      </c>
      <c r="AK676" s="7">
        <v>8.7899999999999991</v>
      </c>
      <c r="AL676" s="7">
        <v>7.59</v>
      </c>
      <c r="AM676" s="7">
        <v>13.37</v>
      </c>
      <c r="AN676" s="7">
        <v>0.54349400000000003</v>
      </c>
      <c r="AO676" s="7">
        <v>54.349445000000003</v>
      </c>
      <c r="AP676" s="7">
        <v>100</v>
      </c>
      <c r="AQ676" s="7">
        <v>0.51045700000000005</v>
      </c>
      <c r="AR676" s="7">
        <v>51.045729999999999</v>
      </c>
      <c r="AS676" s="7">
        <v>100</v>
      </c>
      <c r="AT676" s="7">
        <v>0.53093199999999996</v>
      </c>
      <c r="AU676" s="7">
        <v>0.64068999999999998</v>
      </c>
      <c r="AV676" s="7">
        <v>53.093179999999997</v>
      </c>
      <c r="AW676" s="7">
        <v>100</v>
      </c>
      <c r="AX676" s="7">
        <v>0.501247</v>
      </c>
      <c r="AY676" s="7">
        <v>0.58171499999999998</v>
      </c>
      <c r="AZ676" s="7">
        <v>50.12471</v>
      </c>
      <c r="BA676" s="7">
        <v>100</v>
      </c>
      <c r="BB676" s="7">
        <v>0.65230900000000003</v>
      </c>
      <c r="BC676" s="7">
        <v>32.615454</v>
      </c>
      <c r="BD676" s="7">
        <v>50</v>
      </c>
      <c r="BE676" s="7">
        <v>0.53236899999999998</v>
      </c>
      <c r="BF676" s="7">
        <v>26.618455000000001</v>
      </c>
      <c r="BG676" s="7">
        <v>50</v>
      </c>
      <c r="BH676" s="7">
        <v>0</v>
      </c>
      <c r="BI676" s="7">
        <v>0.997753</v>
      </c>
      <c r="BJ676" s="7">
        <v>1</v>
      </c>
      <c r="BK676" s="7">
        <v>0.98275900000000005</v>
      </c>
      <c r="BL676" s="7">
        <v>0.997753</v>
      </c>
      <c r="BM676" s="7">
        <v>1</v>
      </c>
      <c r="BN676" s="7">
        <v>0.98275900000000005</v>
      </c>
      <c r="BO676" s="7">
        <v>1</v>
      </c>
      <c r="BP676" s="7">
        <v>1</v>
      </c>
      <c r="BQ676" s="7">
        <v>1</v>
      </c>
      <c r="BR676" s="7">
        <v>0.173844</v>
      </c>
      <c r="BS676" s="7">
        <v>25.231259999999999</v>
      </c>
      <c r="BT676" s="7">
        <v>50</v>
      </c>
      <c r="BU676" s="7">
        <v>0.186667</v>
      </c>
      <c r="BV676" s="7">
        <v>22.666667</v>
      </c>
      <c r="BW676" s="7">
        <v>50</v>
      </c>
      <c r="BX676" s="4" t="s">
        <v>124</v>
      </c>
      <c r="BY676" s="4" t="s">
        <v>124</v>
      </c>
      <c r="BZ676" s="4" t="s">
        <v>124</v>
      </c>
      <c r="CA676" s="4" t="s">
        <v>124</v>
      </c>
      <c r="CB676" s="4" t="s">
        <v>124</v>
      </c>
      <c r="CC676" s="4" t="s">
        <v>124</v>
      </c>
      <c r="CD676" s="7">
        <v>0.92307700000000004</v>
      </c>
      <c r="CE676" s="7">
        <v>49.099836000000003</v>
      </c>
      <c r="CF676" s="7">
        <v>50</v>
      </c>
      <c r="CG676" s="4" t="s">
        <v>124</v>
      </c>
      <c r="CH676" s="4" t="s">
        <v>124</v>
      </c>
      <c r="CI676" s="4" t="s">
        <v>124</v>
      </c>
      <c r="CJ676" s="4" t="s">
        <v>124</v>
      </c>
      <c r="CK676" s="4" t="s">
        <v>124</v>
      </c>
      <c r="CL676" s="4" t="s">
        <v>124</v>
      </c>
      <c r="CM676" s="4" t="s">
        <v>124</v>
      </c>
      <c r="CN676" s="4" t="s">
        <v>124</v>
      </c>
      <c r="CO676" s="4" t="s">
        <v>124</v>
      </c>
      <c r="CP676" s="4" t="s">
        <v>124</v>
      </c>
      <c r="CQ676" s="7">
        <v>0.56476700000000002</v>
      </c>
      <c r="CR676" s="7">
        <v>0.90610299999999999</v>
      </c>
      <c r="CS676" s="7">
        <v>37.651122999999998</v>
      </c>
      <c r="CT676" s="7">
        <v>50</v>
      </c>
      <c r="CU676" s="4" t="s">
        <v>124</v>
      </c>
      <c r="CV676" s="4" t="s">
        <v>124</v>
      </c>
      <c r="CW676" s="4" t="s">
        <v>124</v>
      </c>
      <c r="CX676" s="4" t="s">
        <v>124</v>
      </c>
      <c r="CY676" s="4" t="s">
        <v>124</v>
      </c>
      <c r="CZ676" s="4" t="s">
        <v>124</v>
      </c>
      <c r="DA676" s="7">
        <v>15.314097</v>
      </c>
      <c r="DB676" s="7">
        <v>17.400950000000002</v>
      </c>
      <c r="DC676" s="7">
        <v>16.332519999999999</v>
      </c>
      <c r="DD676" s="4" t="s">
        <v>124</v>
      </c>
      <c r="DE676" s="7">
        <v>0</v>
      </c>
      <c r="DF676" s="6"/>
      <c r="DG676" s="6"/>
      <c r="DH676" s="6"/>
      <c r="DI676" s="6"/>
      <c r="DJ676" s="7">
        <v>0</v>
      </c>
      <c r="DK676" s="7">
        <v>0</v>
      </c>
      <c r="DL676" s="7">
        <v>0</v>
      </c>
      <c r="DM676" s="7">
        <v>0</v>
      </c>
      <c r="DN676" s="7">
        <v>0</v>
      </c>
      <c r="DO676" s="7">
        <v>0</v>
      </c>
      <c r="DP676" s="6"/>
      <c r="DQ676" s="4" t="s">
        <v>125</v>
      </c>
    </row>
    <row r="677" spans="1:121" ht="20" customHeight="1" x14ac:dyDescent="0.15">
      <c r="A677" s="5">
        <v>2018</v>
      </c>
      <c r="B677" s="3" t="s">
        <v>205</v>
      </c>
      <c r="C677" s="4" t="str">
        <f t="shared" si="230"/>
        <v>0930011</v>
      </c>
      <c r="D677" s="4" t="s">
        <v>834</v>
      </c>
      <c r="E677" s="4" t="str">
        <f>"0936411"</f>
        <v>0936411</v>
      </c>
      <c r="F677" s="4" t="s">
        <v>327</v>
      </c>
      <c r="G677" s="7">
        <v>9</v>
      </c>
      <c r="H677" s="7">
        <v>12</v>
      </c>
      <c r="I677" s="6"/>
      <c r="J677" s="4" t="s">
        <v>330</v>
      </c>
      <c r="K677" s="7">
        <v>1026.4253779999999</v>
      </c>
      <c r="L677" s="7">
        <v>1550</v>
      </c>
      <c r="M677" s="7">
        <v>66.220991999999995</v>
      </c>
      <c r="N677" s="7">
        <v>3</v>
      </c>
      <c r="O677" s="7">
        <v>0</v>
      </c>
      <c r="P677" s="7">
        <v>46.660131</v>
      </c>
      <c r="Q677" s="7">
        <v>93.320261000000002</v>
      </c>
      <c r="R677" s="7">
        <v>150</v>
      </c>
      <c r="S677" s="7">
        <v>42.516666999999998</v>
      </c>
      <c r="T677" s="7">
        <v>57.259689999999999</v>
      </c>
      <c r="U677" s="7">
        <v>85.033332999999999</v>
      </c>
      <c r="V677" s="7">
        <v>150</v>
      </c>
      <c r="W677" s="7">
        <v>42.070805999999997</v>
      </c>
      <c r="X677" s="7">
        <v>84.141611999999995</v>
      </c>
      <c r="Y677" s="7">
        <v>150</v>
      </c>
      <c r="Z677" s="7">
        <v>49.627907</v>
      </c>
      <c r="AA677" s="7">
        <v>39.116667</v>
      </c>
      <c r="AB677" s="7">
        <v>78.233333000000002</v>
      </c>
      <c r="AC677" s="7">
        <v>150</v>
      </c>
      <c r="AD677" s="7">
        <v>45.912087999999997</v>
      </c>
      <c r="AE677" s="7">
        <v>61.216116999999997</v>
      </c>
      <c r="AF677" s="7">
        <v>100</v>
      </c>
      <c r="AG677" s="7">
        <v>43.388049000000002</v>
      </c>
      <c r="AH677" s="7">
        <v>52.642856999999999</v>
      </c>
      <c r="AI677" s="7">
        <v>57.850732999999998</v>
      </c>
      <c r="AJ677" s="7">
        <v>100</v>
      </c>
      <c r="AK677" s="7">
        <v>14.74</v>
      </c>
      <c r="AL677" s="7">
        <v>10.51</v>
      </c>
      <c r="AM677" s="7">
        <v>9.25</v>
      </c>
      <c r="AN677" s="4" t="s">
        <v>124</v>
      </c>
      <c r="AO677" s="4" t="s">
        <v>124</v>
      </c>
      <c r="AP677" s="4" t="s">
        <v>124</v>
      </c>
      <c r="AQ677" s="4" t="s">
        <v>124</v>
      </c>
      <c r="AR677" s="4" t="s">
        <v>124</v>
      </c>
      <c r="AS677" s="4" t="s">
        <v>124</v>
      </c>
      <c r="AT677" s="4" t="s">
        <v>124</v>
      </c>
      <c r="AU677" s="4" t="s">
        <v>124</v>
      </c>
      <c r="AV677" s="4" t="s">
        <v>124</v>
      </c>
      <c r="AW677" s="4" t="s">
        <v>124</v>
      </c>
      <c r="AX677" s="4" t="s">
        <v>124</v>
      </c>
      <c r="AY677" s="4" t="s">
        <v>124</v>
      </c>
      <c r="AZ677" s="4" t="s">
        <v>124</v>
      </c>
      <c r="BA677" s="4" t="s">
        <v>124</v>
      </c>
      <c r="BB677" s="7">
        <v>0.73838000000000004</v>
      </c>
      <c r="BC677" s="7">
        <v>36.919002999999996</v>
      </c>
      <c r="BD677" s="7">
        <v>50</v>
      </c>
      <c r="BE677" s="7">
        <v>0.60746299999999998</v>
      </c>
      <c r="BF677" s="7">
        <v>30.373138000000001</v>
      </c>
      <c r="BG677" s="7">
        <v>50</v>
      </c>
      <c r="BH677" s="7">
        <v>0</v>
      </c>
      <c r="BI677" s="7">
        <v>0.981132</v>
      </c>
      <c r="BJ677" s="7">
        <v>0.982456</v>
      </c>
      <c r="BK677" s="7">
        <v>0.97777800000000004</v>
      </c>
      <c r="BL677" s="7">
        <v>0.981132</v>
      </c>
      <c r="BM677" s="7">
        <v>0.982456</v>
      </c>
      <c r="BN677" s="7">
        <v>0.97777800000000004</v>
      </c>
      <c r="BO677" s="7">
        <v>0.98101300000000002</v>
      </c>
      <c r="BP677" s="7">
        <v>0.982456</v>
      </c>
      <c r="BQ677" s="7">
        <v>0.97727299999999995</v>
      </c>
      <c r="BR677" s="7">
        <v>0.18968399999999999</v>
      </c>
      <c r="BS677" s="7">
        <v>22.063227999999999</v>
      </c>
      <c r="BT677" s="7">
        <v>50</v>
      </c>
      <c r="BU677" s="7">
        <v>0.21345700000000001</v>
      </c>
      <c r="BV677" s="7">
        <v>17.308585000000001</v>
      </c>
      <c r="BW677" s="7">
        <v>50</v>
      </c>
      <c r="BX677" s="7">
        <v>0.60750899999999997</v>
      </c>
      <c r="BY677" s="7">
        <v>40.500568999999999</v>
      </c>
      <c r="BZ677" s="7">
        <v>50</v>
      </c>
      <c r="CA677" s="7">
        <v>0.19795199999999999</v>
      </c>
      <c r="CB677" s="7">
        <v>13.196815000000001</v>
      </c>
      <c r="CC677" s="7">
        <v>50</v>
      </c>
      <c r="CD677" s="7">
        <v>0.94805200000000001</v>
      </c>
      <c r="CE677" s="7">
        <v>50</v>
      </c>
      <c r="CF677" s="7">
        <v>50</v>
      </c>
      <c r="CG677" s="7">
        <v>0.96527799999999997</v>
      </c>
      <c r="CH677" s="7">
        <v>100</v>
      </c>
      <c r="CI677" s="7">
        <v>100</v>
      </c>
      <c r="CJ677" s="7">
        <v>0</v>
      </c>
      <c r="CK677" s="7">
        <v>0.95145599999999997</v>
      </c>
      <c r="CL677" s="7">
        <v>100</v>
      </c>
      <c r="CM677" s="7">
        <v>100</v>
      </c>
      <c r="CN677" s="7">
        <v>0.73758900000000005</v>
      </c>
      <c r="CO677" s="7">
        <v>98.345153999999994</v>
      </c>
      <c r="CP677" s="7">
        <v>100</v>
      </c>
      <c r="CQ677" s="7">
        <v>0.237705</v>
      </c>
      <c r="CR677" s="7">
        <v>0.79220800000000002</v>
      </c>
      <c r="CS677" s="7">
        <v>7.9234970000000002</v>
      </c>
      <c r="CT677" s="7">
        <v>50</v>
      </c>
      <c r="CU677" s="7">
        <v>0.99168100000000003</v>
      </c>
      <c r="CV677" s="7">
        <v>50</v>
      </c>
      <c r="CW677" s="7">
        <v>50</v>
      </c>
      <c r="CX677" s="7">
        <v>0.95145599999999997</v>
      </c>
      <c r="CY677" s="7">
        <v>0.94</v>
      </c>
      <c r="CZ677" s="7">
        <v>-1.1455999999999999E-2</v>
      </c>
      <c r="DA677" s="7">
        <v>15.314097</v>
      </c>
      <c r="DB677" s="7">
        <v>17.400950000000002</v>
      </c>
      <c r="DC677" s="7">
        <v>16.332519999999999</v>
      </c>
      <c r="DD677" s="7">
        <v>7.9891730000000001</v>
      </c>
      <c r="DE677" s="7">
        <v>0</v>
      </c>
      <c r="DF677" s="6"/>
      <c r="DG677" s="6"/>
      <c r="DH677" s="6"/>
      <c r="DI677" s="6"/>
      <c r="DJ677" s="7">
        <v>0</v>
      </c>
      <c r="DK677" s="7">
        <v>0</v>
      </c>
      <c r="DL677" s="7">
        <v>0</v>
      </c>
      <c r="DM677" s="7">
        <v>0</v>
      </c>
      <c r="DN677" s="7">
        <v>0</v>
      </c>
      <c r="DO677" s="7">
        <v>0</v>
      </c>
      <c r="DP677" s="6"/>
      <c r="DQ677" s="4" t="s">
        <v>125</v>
      </c>
    </row>
    <row r="678" spans="1:121" ht="20" customHeight="1" x14ac:dyDescent="0.15">
      <c r="A678" s="5">
        <v>2018</v>
      </c>
      <c r="B678" s="3" t="s">
        <v>205</v>
      </c>
      <c r="C678" s="4" t="str">
        <f t="shared" si="230"/>
        <v>0930011</v>
      </c>
      <c r="D678" s="4" t="s">
        <v>835</v>
      </c>
      <c r="E678" s="4" t="str">
        <f>"0930911"</f>
        <v>0930911</v>
      </c>
      <c r="F678" s="4" t="s">
        <v>327</v>
      </c>
      <c r="G678" s="4" t="s">
        <v>328</v>
      </c>
      <c r="H678" s="7">
        <v>8</v>
      </c>
      <c r="I678" s="6"/>
      <c r="J678" s="4" t="s">
        <v>330</v>
      </c>
      <c r="K678" s="7">
        <v>626.99749099999997</v>
      </c>
      <c r="L678" s="7">
        <v>900</v>
      </c>
      <c r="M678" s="7">
        <v>69.666387999999998</v>
      </c>
      <c r="N678" s="7">
        <v>3</v>
      </c>
      <c r="O678" s="7">
        <v>1</v>
      </c>
      <c r="P678" s="7">
        <v>67.279159000000007</v>
      </c>
      <c r="Q678" s="7">
        <v>44.852772999999999</v>
      </c>
      <c r="R678" s="7">
        <v>50</v>
      </c>
      <c r="S678" s="7">
        <v>62.164498999999999</v>
      </c>
      <c r="T678" s="7">
        <v>75</v>
      </c>
      <c r="U678" s="7">
        <v>41.442999</v>
      </c>
      <c r="V678" s="7">
        <v>50</v>
      </c>
      <c r="W678" s="7">
        <v>55.277164999999997</v>
      </c>
      <c r="X678" s="7">
        <v>36.851443000000003</v>
      </c>
      <c r="Y678" s="7">
        <v>50</v>
      </c>
      <c r="Z678" s="7">
        <v>65.068586999999994</v>
      </c>
      <c r="AA678" s="7">
        <v>50.600664000000002</v>
      </c>
      <c r="AB678" s="7">
        <v>33.733775999999999</v>
      </c>
      <c r="AC678" s="7">
        <v>50</v>
      </c>
      <c r="AD678" s="7">
        <v>58.867654000000002</v>
      </c>
      <c r="AE678" s="7">
        <v>39.245102000000003</v>
      </c>
      <c r="AF678" s="7">
        <v>50</v>
      </c>
      <c r="AG678" s="7">
        <v>54.296010000000003</v>
      </c>
      <c r="AH678" s="7">
        <v>71.351758000000004</v>
      </c>
      <c r="AI678" s="7">
        <v>36.197339999999997</v>
      </c>
      <c r="AJ678" s="7">
        <v>50</v>
      </c>
      <c r="AK678" s="7">
        <v>12.83</v>
      </c>
      <c r="AL678" s="7">
        <v>14.46</v>
      </c>
      <c r="AM678" s="7">
        <v>17.05</v>
      </c>
      <c r="AN678" s="7">
        <v>0.624996</v>
      </c>
      <c r="AO678" s="7">
        <v>62.499564999999997</v>
      </c>
      <c r="AP678" s="7">
        <v>100</v>
      </c>
      <c r="AQ678" s="7">
        <v>0.57643900000000003</v>
      </c>
      <c r="AR678" s="7">
        <v>57.64385</v>
      </c>
      <c r="AS678" s="7">
        <v>100</v>
      </c>
      <c r="AT678" s="7">
        <v>0.57601800000000003</v>
      </c>
      <c r="AU678" s="7">
        <v>0.741317</v>
      </c>
      <c r="AV678" s="7">
        <v>57.60181</v>
      </c>
      <c r="AW678" s="7">
        <v>100</v>
      </c>
      <c r="AX678" s="7">
        <v>0.58227499999999999</v>
      </c>
      <c r="AY678" s="7">
        <v>0.56257800000000002</v>
      </c>
      <c r="AZ678" s="7">
        <v>58.227457000000001</v>
      </c>
      <c r="BA678" s="7">
        <v>100</v>
      </c>
      <c r="BB678" s="4" t="s">
        <v>124</v>
      </c>
      <c r="BC678" s="4" t="s">
        <v>124</v>
      </c>
      <c r="BD678" s="4" t="s">
        <v>124</v>
      </c>
      <c r="BE678" s="4" t="s">
        <v>124</v>
      </c>
      <c r="BF678" s="4" t="s">
        <v>124</v>
      </c>
      <c r="BG678" s="4" t="s">
        <v>124</v>
      </c>
      <c r="BH678" s="7">
        <v>0</v>
      </c>
      <c r="BI678" s="7">
        <v>1</v>
      </c>
      <c r="BJ678" s="7">
        <v>1</v>
      </c>
      <c r="BK678" s="7">
        <v>1</v>
      </c>
      <c r="BL678" s="7">
        <v>1</v>
      </c>
      <c r="BM678" s="7">
        <v>1</v>
      </c>
      <c r="BN678" s="7">
        <v>1</v>
      </c>
      <c r="BO678" s="7">
        <v>1</v>
      </c>
      <c r="BP678" s="7">
        <v>1</v>
      </c>
      <c r="BQ678" s="7">
        <v>1</v>
      </c>
      <c r="BR678" s="7">
        <v>8.2405000000000006E-2</v>
      </c>
      <c r="BS678" s="7">
        <v>43.518931000000002</v>
      </c>
      <c r="BT678" s="7">
        <v>50</v>
      </c>
      <c r="BU678" s="7">
        <v>9.0909000000000004E-2</v>
      </c>
      <c r="BV678" s="7">
        <v>41.818182</v>
      </c>
      <c r="BW678" s="7">
        <v>50</v>
      </c>
      <c r="BX678" s="4" t="s">
        <v>124</v>
      </c>
      <c r="BY678" s="4" t="s">
        <v>124</v>
      </c>
      <c r="BZ678" s="4" t="s">
        <v>124</v>
      </c>
      <c r="CA678" s="4" t="s">
        <v>124</v>
      </c>
      <c r="CB678" s="4" t="s">
        <v>124</v>
      </c>
      <c r="CC678" s="4" t="s">
        <v>124</v>
      </c>
      <c r="CD678" s="7">
        <v>0.84210499999999999</v>
      </c>
      <c r="CE678" s="7">
        <v>44.792833000000002</v>
      </c>
      <c r="CF678" s="7">
        <v>50</v>
      </c>
      <c r="CG678" s="4" t="s">
        <v>124</v>
      </c>
      <c r="CH678" s="4" t="s">
        <v>124</v>
      </c>
      <c r="CI678" s="4" t="s">
        <v>124</v>
      </c>
      <c r="CJ678" s="4" t="s">
        <v>124</v>
      </c>
      <c r="CK678" s="4" t="s">
        <v>124</v>
      </c>
      <c r="CL678" s="4" t="s">
        <v>124</v>
      </c>
      <c r="CM678" s="4" t="s">
        <v>124</v>
      </c>
      <c r="CN678" s="4" t="s">
        <v>124</v>
      </c>
      <c r="CO678" s="4" t="s">
        <v>124</v>
      </c>
      <c r="CP678" s="4" t="s">
        <v>124</v>
      </c>
      <c r="CQ678" s="7">
        <v>0.42857099999999998</v>
      </c>
      <c r="CR678" s="7">
        <v>1</v>
      </c>
      <c r="CS678" s="7">
        <v>28.571428999999998</v>
      </c>
      <c r="CT678" s="7">
        <v>50</v>
      </c>
      <c r="CU678" s="4" t="s">
        <v>124</v>
      </c>
      <c r="CV678" s="4" t="s">
        <v>124</v>
      </c>
      <c r="CW678" s="4" t="s">
        <v>124</v>
      </c>
      <c r="CX678" s="4" t="s">
        <v>124</v>
      </c>
      <c r="CY678" s="4" t="s">
        <v>124</v>
      </c>
      <c r="CZ678" s="4" t="s">
        <v>124</v>
      </c>
      <c r="DA678" s="7">
        <v>15.314097</v>
      </c>
      <c r="DB678" s="7">
        <v>17.400950000000002</v>
      </c>
      <c r="DC678" s="7">
        <v>16.332519999999999</v>
      </c>
      <c r="DD678" s="4" t="s">
        <v>124</v>
      </c>
      <c r="DE678" s="7">
        <v>1</v>
      </c>
      <c r="DF678" s="6"/>
      <c r="DG678" s="6"/>
      <c r="DH678" s="6"/>
      <c r="DI678" s="6"/>
      <c r="DJ678" s="7">
        <v>0</v>
      </c>
      <c r="DK678" s="7">
        <v>0</v>
      </c>
      <c r="DL678" s="7">
        <v>0</v>
      </c>
      <c r="DM678" s="7">
        <v>0</v>
      </c>
      <c r="DN678" s="7">
        <v>0</v>
      </c>
      <c r="DO678" s="7">
        <v>0</v>
      </c>
      <c r="DP678" s="6"/>
      <c r="DQ678" s="4" t="s">
        <v>125</v>
      </c>
    </row>
    <row r="679" spans="1:121" ht="20" customHeight="1" x14ac:dyDescent="0.15">
      <c r="A679" s="5">
        <v>2018</v>
      </c>
      <c r="B679" s="3" t="s">
        <v>205</v>
      </c>
      <c r="C679" s="4" t="str">
        <f t="shared" si="230"/>
        <v>0930011</v>
      </c>
      <c r="D679" s="4" t="s">
        <v>836</v>
      </c>
      <c r="E679" s="4" t="str">
        <f>"0934611"</f>
        <v>0934611</v>
      </c>
      <c r="F679" s="4" t="s">
        <v>327</v>
      </c>
      <c r="G679" s="4" t="s">
        <v>328</v>
      </c>
      <c r="H679" s="7">
        <v>8</v>
      </c>
      <c r="I679" s="6"/>
      <c r="J679" s="4" t="s">
        <v>330</v>
      </c>
      <c r="K679" s="7">
        <v>566.41292199999998</v>
      </c>
      <c r="L679" s="7">
        <v>1000</v>
      </c>
      <c r="M679" s="7">
        <v>56.641292</v>
      </c>
      <c r="N679" s="7">
        <v>3</v>
      </c>
      <c r="O679" s="7">
        <v>0</v>
      </c>
      <c r="P679" s="7">
        <v>59.764449999999997</v>
      </c>
      <c r="Q679" s="7">
        <v>39.842967000000002</v>
      </c>
      <c r="R679" s="7">
        <v>50</v>
      </c>
      <c r="S679" s="7">
        <v>58.303615999999998</v>
      </c>
      <c r="T679" s="7">
        <v>71.262625</v>
      </c>
      <c r="U679" s="7">
        <v>38.869078000000002</v>
      </c>
      <c r="V679" s="7">
        <v>50</v>
      </c>
      <c r="W679" s="7">
        <v>51.846862999999999</v>
      </c>
      <c r="X679" s="7">
        <v>34.564574999999998</v>
      </c>
      <c r="Y679" s="7">
        <v>50</v>
      </c>
      <c r="Z679" s="7">
        <v>61.585957000000001</v>
      </c>
      <c r="AA679" s="7">
        <v>50.649433000000002</v>
      </c>
      <c r="AB679" s="7">
        <v>33.766289</v>
      </c>
      <c r="AC679" s="7">
        <v>50</v>
      </c>
      <c r="AD679" s="7">
        <v>53.686216000000002</v>
      </c>
      <c r="AE679" s="7">
        <v>35.79081</v>
      </c>
      <c r="AF679" s="7">
        <v>50</v>
      </c>
      <c r="AG679" s="7">
        <v>53.040362000000002</v>
      </c>
      <c r="AH679" s="4" t="s">
        <v>124</v>
      </c>
      <c r="AI679" s="7">
        <v>35.360242</v>
      </c>
      <c r="AJ679" s="7">
        <v>50</v>
      </c>
      <c r="AK679" s="7">
        <v>12.95</v>
      </c>
      <c r="AL679" s="7">
        <v>10.93</v>
      </c>
      <c r="AM679" s="4" t="s">
        <v>124</v>
      </c>
      <c r="AN679" s="7">
        <v>0.538026</v>
      </c>
      <c r="AO679" s="7">
        <v>53.802549999999997</v>
      </c>
      <c r="AP679" s="7">
        <v>100</v>
      </c>
      <c r="AQ679" s="7">
        <v>0.40517700000000001</v>
      </c>
      <c r="AR679" s="7">
        <v>40.517691999999997</v>
      </c>
      <c r="AS679" s="7">
        <v>100</v>
      </c>
      <c r="AT679" s="7">
        <v>0.53853499999999999</v>
      </c>
      <c r="AU679" s="7">
        <v>0.53319700000000003</v>
      </c>
      <c r="AV679" s="7">
        <v>53.853509000000003</v>
      </c>
      <c r="AW679" s="7">
        <v>100</v>
      </c>
      <c r="AX679" s="7">
        <v>0.41029199999999999</v>
      </c>
      <c r="AY679" s="7">
        <v>0.356464</v>
      </c>
      <c r="AZ679" s="7">
        <v>41.029179999999997</v>
      </c>
      <c r="BA679" s="7">
        <v>100</v>
      </c>
      <c r="BB679" s="7">
        <v>0.42349100000000001</v>
      </c>
      <c r="BC679" s="7">
        <v>21.174526</v>
      </c>
      <c r="BD679" s="7">
        <v>50</v>
      </c>
      <c r="BE679" s="7">
        <v>0.44726199999999999</v>
      </c>
      <c r="BF679" s="7">
        <v>22.363102999999999</v>
      </c>
      <c r="BG679" s="7">
        <v>50</v>
      </c>
      <c r="BH679" s="7">
        <v>0</v>
      </c>
      <c r="BI679" s="7">
        <v>1</v>
      </c>
      <c r="BJ679" s="7">
        <v>1</v>
      </c>
      <c r="BK679" s="7">
        <v>1</v>
      </c>
      <c r="BL679" s="7">
        <v>1</v>
      </c>
      <c r="BM679" s="7">
        <v>1</v>
      </c>
      <c r="BN679" s="7">
        <v>1</v>
      </c>
      <c r="BO679" s="7">
        <v>1</v>
      </c>
      <c r="BP679" s="7">
        <v>1</v>
      </c>
      <c r="BQ679" s="4" t="s">
        <v>124</v>
      </c>
      <c r="BR679" s="7">
        <v>0.19617200000000001</v>
      </c>
      <c r="BS679" s="7">
        <v>20.765550000000001</v>
      </c>
      <c r="BT679" s="7">
        <v>50</v>
      </c>
      <c r="BU679" s="7">
        <v>0.196629</v>
      </c>
      <c r="BV679" s="7">
        <v>20.674157000000001</v>
      </c>
      <c r="BW679" s="7">
        <v>50</v>
      </c>
      <c r="BX679" s="4" t="s">
        <v>124</v>
      </c>
      <c r="BY679" s="4" t="s">
        <v>124</v>
      </c>
      <c r="BZ679" s="4" t="s">
        <v>124</v>
      </c>
      <c r="CA679" s="4" t="s">
        <v>124</v>
      </c>
      <c r="CB679" s="4" t="s">
        <v>124</v>
      </c>
      <c r="CC679" s="4" t="s">
        <v>124</v>
      </c>
      <c r="CD679" s="7">
        <v>0.88888900000000004</v>
      </c>
      <c r="CE679" s="7">
        <v>47.281323999999998</v>
      </c>
      <c r="CF679" s="7">
        <v>50</v>
      </c>
      <c r="CG679" s="4" t="s">
        <v>124</v>
      </c>
      <c r="CH679" s="4" t="s">
        <v>124</v>
      </c>
      <c r="CI679" s="4" t="s">
        <v>124</v>
      </c>
      <c r="CJ679" s="4" t="s">
        <v>124</v>
      </c>
      <c r="CK679" s="4" t="s">
        <v>124</v>
      </c>
      <c r="CL679" s="4" t="s">
        <v>124</v>
      </c>
      <c r="CM679" s="4" t="s">
        <v>124</v>
      </c>
      <c r="CN679" s="4" t="s">
        <v>124</v>
      </c>
      <c r="CO679" s="4" t="s">
        <v>124</v>
      </c>
      <c r="CP679" s="4" t="s">
        <v>124</v>
      </c>
      <c r="CQ679" s="7">
        <v>0.40136100000000002</v>
      </c>
      <c r="CR679" s="7">
        <v>1</v>
      </c>
      <c r="CS679" s="7">
        <v>26.757370000000002</v>
      </c>
      <c r="CT679" s="7">
        <v>50</v>
      </c>
      <c r="CU679" s="4" t="s">
        <v>124</v>
      </c>
      <c r="CV679" s="4" t="s">
        <v>124</v>
      </c>
      <c r="CW679" s="4" t="s">
        <v>124</v>
      </c>
      <c r="CX679" s="4" t="s">
        <v>124</v>
      </c>
      <c r="CY679" s="4" t="s">
        <v>124</v>
      </c>
      <c r="CZ679" s="4" t="s">
        <v>124</v>
      </c>
      <c r="DA679" s="7">
        <v>15.314097</v>
      </c>
      <c r="DB679" s="7">
        <v>17.400950000000002</v>
      </c>
      <c r="DC679" s="7">
        <v>16.332519999999999</v>
      </c>
      <c r="DD679" s="4" t="s">
        <v>124</v>
      </c>
      <c r="DE679" s="7">
        <v>0</v>
      </c>
      <c r="DF679" s="6"/>
      <c r="DG679" s="6"/>
      <c r="DH679" s="6"/>
      <c r="DI679" s="6"/>
      <c r="DJ679" s="7">
        <v>0</v>
      </c>
      <c r="DK679" s="7">
        <v>0</v>
      </c>
      <c r="DL679" s="7">
        <v>0</v>
      </c>
      <c r="DM679" s="7">
        <v>0</v>
      </c>
      <c r="DN679" s="7">
        <v>0</v>
      </c>
      <c r="DO679" s="7">
        <v>0</v>
      </c>
      <c r="DP679" s="6"/>
      <c r="DQ679" s="4" t="s">
        <v>125</v>
      </c>
    </row>
    <row r="680" spans="1:121" ht="20" customHeight="1" x14ac:dyDescent="0.15">
      <c r="A680" s="5">
        <v>2018</v>
      </c>
      <c r="B680" s="3" t="s">
        <v>205</v>
      </c>
      <c r="C680" s="4" t="str">
        <f t="shared" si="230"/>
        <v>0930011</v>
      </c>
      <c r="D680" s="4" t="s">
        <v>416</v>
      </c>
      <c r="E680" s="4" t="str">
        <f>"0931211"</f>
        <v>0931211</v>
      </c>
      <c r="F680" s="4" t="s">
        <v>327</v>
      </c>
      <c r="G680" s="4" t="s">
        <v>338</v>
      </c>
      <c r="H680" s="7">
        <v>8</v>
      </c>
      <c r="I680" s="6"/>
      <c r="J680" s="4" t="s">
        <v>330</v>
      </c>
      <c r="K680" s="7">
        <v>659.30457000000001</v>
      </c>
      <c r="L680" s="7">
        <v>1000</v>
      </c>
      <c r="M680" s="7">
        <v>65.930457000000004</v>
      </c>
      <c r="N680" s="7">
        <v>3</v>
      </c>
      <c r="O680" s="7">
        <v>1</v>
      </c>
      <c r="P680" s="7">
        <v>62.109825999999998</v>
      </c>
      <c r="Q680" s="7">
        <v>41.406550000000003</v>
      </c>
      <c r="R680" s="7">
        <v>50</v>
      </c>
      <c r="S680" s="7">
        <v>52.710639</v>
      </c>
      <c r="T680" s="7">
        <v>75</v>
      </c>
      <c r="U680" s="7">
        <v>35.140425999999998</v>
      </c>
      <c r="V680" s="7">
        <v>50</v>
      </c>
      <c r="W680" s="7">
        <v>52.157854</v>
      </c>
      <c r="X680" s="7">
        <v>34.771903000000002</v>
      </c>
      <c r="Y680" s="7">
        <v>50</v>
      </c>
      <c r="Z680" s="7">
        <v>68.445048</v>
      </c>
      <c r="AA680" s="7">
        <v>42.626143999999996</v>
      </c>
      <c r="AB680" s="7">
        <v>28.41743</v>
      </c>
      <c r="AC680" s="7">
        <v>50</v>
      </c>
      <c r="AD680" s="7">
        <v>61.606130999999998</v>
      </c>
      <c r="AE680" s="7">
        <v>41.070754000000001</v>
      </c>
      <c r="AF680" s="7">
        <v>50</v>
      </c>
      <c r="AG680" s="7">
        <v>48.314999</v>
      </c>
      <c r="AH680" s="7">
        <v>75</v>
      </c>
      <c r="AI680" s="7">
        <v>32.209999000000003</v>
      </c>
      <c r="AJ680" s="7">
        <v>50</v>
      </c>
      <c r="AK680" s="7">
        <v>22.28</v>
      </c>
      <c r="AL680" s="7">
        <v>25.81</v>
      </c>
      <c r="AM680" s="7">
        <v>26.68</v>
      </c>
      <c r="AN680" s="7">
        <v>0.64539500000000005</v>
      </c>
      <c r="AO680" s="7">
        <v>64.539516000000006</v>
      </c>
      <c r="AP680" s="7">
        <v>100</v>
      </c>
      <c r="AQ680" s="7">
        <v>0.62345300000000003</v>
      </c>
      <c r="AR680" s="7">
        <v>62.345334000000001</v>
      </c>
      <c r="AS680" s="7">
        <v>100</v>
      </c>
      <c r="AT680" s="7">
        <v>0.59331</v>
      </c>
      <c r="AU680" s="7">
        <v>0.74021700000000001</v>
      </c>
      <c r="AV680" s="7">
        <v>59.330970000000001</v>
      </c>
      <c r="AW680" s="7">
        <v>100</v>
      </c>
      <c r="AX680" s="7">
        <v>0.55240599999999995</v>
      </c>
      <c r="AY680" s="7">
        <v>0.75279600000000002</v>
      </c>
      <c r="AZ680" s="7">
        <v>55.240594000000002</v>
      </c>
      <c r="BA680" s="7">
        <v>100</v>
      </c>
      <c r="BB680" s="7">
        <v>0.70648299999999997</v>
      </c>
      <c r="BC680" s="7">
        <v>35.324165000000001</v>
      </c>
      <c r="BD680" s="7">
        <v>50</v>
      </c>
      <c r="BE680" s="7">
        <v>0.52571900000000005</v>
      </c>
      <c r="BF680" s="7">
        <v>26.285959999999999</v>
      </c>
      <c r="BG680" s="7">
        <v>50</v>
      </c>
      <c r="BH680" s="7">
        <v>0</v>
      </c>
      <c r="BI680" s="7">
        <v>1</v>
      </c>
      <c r="BJ680" s="7">
        <v>1</v>
      </c>
      <c r="BK680" s="7">
        <v>1</v>
      </c>
      <c r="BL680" s="7">
        <v>1</v>
      </c>
      <c r="BM680" s="7">
        <v>1</v>
      </c>
      <c r="BN680" s="7">
        <v>1</v>
      </c>
      <c r="BO680" s="7">
        <v>1</v>
      </c>
      <c r="BP680" s="7">
        <v>1</v>
      </c>
      <c r="BQ680" s="7">
        <v>1</v>
      </c>
      <c r="BR680" s="7">
        <v>0.13730000000000001</v>
      </c>
      <c r="BS680" s="7">
        <v>32.540045999999997</v>
      </c>
      <c r="BT680" s="7">
        <v>50</v>
      </c>
      <c r="BU680" s="7">
        <v>0.20463300000000001</v>
      </c>
      <c r="BV680" s="7">
        <v>19.073359</v>
      </c>
      <c r="BW680" s="7">
        <v>50</v>
      </c>
      <c r="BX680" s="4" t="s">
        <v>124</v>
      </c>
      <c r="BY680" s="4" t="s">
        <v>124</v>
      </c>
      <c r="BZ680" s="4" t="s">
        <v>124</v>
      </c>
      <c r="CA680" s="4" t="s">
        <v>124</v>
      </c>
      <c r="CB680" s="4" t="s">
        <v>124</v>
      </c>
      <c r="CC680" s="4" t="s">
        <v>124</v>
      </c>
      <c r="CD680" s="7">
        <v>0.83333299999999999</v>
      </c>
      <c r="CE680" s="7">
        <v>44.326241000000003</v>
      </c>
      <c r="CF680" s="7">
        <v>50</v>
      </c>
      <c r="CG680" s="4" t="s">
        <v>124</v>
      </c>
      <c r="CH680" s="4" t="s">
        <v>124</v>
      </c>
      <c r="CI680" s="4" t="s">
        <v>124</v>
      </c>
      <c r="CJ680" s="4" t="s">
        <v>124</v>
      </c>
      <c r="CK680" s="4" t="s">
        <v>124</v>
      </c>
      <c r="CL680" s="4" t="s">
        <v>124</v>
      </c>
      <c r="CM680" s="4" t="s">
        <v>124</v>
      </c>
      <c r="CN680" s="4" t="s">
        <v>124</v>
      </c>
      <c r="CO680" s="4" t="s">
        <v>124</v>
      </c>
      <c r="CP680" s="4" t="s">
        <v>124</v>
      </c>
      <c r="CQ680" s="7">
        <v>0.70921999999999996</v>
      </c>
      <c r="CR680" s="7">
        <v>1</v>
      </c>
      <c r="CS680" s="7">
        <v>47.281323999999998</v>
      </c>
      <c r="CT680" s="7">
        <v>50</v>
      </c>
      <c r="CU680" s="4" t="s">
        <v>124</v>
      </c>
      <c r="CV680" s="4" t="s">
        <v>124</v>
      </c>
      <c r="CW680" s="4" t="s">
        <v>124</v>
      </c>
      <c r="CX680" s="4" t="s">
        <v>124</v>
      </c>
      <c r="CY680" s="4" t="s">
        <v>124</v>
      </c>
      <c r="CZ680" s="4" t="s">
        <v>124</v>
      </c>
      <c r="DA680" s="7">
        <v>15.314097</v>
      </c>
      <c r="DB680" s="7">
        <v>17.400950000000002</v>
      </c>
      <c r="DC680" s="7">
        <v>16.332519999999999</v>
      </c>
      <c r="DD680" s="4" t="s">
        <v>124</v>
      </c>
      <c r="DE680" s="7">
        <v>1</v>
      </c>
      <c r="DF680" s="6"/>
      <c r="DG680" s="6"/>
      <c r="DH680" s="6"/>
      <c r="DI680" s="6"/>
      <c r="DJ680" s="7">
        <v>0</v>
      </c>
      <c r="DK680" s="7">
        <v>0</v>
      </c>
      <c r="DL680" s="7">
        <v>0</v>
      </c>
      <c r="DM680" s="7">
        <v>0</v>
      </c>
      <c r="DN680" s="7">
        <v>0</v>
      </c>
      <c r="DO680" s="7">
        <v>0</v>
      </c>
      <c r="DP680" s="6"/>
      <c r="DQ680" s="4" t="s">
        <v>125</v>
      </c>
    </row>
    <row r="681" spans="1:121" ht="20" customHeight="1" x14ac:dyDescent="0.15">
      <c r="A681" s="5">
        <v>2018</v>
      </c>
      <c r="B681" s="3" t="s">
        <v>205</v>
      </c>
      <c r="C681" s="4" t="str">
        <f t="shared" si="230"/>
        <v>0930011</v>
      </c>
      <c r="D681" s="4" t="s">
        <v>837</v>
      </c>
      <c r="E681" s="4" t="str">
        <f>"0931711"</f>
        <v>0931711</v>
      </c>
      <c r="F681" s="4" t="s">
        <v>327</v>
      </c>
      <c r="G681" s="7">
        <v>6</v>
      </c>
      <c r="H681" s="7">
        <v>12</v>
      </c>
      <c r="I681" s="6"/>
      <c r="J681" s="4" t="s">
        <v>330</v>
      </c>
      <c r="K681" s="7">
        <v>1016.318896</v>
      </c>
      <c r="L681" s="7">
        <v>1350</v>
      </c>
      <c r="M681" s="7">
        <v>75.282881000000003</v>
      </c>
      <c r="N681" s="7">
        <v>3</v>
      </c>
      <c r="O681" s="7">
        <v>1</v>
      </c>
      <c r="P681" s="7">
        <v>68.877561999999998</v>
      </c>
      <c r="Q681" s="7">
        <v>45.918374999999997</v>
      </c>
      <c r="R681" s="7">
        <v>50</v>
      </c>
      <c r="S681" s="7">
        <v>59.168674000000003</v>
      </c>
      <c r="T681" s="7">
        <v>75</v>
      </c>
      <c r="U681" s="7">
        <v>39.445782999999999</v>
      </c>
      <c r="V681" s="7">
        <v>50</v>
      </c>
      <c r="W681" s="7">
        <v>64.775326000000007</v>
      </c>
      <c r="X681" s="7">
        <v>43.183549999999997</v>
      </c>
      <c r="Y681" s="7">
        <v>50</v>
      </c>
      <c r="Z681" s="7">
        <v>73.156981999999999</v>
      </c>
      <c r="AA681" s="7">
        <v>53.366959000000001</v>
      </c>
      <c r="AB681" s="7">
        <v>35.577973</v>
      </c>
      <c r="AC681" s="7">
        <v>50</v>
      </c>
      <c r="AD681" s="7">
        <v>62.437264999999996</v>
      </c>
      <c r="AE681" s="7">
        <v>41.624842999999998</v>
      </c>
      <c r="AF681" s="7">
        <v>50</v>
      </c>
      <c r="AG681" s="7">
        <v>51.755277999999997</v>
      </c>
      <c r="AH681" s="7">
        <v>70.313882000000007</v>
      </c>
      <c r="AI681" s="7">
        <v>34.503518999999997</v>
      </c>
      <c r="AJ681" s="7">
        <v>50</v>
      </c>
      <c r="AK681" s="7">
        <v>15.83</v>
      </c>
      <c r="AL681" s="7">
        <v>19.79</v>
      </c>
      <c r="AM681" s="7">
        <v>18.55</v>
      </c>
      <c r="AN681" s="7">
        <v>0.51941000000000004</v>
      </c>
      <c r="AO681" s="7">
        <v>51.941045000000003</v>
      </c>
      <c r="AP681" s="7">
        <v>100</v>
      </c>
      <c r="AQ681" s="7">
        <v>0.57738400000000001</v>
      </c>
      <c r="AR681" s="7">
        <v>57.738373000000003</v>
      </c>
      <c r="AS681" s="7">
        <v>100</v>
      </c>
      <c r="AT681" s="7">
        <v>0.491531</v>
      </c>
      <c r="AU681" s="7">
        <v>0.53949199999999997</v>
      </c>
      <c r="AV681" s="7">
        <v>49.153092000000001</v>
      </c>
      <c r="AW681" s="7">
        <v>100</v>
      </c>
      <c r="AX681" s="7">
        <v>0.44984400000000002</v>
      </c>
      <c r="AY681" s="7">
        <v>0.66924799999999995</v>
      </c>
      <c r="AZ681" s="7">
        <v>44.984361999999997</v>
      </c>
      <c r="BA681" s="7">
        <v>100</v>
      </c>
      <c r="BB681" s="4" t="s">
        <v>124</v>
      </c>
      <c r="BC681" s="4" t="s">
        <v>124</v>
      </c>
      <c r="BD681" s="4" t="s">
        <v>124</v>
      </c>
      <c r="BE681" s="4" t="s">
        <v>124</v>
      </c>
      <c r="BF681" s="4" t="s">
        <v>124</v>
      </c>
      <c r="BG681" s="4" t="s">
        <v>124</v>
      </c>
      <c r="BH681" s="7">
        <v>0</v>
      </c>
      <c r="BI681" s="7">
        <v>0.99706700000000004</v>
      </c>
      <c r="BJ681" s="7">
        <v>0.99310299999999996</v>
      </c>
      <c r="BK681" s="7">
        <v>1</v>
      </c>
      <c r="BL681" s="7">
        <v>0.99706700000000004</v>
      </c>
      <c r="BM681" s="7">
        <v>0.99310299999999996</v>
      </c>
      <c r="BN681" s="7">
        <v>1</v>
      </c>
      <c r="BO681" s="7">
        <v>1</v>
      </c>
      <c r="BP681" s="7">
        <v>1</v>
      </c>
      <c r="BQ681" s="7">
        <v>1</v>
      </c>
      <c r="BR681" s="7">
        <v>9.0909000000000004E-2</v>
      </c>
      <c r="BS681" s="7">
        <v>41.818182</v>
      </c>
      <c r="BT681" s="7">
        <v>50</v>
      </c>
      <c r="BU681" s="7">
        <v>0.14285700000000001</v>
      </c>
      <c r="BV681" s="7">
        <v>31.428571000000002</v>
      </c>
      <c r="BW681" s="7">
        <v>50</v>
      </c>
      <c r="BX681" s="7">
        <v>0.97435899999999998</v>
      </c>
      <c r="BY681" s="7">
        <v>50</v>
      </c>
      <c r="BZ681" s="7">
        <v>50</v>
      </c>
      <c r="CA681" s="7">
        <v>0.53205100000000005</v>
      </c>
      <c r="CB681" s="7">
        <v>35.470084999999997</v>
      </c>
      <c r="CC681" s="7">
        <v>50</v>
      </c>
      <c r="CD681" s="7">
        <v>0.95808400000000005</v>
      </c>
      <c r="CE681" s="7">
        <v>50</v>
      </c>
      <c r="CF681" s="7">
        <v>50</v>
      </c>
      <c r="CG681" s="7">
        <v>0.97222200000000003</v>
      </c>
      <c r="CH681" s="7">
        <v>100</v>
      </c>
      <c r="CI681" s="7">
        <v>100</v>
      </c>
      <c r="CJ681" s="7">
        <v>0</v>
      </c>
      <c r="CK681" s="7">
        <v>0.97435899999999998</v>
      </c>
      <c r="CL681" s="7">
        <v>100</v>
      </c>
      <c r="CM681" s="7">
        <v>100</v>
      </c>
      <c r="CN681" s="7">
        <v>0.83561600000000003</v>
      </c>
      <c r="CO681" s="7">
        <v>100</v>
      </c>
      <c r="CP681" s="7">
        <v>100</v>
      </c>
      <c r="CQ681" s="7">
        <v>0.66244700000000001</v>
      </c>
      <c r="CR681" s="7">
        <v>0.92217899999999997</v>
      </c>
      <c r="CS681" s="7">
        <v>44.163150000000002</v>
      </c>
      <c r="CT681" s="7">
        <v>50</v>
      </c>
      <c r="CU681" s="7">
        <v>0.23241600000000001</v>
      </c>
      <c r="CV681" s="7">
        <v>19.367992000000001</v>
      </c>
      <c r="CW681" s="7">
        <v>50</v>
      </c>
      <c r="CX681" s="7">
        <v>0.97435899999999998</v>
      </c>
      <c r="CY681" s="4" t="s">
        <v>124</v>
      </c>
      <c r="CZ681" s="4" t="s">
        <v>124</v>
      </c>
      <c r="DA681" s="7">
        <v>15.314097</v>
      </c>
      <c r="DB681" s="7">
        <v>17.400950000000002</v>
      </c>
      <c r="DC681" s="7">
        <v>16.332519999999999</v>
      </c>
      <c r="DD681" s="7">
        <v>7.9891730000000001</v>
      </c>
      <c r="DE681" s="7">
        <v>1</v>
      </c>
      <c r="DF681" s="6"/>
      <c r="DG681" s="6"/>
      <c r="DH681" s="6"/>
      <c r="DI681" s="6"/>
      <c r="DJ681" s="7">
        <v>0</v>
      </c>
      <c r="DK681" s="7">
        <v>0</v>
      </c>
      <c r="DL681" s="7">
        <v>0</v>
      </c>
      <c r="DM681" s="7">
        <v>0</v>
      </c>
      <c r="DN681" s="7">
        <v>0</v>
      </c>
      <c r="DO681" s="7">
        <v>0</v>
      </c>
      <c r="DP681" s="6"/>
      <c r="DQ681" s="4" t="s">
        <v>125</v>
      </c>
    </row>
    <row r="682" spans="1:121" ht="20" customHeight="1" x14ac:dyDescent="0.15">
      <c r="A682" s="5">
        <v>2018</v>
      </c>
      <c r="B682" s="3" t="s">
        <v>205</v>
      </c>
      <c r="C682" s="4" t="str">
        <f t="shared" si="230"/>
        <v>0930011</v>
      </c>
      <c r="D682" s="4" t="s">
        <v>838</v>
      </c>
      <c r="E682" s="4" t="str">
        <f>"0931611"</f>
        <v>0931611</v>
      </c>
      <c r="F682" s="4" t="s">
        <v>327</v>
      </c>
      <c r="G682" s="4" t="s">
        <v>328</v>
      </c>
      <c r="H682" s="7">
        <v>8</v>
      </c>
      <c r="I682" s="4" t="s">
        <v>335</v>
      </c>
      <c r="J682" s="4" t="s">
        <v>330</v>
      </c>
      <c r="K682" s="7">
        <v>612.03782699999999</v>
      </c>
      <c r="L682" s="7">
        <v>1000</v>
      </c>
      <c r="M682" s="7">
        <v>61.203783000000001</v>
      </c>
      <c r="N682" s="7">
        <v>3</v>
      </c>
      <c r="O682" s="7">
        <v>0</v>
      </c>
      <c r="P682" s="7">
        <v>49.550131999999998</v>
      </c>
      <c r="Q682" s="7">
        <v>33.033422000000002</v>
      </c>
      <c r="R682" s="7">
        <v>50</v>
      </c>
      <c r="S682" s="7">
        <v>48.993443999999997</v>
      </c>
      <c r="T682" s="7">
        <v>62.115372999999998</v>
      </c>
      <c r="U682" s="7">
        <v>32.662295999999998</v>
      </c>
      <c r="V682" s="7">
        <v>50</v>
      </c>
      <c r="W682" s="7">
        <v>41.81147</v>
      </c>
      <c r="X682" s="7">
        <v>27.874313000000001</v>
      </c>
      <c r="Y682" s="7">
        <v>50</v>
      </c>
      <c r="Z682" s="7">
        <v>52.699694000000001</v>
      </c>
      <c r="AA682" s="7">
        <v>41.327036</v>
      </c>
      <c r="AB682" s="7">
        <v>27.551356999999999</v>
      </c>
      <c r="AC682" s="7">
        <v>50</v>
      </c>
      <c r="AD682" s="7">
        <v>44.646819999999998</v>
      </c>
      <c r="AE682" s="7">
        <v>29.764545999999999</v>
      </c>
      <c r="AF682" s="7">
        <v>50</v>
      </c>
      <c r="AG682" s="7">
        <v>44.129221000000001</v>
      </c>
      <c r="AH682" s="4" t="s">
        <v>124</v>
      </c>
      <c r="AI682" s="7">
        <v>29.419481000000001</v>
      </c>
      <c r="AJ682" s="7">
        <v>50</v>
      </c>
      <c r="AK682" s="7">
        <v>13.12</v>
      </c>
      <c r="AL682" s="7">
        <v>11.37</v>
      </c>
      <c r="AM682" s="4" t="s">
        <v>124</v>
      </c>
      <c r="AN682" s="7">
        <v>0.55862400000000001</v>
      </c>
      <c r="AO682" s="7">
        <v>55.862433000000003</v>
      </c>
      <c r="AP682" s="7">
        <v>100</v>
      </c>
      <c r="AQ682" s="7">
        <v>0.47982599999999997</v>
      </c>
      <c r="AR682" s="7">
        <v>47.982562999999999</v>
      </c>
      <c r="AS682" s="7">
        <v>100</v>
      </c>
      <c r="AT682" s="7">
        <v>0.55864499999999995</v>
      </c>
      <c r="AU682" s="4" t="s">
        <v>124</v>
      </c>
      <c r="AV682" s="7">
        <v>55.864542</v>
      </c>
      <c r="AW682" s="7">
        <v>100</v>
      </c>
      <c r="AX682" s="7">
        <v>0.47126099999999999</v>
      </c>
      <c r="AY682" s="4" t="s">
        <v>124</v>
      </c>
      <c r="AZ682" s="7">
        <v>47.126105000000003</v>
      </c>
      <c r="BA682" s="7">
        <v>100</v>
      </c>
      <c r="BB682" s="7">
        <v>0.63714199999999999</v>
      </c>
      <c r="BC682" s="7">
        <v>31.857112000000001</v>
      </c>
      <c r="BD682" s="7">
        <v>50</v>
      </c>
      <c r="BE682" s="7">
        <v>0.48336600000000002</v>
      </c>
      <c r="BF682" s="7">
        <v>24.168288</v>
      </c>
      <c r="BG682" s="7">
        <v>50</v>
      </c>
      <c r="BH682" s="7">
        <v>0</v>
      </c>
      <c r="BI682" s="7">
        <v>0.99641599999999997</v>
      </c>
      <c r="BJ682" s="7">
        <v>0.99626899999999996</v>
      </c>
      <c r="BK682" s="7">
        <v>1</v>
      </c>
      <c r="BL682" s="7">
        <v>0.99640300000000004</v>
      </c>
      <c r="BM682" s="7">
        <v>0.996255</v>
      </c>
      <c r="BN682" s="7">
        <v>1</v>
      </c>
      <c r="BO682" s="7">
        <v>0.98941800000000002</v>
      </c>
      <c r="BP682" s="7">
        <v>0.98895</v>
      </c>
      <c r="BQ682" s="4" t="s">
        <v>124</v>
      </c>
      <c r="BR682" s="7">
        <v>9.2172000000000004E-2</v>
      </c>
      <c r="BS682" s="7">
        <v>41.565657000000002</v>
      </c>
      <c r="BT682" s="7">
        <v>50</v>
      </c>
      <c r="BU682" s="7">
        <v>9.2669000000000001E-2</v>
      </c>
      <c r="BV682" s="7">
        <v>41.466113</v>
      </c>
      <c r="BW682" s="7">
        <v>50</v>
      </c>
      <c r="BX682" s="4" t="s">
        <v>124</v>
      </c>
      <c r="BY682" s="4" t="s">
        <v>124</v>
      </c>
      <c r="BZ682" s="4" t="s">
        <v>124</v>
      </c>
      <c r="CA682" s="4" t="s">
        <v>124</v>
      </c>
      <c r="CB682" s="4" t="s">
        <v>124</v>
      </c>
      <c r="CC682" s="4" t="s">
        <v>124</v>
      </c>
      <c r="CD682" s="7">
        <v>0.94</v>
      </c>
      <c r="CE682" s="7">
        <v>50</v>
      </c>
      <c r="CF682" s="7">
        <v>50</v>
      </c>
      <c r="CG682" s="4" t="s">
        <v>124</v>
      </c>
      <c r="CH682" s="4" t="s">
        <v>124</v>
      </c>
      <c r="CI682" s="4" t="s">
        <v>124</v>
      </c>
      <c r="CJ682" s="4" t="s">
        <v>124</v>
      </c>
      <c r="CK682" s="4" t="s">
        <v>124</v>
      </c>
      <c r="CL682" s="4" t="s">
        <v>124</v>
      </c>
      <c r="CM682" s="4" t="s">
        <v>124</v>
      </c>
      <c r="CN682" s="4" t="s">
        <v>124</v>
      </c>
      <c r="CO682" s="4" t="s">
        <v>124</v>
      </c>
      <c r="CP682" s="4" t="s">
        <v>124</v>
      </c>
      <c r="CQ682" s="7">
        <v>0.53759400000000002</v>
      </c>
      <c r="CR682" s="7">
        <v>0.95683499999999999</v>
      </c>
      <c r="CS682" s="7">
        <v>35.839599</v>
      </c>
      <c r="CT682" s="7">
        <v>50</v>
      </c>
      <c r="CU682" s="4" t="s">
        <v>124</v>
      </c>
      <c r="CV682" s="4" t="s">
        <v>124</v>
      </c>
      <c r="CW682" s="4" t="s">
        <v>124</v>
      </c>
      <c r="CX682" s="4" t="s">
        <v>124</v>
      </c>
      <c r="CY682" s="4" t="s">
        <v>124</v>
      </c>
      <c r="CZ682" s="4" t="s">
        <v>124</v>
      </c>
      <c r="DA682" s="7">
        <v>15.314097</v>
      </c>
      <c r="DB682" s="7">
        <v>17.400950000000002</v>
      </c>
      <c r="DC682" s="7">
        <v>16.332519999999999</v>
      </c>
      <c r="DD682" s="4" t="s">
        <v>124</v>
      </c>
      <c r="DE682" s="7">
        <v>0</v>
      </c>
      <c r="DF682" s="6"/>
      <c r="DG682" s="6"/>
      <c r="DH682" s="6"/>
      <c r="DI682" s="6"/>
      <c r="DJ682" s="7">
        <v>0</v>
      </c>
      <c r="DK682" s="7">
        <v>0</v>
      </c>
      <c r="DL682" s="7">
        <v>0</v>
      </c>
      <c r="DM682" s="7">
        <v>0</v>
      </c>
      <c r="DN682" s="7">
        <v>0</v>
      </c>
      <c r="DO682" s="7">
        <v>0</v>
      </c>
      <c r="DP682" s="6"/>
      <c r="DQ682" s="4" t="s">
        <v>125</v>
      </c>
    </row>
    <row r="683" spans="1:121" ht="20" customHeight="1" x14ac:dyDescent="0.15">
      <c r="A683" s="5">
        <v>2018</v>
      </c>
      <c r="B683" s="3" t="s">
        <v>205</v>
      </c>
      <c r="C683" s="4" t="str">
        <f t="shared" si="230"/>
        <v>0930011</v>
      </c>
      <c r="D683" s="4" t="s">
        <v>839</v>
      </c>
      <c r="E683" s="4" t="str">
        <f>"0936611"</f>
        <v>0936611</v>
      </c>
      <c r="F683" s="4" t="s">
        <v>327</v>
      </c>
      <c r="G683" s="7">
        <v>9</v>
      </c>
      <c r="H683" s="7">
        <v>12</v>
      </c>
      <c r="I683" s="4" t="s">
        <v>335</v>
      </c>
      <c r="J683" s="4" t="s">
        <v>330</v>
      </c>
      <c r="K683" s="7">
        <v>866.01670200000001</v>
      </c>
      <c r="L683" s="7">
        <v>1550</v>
      </c>
      <c r="M683" s="7">
        <v>55.872045</v>
      </c>
      <c r="N683" s="7">
        <v>5</v>
      </c>
      <c r="O683" s="7">
        <v>0</v>
      </c>
      <c r="P683" s="7">
        <v>42.456139999999998</v>
      </c>
      <c r="Q683" s="7">
        <v>84.912280999999993</v>
      </c>
      <c r="R683" s="7">
        <v>150</v>
      </c>
      <c r="S683" s="7">
        <v>40.516666999999998</v>
      </c>
      <c r="T683" s="4" t="s">
        <v>124</v>
      </c>
      <c r="U683" s="7">
        <v>81.033332999999999</v>
      </c>
      <c r="V683" s="7">
        <v>150</v>
      </c>
      <c r="W683" s="7">
        <v>36.709552000000002</v>
      </c>
      <c r="X683" s="7">
        <v>73.419103000000007</v>
      </c>
      <c r="Y683" s="7">
        <v>150</v>
      </c>
      <c r="Z683" s="4" t="s">
        <v>124</v>
      </c>
      <c r="AA683" s="7">
        <v>34.442222000000001</v>
      </c>
      <c r="AB683" s="7">
        <v>68.884444000000002</v>
      </c>
      <c r="AC683" s="7">
        <v>150</v>
      </c>
      <c r="AD683" s="7">
        <v>46.707970000000003</v>
      </c>
      <c r="AE683" s="7">
        <v>62.277293999999998</v>
      </c>
      <c r="AF683" s="7">
        <v>100</v>
      </c>
      <c r="AG683" s="7">
        <v>44.972563000000001</v>
      </c>
      <c r="AH683" s="4" t="s">
        <v>124</v>
      </c>
      <c r="AI683" s="7">
        <v>59.963417999999997</v>
      </c>
      <c r="AJ683" s="7">
        <v>100</v>
      </c>
      <c r="AK683" s="4" t="s">
        <v>124</v>
      </c>
      <c r="AL683" s="4" t="s">
        <v>124</v>
      </c>
      <c r="AM683" s="4" t="s">
        <v>124</v>
      </c>
      <c r="AN683" s="4" t="s">
        <v>124</v>
      </c>
      <c r="AO683" s="4" t="s">
        <v>124</v>
      </c>
      <c r="AP683" s="4" t="s">
        <v>124</v>
      </c>
      <c r="AQ683" s="4" t="s">
        <v>124</v>
      </c>
      <c r="AR683" s="4" t="s">
        <v>124</v>
      </c>
      <c r="AS683" s="4" t="s">
        <v>124</v>
      </c>
      <c r="AT683" s="4" t="s">
        <v>124</v>
      </c>
      <c r="AU683" s="4" t="s">
        <v>124</v>
      </c>
      <c r="AV683" s="4" t="s">
        <v>124</v>
      </c>
      <c r="AW683" s="4" t="s">
        <v>124</v>
      </c>
      <c r="AX683" s="4" t="s">
        <v>124</v>
      </c>
      <c r="AY683" s="4" t="s">
        <v>124</v>
      </c>
      <c r="AZ683" s="4" t="s">
        <v>124</v>
      </c>
      <c r="BA683" s="4" t="s">
        <v>124</v>
      </c>
      <c r="BB683" s="7">
        <v>0.24756</v>
      </c>
      <c r="BC683" s="7">
        <v>12.377981999999999</v>
      </c>
      <c r="BD683" s="7">
        <v>50</v>
      </c>
      <c r="BE683" s="7">
        <v>0.30956800000000001</v>
      </c>
      <c r="BF683" s="7">
        <v>15.478388000000001</v>
      </c>
      <c r="BG683" s="7">
        <v>50</v>
      </c>
      <c r="BH683" s="7">
        <v>0</v>
      </c>
      <c r="BI683" s="7">
        <v>0.98275900000000005</v>
      </c>
      <c r="BJ683" s="7">
        <v>0.98039200000000004</v>
      </c>
      <c r="BK683" s="4" t="s">
        <v>124</v>
      </c>
      <c r="BL683" s="7">
        <v>0.98275900000000005</v>
      </c>
      <c r="BM683" s="7">
        <v>0.98039200000000004</v>
      </c>
      <c r="BN683" s="4" t="s">
        <v>124</v>
      </c>
      <c r="BO683" s="7">
        <v>1</v>
      </c>
      <c r="BP683" s="7">
        <v>1</v>
      </c>
      <c r="BQ683" s="4" t="s">
        <v>124</v>
      </c>
      <c r="BR683" s="7">
        <v>0.241228</v>
      </c>
      <c r="BS683" s="7">
        <v>11.754386</v>
      </c>
      <c r="BT683" s="7">
        <v>50</v>
      </c>
      <c r="BU683" s="7">
        <v>0.28415299999999999</v>
      </c>
      <c r="BV683" s="7">
        <v>3.1693989999999999</v>
      </c>
      <c r="BW683" s="7">
        <v>50</v>
      </c>
      <c r="BX683" s="7">
        <v>0.43689299999999998</v>
      </c>
      <c r="BY683" s="7">
        <v>29.126214000000001</v>
      </c>
      <c r="BZ683" s="7">
        <v>50</v>
      </c>
      <c r="CA683" s="7">
        <v>0.14563100000000001</v>
      </c>
      <c r="CB683" s="7">
        <v>9.7087380000000003</v>
      </c>
      <c r="CC683" s="7">
        <v>50</v>
      </c>
      <c r="CD683" s="7">
        <v>0.87323899999999999</v>
      </c>
      <c r="CE683" s="7">
        <v>46.448906000000001</v>
      </c>
      <c r="CF683" s="7">
        <v>50</v>
      </c>
      <c r="CG683" s="7">
        <v>0.75</v>
      </c>
      <c r="CH683" s="7">
        <v>79.787233999999998</v>
      </c>
      <c r="CI683" s="7">
        <v>100</v>
      </c>
      <c r="CJ683" s="7">
        <v>0</v>
      </c>
      <c r="CK683" s="7">
        <v>0.769231</v>
      </c>
      <c r="CL683" s="7">
        <v>81.833061000000001</v>
      </c>
      <c r="CM683" s="7">
        <v>100</v>
      </c>
      <c r="CN683" s="7">
        <v>0.66037699999999999</v>
      </c>
      <c r="CO683" s="7">
        <v>88.050314</v>
      </c>
      <c r="CP683" s="7">
        <v>100</v>
      </c>
      <c r="CQ683" s="7">
        <v>0.116883</v>
      </c>
      <c r="CR683" s="7">
        <v>1.3508770000000001</v>
      </c>
      <c r="CS683" s="7">
        <v>7.7922079999999996</v>
      </c>
      <c r="CT683" s="7">
        <v>50</v>
      </c>
      <c r="CU683" s="7">
        <v>0.70175399999999999</v>
      </c>
      <c r="CV683" s="7">
        <v>50</v>
      </c>
      <c r="CW683" s="7">
        <v>50</v>
      </c>
      <c r="CX683" s="7">
        <v>0.769231</v>
      </c>
      <c r="CY683" s="4" t="s">
        <v>124</v>
      </c>
      <c r="CZ683" s="4" t="s">
        <v>124</v>
      </c>
      <c r="DA683" s="7">
        <v>15.314097</v>
      </c>
      <c r="DB683" s="7">
        <v>17.400950000000002</v>
      </c>
      <c r="DC683" s="7">
        <v>16.332519999999999</v>
      </c>
      <c r="DD683" s="7">
        <v>7.9891730000000001</v>
      </c>
      <c r="DE683" s="7">
        <v>0</v>
      </c>
      <c r="DF683" s="4" t="s">
        <v>375</v>
      </c>
      <c r="DG683" s="4" t="s">
        <v>840</v>
      </c>
      <c r="DH683" s="6"/>
      <c r="DI683" s="6"/>
      <c r="DJ683" s="7">
        <v>0</v>
      </c>
      <c r="DK683" s="7">
        <v>0</v>
      </c>
      <c r="DL683" s="7">
        <v>0</v>
      </c>
      <c r="DM683" s="7">
        <v>0</v>
      </c>
      <c r="DN683" s="7">
        <v>0</v>
      </c>
      <c r="DO683" s="7">
        <v>0</v>
      </c>
      <c r="DP683" s="6"/>
      <c r="DQ683" s="4" t="s">
        <v>125</v>
      </c>
    </row>
    <row r="684" spans="1:121" ht="20" customHeight="1" x14ac:dyDescent="0.15">
      <c r="A684" s="5">
        <v>2018</v>
      </c>
      <c r="B684" s="3" t="s">
        <v>205</v>
      </c>
      <c r="C684" s="4" t="str">
        <f t="shared" si="230"/>
        <v>0930011</v>
      </c>
      <c r="D684" s="4" t="s">
        <v>841</v>
      </c>
      <c r="E684" s="4" t="str">
        <f>"0930711"</f>
        <v>0930711</v>
      </c>
      <c r="F684" s="4" t="s">
        <v>327</v>
      </c>
      <c r="G684" s="4" t="s">
        <v>328</v>
      </c>
      <c r="H684" s="7">
        <v>8</v>
      </c>
      <c r="I684" s="4" t="s">
        <v>335</v>
      </c>
      <c r="J684" s="4" t="s">
        <v>330</v>
      </c>
      <c r="K684" s="7">
        <v>604.93532900000002</v>
      </c>
      <c r="L684" s="7">
        <v>1000</v>
      </c>
      <c r="M684" s="7">
        <v>60.493532999999999</v>
      </c>
      <c r="N684" s="7">
        <v>3</v>
      </c>
      <c r="O684" s="7">
        <v>0</v>
      </c>
      <c r="P684" s="7">
        <v>51.885759999999998</v>
      </c>
      <c r="Q684" s="7">
        <v>34.590507000000002</v>
      </c>
      <c r="R684" s="7">
        <v>50</v>
      </c>
      <c r="S684" s="7">
        <v>51.456921000000001</v>
      </c>
      <c r="T684" s="4" t="s">
        <v>124</v>
      </c>
      <c r="U684" s="7">
        <v>34.304614000000001</v>
      </c>
      <c r="V684" s="7">
        <v>50</v>
      </c>
      <c r="W684" s="7">
        <v>47.039577000000001</v>
      </c>
      <c r="X684" s="7">
        <v>31.359718000000001</v>
      </c>
      <c r="Y684" s="7">
        <v>50</v>
      </c>
      <c r="Z684" s="4" t="s">
        <v>124</v>
      </c>
      <c r="AA684" s="7">
        <v>46.752893999999998</v>
      </c>
      <c r="AB684" s="7">
        <v>31.168596000000001</v>
      </c>
      <c r="AC684" s="7">
        <v>50</v>
      </c>
      <c r="AD684" s="7">
        <v>54.623393</v>
      </c>
      <c r="AE684" s="7">
        <v>36.415595000000003</v>
      </c>
      <c r="AF684" s="7">
        <v>50</v>
      </c>
      <c r="AG684" s="7">
        <v>53.830475999999997</v>
      </c>
      <c r="AH684" s="4" t="s">
        <v>124</v>
      </c>
      <c r="AI684" s="7">
        <v>35.886983999999998</v>
      </c>
      <c r="AJ684" s="7">
        <v>50</v>
      </c>
      <c r="AK684" s="4" t="s">
        <v>124</v>
      </c>
      <c r="AL684" s="4" t="s">
        <v>124</v>
      </c>
      <c r="AM684" s="4" t="s">
        <v>124</v>
      </c>
      <c r="AN684" s="7">
        <v>0.504745</v>
      </c>
      <c r="AO684" s="7">
        <v>50.474499000000002</v>
      </c>
      <c r="AP684" s="7">
        <v>100</v>
      </c>
      <c r="AQ684" s="7">
        <v>0.52426200000000001</v>
      </c>
      <c r="AR684" s="7">
        <v>52.426237999999998</v>
      </c>
      <c r="AS684" s="7">
        <v>100</v>
      </c>
      <c r="AT684" s="7">
        <v>0.50478500000000004</v>
      </c>
      <c r="AU684" s="4" t="s">
        <v>124</v>
      </c>
      <c r="AV684" s="7">
        <v>50.478524</v>
      </c>
      <c r="AW684" s="7">
        <v>100</v>
      </c>
      <c r="AX684" s="7">
        <v>0.52399899999999999</v>
      </c>
      <c r="AY684" s="4" t="s">
        <v>124</v>
      </c>
      <c r="AZ684" s="7">
        <v>52.399883000000003</v>
      </c>
      <c r="BA684" s="7">
        <v>100</v>
      </c>
      <c r="BB684" s="7">
        <v>0.58925300000000003</v>
      </c>
      <c r="BC684" s="7">
        <v>29.462669000000002</v>
      </c>
      <c r="BD684" s="7">
        <v>50</v>
      </c>
      <c r="BE684" s="7">
        <v>0.45123200000000002</v>
      </c>
      <c r="BF684" s="7">
        <v>22.561582000000001</v>
      </c>
      <c r="BG684" s="7">
        <v>50</v>
      </c>
      <c r="BH684" s="7">
        <v>0</v>
      </c>
      <c r="BI684" s="7">
        <v>0.99683500000000003</v>
      </c>
      <c r="BJ684" s="7">
        <v>0.99662200000000001</v>
      </c>
      <c r="BK684" s="7">
        <v>1</v>
      </c>
      <c r="BL684" s="7">
        <v>0.99367099999999997</v>
      </c>
      <c r="BM684" s="7">
        <v>0.99324299999999999</v>
      </c>
      <c r="BN684" s="7">
        <v>1</v>
      </c>
      <c r="BO684" s="7">
        <v>1</v>
      </c>
      <c r="BP684" s="7">
        <v>1</v>
      </c>
      <c r="BQ684" s="4" t="s">
        <v>124</v>
      </c>
      <c r="BR684" s="7">
        <v>0.119101</v>
      </c>
      <c r="BS684" s="7">
        <v>36.179774999999999</v>
      </c>
      <c r="BT684" s="7">
        <v>50</v>
      </c>
      <c r="BU684" s="7">
        <v>0.11138000000000001</v>
      </c>
      <c r="BV684" s="7">
        <v>37.723970999999999</v>
      </c>
      <c r="BW684" s="7">
        <v>50</v>
      </c>
      <c r="BX684" s="4" t="s">
        <v>124</v>
      </c>
      <c r="BY684" s="4" t="s">
        <v>124</v>
      </c>
      <c r="BZ684" s="4" t="s">
        <v>124</v>
      </c>
      <c r="CA684" s="4" t="s">
        <v>124</v>
      </c>
      <c r="CB684" s="4" t="s">
        <v>124</v>
      </c>
      <c r="CC684" s="4" t="s">
        <v>124</v>
      </c>
      <c r="CD684" s="7">
        <v>0.79245299999999996</v>
      </c>
      <c r="CE684" s="7">
        <v>42.151746000000003</v>
      </c>
      <c r="CF684" s="7">
        <v>50</v>
      </c>
      <c r="CG684" s="4" t="s">
        <v>124</v>
      </c>
      <c r="CH684" s="4" t="s">
        <v>124</v>
      </c>
      <c r="CI684" s="4" t="s">
        <v>124</v>
      </c>
      <c r="CJ684" s="4" t="s">
        <v>124</v>
      </c>
      <c r="CK684" s="4" t="s">
        <v>124</v>
      </c>
      <c r="CL684" s="4" t="s">
        <v>124</v>
      </c>
      <c r="CM684" s="4" t="s">
        <v>124</v>
      </c>
      <c r="CN684" s="4" t="s">
        <v>124</v>
      </c>
      <c r="CO684" s="4" t="s">
        <v>124</v>
      </c>
      <c r="CP684" s="4" t="s">
        <v>124</v>
      </c>
      <c r="CQ684" s="7">
        <v>0.41025600000000001</v>
      </c>
      <c r="CR684" s="7">
        <v>0.99363100000000004</v>
      </c>
      <c r="CS684" s="7">
        <v>27.350427</v>
      </c>
      <c r="CT684" s="7">
        <v>50</v>
      </c>
      <c r="CU684" s="4" t="s">
        <v>124</v>
      </c>
      <c r="CV684" s="4" t="s">
        <v>124</v>
      </c>
      <c r="CW684" s="4" t="s">
        <v>124</v>
      </c>
      <c r="CX684" s="4" t="s">
        <v>124</v>
      </c>
      <c r="CY684" s="4" t="s">
        <v>124</v>
      </c>
      <c r="CZ684" s="4" t="s">
        <v>124</v>
      </c>
      <c r="DA684" s="7">
        <v>15.314097</v>
      </c>
      <c r="DB684" s="7">
        <v>17.400950000000002</v>
      </c>
      <c r="DC684" s="7">
        <v>16.332519999999999</v>
      </c>
      <c r="DD684" s="4" t="s">
        <v>124</v>
      </c>
      <c r="DE684" s="7">
        <v>0</v>
      </c>
      <c r="DF684" s="6"/>
      <c r="DG684" s="6"/>
      <c r="DH684" s="6"/>
      <c r="DI684" s="6"/>
      <c r="DJ684" s="7">
        <v>0</v>
      </c>
      <c r="DK684" s="7">
        <v>0</v>
      </c>
      <c r="DL684" s="7">
        <v>0</v>
      </c>
      <c r="DM684" s="7">
        <v>0</v>
      </c>
      <c r="DN684" s="7">
        <v>0</v>
      </c>
      <c r="DO684" s="7">
        <v>0</v>
      </c>
      <c r="DP684" s="6"/>
      <c r="DQ684" s="4" t="s">
        <v>125</v>
      </c>
    </row>
    <row r="685" spans="1:121" ht="20" customHeight="1" x14ac:dyDescent="0.15">
      <c r="A685" s="5">
        <v>2018</v>
      </c>
      <c r="B685" s="3" t="s">
        <v>205</v>
      </c>
      <c r="C685" s="4" t="str">
        <f t="shared" si="230"/>
        <v>0930011</v>
      </c>
      <c r="D685" s="4" t="s">
        <v>842</v>
      </c>
      <c r="E685" s="4" t="str">
        <f>"0936311"</f>
        <v>0936311</v>
      </c>
      <c r="F685" s="4" t="s">
        <v>327</v>
      </c>
      <c r="G685" s="7">
        <v>9</v>
      </c>
      <c r="H685" s="7">
        <v>12</v>
      </c>
      <c r="I685" s="6"/>
      <c r="J685" s="4" t="s">
        <v>330</v>
      </c>
      <c r="K685" s="7">
        <v>995.195695</v>
      </c>
      <c r="L685" s="7">
        <v>1550</v>
      </c>
      <c r="M685" s="7">
        <v>64.206174000000004</v>
      </c>
      <c r="N685" s="7">
        <v>3</v>
      </c>
      <c r="O685" s="7">
        <v>0</v>
      </c>
      <c r="P685" s="7">
        <v>46.09</v>
      </c>
      <c r="Q685" s="7">
        <v>92.18</v>
      </c>
      <c r="R685" s="7">
        <v>150</v>
      </c>
      <c r="S685" s="7">
        <v>45.19697</v>
      </c>
      <c r="T685" s="7">
        <v>49.816091999999998</v>
      </c>
      <c r="U685" s="7">
        <v>90.393939000000003</v>
      </c>
      <c r="V685" s="7">
        <v>150</v>
      </c>
      <c r="W685" s="7">
        <v>40.993333</v>
      </c>
      <c r="X685" s="7">
        <v>81.986666999999997</v>
      </c>
      <c r="Y685" s="7">
        <v>150</v>
      </c>
      <c r="Z685" s="7">
        <v>40.333333000000003</v>
      </c>
      <c r="AA685" s="7">
        <v>41.151515000000003</v>
      </c>
      <c r="AB685" s="7">
        <v>82.303030000000007</v>
      </c>
      <c r="AC685" s="7">
        <v>150</v>
      </c>
      <c r="AD685" s="7">
        <v>44.221217000000003</v>
      </c>
      <c r="AE685" s="7">
        <v>58.961621999999998</v>
      </c>
      <c r="AF685" s="7">
        <v>100</v>
      </c>
      <c r="AG685" s="7">
        <v>43.463414999999998</v>
      </c>
      <c r="AH685" s="7">
        <v>47.328204999999997</v>
      </c>
      <c r="AI685" s="7">
        <v>57.951219999999999</v>
      </c>
      <c r="AJ685" s="7">
        <v>100</v>
      </c>
      <c r="AK685" s="7">
        <v>4.6100000000000003</v>
      </c>
      <c r="AL685" s="7">
        <v>-0.81</v>
      </c>
      <c r="AM685" s="7">
        <v>3.86</v>
      </c>
      <c r="AN685" s="4" t="s">
        <v>124</v>
      </c>
      <c r="AO685" s="4" t="s">
        <v>124</v>
      </c>
      <c r="AP685" s="4" t="s">
        <v>124</v>
      </c>
      <c r="AQ685" s="4" t="s">
        <v>124</v>
      </c>
      <c r="AR685" s="4" t="s">
        <v>124</v>
      </c>
      <c r="AS685" s="4" t="s">
        <v>124</v>
      </c>
      <c r="AT685" s="4" t="s">
        <v>124</v>
      </c>
      <c r="AU685" s="4" t="s">
        <v>124</v>
      </c>
      <c r="AV685" s="4" t="s">
        <v>124</v>
      </c>
      <c r="AW685" s="4" t="s">
        <v>124</v>
      </c>
      <c r="AX685" s="4" t="s">
        <v>124</v>
      </c>
      <c r="AY685" s="4" t="s">
        <v>124</v>
      </c>
      <c r="AZ685" s="4" t="s">
        <v>124</v>
      </c>
      <c r="BA685" s="4" t="s">
        <v>124</v>
      </c>
      <c r="BB685" s="7">
        <v>0.59054200000000001</v>
      </c>
      <c r="BC685" s="7">
        <v>29.527087999999999</v>
      </c>
      <c r="BD685" s="7">
        <v>50</v>
      </c>
      <c r="BE685" s="7">
        <v>0.62049200000000004</v>
      </c>
      <c r="BF685" s="7">
        <v>31.024592999999999</v>
      </c>
      <c r="BG685" s="7">
        <v>50</v>
      </c>
      <c r="BH685" s="7">
        <v>0</v>
      </c>
      <c r="BI685" s="7">
        <v>0.96794899999999995</v>
      </c>
      <c r="BJ685" s="7">
        <v>0.96825399999999995</v>
      </c>
      <c r="BK685" s="7">
        <v>0.96666700000000005</v>
      </c>
      <c r="BL685" s="7">
        <v>0.96794899999999995</v>
      </c>
      <c r="BM685" s="7">
        <v>0.96825399999999995</v>
      </c>
      <c r="BN685" s="7">
        <v>0.96666700000000005</v>
      </c>
      <c r="BO685" s="7">
        <v>0.98717900000000003</v>
      </c>
      <c r="BP685" s="7">
        <v>0.98412699999999997</v>
      </c>
      <c r="BQ685" s="7">
        <v>1</v>
      </c>
      <c r="BR685" s="7">
        <v>0.20558000000000001</v>
      </c>
      <c r="BS685" s="7">
        <v>18.883994000000001</v>
      </c>
      <c r="BT685" s="7">
        <v>50</v>
      </c>
      <c r="BU685" s="7">
        <v>0.24354200000000001</v>
      </c>
      <c r="BV685" s="7">
        <v>11.291513</v>
      </c>
      <c r="BW685" s="7">
        <v>50</v>
      </c>
      <c r="BX685" s="7">
        <v>0.81927700000000003</v>
      </c>
      <c r="BY685" s="7">
        <v>50</v>
      </c>
      <c r="BZ685" s="7">
        <v>50</v>
      </c>
      <c r="CA685" s="7">
        <v>0.20180699999999999</v>
      </c>
      <c r="CB685" s="7">
        <v>13.453815000000001</v>
      </c>
      <c r="CC685" s="7">
        <v>50</v>
      </c>
      <c r="CD685" s="7">
        <v>0.97633099999999995</v>
      </c>
      <c r="CE685" s="7">
        <v>50</v>
      </c>
      <c r="CF685" s="7">
        <v>50</v>
      </c>
      <c r="CG685" s="7">
        <v>0.93877600000000005</v>
      </c>
      <c r="CH685" s="7">
        <v>99.869735000000006</v>
      </c>
      <c r="CI685" s="7">
        <v>100</v>
      </c>
      <c r="CJ685" s="7">
        <v>0</v>
      </c>
      <c r="CK685" s="7">
        <v>0.88495599999999996</v>
      </c>
      <c r="CL685" s="7">
        <v>94.144228999999996</v>
      </c>
      <c r="CM685" s="7">
        <v>100</v>
      </c>
      <c r="CN685" s="7">
        <v>0.705036</v>
      </c>
      <c r="CO685" s="7">
        <v>94.004795999999999</v>
      </c>
      <c r="CP685" s="7">
        <v>100</v>
      </c>
      <c r="CQ685" s="7">
        <v>0.73972599999999999</v>
      </c>
      <c r="CR685" s="7">
        <v>0.80219799999999997</v>
      </c>
      <c r="CS685" s="7">
        <v>24.657533999999998</v>
      </c>
      <c r="CT685" s="7">
        <v>50</v>
      </c>
      <c r="CU685" s="7">
        <v>0.17474300000000001</v>
      </c>
      <c r="CV685" s="7">
        <v>14.561919</v>
      </c>
      <c r="CW685" s="7">
        <v>50</v>
      </c>
      <c r="CX685" s="7">
        <v>0.88495599999999996</v>
      </c>
      <c r="CY685" s="7">
        <v>0.88461500000000004</v>
      </c>
      <c r="CZ685" s="7">
        <v>-3.4000000000000002E-4</v>
      </c>
      <c r="DA685" s="7">
        <v>15.314097</v>
      </c>
      <c r="DB685" s="7">
        <v>17.400950000000002</v>
      </c>
      <c r="DC685" s="7">
        <v>16.332519999999999</v>
      </c>
      <c r="DD685" s="7">
        <v>7.9891730000000001</v>
      </c>
      <c r="DE685" s="7">
        <v>0</v>
      </c>
      <c r="DF685" s="6"/>
      <c r="DG685" s="6"/>
      <c r="DH685" s="6"/>
      <c r="DI685" s="6"/>
      <c r="DJ685" s="7">
        <v>0</v>
      </c>
      <c r="DK685" s="7">
        <v>0</v>
      </c>
      <c r="DL685" s="7">
        <v>0</v>
      </c>
      <c r="DM685" s="7">
        <v>0</v>
      </c>
      <c r="DN685" s="7">
        <v>0</v>
      </c>
      <c r="DO685" s="7">
        <v>0</v>
      </c>
      <c r="DP685" s="6"/>
      <c r="DQ685" s="4" t="s">
        <v>125</v>
      </c>
    </row>
    <row r="686" spans="1:121" ht="20" customHeight="1" x14ac:dyDescent="0.15">
      <c r="A686" s="5">
        <v>2018</v>
      </c>
      <c r="B686" s="3" t="s">
        <v>205</v>
      </c>
      <c r="C686" s="4" t="str">
        <f t="shared" si="230"/>
        <v>0930011</v>
      </c>
      <c r="D686" s="4" t="s">
        <v>843</v>
      </c>
      <c r="E686" s="4" t="str">
        <f>"0936211"</f>
        <v>0936211</v>
      </c>
      <c r="F686" s="4" t="s">
        <v>327</v>
      </c>
      <c r="G686" s="7">
        <v>9</v>
      </c>
      <c r="H686" s="7">
        <v>12</v>
      </c>
      <c r="I686" s="4" t="s">
        <v>335</v>
      </c>
      <c r="J686" s="4" t="s">
        <v>330</v>
      </c>
      <c r="K686" s="7">
        <v>792.72542499999997</v>
      </c>
      <c r="L686" s="7">
        <v>1550</v>
      </c>
      <c r="M686" s="7">
        <v>51.143576000000003</v>
      </c>
      <c r="N686" s="7">
        <v>5</v>
      </c>
      <c r="O686" s="7">
        <v>0</v>
      </c>
      <c r="P686" s="7">
        <v>36.377853999999999</v>
      </c>
      <c r="Q686" s="7">
        <v>72.755707999999998</v>
      </c>
      <c r="R686" s="7">
        <v>150</v>
      </c>
      <c r="S686" s="7">
        <v>35.270513000000001</v>
      </c>
      <c r="T686" s="4" t="s">
        <v>124</v>
      </c>
      <c r="U686" s="7">
        <v>70.541026000000002</v>
      </c>
      <c r="V686" s="7">
        <v>150</v>
      </c>
      <c r="W686" s="7">
        <v>35.126331999999998</v>
      </c>
      <c r="X686" s="7">
        <v>70.252663999999996</v>
      </c>
      <c r="Y686" s="7">
        <v>150</v>
      </c>
      <c r="Z686" s="4" t="s">
        <v>124</v>
      </c>
      <c r="AA686" s="7">
        <v>34.316239000000003</v>
      </c>
      <c r="AB686" s="7">
        <v>68.632479000000004</v>
      </c>
      <c r="AC686" s="7">
        <v>150</v>
      </c>
      <c r="AD686" s="7">
        <v>34.595829999999999</v>
      </c>
      <c r="AE686" s="7">
        <v>46.127772999999998</v>
      </c>
      <c r="AF686" s="7">
        <v>100</v>
      </c>
      <c r="AG686" s="7">
        <v>34.149611</v>
      </c>
      <c r="AH686" s="4" t="s">
        <v>124</v>
      </c>
      <c r="AI686" s="7">
        <v>45.532814000000002</v>
      </c>
      <c r="AJ686" s="7">
        <v>100</v>
      </c>
      <c r="AK686" s="4" t="s">
        <v>124</v>
      </c>
      <c r="AL686" s="4" t="s">
        <v>124</v>
      </c>
      <c r="AM686" s="4" t="s">
        <v>124</v>
      </c>
      <c r="AN686" s="4" t="s">
        <v>124</v>
      </c>
      <c r="AO686" s="4" t="s">
        <v>124</v>
      </c>
      <c r="AP686" s="4" t="s">
        <v>124</v>
      </c>
      <c r="AQ686" s="4" t="s">
        <v>124</v>
      </c>
      <c r="AR686" s="4" t="s">
        <v>124</v>
      </c>
      <c r="AS686" s="4" t="s">
        <v>124</v>
      </c>
      <c r="AT686" s="4" t="s">
        <v>124</v>
      </c>
      <c r="AU686" s="4" t="s">
        <v>124</v>
      </c>
      <c r="AV686" s="4" t="s">
        <v>124</v>
      </c>
      <c r="AW686" s="4" t="s">
        <v>124</v>
      </c>
      <c r="AX686" s="4" t="s">
        <v>124</v>
      </c>
      <c r="AY686" s="4" t="s">
        <v>124</v>
      </c>
      <c r="AZ686" s="4" t="s">
        <v>124</v>
      </c>
      <c r="BA686" s="4" t="s">
        <v>124</v>
      </c>
      <c r="BB686" s="7">
        <v>0.31077199999999999</v>
      </c>
      <c r="BC686" s="7">
        <v>15.538611</v>
      </c>
      <c r="BD686" s="7">
        <v>50</v>
      </c>
      <c r="BE686" s="7">
        <v>0.38892700000000002</v>
      </c>
      <c r="BF686" s="7">
        <v>19.446339999999999</v>
      </c>
      <c r="BG686" s="7">
        <v>50</v>
      </c>
      <c r="BH686" s="7">
        <v>1</v>
      </c>
      <c r="BI686" s="7">
        <v>0.85555599999999998</v>
      </c>
      <c r="BJ686" s="7">
        <v>0.86624199999999996</v>
      </c>
      <c r="BK686" s="7">
        <v>0.782609</v>
      </c>
      <c r="BL686" s="7">
        <v>0.85555599999999998</v>
      </c>
      <c r="BM686" s="7">
        <v>0.86624199999999996</v>
      </c>
      <c r="BN686" s="7">
        <v>0.782609</v>
      </c>
      <c r="BO686" s="7">
        <v>0.93888899999999997</v>
      </c>
      <c r="BP686" s="7">
        <v>0.95541399999999999</v>
      </c>
      <c r="BQ686" s="7">
        <v>0.82608700000000002</v>
      </c>
      <c r="BR686" s="7">
        <v>0.28883999999999999</v>
      </c>
      <c r="BS686" s="7">
        <v>2.2319469999999999</v>
      </c>
      <c r="BT686" s="7">
        <v>50</v>
      </c>
      <c r="BU686" s="7">
        <v>0.30946299999999999</v>
      </c>
      <c r="BV686" s="7">
        <v>0</v>
      </c>
      <c r="BW686" s="7">
        <v>50</v>
      </c>
      <c r="BX686" s="7">
        <v>0.50558700000000001</v>
      </c>
      <c r="BY686" s="7">
        <v>33.705773000000001</v>
      </c>
      <c r="BZ686" s="7">
        <v>50</v>
      </c>
      <c r="CA686" s="7">
        <v>6.4245999999999998E-2</v>
      </c>
      <c r="CB686" s="7">
        <v>4.2830539999999999</v>
      </c>
      <c r="CC686" s="7">
        <v>50</v>
      </c>
      <c r="CD686" s="7">
        <v>0.67346899999999998</v>
      </c>
      <c r="CE686" s="7">
        <v>35.822839999999999</v>
      </c>
      <c r="CF686" s="7">
        <v>50</v>
      </c>
      <c r="CG686" s="7">
        <v>0.67938900000000002</v>
      </c>
      <c r="CH686" s="7">
        <v>72.275458999999998</v>
      </c>
      <c r="CI686" s="7">
        <v>100</v>
      </c>
      <c r="CJ686" s="7">
        <v>0</v>
      </c>
      <c r="CK686" s="7">
        <v>0.84016400000000002</v>
      </c>
      <c r="CL686" s="7">
        <v>89.379142000000002</v>
      </c>
      <c r="CM686" s="7">
        <v>100</v>
      </c>
      <c r="CN686" s="7">
        <v>0.45549699999999999</v>
      </c>
      <c r="CO686" s="7">
        <v>60.732984000000002</v>
      </c>
      <c r="CP686" s="7">
        <v>100</v>
      </c>
      <c r="CQ686" s="7">
        <v>0.75503399999999998</v>
      </c>
      <c r="CR686" s="7">
        <v>1.3607309999999999</v>
      </c>
      <c r="CS686" s="7">
        <v>50</v>
      </c>
      <c r="CT686" s="7">
        <v>50</v>
      </c>
      <c r="CU686" s="7">
        <v>0.42560199999999998</v>
      </c>
      <c r="CV686" s="7">
        <v>35.466813000000002</v>
      </c>
      <c r="CW686" s="7">
        <v>50</v>
      </c>
      <c r="CX686" s="7">
        <v>0.84016400000000002</v>
      </c>
      <c r="CY686" s="7">
        <v>0.8</v>
      </c>
      <c r="CZ686" s="7">
        <v>-4.0163999999999998E-2</v>
      </c>
      <c r="DA686" s="7">
        <v>15.314097</v>
      </c>
      <c r="DB686" s="7">
        <v>17.400950000000002</v>
      </c>
      <c r="DC686" s="7">
        <v>16.332519999999999</v>
      </c>
      <c r="DD686" s="7">
        <v>7.9891730000000001</v>
      </c>
      <c r="DE686" s="7">
        <v>1</v>
      </c>
      <c r="DF686" s="4" t="s">
        <v>384</v>
      </c>
      <c r="DG686" s="4" t="s">
        <v>385</v>
      </c>
      <c r="DH686" s="6"/>
      <c r="DI686" s="6"/>
      <c r="DJ686" s="7">
        <v>0</v>
      </c>
      <c r="DK686" s="7">
        <v>0</v>
      </c>
      <c r="DL686" s="7">
        <v>0</v>
      </c>
      <c r="DM686" s="7">
        <v>0</v>
      </c>
      <c r="DN686" s="7">
        <v>0</v>
      </c>
      <c r="DO686" s="7">
        <v>0</v>
      </c>
      <c r="DP686" s="6"/>
      <c r="DQ686" s="4" t="s">
        <v>125</v>
      </c>
    </row>
    <row r="687" spans="1:121" ht="20" customHeight="1" x14ac:dyDescent="0.15">
      <c r="A687" s="5">
        <v>2018</v>
      </c>
      <c r="B687" s="3" t="s">
        <v>205</v>
      </c>
      <c r="C687" s="4" t="str">
        <f t="shared" si="230"/>
        <v>0930011</v>
      </c>
      <c r="D687" s="4" t="s">
        <v>844</v>
      </c>
      <c r="E687" s="4" t="str">
        <f>"0931311"</f>
        <v>0931311</v>
      </c>
      <c r="F687" s="4" t="s">
        <v>327</v>
      </c>
      <c r="G687" s="4" t="s">
        <v>328</v>
      </c>
      <c r="H687" s="7">
        <v>8</v>
      </c>
      <c r="I687" s="6"/>
      <c r="J687" s="4" t="s">
        <v>330</v>
      </c>
      <c r="K687" s="7">
        <v>627.19080099999996</v>
      </c>
      <c r="L687" s="7">
        <v>1000</v>
      </c>
      <c r="M687" s="7">
        <v>62.719079999999998</v>
      </c>
      <c r="N687" s="7">
        <v>3</v>
      </c>
      <c r="O687" s="7">
        <v>1</v>
      </c>
      <c r="P687" s="7">
        <v>61.647446000000002</v>
      </c>
      <c r="Q687" s="7">
        <v>41.098297000000002</v>
      </c>
      <c r="R687" s="7">
        <v>50</v>
      </c>
      <c r="S687" s="7">
        <v>57.474550000000001</v>
      </c>
      <c r="T687" s="7">
        <v>75</v>
      </c>
      <c r="U687" s="7">
        <v>38.316366000000002</v>
      </c>
      <c r="V687" s="7">
        <v>50</v>
      </c>
      <c r="W687" s="7">
        <v>49.381670999999997</v>
      </c>
      <c r="X687" s="7">
        <v>32.921114000000003</v>
      </c>
      <c r="Y687" s="7">
        <v>50</v>
      </c>
      <c r="Z687" s="7">
        <v>62.782375999999999</v>
      </c>
      <c r="AA687" s="7">
        <v>45.494886000000001</v>
      </c>
      <c r="AB687" s="7">
        <v>30.329923999999998</v>
      </c>
      <c r="AC687" s="7">
        <v>50</v>
      </c>
      <c r="AD687" s="7">
        <v>53.222062999999999</v>
      </c>
      <c r="AE687" s="7">
        <v>35.481375999999997</v>
      </c>
      <c r="AF687" s="7">
        <v>50</v>
      </c>
      <c r="AG687" s="7">
        <v>51.750998000000003</v>
      </c>
      <c r="AH687" s="4" t="s">
        <v>124</v>
      </c>
      <c r="AI687" s="7">
        <v>34.500664999999998</v>
      </c>
      <c r="AJ687" s="7">
        <v>50</v>
      </c>
      <c r="AK687" s="7">
        <v>17.52</v>
      </c>
      <c r="AL687" s="7">
        <v>17.28</v>
      </c>
      <c r="AM687" s="4" t="s">
        <v>124</v>
      </c>
      <c r="AN687" s="7">
        <v>0.65324000000000004</v>
      </c>
      <c r="AO687" s="7">
        <v>65.323986000000005</v>
      </c>
      <c r="AP687" s="7">
        <v>100</v>
      </c>
      <c r="AQ687" s="7">
        <v>0.42854999999999999</v>
      </c>
      <c r="AR687" s="7">
        <v>42.854987999999999</v>
      </c>
      <c r="AS687" s="7">
        <v>100</v>
      </c>
      <c r="AT687" s="7">
        <v>0.62689799999999996</v>
      </c>
      <c r="AU687" s="7">
        <v>0.74088799999999999</v>
      </c>
      <c r="AV687" s="7">
        <v>62.689754999999998</v>
      </c>
      <c r="AW687" s="7">
        <v>100</v>
      </c>
      <c r="AX687" s="7">
        <v>0.41491499999999998</v>
      </c>
      <c r="AY687" s="7">
        <v>0.47391800000000001</v>
      </c>
      <c r="AZ687" s="7">
        <v>41.491453999999997</v>
      </c>
      <c r="BA687" s="7">
        <v>100</v>
      </c>
      <c r="BB687" s="7">
        <v>0.64729400000000004</v>
      </c>
      <c r="BC687" s="7">
        <v>32.364685999999999</v>
      </c>
      <c r="BD687" s="7">
        <v>50</v>
      </c>
      <c r="BE687" s="7">
        <v>0.43631999999999999</v>
      </c>
      <c r="BF687" s="7">
        <v>21.816019000000001</v>
      </c>
      <c r="BG687" s="7">
        <v>50</v>
      </c>
      <c r="BH687" s="7">
        <v>0</v>
      </c>
      <c r="BI687" s="7">
        <v>1</v>
      </c>
      <c r="BJ687" s="7">
        <v>1</v>
      </c>
      <c r="BK687" s="7">
        <v>1</v>
      </c>
      <c r="BL687" s="7">
        <v>1</v>
      </c>
      <c r="BM687" s="7">
        <v>1</v>
      </c>
      <c r="BN687" s="7">
        <v>1</v>
      </c>
      <c r="BO687" s="7">
        <v>1</v>
      </c>
      <c r="BP687" s="7">
        <v>1</v>
      </c>
      <c r="BQ687" s="4" t="s">
        <v>124</v>
      </c>
      <c r="BR687" s="7">
        <v>0.112613</v>
      </c>
      <c r="BS687" s="7">
        <v>37.477477</v>
      </c>
      <c r="BT687" s="7">
        <v>50</v>
      </c>
      <c r="BU687" s="7">
        <v>0.126888</v>
      </c>
      <c r="BV687" s="7">
        <v>34.622356000000003</v>
      </c>
      <c r="BW687" s="7">
        <v>50</v>
      </c>
      <c r="BX687" s="4" t="s">
        <v>124</v>
      </c>
      <c r="BY687" s="4" t="s">
        <v>124</v>
      </c>
      <c r="BZ687" s="4" t="s">
        <v>124</v>
      </c>
      <c r="CA687" s="4" t="s">
        <v>124</v>
      </c>
      <c r="CB687" s="4" t="s">
        <v>124</v>
      </c>
      <c r="CC687" s="4" t="s">
        <v>124</v>
      </c>
      <c r="CD687" s="7">
        <v>0.97619</v>
      </c>
      <c r="CE687" s="7">
        <v>50</v>
      </c>
      <c r="CF687" s="7">
        <v>50</v>
      </c>
      <c r="CG687" s="4" t="s">
        <v>124</v>
      </c>
      <c r="CH687" s="4" t="s">
        <v>124</v>
      </c>
      <c r="CI687" s="4" t="s">
        <v>124</v>
      </c>
      <c r="CJ687" s="4" t="s">
        <v>124</v>
      </c>
      <c r="CK687" s="4" t="s">
        <v>124</v>
      </c>
      <c r="CL687" s="4" t="s">
        <v>124</v>
      </c>
      <c r="CM687" s="4" t="s">
        <v>124</v>
      </c>
      <c r="CN687" s="4" t="s">
        <v>124</v>
      </c>
      <c r="CO687" s="4" t="s">
        <v>124</v>
      </c>
      <c r="CP687" s="4" t="s">
        <v>124</v>
      </c>
      <c r="CQ687" s="7">
        <v>0.38853500000000002</v>
      </c>
      <c r="CR687" s="7">
        <v>1</v>
      </c>
      <c r="CS687" s="7">
        <v>25.902335000000001</v>
      </c>
      <c r="CT687" s="7">
        <v>50</v>
      </c>
      <c r="CU687" s="4" t="s">
        <v>124</v>
      </c>
      <c r="CV687" s="4" t="s">
        <v>124</v>
      </c>
      <c r="CW687" s="4" t="s">
        <v>124</v>
      </c>
      <c r="CX687" s="4" t="s">
        <v>124</v>
      </c>
      <c r="CY687" s="4" t="s">
        <v>124</v>
      </c>
      <c r="CZ687" s="4" t="s">
        <v>124</v>
      </c>
      <c r="DA687" s="7">
        <v>15.314097</v>
      </c>
      <c r="DB687" s="7">
        <v>17.400950000000002</v>
      </c>
      <c r="DC687" s="7">
        <v>16.332519999999999</v>
      </c>
      <c r="DD687" s="4" t="s">
        <v>124</v>
      </c>
      <c r="DE687" s="7">
        <v>1</v>
      </c>
      <c r="DF687" s="6"/>
      <c r="DG687" s="6"/>
      <c r="DH687" s="6"/>
      <c r="DI687" s="6"/>
      <c r="DJ687" s="7">
        <v>0</v>
      </c>
      <c r="DK687" s="7">
        <v>0</v>
      </c>
      <c r="DL687" s="7">
        <v>0</v>
      </c>
      <c r="DM687" s="7">
        <v>0</v>
      </c>
      <c r="DN687" s="7">
        <v>0</v>
      </c>
      <c r="DO687" s="7">
        <v>0</v>
      </c>
      <c r="DP687" s="6"/>
      <c r="DQ687" s="4" t="s">
        <v>125</v>
      </c>
    </row>
    <row r="688" spans="1:121" ht="20" customHeight="1" x14ac:dyDescent="0.15">
      <c r="A688" s="5">
        <v>2018</v>
      </c>
      <c r="B688" s="3" t="s">
        <v>205</v>
      </c>
      <c r="C688" s="4" t="str">
        <f t="shared" si="230"/>
        <v>0930011</v>
      </c>
      <c r="D688" s="4" t="s">
        <v>845</v>
      </c>
      <c r="E688" s="4" t="str">
        <f>"0930811"</f>
        <v>0930811</v>
      </c>
      <c r="F688" s="4" t="s">
        <v>327</v>
      </c>
      <c r="G688" s="4" t="s">
        <v>328</v>
      </c>
      <c r="H688" s="7">
        <v>8</v>
      </c>
      <c r="I688" s="4" t="s">
        <v>335</v>
      </c>
      <c r="J688" s="4" t="s">
        <v>330</v>
      </c>
      <c r="K688" s="7">
        <v>699.069838</v>
      </c>
      <c r="L688" s="7">
        <v>1000</v>
      </c>
      <c r="M688" s="7">
        <v>69.906983999999994</v>
      </c>
      <c r="N688" s="7">
        <v>3</v>
      </c>
      <c r="O688" s="7">
        <v>0</v>
      </c>
      <c r="P688" s="7">
        <v>60.134036000000002</v>
      </c>
      <c r="Q688" s="7">
        <v>40.089357</v>
      </c>
      <c r="R688" s="7">
        <v>50</v>
      </c>
      <c r="S688" s="7">
        <v>59.849882999999998</v>
      </c>
      <c r="T688" s="4" t="s">
        <v>124</v>
      </c>
      <c r="U688" s="7">
        <v>39.899921999999997</v>
      </c>
      <c r="V688" s="7">
        <v>50</v>
      </c>
      <c r="W688" s="7">
        <v>56.578259000000003</v>
      </c>
      <c r="X688" s="7">
        <v>37.718839000000003</v>
      </c>
      <c r="Y688" s="7">
        <v>50</v>
      </c>
      <c r="Z688" s="4" t="s">
        <v>124</v>
      </c>
      <c r="AA688" s="7">
        <v>56.3187</v>
      </c>
      <c r="AB688" s="7">
        <v>37.5458</v>
      </c>
      <c r="AC688" s="7">
        <v>50</v>
      </c>
      <c r="AD688" s="7">
        <v>59.781664999999997</v>
      </c>
      <c r="AE688" s="7">
        <v>39.854443000000003</v>
      </c>
      <c r="AF688" s="7">
        <v>50</v>
      </c>
      <c r="AG688" s="7">
        <v>60.051746000000001</v>
      </c>
      <c r="AH688" s="4" t="s">
        <v>124</v>
      </c>
      <c r="AI688" s="7">
        <v>40.034497000000002</v>
      </c>
      <c r="AJ688" s="7">
        <v>50</v>
      </c>
      <c r="AK688" s="4" t="s">
        <v>124</v>
      </c>
      <c r="AL688" s="4" t="s">
        <v>124</v>
      </c>
      <c r="AM688" s="4" t="s">
        <v>124</v>
      </c>
      <c r="AN688" s="7">
        <v>0.56483799999999995</v>
      </c>
      <c r="AO688" s="7">
        <v>56.483823999999998</v>
      </c>
      <c r="AP688" s="7">
        <v>100</v>
      </c>
      <c r="AQ688" s="7">
        <v>0.70906100000000005</v>
      </c>
      <c r="AR688" s="7">
        <v>70.906084000000007</v>
      </c>
      <c r="AS688" s="7">
        <v>100</v>
      </c>
      <c r="AT688" s="7">
        <v>0.56420899999999996</v>
      </c>
      <c r="AU688" s="4" t="s">
        <v>124</v>
      </c>
      <c r="AV688" s="7">
        <v>56.420858000000003</v>
      </c>
      <c r="AW688" s="7">
        <v>100</v>
      </c>
      <c r="AX688" s="7">
        <v>0.71133500000000005</v>
      </c>
      <c r="AY688" s="4" t="s">
        <v>124</v>
      </c>
      <c r="AZ688" s="7">
        <v>71.133536000000007</v>
      </c>
      <c r="BA688" s="7">
        <v>100</v>
      </c>
      <c r="BB688" s="7">
        <v>0.56872299999999998</v>
      </c>
      <c r="BC688" s="7">
        <v>28.436146000000001</v>
      </c>
      <c r="BD688" s="7">
        <v>50</v>
      </c>
      <c r="BE688" s="7">
        <v>0.50261900000000004</v>
      </c>
      <c r="BF688" s="7">
        <v>25.130966000000001</v>
      </c>
      <c r="BG688" s="7">
        <v>50</v>
      </c>
      <c r="BH688" s="7">
        <v>0</v>
      </c>
      <c r="BI688" s="7">
        <v>1</v>
      </c>
      <c r="BJ688" s="7">
        <v>1</v>
      </c>
      <c r="BK688" s="4" t="s">
        <v>124</v>
      </c>
      <c r="BL688" s="7">
        <v>1</v>
      </c>
      <c r="BM688" s="7">
        <v>1</v>
      </c>
      <c r="BN688" s="4" t="s">
        <v>124</v>
      </c>
      <c r="BO688" s="7">
        <v>1</v>
      </c>
      <c r="BP688" s="7">
        <v>1</v>
      </c>
      <c r="BQ688" s="4" t="s">
        <v>124</v>
      </c>
      <c r="BR688" s="7">
        <v>0.115854</v>
      </c>
      <c r="BS688" s="7">
        <v>36.829267999999999</v>
      </c>
      <c r="BT688" s="7">
        <v>50</v>
      </c>
      <c r="BU688" s="7">
        <v>0.112554</v>
      </c>
      <c r="BV688" s="7">
        <v>37.489176999999998</v>
      </c>
      <c r="BW688" s="7">
        <v>50</v>
      </c>
      <c r="BX688" s="4" t="s">
        <v>124</v>
      </c>
      <c r="BY688" s="4" t="s">
        <v>124</v>
      </c>
      <c r="BZ688" s="4" t="s">
        <v>124</v>
      </c>
      <c r="CA688" s="4" t="s">
        <v>124</v>
      </c>
      <c r="CB688" s="4" t="s">
        <v>124</v>
      </c>
      <c r="CC688" s="4" t="s">
        <v>124</v>
      </c>
      <c r="CD688" s="7">
        <v>0.89795899999999995</v>
      </c>
      <c r="CE688" s="7">
        <v>47.763786000000003</v>
      </c>
      <c r="CF688" s="7">
        <v>50</v>
      </c>
      <c r="CG688" s="4" t="s">
        <v>124</v>
      </c>
      <c r="CH688" s="4" t="s">
        <v>124</v>
      </c>
      <c r="CI688" s="4" t="s">
        <v>124</v>
      </c>
      <c r="CJ688" s="4" t="s">
        <v>124</v>
      </c>
      <c r="CK688" s="4" t="s">
        <v>124</v>
      </c>
      <c r="CL688" s="4" t="s">
        <v>124</v>
      </c>
      <c r="CM688" s="4" t="s">
        <v>124</v>
      </c>
      <c r="CN688" s="4" t="s">
        <v>124</v>
      </c>
      <c r="CO688" s="4" t="s">
        <v>124</v>
      </c>
      <c r="CP688" s="4" t="s">
        <v>124</v>
      </c>
      <c r="CQ688" s="7">
        <v>0.5</v>
      </c>
      <c r="CR688" s="7">
        <v>1.006211</v>
      </c>
      <c r="CS688" s="7">
        <v>33.333333000000003</v>
      </c>
      <c r="CT688" s="7">
        <v>50</v>
      </c>
      <c r="CU688" s="4" t="s">
        <v>124</v>
      </c>
      <c r="CV688" s="4" t="s">
        <v>124</v>
      </c>
      <c r="CW688" s="4" t="s">
        <v>124</v>
      </c>
      <c r="CX688" s="4" t="s">
        <v>124</v>
      </c>
      <c r="CY688" s="4" t="s">
        <v>124</v>
      </c>
      <c r="CZ688" s="4" t="s">
        <v>124</v>
      </c>
      <c r="DA688" s="7">
        <v>15.314097</v>
      </c>
      <c r="DB688" s="7">
        <v>17.400950000000002</v>
      </c>
      <c r="DC688" s="7">
        <v>16.332519999999999</v>
      </c>
      <c r="DD688" s="4" t="s">
        <v>124</v>
      </c>
      <c r="DE688" s="7">
        <v>0</v>
      </c>
      <c r="DF688" s="6"/>
      <c r="DG688" s="6"/>
      <c r="DH688" s="6"/>
      <c r="DI688" s="6"/>
      <c r="DJ688" s="7">
        <v>0</v>
      </c>
      <c r="DK688" s="7">
        <v>0</v>
      </c>
      <c r="DL688" s="7">
        <v>0</v>
      </c>
      <c r="DM688" s="7">
        <v>0</v>
      </c>
      <c r="DN688" s="7">
        <v>0</v>
      </c>
      <c r="DO688" s="7">
        <v>0</v>
      </c>
      <c r="DP688" s="6"/>
      <c r="DQ688" s="4" t="s">
        <v>125</v>
      </c>
    </row>
    <row r="689" spans="1:121" ht="20" customHeight="1" x14ac:dyDescent="0.15">
      <c r="A689" s="5">
        <v>2018</v>
      </c>
      <c r="B689" s="3" t="s">
        <v>205</v>
      </c>
      <c r="C689" s="4" t="str">
        <f t="shared" si="230"/>
        <v>0930011</v>
      </c>
      <c r="D689" s="4" t="s">
        <v>846</v>
      </c>
      <c r="E689" s="4" t="str">
        <f>"0933011"</f>
        <v>0933011</v>
      </c>
      <c r="F689" s="4" t="s">
        <v>327</v>
      </c>
      <c r="G689" s="4" t="s">
        <v>328</v>
      </c>
      <c r="H689" s="7">
        <v>8</v>
      </c>
      <c r="I689" s="4" t="s">
        <v>335</v>
      </c>
      <c r="J689" s="4" t="s">
        <v>330</v>
      </c>
      <c r="K689" s="7">
        <v>545.55319999999995</v>
      </c>
      <c r="L689" s="7">
        <v>900</v>
      </c>
      <c r="M689" s="7">
        <v>60.617021999999999</v>
      </c>
      <c r="N689" s="7">
        <v>3</v>
      </c>
      <c r="O689" s="7">
        <v>0</v>
      </c>
      <c r="P689" s="7">
        <v>57.160007999999998</v>
      </c>
      <c r="Q689" s="7">
        <v>38.106672000000003</v>
      </c>
      <c r="R689" s="7">
        <v>50</v>
      </c>
      <c r="S689" s="7">
        <v>55.627724000000001</v>
      </c>
      <c r="T689" s="7">
        <v>64.416672000000005</v>
      </c>
      <c r="U689" s="7">
        <v>37.085149999999999</v>
      </c>
      <c r="V689" s="7">
        <v>50</v>
      </c>
      <c r="W689" s="7">
        <v>48.586345999999999</v>
      </c>
      <c r="X689" s="7">
        <v>32.390898</v>
      </c>
      <c r="Y689" s="7">
        <v>50</v>
      </c>
      <c r="Z689" s="7">
        <v>55.917681999999999</v>
      </c>
      <c r="AA689" s="7">
        <v>47.038294999999998</v>
      </c>
      <c r="AB689" s="7">
        <v>31.358864000000001</v>
      </c>
      <c r="AC689" s="7">
        <v>50</v>
      </c>
      <c r="AD689" s="7">
        <v>52.380633000000003</v>
      </c>
      <c r="AE689" s="7">
        <v>34.920422000000002</v>
      </c>
      <c r="AF689" s="7">
        <v>50</v>
      </c>
      <c r="AG689" s="7">
        <v>50.810147000000001</v>
      </c>
      <c r="AH689" s="4" t="s">
        <v>124</v>
      </c>
      <c r="AI689" s="7">
        <v>33.873430999999997</v>
      </c>
      <c r="AJ689" s="7">
        <v>50</v>
      </c>
      <c r="AK689" s="7">
        <v>8.7799999999999994</v>
      </c>
      <c r="AL689" s="7">
        <v>8.8699999999999992</v>
      </c>
      <c r="AM689" s="4" t="s">
        <v>124</v>
      </c>
      <c r="AN689" s="7">
        <v>0.6341</v>
      </c>
      <c r="AO689" s="7">
        <v>63.409950000000002</v>
      </c>
      <c r="AP689" s="7">
        <v>100</v>
      </c>
      <c r="AQ689" s="7">
        <v>0.59018999999999999</v>
      </c>
      <c r="AR689" s="7">
        <v>59.019011999999996</v>
      </c>
      <c r="AS689" s="7">
        <v>100</v>
      </c>
      <c r="AT689" s="7">
        <v>0.62303500000000001</v>
      </c>
      <c r="AU689" s="7">
        <v>0.68967699999999998</v>
      </c>
      <c r="AV689" s="7">
        <v>62.303539999999998</v>
      </c>
      <c r="AW689" s="7">
        <v>100</v>
      </c>
      <c r="AX689" s="7">
        <v>0.56068700000000005</v>
      </c>
      <c r="AY689" s="7">
        <v>0.73839200000000005</v>
      </c>
      <c r="AZ689" s="7">
        <v>56.068689999999997</v>
      </c>
      <c r="BA689" s="7">
        <v>100</v>
      </c>
      <c r="BB689" s="4" t="s">
        <v>124</v>
      </c>
      <c r="BC689" s="4" t="s">
        <v>124</v>
      </c>
      <c r="BD689" s="4" t="s">
        <v>124</v>
      </c>
      <c r="BE689" s="4" t="s">
        <v>124</v>
      </c>
      <c r="BF689" s="4" t="s">
        <v>124</v>
      </c>
      <c r="BG689" s="4" t="s">
        <v>124</v>
      </c>
      <c r="BH689" s="7">
        <v>0</v>
      </c>
      <c r="BI689" s="7">
        <v>0.99676399999999998</v>
      </c>
      <c r="BJ689" s="7">
        <v>1</v>
      </c>
      <c r="BK689" s="7">
        <v>0.98148100000000005</v>
      </c>
      <c r="BL689" s="7">
        <v>0.99676399999999998</v>
      </c>
      <c r="BM689" s="7">
        <v>1</v>
      </c>
      <c r="BN689" s="7">
        <v>0.98148100000000005</v>
      </c>
      <c r="BO689" s="7">
        <v>0.99019599999999997</v>
      </c>
      <c r="BP689" s="7">
        <v>0.98837200000000003</v>
      </c>
      <c r="BQ689" s="4" t="s">
        <v>124</v>
      </c>
      <c r="BR689" s="7">
        <v>0.18385699999999999</v>
      </c>
      <c r="BS689" s="7">
        <v>23.2287</v>
      </c>
      <c r="BT689" s="7">
        <v>50</v>
      </c>
      <c r="BU689" s="7">
        <v>0.18518499999999999</v>
      </c>
      <c r="BV689" s="7">
        <v>22.962962999999998</v>
      </c>
      <c r="BW689" s="7">
        <v>50</v>
      </c>
      <c r="BX689" s="4" t="s">
        <v>124</v>
      </c>
      <c r="BY689" s="4" t="s">
        <v>124</v>
      </c>
      <c r="BZ689" s="4" t="s">
        <v>124</v>
      </c>
      <c r="CA689" s="4" t="s">
        <v>124</v>
      </c>
      <c r="CB689" s="4" t="s">
        <v>124</v>
      </c>
      <c r="CC689" s="4" t="s">
        <v>124</v>
      </c>
      <c r="CD689" s="7">
        <v>0.85106400000000004</v>
      </c>
      <c r="CE689" s="7">
        <v>45.269353000000002</v>
      </c>
      <c r="CF689" s="7">
        <v>50</v>
      </c>
      <c r="CG689" s="4" t="s">
        <v>124</v>
      </c>
      <c r="CH689" s="4" t="s">
        <v>124</v>
      </c>
      <c r="CI689" s="4" t="s">
        <v>124</v>
      </c>
      <c r="CJ689" s="4" t="s">
        <v>124</v>
      </c>
      <c r="CK689" s="4" t="s">
        <v>124</v>
      </c>
      <c r="CL689" s="4" t="s">
        <v>124</v>
      </c>
      <c r="CM689" s="4" t="s">
        <v>124</v>
      </c>
      <c r="CN689" s="4" t="s">
        <v>124</v>
      </c>
      <c r="CO689" s="4" t="s">
        <v>124</v>
      </c>
      <c r="CP689" s="4" t="s">
        <v>124</v>
      </c>
      <c r="CQ689" s="7">
        <v>0.16666700000000001</v>
      </c>
      <c r="CR689" s="7">
        <v>0.85714299999999999</v>
      </c>
      <c r="CS689" s="7">
        <v>5.5555560000000002</v>
      </c>
      <c r="CT689" s="7">
        <v>50</v>
      </c>
      <c r="CU689" s="4" t="s">
        <v>124</v>
      </c>
      <c r="CV689" s="4" t="s">
        <v>124</v>
      </c>
      <c r="CW689" s="4" t="s">
        <v>124</v>
      </c>
      <c r="CX689" s="4" t="s">
        <v>124</v>
      </c>
      <c r="CY689" s="4" t="s">
        <v>124</v>
      </c>
      <c r="CZ689" s="4" t="s">
        <v>124</v>
      </c>
      <c r="DA689" s="7">
        <v>15.314097</v>
      </c>
      <c r="DB689" s="7">
        <v>17.400950000000002</v>
      </c>
      <c r="DC689" s="7">
        <v>16.332519999999999</v>
      </c>
      <c r="DD689" s="4" t="s">
        <v>124</v>
      </c>
      <c r="DE689" s="7">
        <v>0</v>
      </c>
      <c r="DF689" s="6"/>
      <c r="DG689" s="6"/>
      <c r="DH689" s="6"/>
      <c r="DI689" s="6"/>
      <c r="DJ689" s="7">
        <v>0</v>
      </c>
      <c r="DK689" s="7">
        <v>0</v>
      </c>
      <c r="DL689" s="7">
        <v>0</v>
      </c>
      <c r="DM689" s="7">
        <v>0</v>
      </c>
      <c r="DN689" s="7">
        <v>0</v>
      </c>
      <c r="DO689" s="7">
        <v>0</v>
      </c>
      <c r="DP689" s="6"/>
      <c r="DQ689" s="4" t="s">
        <v>125</v>
      </c>
    </row>
    <row r="690" spans="1:121" ht="20" customHeight="1" x14ac:dyDescent="0.15">
      <c r="A690" s="5">
        <v>2018</v>
      </c>
      <c r="B690" s="3" t="s">
        <v>205</v>
      </c>
      <c r="C690" s="4" t="str">
        <f t="shared" si="230"/>
        <v>0930011</v>
      </c>
      <c r="D690" s="4" t="s">
        <v>847</v>
      </c>
      <c r="E690" s="4" t="str">
        <f>"0932011"</f>
        <v>0932011</v>
      </c>
      <c r="F690" s="4" t="s">
        <v>327</v>
      </c>
      <c r="G690" s="4" t="s">
        <v>328</v>
      </c>
      <c r="H690" s="7">
        <v>6</v>
      </c>
      <c r="I690" s="4" t="s">
        <v>335</v>
      </c>
      <c r="J690" s="4" t="s">
        <v>330</v>
      </c>
      <c r="K690" s="7">
        <v>471.86170600000003</v>
      </c>
      <c r="L690" s="7">
        <v>850</v>
      </c>
      <c r="M690" s="7">
        <v>55.513142000000002</v>
      </c>
      <c r="N690" s="7">
        <v>3</v>
      </c>
      <c r="O690" s="7">
        <v>0</v>
      </c>
      <c r="P690" s="7">
        <v>47.482562000000001</v>
      </c>
      <c r="Q690" s="7">
        <v>31.655041000000001</v>
      </c>
      <c r="R690" s="7">
        <v>50</v>
      </c>
      <c r="S690" s="7">
        <v>46.829518999999998</v>
      </c>
      <c r="T690" s="4" t="s">
        <v>124</v>
      </c>
      <c r="U690" s="7">
        <v>31.219678999999999</v>
      </c>
      <c r="V690" s="7">
        <v>50</v>
      </c>
      <c r="W690" s="7">
        <v>43.241951</v>
      </c>
      <c r="X690" s="7">
        <v>28.827967000000001</v>
      </c>
      <c r="Y690" s="7">
        <v>50</v>
      </c>
      <c r="Z690" s="4" t="s">
        <v>124</v>
      </c>
      <c r="AA690" s="7">
        <v>42.431429999999999</v>
      </c>
      <c r="AB690" s="7">
        <v>28.28762</v>
      </c>
      <c r="AC690" s="7">
        <v>50</v>
      </c>
      <c r="AD690" s="7">
        <v>50.189047000000002</v>
      </c>
      <c r="AE690" s="7">
        <v>33.459364999999998</v>
      </c>
      <c r="AF690" s="7">
        <v>50</v>
      </c>
      <c r="AG690" s="7">
        <v>50.387096999999997</v>
      </c>
      <c r="AH690" s="4" t="s">
        <v>124</v>
      </c>
      <c r="AI690" s="7">
        <v>33.591397999999998</v>
      </c>
      <c r="AJ690" s="7">
        <v>50</v>
      </c>
      <c r="AK690" s="4" t="s">
        <v>124</v>
      </c>
      <c r="AL690" s="4" t="s">
        <v>124</v>
      </c>
      <c r="AM690" s="4" t="s">
        <v>124</v>
      </c>
      <c r="AN690" s="7">
        <v>0.45144200000000001</v>
      </c>
      <c r="AO690" s="7">
        <v>45.144176999999999</v>
      </c>
      <c r="AP690" s="7">
        <v>100</v>
      </c>
      <c r="AQ690" s="7">
        <v>0.50335200000000002</v>
      </c>
      <c r="AR690" s="7">
        <v>50.335237999999997</v>
      </c>
      <c r="AS690" s="7">
        <v>100</v>
      </c>
      <c r="AT690" s="7">
        <v>0.445413</v>
      </c>
      <c r="AU690" s="4" t="s">
        <v>124</v>
      </c>
      <c r="AV690" s="7">
        <v>44.541285999999999</v>
      </c>
      <c r="AW690" s="7">
        <v>100</v>
      </c>
      <c r="AX690" s="7">
        <v>0.49962200000000001</v>
      </c>
      <c r="AY690" s="4" t="s">
        <v>124</v>
      </c>
      <c r="AZ690" s="7">
        <v>49.962201999999998</v>
      </c>
      <c r="BA690" s="7">
        <v>100</v>
      </c>
      <c r="BB690" s="4" t="s">
        <v>124</v>
      </c>
      <c r="BC690" s="4" t="s">
        <v>124</v>
      </c>
      <c r="BD690" s="4" t="s">
        <v>124</v>
      </c>
      <c r="BE690" s="4" t="s">
        <v>124</v>
      </c>
      <c r="BF690" s="4" t="s">
        <v>124</v>
      </c>
      <c r="BG690" s="4" t="s">
        <v>124</v>
      </c>
      <c r="BH690" s="7">
        <v>0</v>
      </c>
      <c r="BI690" s="7">
        <v>1</v>
      </c>
      <c r="BJ690" s="7">
        <v>1</v>
      </c>
      <c r="BK690" s="4" t="s">
        <v>124</v>
      </c>
      <c r="BL690" s="7">
        <v>1</v>
      </c>
      <c r="BM690" s="7">
        <v>1</v>
      </c>
      <c r="BN690" s="4" t="s">
        <v>124</v>
      </c>
      <c r="BO690" s="7">
        <v>1</v>
      </c>
      <c r="BP690" s="7">
        <v>1</v>
      </c>
      <c r="BQ690" s="4" t="s">
        <v>124</v>
      </c>
      <c r="BR690" s="7">
        <v>0.117647</v>
      </c>
      <c r="BS690" s="7">
        <v>36.470587999999999</v>
      </c>
      <c r="BT690" s="7">
        <v>50</v>
      </c>
      <c r="BU690" s="7">
        <v>0.12056699999999999</v>
      </c>
      <c r="BV690" s="7">
        <v>35.886524999999999</v>
      </c>
      <c r="BW690" s="7">
        <v>50</v>
      </c>
      <c r="BX690" s="4" t="s">
        <v>124</v>
      </c>
      <c r="BY690" s="4" t="s">
        <v>124</v>
      </c>
      <c r="BZ690" s="4" t="s">
        <v>124</v>
      </c>
      <c r="CA690" s="4" t="s">
        <v>124</v>
      </c>
      <c r="CB690" s="4" t="s">
        <v>124</v>
      </c>
      <c r="CC690" s="4" t="s">
        <v>124</v>
      </c>
      <c r="CD690" s="4" t="s">
        <v>124</v>
      </c>
      <c r="CE690" s="4" t="s">
        <v>124</v>
      </c>
      <c r="CF690" s="4" t="s">
        <v>124</v>
      </c>
      <c r="CG690" s="4" t="s">
        <v>124</v>
      </c>
      <c r="CH690" s="4" t="s">
        <v>124</v>
      </c>
      <c r="CI690" s="4" t="s">
        <v>124</v>
      </c>
      <c r="CJ690" s="4" t="s">
        <v>124</v>
      </c>
      <c r="CK690" s="4" t="s">
        <v>124</v>
      </c>
      <c r="CL690" s="4" t="s">
        <v>124</v>
      </c>
      <c r="CM690" s="4" t="s">
        <v>124</v>
      </c>
      <c r="CN690" s="4" t="s">
        <v>124</v>
      </c>
      <c r="CO690" s="4" t="s">
        <v>124</v>
      </c>
      <c r="CP690" s="4" t="s">
        <v>124</v>
      </c>
      <c r="CQ690" s="7">
        <v>0.33720899999999998</v>
      </c>
      <c r="CR690" s="7">
        <v>0.97727299999999995</v>
      </c>
      <c r="CS690" s="7">
        <v>22.480619999999998</v>
      </c>
      <c r="CT690" s="7">
        <v>50</v>
      </c>
      <c r="CU690" s="4" t="s">
        <v>124</v>
      </c>
      <c r="CV690" s="4" t="s">
        <v>124</v>
      </c>
      <c r="CW690" s="4" t="s">
        <v>124</v>
      </c>
      <c r="CX690" s="4" t="s">
        <v>124</v>
      </c>
      <c r="CY690" s="4" t="s">
        <v>124</v>
      </c>
      <c r="CZ690" s="4" t="s">
        <v>124</v>
      </c>
      <c r="DA690" s="7">
        <v>15.314097</v>
      </c>
      <c r="DB690" s="7">
        <v>17.400950000000002</v>
      </c>
      <c r="DC690" s="7">
        <v>16.332519999999999</v>
      </c>
      <c r="DD690" s="4" t="s">
        <v>124</v>
      </c>
      <c r="DE690" s="7">
        <v>0</v>
      </c>
      <c r="DF690" s="6"/>
      <c r="DG690" s="6"/>
      <c r="DH690" s="6"/>
      <c r="DI690" s="6"/>
      <c r="DJ690" s="7">
        <v>0</v>
      </c>
      <c r="DK690" s="7">
        <v>0</v>
      </c>
      <c r="DL690" s="7">
        <v>0</v>
      </c>
      <c r="DM690" s="7">
        <v>0</v>
      </c>
      <c r="DN690" s="7">
        <v>0</v>
      </c>
      <c r="DO690" s="7">
        <v>0</v>
      </c>
      <c r="DP690" s="6"/>
      <c r="DQ690" s="4" t="s">
        <v>125</v>
      </c>
    </row>
    <row r="691" spans="1:121" ht="20" customHeight="1" x14ac:dyDescent="0.15">
      <c r="A691" s="5">
        <v>2018</v>
      </c>
      <c r="B691" s="3" t="s">
        <v>205</v>
      </c>
      <c r="C691" s="4" t="str">
        <f t="shared" si="230"/>
        <v>0930011</v>
      </c>
      <c r="D691" s="4" t="s">
        <v>848</v>
      </c>
      <c r="E691" s="4" t="str">
        <f>"0931911"</f>
        <v>0931911</v>
      </c>
      <c r="F691" s="4" t="s">
        <v>327</v>
      </c>
      <c r="G691" s="4" t="s">
        <v>328</v>
      </c>
      <c r="H691" s="7">
        <v>8</v>
      </c>
      <c r="I691" s="6"/>
      <c r="J691" s="4" t="s">
        <v>330</v>
      </c>
      <c r="K691" s="7">
        <v>701.31907799999999</v>
      </c>
      <c r="L691" s="7">
        <v>1000</v>
      </c>
      <c r="M691" s="7">
        <v>70.131907999999996</v>
      </c>
      <c r="N691" s="7">
        <v>2</v>
      </c>
      <c r="O691" s="7">
        <v>0</v>
      </c>
      <c r="P691" s="7">
        <v>67.956729999999993</v>
      </c>
      <c r="Q691" s="7">
        <v>45.304487000000002</v>
      </c>
      <c r="R691" s="7">
        <v>50</v>
      </c>
      <c r="S691" s="7">
        <v>64.794455999999997</v>
      </c>
      <c r="T691" s="7">
        <v>75</v>
      </c>
      <c r="U691" s="7">
        <v>43.196303999999998</v>
      </c>
      <c r="V691" s="7">
        <v>50</v>
      </c>
      <c r="W691" s="7">
        <v>64.910926000000003</v>
      </c>
      <c r="X691" s="7">
        <v>43.273950999999997</v>
      </c>
      <c r="Y691" s="7">
        <v>50</v>
      </c>
      <c r="Z691" s="7">
        <v>74.801991999999998</v>
      </c>
      <c r="AA691" s="7">
        <v>61.767254000000001</v>
      </c>
      <c r="AB691" s="7">
        <v>41.178168999999997</v>
      </c>
      <c r="AC691" s="7">
        <v>50</v>
      </c>
      <c r="AD691" s="7">
        <v>65.175453000000005</v>
      </c>
      <c r="AE691" s="7">
        <v>43.450302000000001</v>
      </c>
      <c r="AF691" s="7">
        <v>50</v>
      </c>
      <c r="AG691" s="7">
        <v>60.836789000000003</v>
      </c>
      <c r="AH691" s="7">
        <v>75</v>
      </c>
      <c r="AI691" s="7">
        <v>40.557859999999998</v>
      </c>
      <c r="AJ691" s="7">
        <v>50</v>
      </c>
      <c r="AK691" s="7">
        <v>10.199999999999999</v>
      </c>
      <c r="AL691" s="7">
        <v>13.03</v>
      </c>
      <c r="AM691" s="7">
        <v>14.16</v>
      </c>
      <c r="AN691" s="7">
        <v>0.57489299999999999</v>
      </c>
      <c r="AO691" s="7">
        <v>57.489288000000002</v>
      </c>
      <c r="AP691" s="7">
        <v>100</v>
      </c>
      <c r="AQ691" s="7">
        <v>0.58229200000000003</v>
      </c>
      <c r="AR691" s="7">
        <v>58.229162000000002</v>
      </c>
      <c r="AS691" s="7">
        <v>100</v>
      </c>
      <c r="AT691" s="7">
        <v>0.55941399999999997</v>
      </c>
      <c r="AU691" s="7">
        <v>0.62046900000000005</v>
      </c>
      <c r="AV691" s="7">
        <v>55.941423999999998</v>
      </c>
      <c r="AW691" s="7">
        <v>100</v>
      </c>
      <c r="AX691" s="7">
        <v>0.56455</v>
      </c>
      <c r="AY691" s="7">
        <v>0.63453199999999998</v>
      </c>
      <c r="AZ691" s="7">
        <v>56.45496</v>
      </c>
      <c r="BA691" s="7">
        <v>100</v>
      </c>
      <c r="BB691" s="7">
        <v>0.619309</v>
      </c>
      <c r="BC691" s="7">
        <v>30.965461999999999</v>
      </c>
      <c r="BD691" s="7">
        <v>50</v>
      </c>
      <c r="BE691" s="7">
        <v>0.47525000000000001</v>
      </c>
      <c r="BF691" s="7">
        <v>23.762506999999999</v>
      </c>
      <c r="BG691" s="7">
        <v>50</v>
      </c>
      <c r="BH691" s="7">
        <v>0</v>
      </c>
      <c r="BI691" s="7">
        <v>1</v>
      </c>
      <c r="BJ691" s="7">
        <v>1</v>
      </c>
      <c r="BK691" s="7">
        <v>1</v>
      </c>
      <c r="BL691" s="7">
        <v>0.99425300000000005</v>
      </c>
      <c r="BM691" s="7">
        <v>0.99236599999999997</v>
      </c>
      <c r="BN691" s="7">
        <v>1</v>
      </c>
      <c r="BO691" s="7">
        <v>0.99187000000000003</v>
      </c>
      <c r="BP691" s="7">
        <v>0.98888900000000002</v>
      </c>
      <c r="BQ691" s="7">
        <v>1</v>
      </c>
      <c r="BR691" s="7">
        <v>9.5335000000000003E-2</v>
      </c>
      <c r="BS691" s="7">
        <v>40.933062999999997</v>
      </c>
      <c r="BT691" s="7">
        <v>50</v>
      </c>
      <c r="BU691" s="7">
        <v>0.112299</v>
      </c>
      <c r="BV691" s="7">
        <v>37.540106999999999</v>
      </c>
      <c r="BW691" s="7">
        <v>50</v>
      </c>
      <c r="BX691" s="4" t="s">
        <v>124</v>
      </c>
      <c r="BY691" s="4" t="s">
        <v>124</v>
      </c>
      <c r="BZ691" s="4" t="s">
        <v>124</v>
      </c>
      <c r="CA691" s="4" t="s">
        <v>124</v>
      </c>
      <c r="CB691" s="4" t="s">
        <v>124</v>
      </c>
      <c r="CC691" s="4" t="s">
        <v>124</v>
      </c>
      <c r="CD691" s="7">
        <v>0.83783799999999997</v>
      </c>
      <c r="CE691" s="7">
        <v>44.565842000000004</v>
      </c>
      <c r="CF691" s="7">
        <v>50</v>
      </c>
      <c r="CG691" s="4" t="s">
        <v>124</v>
      </c>
      <c r="CH691" s="4" t="s">
        <v>124</v>
      </c>
      <c r="CI691" s="4" t="s">
        <v>124</v>
      </c>
      <c r="CJ691" s="4" t="s">
        <v>124</v>
      </c>
      <c r="CK691" s="4" t="s">
        <v>124</v>
      </c>
      <c r="CL691" s="4" t="s">
        <v>124</v>
      </c>
      <c r="CM691" s="4" t="s">
        <v>124</v>
      </c>
      <c r="CN691" s="4" t="s">
        <v>124</v>
      </c>
      <c r="CO691" s="4" t="s">
        <v>124</v>
      </c>
      <c r="CP691" s="4" t="s">
        <v>124</v>
      </c>
      <c r="CQ691" s="7">
        <v>0.57714299999999996</v>
      </c>
      <c r="CR691" s="7">
        <v>1.0057469999999999</v>
      </c>
      <c r="CS691" s="7">
        <v>38.476190000000003</v>
      </c>
      <c r="CT691" s="7">
        <v>50</v>
      </c>
      <c r="CU691" s="4" t="s">
        <v>124</v>
      </c>
      <c r="CV691" s="4" t="s">
        <v>124</v>
      </c>
      <c r="CW691" s="4" t="s">
        <v>124</v>
      </c>
      <c r="CX691" s="4" t="s">
        <v>124</v>
      </c>
      <c r="CY691" s="4" t="s">
        <v>124</v>
      </c>
      <c r="CZ691" s="4" t="s">
        <v>124</v>
      </c>
      <c r="DA691" s="7">
        <v>15.314097</v>
      </c>
      <c r="DB691" s="7">
        <v>17.400950000000002</v>
      </c>
      <c r="DC691" s="7">
        <v>16.332519999999999</v>
      </c>
      <c r="DD691" s="4" t="s">
        <v>124</v>
      </c>
      <c r="DE691" s="7">
        <v>0</v>
      </c>
      <c r="DF691" s="6"/>
      <c r="DG691" s="6"/>
      <c r="DH691" s="6"/>
      <c r="DI691" s="6"/>
      <c r="DJ691" s="7">
        <v>0</v>
      </c>
      <c r="DK691" s="7">
        <v>0</v>
      </c>
      <c r="DL691" s="7">
        <v>0</v>
      </c>
      <c r="DM691" s="7">
        <v>0</v>
      </c>
      <c r="DN691" s="7">
        <v>0</v>
      </c>
      <c r="DO691" s="7">
        <v>0</v>
      </c>
      <c r="DP691" s="6"/>
      <c r="DQ691" s="4" t="s">
        <v>125</v>
      </c>
    </row>
    <row r="692" spans="1:121" ht="20" customHeight="1" x14ac:dyDescent="0.15">
      <c r="A692" s="5">
        <v>2018</v>
      </c>
      <c r="B692" s="3" t="s">
        <v>205</v>
      </c>
      <c r="C692" s="4" t="str">
        <f t="shared" si="230"/>
        <v>0930011</v>
      </c>
      <c r="D692" s="4" t="s">
        <v>849</v>
      </c>
      <c r="E692" s="4" t="str">
        <f>"0936011"</f>
        <v>0936011</v>
      </c>
      <c r="F692" s="4" t="s">
        <v>327</v>
      </c>
      <c r="G692" s="7">
        <v>9</v>
      </c>
      <c r="H692" s="7">
        <v>12</v>
      </c>
      <c r="I692" s="6"/>
      <c r="J692" s="4" t="s">
        <v>330</v>
      </c>
      <c r="K692" s="7">
        <v>931.33239200000003</v>
      </c>
      <c r="L692" s="7">
        <v>1550</v>
      </c>
      <c r="M692" s="7">
        <v>60.085960999999998</v>
      </c>
      <c r="N692" s="7">
        <v>3</v>
      </c>
      <c r="O692" s="7">
        <v>0</v>
      </c>
      <c r="P692" s="7">
        <v>44.370370000000001</v>
      </c>
      <c r="Q692" s="7">
        <v>88.740741</v>
      </c>
      <c r="R692" s="7">
        <v>150</v>
      </c>
      <c r="S692" s="7">
        <v>44.463855000000002</v>
      </c>
      <c r="T692" s="4" t="s">
        <v>124</v>
      </c>
      <c r="U692" s="7">
        <v>88.927711000000002</v>
      </c>
      <c r="V692" s="7">
        <v>150</v>
      </c>
      <c r="W692" s="7">
        <v>39.555556000000003</v>
      </c>
      <c r="X692" s="7">
        <v>79.111110999999994</v>
      </c>
      <c r="Y692" s="7">
        <v>150</v>
      </c>
      <c r="Z692" s="4" t="s">
        <v>124</v>
      </c>
      <c r="AA692" s="7">
        <v>39.935743000000002</v>
      </c>
      <c r="AB692" s="7">
        <v>79.871486000000004</v>
      </c>
      <c r="AC692" s="7">
        <v>150</v>
      </c>
      <c r="AD692" s="7">
        <v>39.041356</v>
      </c>
      <c r="AE692" s="7">
        <v>52.055141999999996</v>
      </c>
      <c r="AF692" s="7">
        <v>100</v>
      </c>
      <c r="AG692" s="7">
        <v>38.467455999999999</v>
      </c>
      <c r="AH692" s="4" t="s">
        <v>124</v>
      </c>
      <c r="AI692" s="7">
        <v>51.289940999999999</v>
      </c>
      <c r="AJ692" s="7">
        <v>100</v>
      </c>
      <c r="AK692" s="4" t="s">
        <v>124</v>
      </c>
      <c r="AL692" s="4" t="s">
        <v>124</v>
      </c>
      <c r="AM692" s="4" t="s">
        <v>124</v>
      </c>
      <c r="AN692" s="4" t="s">
        <v>124</v>
      </c>
      <c r="AO692" s="4" t="s">
        <v>124</v>
      </c>
      <c r="AP692" s="4" t="s">
        <v>124</v>
      </c>
      <c r="AQ692" s="4" t="s">
        <v>124</v>
      </c>
      <c r="AR692" s="4" t="s">
        <v>124</v>
      </c>
      <c r="AS692" s="4" t="s">
        <v>124</v>
      </c>
      <c r="AT692" s="4" t="s">
        <v>124</v>
      </c>
      <c r="AU692" s="4" t="s">
        <v>124</v>
      </c>
      <c r="AV692" s="4" t="s">
        <v>124</v>
      </c>
      <c r="AW692" s="4" t="s">
        <v>124</v>
      </c>
      <c r="AX692" s="4" t="s">
        <v>124</v>
      </c>
      <c r="AY692" s="4" t="s">
        <v>124</v>
      </c>
      <c r="AZ692" s="4" t="s">
        <v>124</v>
      </c>
      <c r="BA692" s="4" t="s">
        <v>124</v>
      </c>
      <c r="BB692" s="7">
        <v>0.54700700000000002</v>
      </c>
      <c r="BC692" s="7">
        <v>27.350349000000001</v>
      </c>
      <c r="BD692" s="7">
        <v>50</v>
      </c>
      <c r="BE692" s="7">
        <v>0.484823</v>
      </c>
      <c r="BF692" s="7">
        <v>24.241144999999999</v>
      </c>
      <c r="BG692" s="7">
        <v>50</v>
      </c>
      <c r="BH692" s="7">
        <v>1</v>
      </c>
      <c r="BI692" s="7">
        <v>0.98019800000000001</v>
      </c>
      <c r="BJ692" s="7">
        <v>0.97647099999999998</v>
      </c>
      <c r="BK692" s="4" t="s">
        <v>124</v>
      </c>
      <c r="BL692" s="7">
        <v>0.98019800000000001</v>
      </c>
      <c r="BM692" s="7">
        <v>0.97647099999999998</v>
      </c>
      <c r="BN692" s="4" t="s">
        <v>124</v>
      </c>
      <c r="BO692" s="7">
        <v>0.92079200000000005</v>
      </c>
      <c r="BP692" s="7">
        <v>0.91764699999999999</v>
      </c>
      <c r="BQ692" s="4" t="s">
        <v>124</v>
      </c>
      <c r="BR692" s="7">
        <v>0.265509</v>
      </c>
      <c r="BS692" s="7">
        <v>6.898263</v>
      </c>
      <c r="BT692" s="7">
        <v>50</v>
      </c>
      <c r="BU692" s="7">
        <v>0.28792600000000002</v>
      </c>
      <c r="BV692" s="7">
        <v>2.4148610000000001</v>
      </c>
      <c r="BW692" s="7">
        <v>50</v>
      </c>
      <c r="BX692" s="7">
        <v>0.90909099999999998</v>
      </c>
      <c r="BY692" s="7">
        <v>50</v>
      </c>
      <c r="BZ692" s="7">
        <v>50</v>
      </c>
      <c r="CA692" s="7">
        <v>9.0909000000000004E-2</v>
      </c>
      <c r="CB692" s="7">
        <v>6.0606059999999999</v>
      </c>
      <c r="CC692" s="7">
        <v>50</v>
      </c>
      <c r="CD692" s="7">
        <v>1</v>
      </c>
      <c r="CE692" s="7">
        <v>50</v>
      </c>
      <c r="CF692" s="7">
        <v>50</v>
      </c>
      <c r="CG692" s="7">
        <v>0.88</v>
      </c>
      <c r="CH692" s="7">
        <v>93.617020999999994</v>
      </c>
      <c r="CI692" s="7">
        <v>100</v>
      </c>
      <c r="CJ692" s="7">
        <v>0</v>
      </c>
      <c r="CK692" s="7">
        <v>0.93506500000000004</v>
      </c>
      <c r="CL692" s="7">
        <v>99.474992999999998</v>
      </c>
      <c r="CM692" s="7">
        <v>100</v>
      </c>
      <c r="CN692" s="7">
        <v>0.75280899999999995</v>
      </c>
      <c r="CO692" s="7">
        <v>100</v>
      </c>
      <c r="CP692" s="7">
        <v>100</v>
      </c>
      <c r="CQ692" s="7">
        <v>0.33663399999999999</v>
      </c>
      <c r="CR692" s="7">
        <v>0.87068999999999996</v>
      </c>
      <c r="CS692" s="7">
        <v>11.221121999999999</v>
      </c>
      <c r="CT692" s="7">
        <v>50</v>
      </c>
      <c r="CU692" s="7">
        <v>0.24069499999999999</v>
      </c>
      <c r="CV692" s="7">
        <v>20.057898999999999</v>
      </c>
      <c r="CW692" s="7">
        <v>50</v>
      </c>
      <c r="CX692" s="7">
        <v>0.93506500000000004</v>
      </c>
      <c r="CY692" s="7">
        <v>0.90909099999999998</v>
      </c>
      <c r="CZ692" s="7">
        <v>-2.5974000000000001E-2</v>
      </c>
      <c r="DA692" s="7">
        <v>15.314097</v>
      </c>
      <c r="DB692" s="7">
        <v>17.400950000000002</v>
      </c>
      <c r="DC692" s="7">
        <v>16.332519999999999</v>
      </c>
      <c r="DD692" s="7">
        <v>7.9891730000000001</v>
      </c>
      <c r="DE692" s="7">
        <v>1</v>
      </c>
      <c r="DF692" s="6"/>
      <c r="DG692" s="6"/>
      <c r="DH692" s="6"/>
      <c r="DI692" s="6"/>
      <c r="DJ692" s="7">
        <v>0</v>
      </c>
      <c r="DK692" s="7">
        <v>0</v>
      </c>
      <c r="DL692" s="7">
        <v>0</v>
      </c>
      <c r="DM692" s="7">
        <v>0</v>
      </c>
      <c r="DN692" s="7">
        <v>0</v>
      </c>
      <c r="DO692" s="7">
        <v>0</v>
      </c>
      <c r="DP692" s="6"/>
      <c r="DQ692" s="4" t="s">
        <v>125</v>
      </c>
    </row>
    <row r="693" spans="1:121" ht="20" customHeight="1" x14ac:dyDescent="0.15">
      <c r="A693" s="5">
        <v>2018</v>
      </c>
      <c r="B693" s="3" t="s">
        <v>205</v>
      </c>
      <c r="C693" s="4" t="str">
        <f t="shared" si="230"/>
        <v>0930011</v>
      </c>
      <c r="D693" s="4" t="s">
        <v>749</v>
      </c>
      <c r="E693" s="4" t="str">
        <f>"0931411"</f>
        <v>0931411</v>
      </c>
      <c r="F693" s="4" t="s">
        <v>327</v>
      </c>
      <c r="G693" s="4" t="s">
        <v>328</v>
      </c>
      <c r="H693" s="7">
        <v>8</v>
      </c>
      <c r="I693" s="6"/>
      <c r="J693" s="4" t="s">
        <v>330</v>
      </c>
      <c r="K693" s="7">
        <v>632.04571899999996</v>
      </c>
      <c r="L693" s="7">
        <v>1000</v>
      </c>
      <c r="M693" s="7">
        <v>63.204571999999999</v>
      </c>
      <c r="N693" s="7">
        <v>3</v>
      </c>
      <c r="O693" s="7">
        <v>0</v>
      </c>
      <c r="P693" s="7">
        <v>64.807412999999997</v>
      </c>
      <c r="Q693" s="7">
        <v>43.204942000000003</v>
      </c>
      <c r="R693" s="7">
        <v>50</v>
      </c>
      <c r="S693" s="7">
        <v>61.142133000000001</v>
      </c>
      <c r="T693" s="7">
        <v>71.095552999999995</v>
      </c>
      <c r="U693" s="7">
        <v>40.761422000000003</v>
      </c>
      <c r="V693" s="7">
        <v>50</v>
      </c>
      <c r="W693" s="7">
        <v>57.564048</v>
      </c>
      <c r="X693" s="7">
        <v>38.376032000000002</v>
      </c>
      <c r="Y693" s="7">
        <v>50</v>
      </c>
      <c r="Z693" s="7">
        <v>66.321648999999994</v>
      </c>
      <c r="AA693" s="7">
        <v>52.459350999999998</v>
      </c>
      <c r="AB693" s="7">
        <v>34.972900000000003</v>
      </c>
      <c r="AC693" s="7">
        <v>50</v>
      </c>
      <c r="AD693" s="7">
        <v>56.191096000000002</v>
      </c>
      <c r="AE693" s="7">
        <v>37.460729999999998</v>
      </c>
      <c r="AF693" s="7">
        <v>50</v>
      </c>
      <c r="AG693" s="7">
        <v>55.015470000000001</v>
      </c>
      <c r="AH693" s="7">
        <v>58.934223000000003</v>
      </c>
      <c r="AI693" s="7">
        <v>36.67698</v>
      </c>
      <c r="AJ693" s="7">
        <v>50</v>
      </c>
      <c r="AK693" s="7">
        <v>9.9499999999999993</v>
      </c>
      <c r="AL693" s="7">
        <v>13.86</v>
      </c>
      <c r="AM693" s="7">
        <v>3.91</v>
      </c>
      <c r="AN693" s="7">
        <v>0.49163400000000002</v>
      </c>
      <c r="AO693" s="7">
        <v>49.163375000000002</v>
      </c>
      <c r="AP693" s="7">
        <v>100</v>
      </c>
      <c r="AQ693" s="7">
        <v>0.40025500000000003</v>
      </c>
      <c r="AR693" s="7">
        <v>40.025509999999997</v>
      </c>
      <c r="AS693" s="7">
        <v>100</v>
      </c>
      <c r="AT693" s="7">
        <v>0.43276100000000001</v>
      </c>
      <c r="AU693" s="7">
        <v>0.59131599999999995</v>
      </c>
      <c r="AV693" s="7">
        <v>43.276125999999998</v>
      </c>
      <c r="AW693" s="7">
        <v>100</v>
      </c>
      <c r="AX693" s="7">
        <v>0.33229900000000001</v>
      </c>
      <c r="AY693" s="7">
        <v>0.515316</v>
      </c>
      <c r="AZ693" s="7">
        <v>33.229947000000003</v>
      </c>
      <c r="BA693" s="7">
        <v>100</v>
      </c>
      <c r="BB693" s="7">
        <v>0.68444099999999997</v>
      </c>
      <c r="BC693" s="7">
        <v>34.222031000000001</v>
      </c>
      <c r="BD693" s="7">
        <v>50</v>
      </c>
      <c r="BE693" s="7">
        <v>0.46354099999999998</v>
      </c>
      <c r="BF693" s="7">
        <v>23.177026000000001</v>
      </c>
      <c r="BG693" s="7">
        <v>50</v>
      </c>
      <c r="BH693" s="7">
        <v>0</v>
      </c>
      <c r="BI693" s="7">
        <v>0.983819</v>
      </c>
      <c r="BJ693" s="7">
        <v>0.97969499999999998</v>
      </c>
      <c r="BK693" s="7">
        <v>0.99107100000000004</v>
      </c>
      <c r="BL693" s="7">
        <v>0.983819</v>
      </c>
      <c r="BM693" s="7">
        <v>0.97969499999999998</v>
      </c>
      <c r="BN693" s="7">
        <v>0.99107100000000004</v>
      </c>
      <c r="BO693" s="7">
        <v>0.97196300000000002</v>
      </c>
      <c r="BP693" s="7">
        <v>0.97297299999999998</v>
      </c>
      <c r="BQ693" s="7">
        <v>0.96969700000000003</v>
      </c>
      <c r="BR693" s="7">
        <v>8.0507999999999996E-2</v>
      </c>
      <c r="BS693" s="7">
        <v>43.898305000000001</v>
      </c>
      <c r="BT693" s="7">
        <v>50</v>
      </c>
      <c r="BU693" s="7">
        <v>0.118467</v>
      </c>
      <c r="BV693" s="7">
        <v>36.306620000000002</v>
      </c>
      <c r="BW693" s="7">
        <v>50</v>
      </c>
      <c r="BX693" s="4" t="s">
        <v>124</v>
      </c>
      <c r="BY693" s="4" t="s">
        <v>124</v>
      </c>
      <c r="BZ693" s="4" t="s">
        <v>124</v>
      </c>
      <c r="CA693" s="4" t="s">
        <v>124</v>
      </c>
      <c r="CB693" s="4" t="s">
        <v>124</v>
      </c>
      <c r="CC693" s="4" t="s">
        <v>124</v>
      </c>
      <c r="CD693" s="7">
        <v>0.91836700000000004</v>
      </c>
      <c r="CE693" s="7">
        <v>48.849327000000002</v>
      </c>
      <c r="CF693" s="7">
        <v>50</v>
      </c>
      <c r="CG693" s="4" t="s">
        <v>124</v>
      </c>
      <c r="CH693" s="4" t="s">
        <v>124</v>
      </c>
      <c r="CI693" s="4" t="s">
        <v>124</v>
      </c>
      <c r="CJ693" s="4" t="s">
        <v>124</v>
      </c>
      <c r="CK693" s="4" t="s">
        <v>124</v>
      </c>
      <c r="CL693" s="4" t="s">
        <v>124</v>
      </c>
      <c r="CM693" s="4" t="s">
        <v>124</v>
      </c>
      <c r="CN693" s="4" t="s">
        <v>124</v>
      </c>
      <c r="CO693" s="4" t="s">
        <v>124</v>
      </c>
      <c r="CP693" s="4" t="s">
        <v>124</v>
      </c>
      <c r="CQ693" s="7">
        <v>0.72666699999999995</v>
      </c>
      <c r="CR693" s="7">
        <v>0.95541399999999999</v>
      </c>
      <c r="CS693" s="7">
        <v>48.444443999999997</v>
      </c>
      <c r="CT693" s="7">
        <v>50</v>
      </c>
      <c r="CU693" s="4" t="s">
        <v>124</v>
      </c>
      <c r="CV693" s="4" t="s">
        <v>124</v>
      </c>
      <c r="CW693" s="4" t="s">
        <v>124</v>
      </c>
      <c r="CX693" s="4" t="s">
        <v>124</v>
      </c>
      <c r="CY693" s="4" t="s">
        <v>124</v>
      </c>
      <c r="CZ693" s="4" t="s">
        <v>124</v>
      </c>
      <c r="DA693" s="7">
        <v>15.314097</v>
      </c>
      <c r="DB693" s="7">
        <v>17.400950000000002</v>
      </c>
      <c r="DC693" s="7">
        <v>16.332519999999999</v>
      </c>
      <c r="DD693" s="4" t="s">
        <v>124</v>
      </c>
      <c r="DE693" s="7">
        <v>0</v>
      </c>
      <c r="DF693" s="6"/>
      <c r="DG693" s="6"/>
      <c r="DH693" s="6"/>
      <c r="DI693" s="6"/>
      <c r="DJ693" s="7">
        <v>0</v>
      </c>
      <c r="DK693" s="7">
        <v>0</v>
      </c>
      <c r="DL693" s="7">
        <v>0</v>
      </c>
      <c r="DM693" s="7">
        <v>0</v>
      </c>
      <c r="DN693" s="7">
        <v>0</v>
      </c>
      <c r="DO693" s="7">
        <v>0</v>
      </c>
      <c r="DP693" s="6"/>
      <c r="DQ693" s="4" t="s">
        <v>125</v>
      </c>
    </row>
    <row r="694" spans="1:121" ht="20" customHeight="1" x14ac:dyDescent="0.15">
      <c r="A694" s="5">
        <v>2018</v>
      </c>
      <c r="B694" s="3" t="s">
        <v>205</v>
      </c>
      <c r="C694" s="4" t="str">
        <f t="shared" si="230"/>
        <v>0930011</v>
      </c>
      <c r="D694" s="4" t="s">
        <v>850</v>
      </c>
      <c r="E694" s="4" t="str">
        <f>"0937011"</f>
        <v>0937011</v>
      </c>
      <c r="F694" s="4" t="s">
        <v>327</v>
      </c>
      <c r="G694" s="7">
        <v>9</v>
      </c>
      <c r="H694" s="7">
        <v>12</v>
      </c>
      <c r="I694" s="6"/>
      <c r="J694" s="4" t="s">
        <v>330</v>
      </c>
      <c r="K694" s="7">
        <v>908.60142499999995</v>
      </c>
      <c r="L694" s="7">
        <v>1450</v>
      </c>
      <c r="M694" s="7">
        <v>62.662166999999997</v>
      </c>
      <c r="N694" s="7">
        <v>3</v>
      </c>
      <c r="O694" s="7">
        <v>0</v>
      </c>
      <c r="P694" s="7">
        <v>46.610168999999999</v>
      </c>
      <c r="Q694" s="7">
        <v>93.220338999999996</v>
      </c>
      <c r="R694" s="7">
        <v>150</v>
      </c>
      <c r="S694" s="7">
        <v>43.563491999999997</v>
      </c>
      <c r="T694" s="4" t="s">
        <v>124</v>
      </c>
      <c r="U694" s="7">
        <v>87.126983999999993</v>
      </c>
      <c r="V694" s="7">
        <v>150</v>
      </c>
      <c r="W694" s="7">
        <v>43.844633000000002</v>
      </c>
      <c r="X694" s="7">
        <v>87.689266000000003</v>
      </c>
      <c r="Y694" s="7">
        <v>150</v>
      </c>
      <c r="Z694" s="4" t="s">
        <v>124</v>
      </c>
      <c r="AA694" s="7">
        <v>41.206349000000003</v>
      </c>
      <c r="AB694" s="7">
        <v>82.412698000000006</v>
      </c>
      <c r="AC694" s="7">
        <v>150</v>
      </c>
      <c r="AD694" s="7">
        <v>42.378205000000001</v>
      </c>
      <c r="AE694" s="7">
        <v>56.504274000000002</v>
      </c>
      <c r="AF694" s="7">
        <v>100</v>
      </c>
      <c r="AG694" s="7">
        <v>40.182468999999998</v>
      </c>
      <c r="AH694" s="4" t="s">
        <v>124</v>
      </c>
      <c r="AI694" s="7">
        <v>53.576625</v>
      </c>
      <c r="AJ694" s="7">
        <v>100</v>
      </c>
      <c r="AK694" s="4" t="s">
        <v>124</v>
      </c>
      <c r="AL694" s="4" t="s">
        <v>124</v>
      </c>
      <c r="AM694" s="4" t="s">
        <v>124</v>
      </c>
      <c r="AN694" s="4" t="s">
        <v>124</v>
      </c>
      <c r="AO694" s="4" t="s">
        <v>124</v>
      </c>
      <c r="AP694" s="4" t="s">
        <v>124</v>
      </c>
      <c r="AQ694" s="4" t="s">
        <v>124</v>
      </c>
      <c r="AR694" s="4" t="s">
        <v>124</v>
      </c>
      <c r="AS694" s="4" t="s">
        <v>124</v>
      </c>
      <c r="AT694" s="4" t="s">
        <v>124</v>
      </c>
      <c r="AU694" s="4" t="s">
        <v>124</v>
      </c>
      <c r="AV694" s="4" t="s">
        <v>124</v>
      </c>
      <c r="AW694" s="4" t="s">
        <v>124</v>
      </c>
      <c r="AX694" s="4" t="s">
        <v>124</v>
      </c>
      <c r="AY694" s="4" t="s">
        <v>124</v>
      </c>
      <c r="AZ694" s="4" t="s">
        <v>124</v>
      </c>
      <c r="BA694" s="4" t="s">
        <v>124</v>
      </c>
      <c r="BB694" s="4" t="s">
        <v>124</v>
      </c>
      <c r="BC694" s="4" t="s">
        <v>124</v>
      </c>
      <c r="BD694" s="4" t="s">
        <v>124</v>
      </c>
      <c r="BE694" s="4" t="s">
        <v>124</v>
      </c>
      <c r="BF694" s="4" t="s">
        <v>124</v>
      </c>
      <c r="BG694" s="4" t="s">
        <v>124</v>
      </c>
      <c r="BH694" s="7">
        <v>1</v>
      </c>
      <c r="BI694" s="7">
        <v>0.95161300000000004</v>
      </c>
      <c r="BJ694" s="7">
        <v>0.93333299999999997</v>
      </c>
      <c r="BK694" s="4" t="s">
        <v>124</v>
      </c>
      <c r="BL694" s="7">
        <v>0.95161300000000004</v>
      </c>
      <c r="BM694" s="7">
        <v>0.93333299999999997</v>
      </c>
      <c r="BN694" s="4" t="s">
        <v>124</v>
      </c>
      <c r="BO694" s="7">
        <v>0.96774199999999999</v>
      </c>
      <c r="BP694" s="7">
        <v>0.95555599999999996</v>
      </c>
      <c r="BQ694" s="4" t="s">
        <v>124</v>
      </c>
      <c r="BR694" s="7">
        <v>0.237762</v>
      </c>
      <c r="BS694" s="7">
        <v>12.447552</v>
      </c>
      <c r="BT694" s="7">
        <v>50</v>
      </c>
      <c r="BU694" s="7">
        <v>0.30097099999999999</v>
      </c>
      <c r="BV694" s="7">
        <v>0</v>
      </c>
      <c r="BW694" s="7">
        <v>50</v>
      </c>
      <c r="BX694" s="7">
        <v>0.89655200000000002</v>
      </c>
      <c r="BY694" s="7">
        <v>50</v>
      </c>
      <c r="BZ694" s="7">
        <v>50</v>
      </c>
      <c r="CA694" s="7">
        <v>0.21551699999999999</v>
      </c>
      <c r="CB694" s="7">
        <v>14.367815999999999</v>
      </c>
      <c r="CC694" s="7">
        <v>50</v>
      </c>
      <c r="CD694" s="7">
        <v>0.70786499999999997</v>
      </c>
      <c r="CE694" s="7">
        <v>37.652403</v>
      </c>
      <c r="CF694" s="7">
        <v>50</v>
      </c>
      <c r="CG694" s="7">
        <v>0.83870999999999996</v>
      </c>
      <c r="CH694" s="7">
        <v>89.224434000000002</v>
      </c>
      <c r="CI694" s="7">
        <v>100</v>
      </c>
      <c r="CJ694" s="7">
        <v>0</v>
      </c>
      <c r="CK694" s="7">
        <v>0.85</v>
      </c>
      <c r="CL694" s="7">
        <v>90.425532000000004</v>
      </c>
      <c r="CM694" s="7">
        <v>100</v>
      </c>
      <c r="CN694" s="7">
        <v>0.793103</v>
      </c>
      <c r="CO694" s="7">
        <v>100</v>
      </c>
      <c r="CP694" s="7">
        <v>100</v>
      </c>
      <c r="CQ694" s="7">
        <v>0.21052599999999999</v>
      </c>
      <c r="CR694" s="7">
        <v>1.1728400000000001</v>
      </c>
      <c r="CS694" s="7">
        <v>14.035088</v>
      </c>
      <c r="CT694" s="7">
        <v>50</v>
      </c>
      <c r="CU694" s="7">
        <v>0.47902099999999997</v>
      </c>
      <c r="CV694" s="7">
        <v>39.918415000000003</v>
      </c>
      <c r="CW694" s="7">
        <v>50</v>
      </c>
      <c r="CX694" s="7">
        <v>0.85</v>
      </c>
      <c r="CY694" s="4" t="s">
        <v>124</v>
      </c>
      <c r="CZ694" s="4" t="s">
        <v>124</v>
      </c>
      <c r="DA694" s="7">
        <v>15.314097</v>
      </c>
      <c r="DB694" s="7">
        <v>17.400950000000002</v>
      </c>
      <c r="DC694" s="7">
        <v>16.332519999999999</v>
      </c>
      <c r="DD694" s="7">
        <v>7.9891730000000001</v>
      </c>
      <c r="DE694" s="7">
        <v>1</v>
      </c>
      <c r="DF694" s="6"/>
      <c r="DG694" s="6"/>
      <c r="DH694" s="6"/>
      <c r="DI694" s="6"/>
      <c r="DJ694" s="7">
        <v>0</v>
      </c>
      <c r="DK694" s="7">
        <v>0</v>
      </c>
      <c r="DL694" s="7">
        <v>0</v>
      </c>
      <c r="DM694" s="7">
        <v>0</v>
      </c>
      <c r="DN694" s="7">
        <v>0</v>
      </c>
      <c r="DO694" s="7">
        <v>0</v>
      </c>
      <c r="DP694" s="6"/>
      <c r="DQ694" s="4" t="s">
        <v>125</v>
      </c>
    </row>
    <row r="695" spans="1:121" ht="20" customHeight="1" x14ac:dyDescent="0.15">
      <c r="A695" s="5">
        <v>2018</v>
      </c>
      <c r="B695" s="3" t="s">
        <v>205</v>
      </c>
      <c r="C695" s="4" t="str">
        <f t="shared" si="230"/>
        <v>0930011</v>
      </c>
      <c r="D695" s="4" t="s">
        <v>851</v>
      </c>
      <c r="E695" s="4" t="str">
        <f>"0933511"</f>
        <v>0933511</v>
      </c>
      <c r="F695" s="4" t="s">
        <v>327</v>
      </c>
      <c r="G695" s="4" t="s">
        <v>338</v>
      </c>
      <c r="H695" s="7">
        <v>5</v>
      </c>
      <c r="I695" s="4" t="s">
        <v>335</v>
      </c>
      <c r="J695" s="4" t="s">
        <v>330</v>
      </c>
      <c r="K695" s="7">
        <v>571.18503899999996</v>
      </c>
      <c r="L695" s="7">
        <v>950</v>
      </c>
      <c r="M695" s="7">
        <v>60.124741</v>
      </c>
      <c r="N695" s="7">
        <v>3</v>
      </c>
      <c r="O695" s="7">
        <v>0</v>
      </c>
      <c r="P695" s="7">
        <v>59.220885000000003</v>
      </c>
      <c r="Q695" s="7">
        <v>39.480589999999999</v>
      </c>
      <c r="R695" s="7">
        <v>50</v>
      </c>
      <c r="S695" s="7">
        <v>56.721600000000002</v>
      </c>
      <c r="T695" s="4" t="s">
        <v>124</v>
      </c>
      <c r="U695" s="7">
        <v>37.814399999999999</v>
      </c>
      <c r="V695" s="7">
        <v>50</v>
      </c>
      <c r="W695" s="7">
        <v>56.235607999999999</v>
      </c>
      <c r="X695" s="7">
        <v>37.490405000000003</v>
      </c>
      <c r="Y695" s="7">
        <v>50</v>
      </c>
      <c r="Z695" s="4" t="s">
        <v>124</v>
      </c>
      <c r="AA695" s="7">
        <v>54.535688999999998</v>
      </c>
      <c r="AB695" s="7">
        <v>36.357126000000001</v>
      </c>
      <c r="AC695" s="7">
        <v>50</v>
      </c>
      <c r="AD695" s="7">
        <v>59.326217999999997</v>
      </c>
      <c r="AE695" s="7">
        <v>39.550812000000001</v>
      </c>
      <c r="AF695" s="7">
        <v>50</v>
      </c>
      <c r="AG695" s="7">
        <v>57.701270000000001</v>
      </c>
      <c r="AH695" s="4" t="s">
        <v>124</v>
      </c>
      <c r="AI695" s="7">
        <v>38.467512999999997</v>
      </c>
      <c r="AJ695" s="7">
        <v>50</v>
      </c>
      <c r="AK695" s="4" t="s">
        <v>124</v>
      </c>
      <c r="AL695" s="4" t="s">
        <v>124</v>
      </c>
      <c r="AM695" s="4" t="s">
        <v>124</v>
      </c>
      <c r="AN695" s="7">
        <v>0.50313099999999999</v>
      </c>
      <c r="AO695" s="7">
        <v>50.313062000000002</v>
      </c>
      <c r="AP695" s="7">
        <v>100</v>
      </c>
      <c r="AQ695" s="7">
        <v>0.69804600000000006</v>
      </c>
      <c r="AR695" s="7">
        <v>69.804631999999998</v>
      </c>
      <c r="AS695" s="7">
        <v>100</v>
      </c>
      <c r="AT695" s="7">
        <v>0.48383599999999999</v>
      </c>
      <c r="AU695" s="4" t="s">
        <v>124</v>
      </c>
      <c r="AV695" s="7">
        <v>48.383578999999997</v>
      </c>
      <c r="AW695" s="7">
        <v>100</v>
      </c>
      <c r="AX695" s="7">
        <v>0.69155199999999994</v>
      </c>
      <c r="AY695" s="4" t="s">
        <v>124</v>
      </c>
      <c r="AZ695" s="7">
        <v>69.155224000000004</v>
      </c>
      <c r="BA695" s="7">
        <v>100</v>
      </c>
      <c r="BB695" s="7">
        <v>0.59411400000000003</v>
      </c>
      <c r="BC695" s="7">
        <v>29.705725000000001</v>
      </c>
      <c r="BD695" s="7">
        <v>50</v>
      </c>
      <c r="BE695" s="7">
        <v>0.45927499999999999</v>
      </c>
      <c r="BF695" s="7">
        <v>22.963743000000001</v>
      </c>
      <c r="BG695" s="7">
        <v>50</v>
      </c>
      <c r="BH695" s="7">
        <v>0</v>
      </c>
      <c r="BI695" s="7">
        <v>1</v>
      </c>
      <c r="BJ695" s="7">
        <v>1</v>
      </c>
      <c r="BK695" s="4" t="s">
        <v>124</v>
      </c>
      <c r="BL695" s="7">
        <v>1</v>
      </c>
      <c r="BM695" s="7">
        <v>1</v>
      </c>
      <c r="BN695" s="4" t="s">
        <v>124</v>
      </c>
      <c r="BO695" s="7">
        <v>1</v>
      </c>
      <c r="BP695" s="7">
        <v>1</v>
      </c>
      <c r="BQ695" s="4" t="s">
        <v>124</v>
      </c>
      <c r="BR695" s="7">
        <v>0.24909700000000001</v>
      </c>
      <c r="BS695" s="7">
        <v>10.180505</v>
      </c>
      <c r="BT695" s="7">
        <v>50</v>
      </c>
      <c r="BU695" s="7">
        <v>0.25114199999999998</v>
      </c>
      <c r="BV695" s="7">
        <v>9.7716890000000003</v>
      </c>
      <c r="BW695" s="7">
        <v>50</v>
      </c>
      <c r="BX695" s="4" t="s">
        <v>124</v>
      </c>
      <c r="BY695" s="4" t="s">
        <v>124</v>
      </c>
      <c r="BZ695" s="4" t="s">
        <v>124</v>
      </c>
      <c r="CA695" s="4" t="s">
        <v>124</v>
      </c>
      <c r="CB695" s="4" t="s">
        <v>124</v>
      </c>
      <c r="CC695" s="4" t="s">
        <v>124</v>
      </c>
      <c r="CD695" s="4" t="s">
        <v>124</v>
      </c>
      <c r="CE695" s="4" t="s">
        <v>124</v>
      </c>
      <c r="CF695" s="4" t="s">
        <v>124</v>
      </c>
      <c r="CG695" s="4" t="s">
        <v>124</v>
      </c>
      <c r="CH695" s="4" t="s">
        <v>124</v>
      </c>
      <c r="CI695" s="4" t="s">
        <v>124</v>
      </c>
      <c r="CJ695" s="4" t="s">
        <v>124</v>
      </c>
      <c r="CK695" s="4" t="s">
        <v>124</v>
      </c>
      <c r="CL695" s="4" t="s">
        <v>124</v>
      </c>
      <c r="CM695" s="4" t="s">
        <v>124</v>
      </c>
      <c r="CN695" s="4" t="s">
        <v>124</v>
      </c>
      <c r="CO695" s="4" t="s">
        <v>124</v>
      </c>
      <c r="CP695" s="4" t="s">
        <v>124</v>
      </c>
      <c r="CQ695" s="7">
        <v>0.47619</v>
      </c>
      <c r="CR695" s="7">
        <v>1</v>
      </c>
      <c r="CS695" s="7">
        <v>31.746032</v>
      </c>
      <c r="CT695" s="7">
        <v>50</v>
      </c>
      <c r="CU695" s="4" t="s">
        <v>124</v>
      </c>
      <c r="CV695" s="4" t="s">
        <v>124</v>
      </c>
      <c r="CW695" s="4" t="s">
        <v>124</v>
      </c>
      <c r="CX695" s="4" t="s">
        <v>124</v>
      </c>
      <c r="CY695" s="4" t="s">
        <v>124</v>
      </c>
      <c r="CZ695" s="4" t="s">
        <v>124</v>
      </c>
      <c r="DA695" s="7">
        <v>15.314097</v>
      </c>
      <c r="DB695" s="7">
        <v>17.400950000000002</v>
      </c>
      <c r="DC695" s="7">
        <v>16.332519999999999</v>
      </c>
      <c r="DD695" s="4" t="s">
        <v>124</v>
      </c>
      <c r="DE695" s="7">
        <v>0</v>
      </c>
      <c r="DF695" s="6"/>
      <c r="DG695" s="6"/>
      <c r="DH695" s="6"/>
      <c r="DI695" s="6"/>
      <c r="DJ695" s="7">
        <v>0</v>
      </c>
      <c r="DK695" s="7">
        <v>0</v>
      </c>
      <c r="DL695" s="7">
        <v>0</v>
      </c>
      <c r="DM695" s="7">
        <v>0</v>
      </c>
      <c r="DN695" s="7">
        <v>0</v>
      </c>
      <c r="DO695" s="7">
        <v>0</v>
      </c>
      <c r="DP695" s="6"/>
      <c r="DQ695" s="4" t="s">
        <v>125</v>
      </c>
    </row>
    <row r="696" spans="1:121" ht="20" customHeight="1" x14ac:dyDescent="0.15">
      <c r="A696" s="5">
        <v>2018</v>
      </c>
      <c r="B696" s="3" t="s">
        <v>205</v>
      </c>
      <c r="C696" s="4" t="str">
        <f t="shared" si="230"/>
        <v>0930011</v>
      </c>
      <c r="D696" s="4" t="s">
        <v>852</v>
      </c>
      <c r="E696" s="4" t="str">
        <f>"0934211"</f>
        <v>0934211</v>
      </c>
      <c r="F696" s="4" t="s">
        <v>327</v>
      </c>
      <c r="G696" s="4" t="s">
        <v>338</v>
      </c>
      <c r="H696" s="7">
        <v>8</v>
      </c>
      <c r="I696" s="4" t="s">
        <v>335</v>
      </c>
      <c r="J696" s="4" t="s">
        <v>330</v>
      </c>
      <c r="K696" s="7">
        <v>551.44454599999995</v>
      </c>
      <c r="L696" s="7">
        <v>1000</v>
      </c>
      <c r="M696" s="7">
        <v>55.144455000000001</v>
      </c>
      <c r="N696" s="7">
        <v>3</v>
      </c>
      <c r="O696" s="7">
        <v>0</v>
      </c>
      <c r="P696" s="7">
        <v>55.290754</v>
      </c>
      <c r="Q696" s="7">
        <v>36.860503000000001</v>
      </c>
      <c r="R696" s="7">
        <v>50</v>
      </c>
      <c r="S696" s="7">
        <v>54.580987999999998</v>
      </c>
      <c r="T696" s="7">
        <v>65.333934999999997</v>
      </c>
      <c r="U696" s="7">
        <v>36.387326000000002</v>
      </c>
      <c r="V696" s="7">
        <v>50</v>
      </c>
      <c r="W696" s="7">
        <v>47.331913999999998</v>
      </c>
      <c r="X696" s="7">
        <v>31.55461</v>
      </c>
      <c r="Y696" s="7">
        <v>50</v>
      </c>
      <c r="Z696" s="7">
        <v>55.219223</v>
      </c>
      <c r="AA696" s="7">
        <v>46.774507</v>
      </c>
      <c r="AB696" s="7">
        <v>31.183005000000001</v>
      </c>
      <c r="AC696" s="7">
        <v>50</v>
      </c>
      <c r="AD696" s="7">
        <v>45.169204000000001</v>
      </c>
      <c r="AE696" s="7">
        <v>30.112801999999999</v>
      </c>
      <c r="AF696" s="7">
        <v>50</v>
      </c>
      <c r="AG696" s="7">
        <v>44.363551999999999</v>
      </c>
      <c r="AH696" s="4" t="s">
        <v>124</v>
      </c>
      <c r="AI696" s="7">
        <v>29.575700999999999</v>
      </c>
      <c r="AJ696" s="7">
        <v>50</v>
      </c>
      <c r="AK696" s="7">
        <v>10.75</v>
      </c>
      <c r="AL696" s="7">
        <v>8.44</v>
      </c>
      <c r="AM696" s="4" t="s">
        <v>124</v>
      </c>
      <c r="AN696" s="7">
        <v>0.48761399999999999</v>
      </c>
      <c r="AO696" s="7">
        <v>48.761360000000003</v>
      </c>
      <c r="AP696" s="7">
        <v>100</v>
      </c>
      <c r="AQ696" s="7">
        <v>0.48734300000000003</v>
      </c>
      <c r="AR696" s="7">
        <v>48.734319999999997</v>
      </c>
      <c r="AS696" s="7">
        <v>100</v>
      </c>
      <c r="AT696" s="7">
        <v>0.48575000000000002</v>
      </c>
      <c r="AU696" s="4" t="s">
        <v>124</v>
      </c>
      <c r="AV696" s="7">
        <v>48.575009999999999</v>
      </c>
      <c r="AW696" s="7">
        <v>100</v>
      </c>
      <c r="AX696" s="7">
        <v>0.48939300000000002</v>
      </c>
      <c r="AY696" s="4" t="s">
        <v>124</v>
      </c>
      <c r="AZ696" s="7">
        <v>48.939329000000001</v>
      </c>
      <c r="BA696" s="7">
        <v>100</v>
      </c>
      <c r="BB696" s="7">
        <v>0.57920499999999997</v>
      </c>
      <c r="BC696" s="7">
        <v>28.960235000000001</v>
      </c>
      <c r="BD696" s="7">
        <v>50</v>
      </c>
      <c r="BE696" s="7">
        <v>0.42420400000000003</v>
      </c>
      <c r="BF696" s="7">
        <v>21.210203</v>
      </c>
      <c r="BG696" s="7">
        <v>50</v>
      </c>
      <c r="BH696" s="7">
        <v>0</v>
      </c>
      <c r="BI696" s="7">
        <v>1</v>
      </c>
      <c r="BJ696" s="7">
        <v>1</v>
      </c>
      <c r="BK696" s="7">
        <v>1</v>
      </c>
      <c r="BL696" s="7">
        <v>1</v>
      </c>
      <c r="BM696" s="7">
        <v>1</v>
      </c>
      <c r="BN696" s="7">
        <v>1</v>
      </c>
      <c r="BO696" s="7">
        <v>1</v>
      </c>
      <c r="BP696" s="7">
        <v>1</v>
      </c>
      <c r="BQ696" s="4" t="s">
        <v>124</v>
      </c>
      <c r="BR696" s="7">
        <v>0.184946</v>
      </c>
      <c r="BS696" s="7">
        <v>23.010753000000001</v>
      </c>
      <c r="BT696" s="7">
        <v>50</v>
      </c>
      <c r="BU696" s="7">
        <v>0.19417499999999999</v>
      </c>
      <c r="BV696" s="7">
        <v>21.165049</v>
      </c>
      <c r="BW696" s="7">
        <v>50</v>
      </c>
      <c r="BX696" s="4" t="s">
        <v>124</v>
      </c>
      <c r="BY696" s="4" t="s">
        <v>124</v>
      </c>
      <c r="BZ696" s="4" t="s">
        <v>124</v>
      </c>
      <c r="CA696" s="4" t="s">
        <v>124</v>
      </c>
      <c r="CB696" s="4" t="s">
        <v>124</v>
      </c>
      <c r="CC696" s="4" t="s">
        <v>124</v>
      </c>
      <c r="CD696" s="7">
        <v>0.80952400000000002</v>
      </c>
      <c r="CE696" s="7">
        <v>43.059776999999997</v>
      </c>
      <c r="CF696" s="7">
        <v>50</v>
      </c>
      <c r="CG696" s="4" t="s">
        <v>124</v>
      </c>
      <c r="CH696" s="4" t="s">
        <v>124</v>
      </c>
      <c r="CI696" s="4" t="s">
        <v>124</v>
      </c>
      <c r="CJ696" s="4" t="s">
        <v>124</v>
      </c>
      <c r="CK696" s="4" t="s">
        <v>124</v>
      </c>
      <c r="CL696" s="4" t="s">
        <v>124</v>
      </c>
      <c r="CM696" s="4" t="s">
        <v>124</v>
      </c>
      <c r="CN696" s="4" t="s">
        <v>124</v>
      </c>
      <c r="CO696" s="4" t="s">
        <v>124</v>
      </c>
      <c r="CP696" s="4" t="s">
        <v>124</v>
      </c>
      <c r="CQ696" s="7">
        <v>0.35031800000000002</v>
      </c>
      <c r="CR696" s="7">
        <v>0.98124999999999996</v>
      </c>
      <c r="CS696" s="7">
        <v>23.354565000000001</v>
      </c>
      <c r="CT696" s="7">
        <v>50</v>
      </c>
      <c r="CU696" s="4" t="s">
        <v>124</v>
      </c>
      <c r="CV696" s="4" t="s">
        <v>124</v>
      </c>
      <c r="CW696" s="4" t="s">
        <v>124</v>
      </c>
      <c r="CX696" s="4" t="s">
        <v>124</v>
      </c>
      <c r="CY696" s="4" t="s">
        <v>124</v>
      </c>
      <c r="CZ696" s="4" t="s">
        <v>124</v>
      </c>
      <c r="DA696" s="7">
        <v>15.314097</v>
      </c>
      <c r="DB696" s="7">
        <v>17.400950000000002</v>
      </c>
      <c r="DC696" s="7">
        <v>16.332519999999999</v>
      </c>
      <c r="DD696" s="4" t="s">
        <v>124</v>
      </c>
      <c r="DE696" s="7">
        <v>0</v>
      </c>
      <c r="DF696" s="6"/>
      <c r="DG696" s="6"/>
      <c r="DH696" s="6"/>
      <c r="DI696" s="6"/>
      <c r="DJ696" s="7">
        <v>0</v>
      </c>
      <c r="DK696" s="7">
        <v>0</v>
      </c>
      <c r="DL696" s="7">
        <v>0</v>
      </c>
      <c r="DM696" s="7">
        <v>0</v>
      </c>
      <c r="DN696" s="7">
        <v>0</v>
      </c>
      <c r="DO696" s="7">
        <v>0</v>
      </c>
      <c r="DP696" s="6"/>
      <c r="DQ696" s="4" t="s">
        <v>125</v>
      </c>
    </row>
    <row r="697" spans="1:121" ht="20" customHeight="1" x14ac:dyDescent="0.15">
      <c r="A697" s="5">
        <v>2018</v>
      </c>
      <c r="B697" s="3" t="s">
        <v>205</v>
      </c>
      <c r="C697" s="4" t="str">
        <f t="shared" si="230"/>
        <v>0930011</v>
      </c>
      <c r="D697" s="4" t="s">
        <v>853</v>
      </c>
      <c r="E697" s="4" t="str">
        <f>"0931011"</f>
        <v>0931011</v>
      </c>
      <c r="F697" s="4" t="s">
        <v>327</v>
      </c>
      <c r="G697" s="4" t="s">
        <v>328</v>
      </c>
      <c r="H697" s="7">
        <v>8</v>
      </c>
      <c r="I697" s="6"/>
      <c r="J697" s="4" t="s">
        <v>330</v>
      </c>
      <c r="K697" s="7">
        <v>573.67650900000001</v>
      </c>
      <c r="L697" s="7">
        <v>1000</v>
      </c>
      <c r="M697" s="7">
        <v>57.367651000000002</v>
      </c>
      <c r="N697" s="7">
        <v>3</v>
      </c>
      <c r="O697" s="7">
        <v>0</v>
      </c>
      <c r="P697" s="7">
        <v>58.052799999999998</v>
      </c>
      <c r="Q697" s="7">
        <v>38.701866000000003</v>
      </c>
      <c r="R697" s="7">
        <v>50</v>
      </c>
      <c r="S697" s="7">
        <v>56.510874000000001</v>
      </c>
      <c r="T697" s="7">
        <v>65.714985999999996</v>
      </c>
      <c r="U697" s="7">
        <v>37.673915999999998</v>
      </c>
      <c r="V697" s="7">
        <v>50</v>
      </c>
      <c r="W697" s="7">
        <v>46.931778000000001</v>
      </c>
      <c r="X697" s="7">
        <v>31.287852000000001</v>
      </c>
      <c r="Y697" s="7">
        <v>50</v>
      </c>
      <c r="Z697" s="7">
        <v>54.05462</v>
      </c>
      <c r="AA697" s="7">
        <v>45.498387999999998</v>
      </c>
      <c r="AB697" s="7">
        <v>30.332259000000001</v>
      </c>
      <c r="AC697" s="7">
        <v>50</v>
      </c>
      <c r="AD697" s="7">
        <v>55.847962000000003</v>
      </c>
      <c r="AE697" s="7">
        <v>37.231974999999998</v>
      </c>
      <c r="AF697" s="7">
        <v>50</v>
      </c>
      <c r="AG697" s="7">
        <v>55.048112000000003</v>
      </c>
      <c r="AH697" s="4" t="s">
        <v>124</v>
      </c>
      <c r="AI697" s="7">
        <v>36.698740999999998</v>
      </c>
      <c r="AJ697" s="7">
        <v>50</v>
      </c>
      <c r="AK697" s="7">
        <v>9.1999999999999993</v>
      </c>
      <c r="AL697" s="7">
        <v>8.5500000000000007</v>
      </c>
      <c r="AM697" s="4" t="s">
        <v>124</v>
      </c>
      <c r="AN697" s="7">
        <v>0.50807800000000003</v>
      </c>
      <c r="AO697" s="7">
        <v>50.807755</v>
      </c>
      <c r="AP697" s="7">
        <v>100</v>
      </c>
      <c r="AQ697" s="7">
        <v>0.44383800000000001</v>
      </c>
      <c r="AR697" s="7">
        <v>44.383763999999999</v>
      </c>
      <c r="AS697" s="7">
        <v>100</v>
      </c>
      <c r="AT697" s="7">
        <v>0.50282000000000004</v>
      </c>
      <c r="AU697" s="7">
        <v>0.540099</v>
      </c>
      <c r="AV697" s="7">
        <v>50.282034000000003</v>
      </c>
      <c r="AW697" s="7">
        <v>100</v>
      </c>
      <c r="AX697" s="7">
        <v>0.44161600000000001</v>
      </c>
      <c r="AY697" s="7">
        <v>0.457368</v>
      </c>
      <c r="AZ697" s="7">
        <v>44.161617</v>
      </c>
      <c r="BA697" s="7">
        <v>100</v>
      </c>
      <c r="BB697" s="7">
        <v>0.59787999999999997</v>
      </c>
      <c r="BC697" s="7">
        <v>29.894024000000002</v>
      </c>
      <c r="BD697" s="7">
        <v>50</v>
      </c>
      <c r="BE697" s="7">
        <v>0.44692799999999999</v>
      </c>
      <c r="BF697" s="7">
        <v>22.346406000000002</v>
      </c>
      <c r="BG697" s="7">
        <v>50</v>
      </c>
      <c r="BH697" s="7">
        <v>0</v>
      </c>
      <c r="BI697" s="7">
        <v>1</v>
      </c>
      <c r="BJ697" s="7">
        <v>1</v>
      </c>
      <c r="BK697" s="7">
        <v>1</v>
      </c>
      <c r="BL697" s="7">
        <v>1</v>
      </c>
      <c r="BM697" s="7">
        <v>1</v>
      </c>
      <c r="BN697" s="7">
        <v>1</v>
      </c>
      <c r="BO697" s="7">
        <v>1</v>
      </c>
      <c r="BP697" s="7">
        <v>1</v>
      </c>
      <c r="BQ697" s="4" t="s">
        <v>124</v>
      </c>
      <c r="BR697" s="7">
        <v>0.20805399999999999</v>
      </c>
      <c r="BS697" s="7">
        <v>18.389261999999999</v>
      </c>
      <c r="BT697" s="7">
        <v>50</v>
      </c>
      <c r="BU697" s="7">
        <v>0.23590800000000001</v>
      </c>
      <c r="BV697" s="7">
        <v>12.818372</v>
      </c>
      <c r="BW697" s="7">
        <v>50</v>
      </c>
      <c r="BX697" s="4" t="s">
        <v>124</v>
      </c>
      <c r="BY697" s="4" t="s">
        <v>124</v>
      </c>
      <c r="BZ697" s="4" t="s">
        <v>124</v>
      </c>
      <c r="CA697" s="4" t="s">
        <v>124</v>
      </c>
      <c r="CB697" s="4" t="s">
        <v>124</v>
      </c>
      <c r="CC697" s="4" t="s">
        <v>124</v>
      </c>
      <c r="CD697" s="7">
        <v>0.96363600000000005</v>
      </c>
      <c r="CE697" s="7">
        <v>50</v>
      </c>
      <c r="CF697" s="7">
        <v>50</v>
      </c>
      <c r="CG697" s="4" t="s">
        <v>124</v>
      </c>
      <c r="CH697" s="4" t="s">
        <v>124</v>
      </c>
      <c r="CI697" s="4" t="s">
        <v>124</v>
      </c>
      <c r="CJ697" s="4" t="s">
        <v>124</v>
      </c>
      <c r="CK697" s="4" t="s">
        <v>124</v>
      </c>
      <c r="CL697" s="4" t="s">
        <v>124</v>
      </c>
      <c r="CM697" s="4" t="s">
        <v>124</v>
      </c>
      <c r="CN697" s="4" t="s">
        <v>124</v>
      </c>
      <c r="CO697" s="4" t="s">
        <v>124</v>
      </c>
      <c r="CP697" s="4" t="s">
        <v>124</v>
      </c>
      <c r="CQ697" s="7">
        <v>0.57999999999999996</v>
      </c>
      <c r="CR697" s="7">
        <v>0.98522200000000004</v>
      </c>
      <c r="CS697" s="7">
        <v>38.666666999999997</v>
      </c>
      <c r="CT697" s="7">
        <v>50</v>
      </c>
      <c r="CU697" s="4" t="s">
        <v>124</v>
      </c>
      <c r="CV697" s="4" t="s">
        <v>124</v>
      </c>
      <c r="CW697" s="4" t="s">
        <v>124</v>
      </c>
      <c r="CX697" s="4" t="s">
        <v>124</v>
      </c>
      <c r="CY697" s="4" t="s">
        <v>124</v>
      </c>
      <c r="CZ697" s="4" t="s">
        <v>124</v>
      </c>
      <c r="DA697" s="7">
        <v>15.314097</v>
      </c>
      <c r="DB697" s="7">
        <v>17.400950000000002</v>
      </c>
      <c r="DC697" s="7">
        <v>16.332519999999999</v>
      </c>
      <c r="DD697" s="4" t="s">
        <v>124</v>
      </c>
      <c r="DE697" s="7">
        <v>0</v>
      </c>
      <c r="DF697" s="6"/>
      <c r="DG697" s="6"/>
      <c r="DH697" s="6"/>
      <c r="DI697" s="6"/>
      <c r="DJ697" s="7">
        <v>0</v>
      </c>
      <c r="DK697" s="7">
        <v>0</v>
      </c>
      <c r="DL697" s="7">
        <v>0</v>
      </c>
      <c r="DM697" s="7">
        <v>0</v>
      </c>
      <c r="DN697" s="7">
        <v>0</v>
      </c>
      <c r="DO697" s="7">
        <v>0</v>
      </c>
      <c r="DP697" s="6"/>
      <c r="DQ697" s="4" t="s">
        <v>125</v>
      </c>
    </row>
    <row r="698" spans="1:121" ht="20" customHeight="1" x14ac:dyDescent="0.15">
      <c r="A698" s="5">
        <v>2018</v>
      </c>
      <c r="B698" s="3" t="s">
        <v>205</v>
      </c>
      <c r="C698" s="4" t="str">
        <f t="shared" si="230"/>
        <v>0930011</v>
      </c>
      <c r="D698" s="4" t="s">
        <v>854</v>
      </c>
      <c r="E698" s="4" t="str">
        <f>"0936711"</f>
        <v>0936711</v>
      </c>
      <c r="F698" s="4" t="s">
        <v>327</v>
      </c>
      <c r="G698" s="7">
        <v>9</v>
      </c>
      <c r="H698" s="7">
        <v>12</v>
      </c>
      <c r="I698" s="6"/>
      <c r="J698" s="4" t="s">
        <v>330</v>
      </c>
      <c r="K698" s="7">
        <v>1032.9751309999999</v>
      </c>
      <c r="L698" s="7">
        <v>1450</v>
      </c>
      <c r="M698" s="7">
        <v>71.239664000000005</v>
      </c>
      <c r="N698" s="7">
        <v>2</v>
      </c>
      <c r="O698" s="7">
        <v>0</v>
      </c>
      <c r="P698" s="7">
        <v>54.230452999999997</v>
      </c>
      <c r="Q698" s="7">
        <v>108.460905</v>
      </c>
      <c r="R698" s="7">
        <v>150</v>
      </c>
      <c r="S698" s="7">
        <v>49.679738999999998</v>
      </c>
      <c r="T698" s="7">
        <v>61.966667000000001</v>
      </c>
      <c r="U698" s="7">
        <v>99.359476999999998</v>
      </c>
      <c r="V698" s="7">
        <v>150</v>
      </c>
      <c r="W698" s="7">
        <v>46.602880999999996</v>
      </c>
      <c r="X698" s="7">
        <v>93.205760999999995</v>
      </c>
      <c r="Y698" s="7">
        <v>150</v>
      </c>
      <c r="Z698" s="7">
        <v>52.127777999999999</v>
      </c>
      <c r="AA698" s="7">
        <v>43.352941000000001</v>
      </c>
      <c r="AB698" s="7">
        <v>86.705882000000003</v>
      </c>
      <c r="AC698" s="7">
        <v>150</v>
      </c>
      <c r="AD698" s="7">
        <v>44.712007999999997</v>
      </c>
      <c r="AE698" s="7">
        <v>59.616010000000003</v>
      </c>
      <c r="AF698" s="7">
        <v>100</v>
      </c>
      <c r="AG698" s="7">
        <v>42.584319999999998</v>
      </c>
      <c r="AH698" s="7">
        <v>48.4</v>
      </c>
      <c r="AI698" s="7">
        <v>56.779093000000003</v>
      </c>
      <c r="AJ698" s="7">
        <v>100</v>
      </c>
      <c r="AK698" s="7">
        <v>12.28</v>
      </c>
      <c r="AL698" s="7">
        <v>8.77</v>
      </c>
      <c r="AM698" s="7">
        <v>5.81</v>
      </c>
      <c r="AN698" s="4" t="s">
        <v>124</v>
      </c>
      <c r="AO698" s="4" t="s">
        <v>124</v>
      </c>
      <c r="AP698" s="4" t="s">
        <v>124</v>
      </c>
      <c r="AQ698" s="4" t="s">
        <v>124</v>
      </c>
      <c r="AR698" s="4" t="s">
        <v>124</v>
      </c>
      <c r="AS698" s="4" t="s">
        <v>124</v>
      </c>
      <c r="AT698" s="4" t="s">
        <v>124</v>
      </c>
      <c r="AU698" s="4" t="s">
        <v>124</v>
      </c>
      <c r="AV698" s="4" t="s">
        <v>124</v>
      </c>
      <c r="AW698" s="4" t="s">
        <v>124</v>
      </c>
      <c r="AX698" s="4" t="s">
        <v>124</v>
      </c>
      <c r="AY698" s="4" t="s">
        <v>124</v>
      </c>
      <c r="AZ698" s="4" t="s">
        <v>124</v>
      </c>
      <c r="BA698" s="4" t="s">
        <v>124</v>
      </c>
      <c r="BB698" s="4" t="s">
        <v>124</v>
      </c>
      <c r="BC698" s="4" t="s">
        <v>124</v>
      </c>
      <c r="BD698" s="4" t="s">
        <v>124</v>
      </c>
      <c r="BE698" s="4" t="s">
        <v>124</v>
      </c>
      <c r="BF698" s="4" t="s">
        <v>124</v>
      </c>
      <c r="BG698" s="4" t="s">
        <v>124</v>
      </c>
      <c r="BH698" s="7">
        <v>0</v>
      </c>
      <c r="BI698" s="7">
        <v>0.96428599999999998</v>
      </c>
      <c r="BJ698" s="7">
        <v>0.980769</v>
      </c>
      <c r="BK698" s="7">
        <v>0.9375</v>
      </c>
      <c r="BL698" s="7">
        <v>0.96428599999999998</v>
      </c>
      <c r="BM698" s="7">
        <v>0.980769</v>
      </c>
      <c r="BN698" s="7">
        <v>0.9375</v>
      </c>
      <c r="BO698" s="7">
        <v>0.98809499999999995</v>
      </c>
      <c r="BP698" s="7">
        <v>1</v>
      </c>
      <c r="BQ698" s="7">
        <v>0.96875</v>
      </c>
      <c r="BR698" s="7">
        <v>0.107256</v>
      </c>
      <c r="BS698" s="7">
        <v>38.548895999999999</v>
      </c>
      <c r="BT698" s="7">
        <v>50</v>
      </c>
      <c r="BU698" s="7">
        <v>0.11828</v>
      </c>
      <c r="BV698" s="7">
        <v>36.344085999999997</v>
      </c>
      <c r="BW698" s="7">
        <v>50</v>
      </c>
      <c r="BX698" s="7">
        <v>0.968553</v>
      </c>
      <c r="BY698" s="7">
        <v>50</v>
      </c>
      <c r="BZ698" s="7">
        <v>50</v>
      </c>
      <c r="CA698" s="7">
        <v>0.27672999999999998</v>
      </c>
      <c r="CB698" s="7">
        <v>18.448637000000002</v>
      </c>
      <c r="CC698" s="7">
        <v>50</v>
      </c>
      <c r="CD698" s="7">
        <v>0.94736799999999999</v>
      </c>
      <c r="CE698" s="7">
        <v>50</v>
      </c>
      <c r="CF698" s="7">
        <v>50</v>
      </c>
      <c r="CG698" s="7">
        <v>0.91764699999999999</v>
      </c>
      <c r="CH698" s="7">
        <v>97.622028</v>
      </c>
      <c r="CI698" s="7">
        <v>100</v>
      </c>
      <c r="CJ698" s="7">
        <v>0</v>
      </c>
      <c r="CK698" s="7">
        <v>0.97777800000000004</v>
      </c>
      <c r="CL698" s="7">
        <v>100</v>
      </c>
      <c r="CM698" s="7">
        <v>100</v>
      </c>
      <c r="CN698" s="7">
        <v>0.765432</v>
      </c>
      <c r="CO698" s="7">
        <v>100</v>
      </c>
      <c r="CP698" s="7">
        <v>100</v>
      </c>
      <c r="CQ698" s="7">
        <v>0.40659299999999998</v>
      </c>
      <c r="CR698" s="7">
        <v>1.4</v>
      </c>
      <c r="CS698" s="7">
        <v>27.106227000000001</v>
      </c>
      <c r="CT698" s="7">
        <v>50</v>
      </c>
      <c r="CU698" s="7">
        <v>0.12933800000000001</v>
      </c>
      <c r="CV698" s="7">
        <v>10.778128000000001</v>
      </c>
      <c r="CW698" s="7">
        <v>50</v>
      </c>
      <c r="CX698" s="7">
        <v>0.97777800000000004</v>
      </c>
      <c r="CY698" s="7">
        <v>0.94</v>
      </c>
      <c r="CZ698" s="7">
        <v>-3.7777999999999999E-2</v>
      </c>
      <c r="DA698" s="7">
        <v>15.314097</v>
      </c>
      <c r="DB698" s="7">
        <v>17.400950000000002</v>
      </c>
      <c r="DC698" s="7">
        <v>16.332519999999999</v>
      </c>
      <c r="DD698" s="7">
        <v>7.9891730000000001</v>
      </c>
      <c r="DE698" s="7">
        <v>0</v>
      </c>
      <c r="DF698" s="6"/>
      <c r="DG698" s="6"/>
      <c r="DH698" s="6"/>
      <c r="DI698" s="6"/>
      <c r="DJ698" s="7">
        <v>0</v>
      </c>
      <c r="DK698" s="7">
        <v>0</v>
      </c>
      <c r="DL698" s="7">
        <v>0</v>
      </c>
      <c r="DM698" s="7">
        <v>0</v>
      </c>
      <c r="DN698" s="7">
        <v>0</v>
      </c>
      <c r="DO698" s="7">
        <v>0</v>
      </c>
      <c r="DP698" s="6"/>
      <c r="DQ698" s="4" t="s">
        <v>125</v>
      </c>
    </row>
    <row r="699" spans="1:121" ht="20" customHeight="1" x14ac:dyDescent="0.15">
      <c r="A699" s="5">
        <v>2018</v>
      </c>
      <c r="B699" s="3" t="s">
        <v>205</v>
      </c>
      <c r="C699" s="4" t="str">
        <f t="shared" si="230"/>
        <v>0930011</v>
      </c>
      <c r="D699" s="4" t="s">
        <v>855</v>
      </c>
      <c r="E699" s="4" t="str">
        <f>"0932911"</f>
        <v>0932911</v>
      </c>
      <c r="F699" s="4" t="s">
        <v>327</v>
      </c>
      <c r="G699" s="4" t="s">
        <v>328</v>
      </c>
      <c r="H699" s="7">
        <v>8</v>
      </c>
      <c r="I699" s="4" t="s">
        <v>335</v>
      </c>
      <c r="J699" s="4" t="s">
        <v>330</v>
      </c>
      <c r="K699" s="7">
        <v>664.62817099999995</v>
      </c>
      <c r="L699" s="7">
        <v>1000</v>
      </c>
      <c r="M699" s="7">
        <v>66.462817000000001</v>
      </c>
      <c r="N699" s="7">
        <v>3</v>
      </c>
      <c r="O699" s="7">
        <v>0</v>
      </c>
      <c r="P699" s="7">
        <v>58.308326999999998</v>
      </c>
      <c r="Q699" s="7">
        <v>38.872217999999997</v>
      </c>
      <c r="R699" s="7">
        <v>50</v>
      </c>
      <c r="S699" s="7">
        <v>57.867586000000003</v>
      </c>
      <c r="T699" s="4" t="s">
        <v>124</v>
      </c>
      <c r="U699" s="7">
        <v>38.578391000000003</v>
      </c>
      <c r="V699" s="7">
        <v>50</v>
      </c>
      <c r="W699" s="7">
        <v>55.242373999999998</v>
      </c>
      <c r="X699" s="7">
        <v>36.828249</v>
      </c>
      <c r="Y699" s="7">
        <v>50</v>
      </c>
      <c r="Z699" s="4" t="s">
        <v>124</v>
      </c>
      <c r="AA699" s="7">
        <v>55.069895000000002</v>
      </c>
      <c r="AB699" s="7">
        <v>36.713262999999998</v>
      </c>
      <c r="AC699" s="7">
        <v>50</v>
      </c>
      <c r="AD699" s="7">
        <v>55.788555000000002</v>
      </c>
      <c r="AE699" s="7">
        <v>37.192369999999997</v>
      </c>
      <c r="AF699" s="7">
        <v>50</v>
      </c>
      <c r="AG699" s="7">
        <v>55.279577000000003</v>
      </c>
      <c r="AH699" s="4" t="s">
        <v>124</v>
      </c>
      <c r="AI699" s="7">
        <v>36.853051000000001</v>
      </c>
      <c r="AJ699" s="7">
        <v>50</v>
      </c>
      <c r="AK699" s="4" t="s">
        <v>124</v>
      </c>
      <c r="AL699" s="4" t="s">
        <v>124</v>
      </c>
      <c r="AM699" s="4" t="s">
        <v>124</v>
      </c>
      <c r="AN699" s="7">
        <v>0.60448199999999996</v>
      </c>
      <c r="AO699" s="7">
        <v>60.448205000000002</v>
      </c>
      <c r="AP699" s="7">
        <v>100</v>
      </c>
      <c r="AQ699" s="7">
        <v>0.610263</v>
      </c>
      <c r="AR699" s="7">
        <v>61.026302999999999</v>
      </c>
      <c r="AS699" s="7">
        <v>100</v>
      </c>
      <c r="AT699" s="7">
        <v>0.60383200000000004</v>
      </c>
      <c r="AU699" s="4" t="s">
        <v>124</v>
      </c>
      <c r="AV699" s="7">
        <v>60.383166000000003</v>
      </c>
      <c r="AW699" s="7">
        <v>100</v>
      </c>
      <c r="AX699" s="7">
        <v>0.61204700000000001</v>
      </c>
      <c r="AY699" s="4" t="s">
        <v>124</v>
      </c>
      <c r="AZ699" s="7">
        <v>61.204706999999999</v>
      </c>
      <c r="BA699" s="7">
        <v>100</v>
      </c>
      <c r="BB699" s="7">
        <v>0.64737</v>
      </c>
      <c r="BC699" s="7">
        <v>32.368482</v>
      </c>
      <c r="BD699" s="7">
        <v>50</v>
      </c>
      <c r="BE699" s="7">
        <v>0.52483400000000002</v>
      </c>
      <c r="BF699" s="7">
        <v>26.241720999999998</v>
      </c>
      <c r="BG699" s="7">
        <v>50</v>
      </c>
      <c r="BH699" s="7">
        <v>0</v>
      </c>
      <c r="BI699" s="7">
        <v>0.99204199999999998</v>
      </c>
      <c r="BJ699" s="7">
        <v>0.99171299999999996</v>
      </c>
      <c r="BK699" s="4" t="s">
        <v>124</v>
      </c>
      <c r="BL699" s="7">
        <v>0.98673699999999998</v>
      </c>
      <c r="BM699" s="7">
        <v>0.98618799999999995</v>
      </c>
      <c r="BN699" s="4" t="s">
        <v>124</v>
      </c>
      <c r="BO699" s="7">
        <v>0.99199999999999999</v>
      </c>
      <c r="BP699" s="7">
        <v>0.99152499999999999</v>
      </c>
      <c r="BQ699" s="4" t="s">
        <v>124</v>
      </c>
      <c r="BR699" s="7">
        <v>0.15399599999999999</v>
      </c>
      <c r="BS699" s="7">
        <v>29.200780000000002</v>
      </c>
      <c r="BT699" s="7">
        <v>50</v>
      </c>
      <c r="BU699" s="7">
        <v>0.14791699999999999</v>
      </c>
      <c r="BV699" s="7">
        <v>30.416667</v>
      </c>
      <c r="BW699" s="7">
        <v>50</v>
      </c>
      <c r="BX699" s="4" t="s">
        <v>124</v>
      </c>
      <c r="BY699" s="4" t="s">
        <v>124</v>
      </c>
      <c r="BZ699" s="4" t="s">
        <v>124</v>
      </c>
      <c r="CA699" s="4" t="s">
        <v>124</v>
      </c>
      <c r="CB699" s="4" t="s">
        <v>124</v>
      </c>
      <c r="CC699" s="4" t="s">
        <v>124</v>
      </c>
      <c r="CD699" s="7">
        <v>0.86538499999999996</v>
      </c>
      <c r="CE699" s="7">
        <v>46.031097000000003</v>
      </c>
      <c r="CF699" s="7">
        <v>50</v>
      </c>
      <c r="CG699" s="4" t="s">
        <v>124</v>
      </c>
      <c r="CH699" s="4" t="s">
        <v>124</v>
      </c>
      <c r="CI699" s="4" t="s">
        <v>124</v>
      </c>
      <c r="CJ699" s="4" t="s">
        <v>124</v>
      </c>
      <c r="CK699" s="4" t="s">
        <v>124</v>
      </c>
      <c r="CL699" s="4" t="s">
        <v>124</v>
      </c>
      <c r="CM699" s="4" t="s">
        <v>124</v>
      </c>
      <c r="CN699" s="4" t="s">
        <v>124</v>
      </c>
      <c r="CO699" s="4" t="s">
        <v>124</v>
      </c>
      <c r="CP699" s="4" t="s">
        <v>124</v>
      </c>
      <c r="CQ699" s="7">
        <v>0.484043</v>
      </c>
      <c r="CR699" s="7">
        <v>1.0053479999999999</v>
      </c>
      <c r="CS699" s="7">
        <v>32.269503999999998</v>
      </c>
      <c r="CT699" s="7">
        <v>50</v>
      </c>
      <c r="CU699" s="4" t="s">
        <v>124</v>
      </c>
      <c r="CV699" s="4" t="s">
        <v>124</v>
      </c>
      <c r="CW699" s="4" t="s">
        <v>124</v>
      </c>
      <c r="CX699" s="4" t="s">
        <v>124</v>
      </c>
      <c r="CY699" s="4" t="s">
        <v>124</v>
      </c>
      <c r="CZ699" s="4" t="s">
        <v>124</v>
      </c>
      <c r="DA699" s="7">
        <v>15.314097</v>
      </c>
      <c r="DB699" s="7">
        <v>17.400950000000002</v>
      </c>
      <c r="DC699" s="7">
        <v>16.332519999999999</v>
      </c>
      <c r="DD699" s="4" t="s">
        <v>124</v>
      </c>
      <c r="DE699" s="7">
        <v>0</v>
      </c>
      <c r="DF699" s="6"/>
      <c r="DG699" s="6"/>
      <c r="DH699" s="6"/>
      <c r="DI699" s="6"/>
      <c r="DJ699" s="7">
        <v>0</v>
      </c>
      <c r="DK699" s="7">
        <v>0</v>
      </c>
      <c r="DL699" s="7">
        <v>0</v>
      </c>
      <c r="DM699" s="7">
        <v>0</v>
      </c>
      <c r="DN699" s="7">
        <v>0</v>
      </c>
      <c r="DO699" s="7">
        <v>0</v>
      </c>
      <c r="DP699" s="6"/>
      <c r="DQ699" s="4" t="s">
        <v>125</v>
      </c>
    </row>
    <row r="700" spans="1:121" ht="20" customHeight="1" x14ac:dyDescent="0.15">
      <c r="A700" s="5">
        <v>2018</v>
      </c>
      <c r="B700" s="3" t="s">
        <v>205</v>
      </c>
      <c r="C700" s="4" t="str">
        <f t="shared" si="230"/>
        <v>0930011</v>
      </c>
      <c r="D700" s="4" t="s">
        <v>856</v>
      </c>
      <c r="E700" s="4" t="str">
        <f>"0934911"</f>
        <v>0934911</v>
      </c>
      <c r="F700" s="4" t="s">
        <v>327</v>
      </c>
      <c r="G700" s="4" t="s">
        <v>328</v>
      </c>
      <c r="H700" s="7">
        <v>4</v>
      </c>
      <c r="I700" s="4" t="s">
        <v>335</v>
      </c>
      <c r="J700" s="4" t="s">
        <v>330</v>
      </c>
      <c r="K700" s="7">
        <v>294.13845500000002</v>
      </c>
      <c r="L700" s="7">
        <v>750</v>
      </c>
      <c r="M700" s="7">
        <v>39.218460999999998</v>
      </c>
      <c r="N700" s="7">
        <v>4</v>
      </c>
      <c r="O700" s="7">
        <v>0</v>
      </c>
      <c r="P700" s="7">
        <v>56.888737999999996</v>
      </c>
      <c r="Q700" s="7">
        <v>37.925826000000001</v>
      </c>
      <c r="R700" s="7">
        <v>50</v>
      </c>
      <c r="S700" s="7">
        <v>54.917493</v>
      </c>
      <c r="T700" s="4" t="s">
        <v>124</v>
      </c>
      <c r="U700" s="7">
        <v>36.611662000000003</v>
      </c>
      <c r="V700" s="7">
        <v>50</v>
      </c>
      <c r="W700" s="7">
        <v>51.495055999999998</v>
      </c>
      <c r="X700" s="7">
        <v>34.330036999999997</v>
      </c>
      <c r="Y700" s="7">
        <v>50</v>
      </c>
      <c r="Z700" s="4" t="s">
        <v>124</v>
      </c>
      <c r="AA700" s="7">
        <v>50.045915000000001</v>
      </c>
      <c r="AB700" s="7">
        <v>33.363942999999999</v>
      </c>
      <c r="AC700" s="7">
        <v>50</v>
      </c>
      <c r="AD700" s="4" t="s">
        <v>124</v>
      </c>
      <c r="AE700" s="4" t="s">
        <v>124</v>
      </c>
      <c r="AF700" s="4" t="s">
        <v>124</v>
      </c>
      <c r="AG700" s="4" t="s">
        <v>124</v>
      </c>
      <c r="AH700" s="4" t="s">
        <v>124</v>
      </c>
      <c r="AI700" s="4" t="s">
        <v>124</v>
      </c>
      <c r="AJ700" s="4" t="s">
        <v>124</v>
      </c>
      <c r="AK700" s="4" t="s">
        <v>124</v>
      </c>
      <c r="AL700" s="4" t="s">
        <v>124</v>
      </c>
      <c r="AM700" s="4" t="s">
        <v>124</v>
      </c>
      <c r="AN700" s="7">
        <v>0.15892400000000001</v>
      </c>
      <c r="AO700" s="7">
        <v>15.892376000000001</v>
      </c>
      <c r="AP700" s="7">
        <v>100</v>
      </c>
      <c r="AQ700" s="7">
        <v>0.282891</v>
      </c>
      <c r="AR700" s="7">
        <v>28.289135999999999</v>
      </c>
      <c r="AS700" s="7">
        <v>100</v>
      </c>
      <c r="AT700" s="7">
        <v>0.159333</v>
      </c>
      <c r="AU700" s="4" t="s">
        <v>124</v>
      </c>
      <c r="AV700" s="7">
        <v>15.933284</v>
      </c>
      <c r="AW700" s="7">
        <v>100</v>
      </c>
      <c r="AX700" s="7">
        <v>0.30003600000000002</v>
      </c>
      <c r="AY700" s="4" t="s">
        <v>124</v>
      </c>
      <c r="AZ700" s="7">
        <v>30.003629</v>
      </c>
      <c r="BA700" s="7">
        <v>100</v>
      </c>
      <c r="BB700" s="4" t="s">
        <v>124</v>
      </c>
      <c r="BC700" s="4" t="s">
        <v>124</v>
      </c>
      <c r="BD700" s="4" t="s">
        <v>124</v>
      </c>
      <c r="BE700" s="4" t="s">
        <v>124</v>
      </c>
      <c r="BF700" s="4" t="s">
        <v>124</v>
      </c>
      <c r="BG700" s="4" t="s">
        <v>124</v>
      </c>
      <c r="BH700" s="7">
        <v>0</v>
      </c>
      <c r="BI700" s="7">
        <v>0.98484799999999995</v>
      </c>
      <c r="BJ700" s="7">
        <v>0.98333300000000001</v>
      </c>
      <c r="BK700" s="4" t="s">
        <v>124</v>
      </c>
      <c r="BL700" s="7">
        <v>0.98484799999999995</v>
      </c>
      <c r="BM700" s="7">
        <v>0.98333300000000001</v>
      </c>
      <c r="BN700" s="4" t="s">
        <v>124</v>
      </c>
      <c r="BO700" s="4" t="s">
        <v>124</v>
      </c>
      <c r="BP700" s="4" t="s">
        <v>124</v>
      </c>
      <c r="BQ700" s="4" t="s">
        <v>124</v>
      </c>
      <c r="BR700" s="7">
        <v>0.193939</v>
      </c>
      <c r="BS700" s="7">
        <v>21.212121</v>
      </c>
      <c r="BT700" s="7">
        <v>50</v>
      </c>
      <c r="BU700" s="7">
        <v>0.180451</v>
      </c>
      <c r="BV700" s="7">
        <v>23.909773999999999</v>
      </c>
      <c r="BW700" s="7">
        <v>50</v>
      </c>
      <c r="BX700" s="4" t="s">
        <v>124</v>
      </c>
      <c r="BY700" s="4" t="s">
        <v>124</v>
      </c>
      <c r="BZ700" s="4" t="s">
        <v>124</v>
      </c>
      <c r="CA700" s="4" t="s">
        <v>124</v>
      </c>
      <c r="CB700" s="4" t="s">
        <v>124</v>
      </c>
      <c r="CC700" s="4" t="s">
        <v>124</v>
      </c>
      <c r="CD700" s="4" t="s">
        <v>124</v>
      </c>
      <c r="CE700" s="4" t="s">
        <v>124</v>
      </c>
      <c r="CF700" s="4" t="s">
        <v>124</v>
      </c>
      <c r="CG700" s="4" t="s">
        <v>124</v>
      </c>
      <c r="CH700" s="4" t="s">
        <v>124</v>
      </c>
      <c r="CI700" s="4" t="s">
        <v>124</v>
      </c>
      <c r="CJ700" s="4" t="s">
        <v>124</v>
      </c>
      <c r="CK700" s="4" t="s">
        <v>124</v>
      </c>
      <c r="CL700" s="4" t="s">
        <v>124</v>
      </c>
      <c r="CM700" s="4" t="s">
        <v>124</v>
      </c>
      <c r="CN700" s="4" t="s">
        <v>124</v>
      </c>
      <c r="CO700" s="4" t="s">
        <v>124</v>
      </c>
      <c r="CP700" s="4" t="s">
        <v>124</v>
      </c>
      <c r="CQ700" s="7">
        <v>0.25</v>
      </c>
      <c r="CR700" s="7">
        <v>1.052632</v>
      </c>
      <c r="CS700" s="7">
        <v>16.666667</v>
      </c>
      <c r="CT700" s="7">
        <v>50</v>
      </c>
      <c r="CU700" s="4" t="s">
        <v>124</v>
      </c>
      <c r="CV700" s="4" t="s">
        <v>124</v>
      </c>
      <c r="CW700" s="4" t="s">
        <v>124</v>
      </c>
      <c r="CX700" s="4" t="s">
        <v>124</v>
      </c>
      <c r="CY700" s="4" t="s">
        <v>124</v>
      </c>
      <c r="CZ700" s="4" t="s">
        <v>124</v>
      </c>
      <c r="DA700" s="7">
        <v>15.314097</v>
      </c>
      <c r="DB700" s="7">
        <v>17.400950000000002</v>
      </c>
      <c r="DC700" s="7">
        <v>16.332519999999999</v>
      </c>
      <c r="DD700" s="4" t="s">
        <v>124</v>
      </c>
      <c r="DE700" s="7">
        <v>0</v>
      </c>
      <c r="DF700" s="4" t="s">
        <v>384</v>
      </c>
      <c r="DG700" s="4" t="s">
        <v>417</v>
      </c>
      <c r="DH700" s="6"/>
      <c r="DI700" s="6"/>
      <c r="DJ700" s="7">
        <v>0</v>
      </c>
      <c r="DK700" s="7">
        <v>0</v>
      </c>
      <c r="DL700" s="7">
        <v>0</v>
      </c>
      <c r="DM700" s="7">
        <v>0</v>
      </c>
      <c r="DN700" s="7">
        <v>0</v>
      </c>
      <c r="DO700" s="7">
        <v>0</v>
      </c>
      <c r="DP700" s="6"/>
      <c r="DQ700" s="4" t="s">
        <v>125</v>
      </c>
    </row>
    <row r="701" spans="1:121" ht="20" customHeight="1" x14ac:dyDescent="0.15">
      <c r="A701" s="5">
        <v>2018</v>
      </c>
      <c r="B701" s="3" t="s">
        <v>205</v>
      </c>
      <c r="C701" s="4" t="str">
        <f t="shared" si="230"/>
        <v>0930011</v>
      </c>
      <c r="D701" s="4" t="s">
        <v>857</v>
      </c>
      <c r="E701" s="4" t="str">
        <f>"0933211"</f>
        <v>0933211</v>
      </c>
      <c r="F701" s="4" t="s">
        <v>327</v>
      </c>
      <c r="G701" s="4" t="s">
        <v>328</v>
      </c>
      <c r="H701" s="7">
        <v>8</v>
      </c>
      <c r="I701" s="4" t="s">
        <v>335</v>
      </c>
      <c r="J701" s="4" t="s">
        <v>330</v>
      </c>
      <c r="K701" s="7">
        <v>529.74042199999997</v>
      </c>
      <c r="L701" s="7">
        <v>900</v>
      </c>
      <c r="M701" s="7">
        <v>58.860047000000002</v>
      </c>
      <c r="N701" s="7">
        <v>5</v>
      </c>
      <c r="O701" s="7">
        <v>0</v>
      </c>
      <c r="P701" s="7">
        <v>57.114443000000001</v>
      </c>
      <c r="Q701" s="7">
        <v>38.076295000000002</v>
      </c>
      <c r="R701" s="7">
        <v>50</v>
      </c>
      <c r="S701" s="7">
        <v>57.059570999999998</v>
      </c>
      <c r="T701" s="4" t="s">
        <v>124</v>
      </c>
      <c r="U701" s="7">
        <v>38.039713999999996</v>
      </c>
      <c r="V701" s="7">
        <v>50</v>
      </c>
      <c r="W701" s="7">
        <v>46.718820000000001</v>
      </c>
      <c r="X701" s="7">
        <v>31.145879999999998</v>
      </c>
      <c r="Y701" s="7">
        <v>50</v>
      </c>
      <c r="Z701" s="4" t="s">
        <v>124</v>
      </c>
      <c r="AA701" s="7">
        <v>46.291589999999999</v>
      </c>
      <c r="AB701" s="7">
        <v>30.861059999999998</v>
      </c>
      <c r="AC701" s="7">
        <v>50</v>
      </c>
      <c r="AD701" s="7">
        <v>52.904338000000003</v>
      </c>
      <c r="AE701" s="7">
        <v>35.269559000000001</v>
      </c>
      <c r="AF701" s="7">
        <v>50</v>
      </c>
      <c r="AG701" s="7">
        <v>52.708998999999999</v>
      </c>
      <c r="AH701" s="4" t="s">
        <v>124</v>
      </c>
      <c r="AI701" s="7">
        <v>35.139332000000003</v>
      </c>
      <c r="AJ701" s="7">
        <v>50</v>
      </c>
      <c r="AK701" s="4" t="s">
        <v>124</v>
      </c>
      <c r="AL701" s="4" t="s">
        <v>124</v>
      </c>
      <c r="AM701" s="4" t="s">
        <v>124</v>
      </c>
      <c r="AN701" s="7">
        <v>0.67013800000000001</v>
      </c>
      <c r="AO701" s="7">
        <v>67.013828000000004</v>
      </c>
      <c r="AP701" s="7">
        <v>100</v>
      </c>
      <c r="AQ701" s="7">
        <v>0.64998599999999995</v>
      </c>
      <c r="AR701" s="7">
        <v>64.998643999999999</v>
      </c>
      <c r="AS701" s="7">
        <v>100</v>
      </c>
      <c r="AT701" s="7">
        <v>0.66351000000000004</v>
      </c>
      <c r="AU701" s="4" t="s">
        <v>124</v>
      </c>
      <c r="AV701" s="7">
        <v>66.351005000000001</v>
      </c>
      <c r="AW701" s="7">
        <v>100</v>
      </c>
      <c r="AX701" s="7">
        <v>0.66207199999999999</v>
      </c>
      <c r="AY701" s="4" t="s">
        <v>124</v>
      </c>
      <c r="AZ701" s="7">
        <v>66.207158000000007</v>
      </c>
      <c r="BA701" s="7">
        <v>100</v>
      </c>
      <c r="BB701" s="4" t="s">
        <v>124</v>
      </c>
      <c r="BC701" s="4" t="s">
        <v>124</v>
      </c>
      <c r="BD701" s="4" t="s">
        <v>124</v>
      </c>
      <c r="BE701" s="4" t="s">
        <v>124</v>
      </c>
      <c r="BF701" s="4" t="s">
        <v>124</v>
      </c>
      <c r="BG701" s="4" t="s">
        <v>124</v>
      </c>
      <c r="BH701" s="7">
        <v>0</v>
      </c>
      <c r="BI701" s="7">
        <v>0.99148899999999995</v>
      </c>
      <c r="BJ701" s="7">
        <v>0.99065400000000003</v>
      </c>
      <c r="BK701" s="7">
        <v>1</v>
      </c>
      <c r="BL701" s="7">
        <v>0.98297900000000005</v>
      </c>
      <c r="BM701" s="7">
        <v>0.98130799999999996</v>
      </c>
      <c r="BN701" s="7">
        <v>1</v>
      </c>
      <c r="BO701" s="7">
        <v>1</v>
      </c>
      <c r="BP701" s="7">
        <v>1</v>
      </c>
      <c r="BQ701" s="4" t="s">
        <v>124</v>
      </c>
      <c r="BR701" s="7">
        <v>0.328488</v>
      </c>
      <c r="BS701" s="7">
        <v>0</v>
      </c>
      <c r="BT701" s="7">
        <v>50</v>
      </c>
      <c r="BU701" s="7">
        <v>0.32107000000000002</v>
      </c>
      <c r="BV701" s="7">
        <v>0</v>
      </c>
      <c r="BW701" s="7">
        <v>50</v>
      </c>
      <c r="BX701" s="4" t="s">
        <v>124</v>
      </c>
      <c r="BY701" s="4" t="s">
        <v>124</v>
      </c>
      <c r="BZ701" s="4" t="s">
        <v>124</v>
      </c>
      <c r="CA701" s="4" t="s">
        <v>124</v>
      </c>
      <c r="CB701" s="4" t="s">
        <v>124</v>
      </c>
      <c r="CC701" s="4" t="s">
        <v>124</v>
      </c>
      <c r="CD701" s="7">
        <v>0.73333300000000001</v>
      </c>
      <c r="CE701" s="7">
        <v>39.007092</v>
      </c>
      <c r="CF701" s="7">
        <v>50</v>
      </c>
      <c r="CG701" s="4" t="s">
        <v>124</v>
      </c>
      <c r="CH701" s="4" t="s">
        <v>124</v>
      </c>
      <c r="CI701" s="4" t="s">
        <v>124</v>
      </c>
      <c r="CJ701" s="4" t="s">
        <v>124</v>
      </c>
      <c r="CK701" s="4" t="s">
        <v>124</v>
      </c>
      <c r="CL701" s="4" t="s">
        <v>124</v>
      </c>
      <c r="CM701" s="4" t="s">
        <v>124</v>
      </c>
      <c r="CN701" s="4" t="s">
        <v>124</v>
      </c>
      <c r="CO701" s="4" t="s">
        <v>124</v>
      </c>
      <c r="CP701" s="4" t="s">
        <v>124</v>
      </c>
      <c r="CQ701" s="7">
        <v>0.264463</v>
      </c>
      <c r="CR701" s="7">
        <v>1.080357</v>
      </c>
      <c r="CS701" s="7">
        <v>17.630853999999999</v>
      </c>
      <c r="CT701" s="7">
        <v>50</v>
      </c>
      <c r="CU701" s="4" t="s">
        <v>124</v>
      </c>
      <c r="CV701" s="4" t="s">
        <v>124</v>
      </c>
      <c r="CW701" s="4" t="s">
        <v>124</v>
      </c>
      <c r="CX701" s="4" t="s">
        <v>124</v>
      </c>
      <c r="CY701" s="4" t="s">
        <v>124</v>
      </c>
      <c r="CZ701" s="4" t="s">
        <v>124</v>
      </c>
      <c r="DA701" s="7">
        <v>15.314097</v>
      </c>
      <c r="DB701" s="7">
        <v>17.400950000000002</v>
      </c>
      <c r="DC701" s="7">
        <v>16.332519999999999</v>
      </c>
      <c r="DD701" s="4" t="s">
        <v>124</v>
      </c>
      <c r="DE701" s="7">
        <v>0</v>
      </c>
      <c r="DF701" s="4" t="s">
        <v>375</v>
      </c>
      <c r="DG701" s="4" t="s">
        <v>376</v>
      </c>
      <c r="DH701" s="6"/>
      <c r="DI701" s="6"/>
      <c r="DJ701" s="7">
        <v>0</v>
      </c>
      <c r="DK701" s="7">
        <v>0</v>
      </c>
      <c r="DL701" s="7">
        <v>0</v>
      </c>
      <c r="DM701" s="7">
        <v>0</v>
      </c>
      <c r="DN701" s="7">
        <v>0</v>
      </c>
      <c r="DO701" s="7">
        <v>0</v>
      </c>
      <c r="DP701" s="6"/>
      <c r="DQ701" s="4" t="s">
        <v>125</v>
      </c>
    </row>
    <row r="702" spans="1:121" ht="20" customHeight="1" x14ac:dyDescent="0.15">
      <c r="A702" s="5">
        <v>2018</v>
      </c>
      <c r="B702" s="3" t="s">
        <v>205</v>
      </c>
      <c r="C702" s="4" t="str">
        <f t="shared" si="230"/>
        <v>0930011</v>
      </c>
      <c r="D702" s="4" t="s">
        <v>858</v>
      </c>
      <c r="E702" s="4" t="str">
        <f>"0936111"</f>
        <v>0936111</v>
      </c>
      <c r="F702" s="4" t="s">
        <v>327</v>
      </c>
      <c r="G702" s="7">
        <v>9</v>
      </c>
      <c r="H702" s="7">
        <v>12</v>
      </c>
      <c r="I702" s="6"/>
      <c r="J702" s="4" t="s">
        <v>330</v>
      </c>
      <c r="K702" s="7">
        <v>845.70676300000002</v>
      </c>
      <c r="L702" s="7">
        <v>1550</v>
      </c>
      <c r="M702" s="7">
        <v>54.561726999999998</v>
      </c>
      <c r="N702" s="7">
        <v>3</v>
      </c>
      <c r="O702" s="7">
        <v>0</v>
      </c>
      <c r="P702" s="7">
        <v>42.842457000000003</v>
      </c>
      <c r="Q702" s="7">
        <v>85.684915000000004</v>
      </c>
      <c r="R702" s="7">
        <v>150</v>
      </c>
      <c r="S702" s="7">
        <v>41.945402000000001</v>
      </c>
      <c r="T702" s="7">
        <v>47.797618999999997</v>
      </c>
      <c r="U702" s="7">
        <v>83.890805</v>
      </c>
      <c r="V702" s="7">
        <v>150</v>
      </c>
      <c r="W702" s="7">
        <v>38.493309000000004</v>
      </c>
      <c r="X702" s="7">
        <v>76.986618000000007</v>
      </c>
      <c r="Y702" s="7">
        <v>150</v>
      </c>
      <c r="Z702" s="7">
        <v>43.257936999999998</v>
      </c>
      <c r="AA702" s="7">
        <v>37.630747</v>
      </c>
      <c r="AB702" s="7">
        <v>75.261493999999999</v>
      </c>
      <c r="AC702" s="7">
        <v>150</v>
      </c>
      <c r="AD702" s="7">
        <v>42.511364</v>
      </c>
      <c r="AE702" s="7">
        <v>56.681818999999997</v>
      </c>
      <c r="AF702" s="7">
        <v>100</v>
      </c>
      <c r="AG702" s="7">
        <v>40.987969999999997</v>
      </c>
      <c r="AH702" s="7">
        <v>51.252746999999999</v>
      </c>
      <c r="AI702" s="7">
        <v>54.650626000000003</v>
      </c>
      <c r="AJ702" s="7">
        <v>100</v>
      </c>
      <c r="AK702" s="7">
        <v>5.85</v>
      </c>
      <c r="AL702" s="7">
        <v>5.62</v>
      </c>
      <c r="AM702" s="7">
        <v>10.26</v>
      </c>
      <c r="AN702" s="4" t="s">
        <v>124</v>
      </c>
      <c r="AO702" s="4" t="s">
        <v>124</v>
      </c>
      <c r="AP702" s="4" t="s">
        <v>124</v>
      </c>
      <c r="AQ702" s="4" t="s">
        <v>124</v>
      </c>
      <c r="AR702" s="4" t="s">
        <v>124</v>
      </c>
      <c r="AS702" s="4" t="s">
        <v>124</v>
      </c>
      <c r="AT702" s="4" t="s">
        <v>124</v>
      </c>
      <c r="AU702" s="4" t="s">
        <v>124</v>
      </c>
      <c r="AV702" s="4" t="s">
        <v>124</v>
      </c>
      <c r="AW702" s="4" t="s">
        <v>124</v>
      </c>
      <c r="AX702" s="4" t="s">
        <v>124</v>
      </c>
      <c r="AY702" s="4" t="s">
        <v>124</v>
      </c>
      <c r="AZ702" s="4" t="s">
        <v>124</v>
      </c>
      <c r="BA702" s="4" t="s">
        <v>124</v>
      </c>
      <c r="BB702" s="7">
        <v>0.40540199999999998</v>
      </c>
      <c r="BC702" s="7">
        <v>20.270078999999999</v>
      </c>
      <c r="BD702" s="7">
        <v>50</v>
      </c>
      <c r="BE702" s="7">
        <v>0.44677299999999998</v>
      </c>
      <c r="BF702" s="7">
        <v>22.338632</v>
      </c>
      <c r="BG702" s="7">
        <v>50</v>
      </c>
      <c r="BH702" s="7">
        <v>1</v>
      </c>
      <c r="BI702" s="7">
        <v>0.92592600000000003</v>
      </c>
      <c r="BJ702" s="7">
        <v>0.91970799999999997</v>
      </c>
      <c r="BK702" s="7">
        <v>0.96</v>
      </c>
      <c r="BL702" s="7">
        <v>0.92592600000000003</v>
      </c>
      <c r="BM702" s="7">
        <v>0.91970799999999997</v>
      </c>
      <c r="BN702" s="7">
        <v>0.96</v>
      </c>
      <c r="BO702" s="7">
        <v>0.96024500000000002</v>
      </c>
      <c r="BP702" s="7">
        <v>0.96350400000000003</v>
      </c>
      <c r="BQ702" s="7">
        <v>0.94339600000000001</v>
      </c>
      <c r="BR702" s="7">
        <v>0.41293200000000002</v>
      </c>
      <c r="BS702" s="7">
        <v>0</v>
      </c>
      <c r="BT702" s="7">
        <v>50</v>
      </c>
      <c r="BU702" s="7">
        <v>0.443048</v>
      </c>
      <c r="BV702" s="7">
        <v>0</v>
      </c>
      <c r="BW702" s="7">
        <v>50</v>
      </c>
      <c r="BX702" s="7">
        <v>0.476327</v>
      </c>
      <c r="BY702" s="7">
        <v>31.755140999999998</v>
      </c>
      <c r="BZ702" s="7">
        <v>50</v>
      </c>
      <c r="CA702" s="7">
        <v>0.187948</v>
      </c>
      <c r="CB702" s="7">
        <v>12.52989</v>
      </c>
      <c r="CC702" s="7">
        <v>50</v>
      </c>
      <c r="CD702" s="7">
        <v>0.80549199999999999</v>
      </c>
      <c r="CE702" s="7">
        <v>42.845319000000003</v>
      </c>
      <c r="CF702" s="7">
        <v>50</v>
      </c>
      <c r="CG702" s="7">
        <v>0.82152199999999997</v>
      </c>
      <c r="CH702" s="7">
        <v>87.395989999999998</v>
      </c>
      <c r="CI702" s="7">
        <v>100</v>
      </c>
      <c r="CJ702" s="7">
        <v>0</v>
      </c>
      <c r="CK702" s="7">
        <v>0.79655200000000004</v>
      </c>
      <c r="CL702" s="7">
        <v>84.739545000000007</v>
      </c>
      <c r="CM702" s="7">
        <v>100</v>
      </c>
      <c r="CN702" s="7">
        <v>0.50316499999999997</v>
      </c>
      <c r="CO702" s="7">
        <v>67.088607999999994</v>
      </c>
      <c r="CP702" s="7">
        <v>100</v>
      </c>
      <c r="CQ702" s="7">
        <v>0.41</v>
      </c>
      <c r="CR702" s="7">
        <v>0.46296300000000001</v>
      </c>
      <c r="CS702" s="7">
        <v>0</v>
      </c>
      <c r="CT702" s="7">
        <v>50</v>
      </c>
      <c r="CU702" s="7">
        <v>0.52304700000000004</v>
      </c>
      <c r="CV702" s="7">
        <v>43.587280999999997</v>
      </c>
      <c r="CW702" s="7">
        <v>50</v>
      </c>
      <c r="CX702" s="7">
        <v>0.79655200000000004</v>
      </c>
      <c r="CY702" s="7">
        <v>0.83333299999999999</v>
      </c>
      <c r="CZ702" s="7">
        <v>3.6782000000000002E-2</v>
      </c>
      <c r="DA702" s="7">
        <v>15.314097</v>
      </c>
      <c r="DB702" s="7">
        <v>17.400950000000002</v>
      </c>
      <c r="DC702" s="7">
        <v>16.332519999999999</v>
      </c>
      <c r="DD702" s="7">
        <v>7.9891730000000001</v>
      </c>
      <c r="DE702" s="7">
        <v>1</v>
      </c>
      <c r="DF702" s="6"/>
      <c r="DG702" s="6"/>
      <c r="DH702" s="6"/>
      <c r="DI702" s="6"/>
      <c r="DJ702" s="7">
        <v>0</v>
      </c>
      <c r="DK702" s="7">
        <v>0</v>
      </c>
      <c r="DL702" s="7">
        <v>0</v>
      </c>
      <c r="DM702" s="7">
        <v>0</v>
      </c>
      <c r="DN702" s="7">
        <v>0</v>
      </c>
      <c r="DO702" s="7">
        <v>0</v>
      </c>
      <c r="DP702" s="6"/>
      <c r="DQ702" s="4" t="s">
        <v>125</v>
      </c>
    </row>
    <row r="703" spans="1:121" ht="20" customHeight="1" x14ac:dyDescent="0.15">
      <c r="A703" s="5">
        <v>2018</v>
      </c>
      <c r="B703" s="3" t="s">
        <v>205</v>
      </c>
      <c r="C703" s="4" t="str">
        <f t="shared" si="230"/>
        <v>0930011</v>
      </c>
      <c r="D703" s="4" t="s">
        <v>859</v>
      </c>
      <c r="E703" s="4" t="str">
        <f>"0933811"</f>
        <v>0933811</v>
      </c>
      <c r="F703" s="4" t="s">
        <v>327</v>
      </c>
      <c r="G703" s="4" t="s">
        <v>338</v>
      </c>
      <c r="H703" s="7">
        <v>8</v>
      </c>
      <c r="I703" s="6"/>
      <c r="J703" s="4" t="s">
        <v>330</v>
      </c>
      <c r="K703" s="7">
        <v>820.00042299999996</v>
      </c>
      <c r="L703" s="7">
        <v>1000</v>
      </c>
      <c r="M703" s="7">
        <v>82.000041999999993</v>
      </c>
      <c r="N703" s="7">
        <v>2</v>
      </c>
      <c r="O703" s="7">
        <v>0</v>
      </c>
      <c r="P703" s="7">
        <v>82.379345999999998</v>
      </c>
      <c r="Q703" s="7">
        <v>50</v>
      </c>
      <c r="R703" s="7">
        <v>50</v>
      </c>
      <c r="S703" s="7">
        <v>73.528609000000003</v>
      </c>
      <c r="T703" s="7">
        <v>75</v>
      </c>
      <c r="U703" s="7">
        <v>49.019072999999999</v>
      </c>
      <c r="V703" s="7">
        <v>50</v>
      </c>
      <c r="W703" s="7">
        <v>76.029646999999997</v>
      </c>
      <c r="X703" s="7">
        <v>50</v>
      </c>
      <c r="Y703" s="7">
        <v>50</v>
      </c>
      <c r="Z703" s="7">
        <v>75</v>
      </c>
      <c r="AA703" s="7">
        <v>67.145668999999998</v>
      </c>
      <c r="AB703" s="7">
        <v>44.763779</v>
      </c>
      <c r="AC703" s="7">
        <v>50</v>
      </c>
      <c r="AD703" s="7">
        <v>79.248987</v>
      </c>
      <c r="AE703" s="7">
        <v>50</v>
      </c>
      <c r="AF703" s="7">
        <v>50</v>
      </c>
      <c r="AG703" s="7">
        <v>72.489407</v>
      </c>
      <c r="AH703" s="7">
        <v>75</v>
      </c>
      <c r="AI703" s="7">
        <v>48.326272000000003</v>
      </c>
      <c r="AJ703" s="7">
        <v>50</v>
      </c>
      <c r="AK703" s="7">
        <v>1.47</v>
      </c>
      <c r="AL703" s="7">
        <v>7.85</v>
      </c>
      <c r="AM703" s="7">
        <v>2.5099999999999998</v>
      </c>
      <c r="AN703" s="7">
        <v>0.70699500000000004</v>
      </c>
      <c r="AO703" s="7">
        <v>70.699481000000006</v>
      </c>
      <c r="AP703" s="7">
        <v>100</v>
      </c>
      <c r="AQ703" s="7">
        <v>0.70643599999999995</v>
      </c>
      <c r="AR703" s="7">
        <v>70.643580999999998</v>
      </c>
      <c r="AS703" s="7">
        <v>100</v>
      </c>
      <c r="AT703" s="7">
        <v>0.69213800000000003</v>
      </c>
      <c r="AU703" s="7">
        <v>0.71431699999999998</v>
      </c>
      <c r="AV703" s="7">
        <v>69.213791000000001</v>
      </c>
      <c r="AW703" s="7">
        <v>100</v>
      </c>
      <c r="AX703" s="7">
        <v>0.73414400000000002</v>
      </c>
      <c r="AY703" s="7">
        <v>0.69277999999999995</v>
      </c>
      <c r="AZ703" s="7">
        <v>73.414378999999997</v>
      </c>
      <c r="BA703" s="7">
        <v>100</v>
      </c>
      <c r="BB703" s="7">
        <v>0.76477499999999998</v>
      </c>
      <c r="BC703" s="7">
        <v>38.238740999999997</v>
      </c>
      <c r="BD703" s="7">
        <v>50</v>
      </c>
      <c r="BE703" s="7">
        <v>0.55415599999999998</v>
      </c>
      <c r="BF703" s="7">
        <v>27.707820999999999</v>
      </c>
      <c r="BG703" s="7">
        <v>50</v>
      </c>
      <c r="BH703" s="7">
        <v>0</v>
      </c>
      <c r="BI703" s="7">
        <v>0.97704899999999995</v>
      </c>
      <c r="BJ703" s="7">
        <v>0.96551699999999996</v>
      </c>
      <c r="BK703" s="7">
        <v>0.98412699999999997</v>
      </c>
      <c r="BL703" s="7">
        <v>0.97704899999999995</v>
      </c>
      <c r="BM703" s="7">
        <v>0.96551699999999996</v>
      </c>
      <c r="BN703" s="7">
        <v>0.98412699999999997</v>
      </c>
      <c r="BO703" s="7">
        <v>1</v>
      </c>
      <c r="BP703" s="7">
        <v>1</v>
      </c>
      <c r="BQ703" s="7">
        <v>1</v>
      </c>
      <c r="BR703" s="7">
        <v>4.7726999999999999E-2</v>
      </c>
      <c r="BS703" s="7">
        <v>50</v>
      </c>
      <c r="BT703" s="7">
        <v>50</v>
      </c>
      <c r="BU703" s="7">
        <v>6.8027000000000004E-2</v>
      </c>
      <c r="BV703" s="7">
        <v>46.394558000000004</v>
      </c>
      <c r="BW703" s="7">
        <v>50</v>
      </c>
      <c r="BX703" s="4" t="s">
        <v>124</v>
      </c>
      <c r="BY703" s="4" t="s">
        <v>124</v>
      </c>
      <c r="BZ703" s="4" t="s">
        <v>124</v>
      </c>
      <c r="CA703" s="4" t="s">
        <v>124</v>
      </c>
      <c r="CB703" s="4" t="s">
        <v>124</v>
      </c>
      <c r="CC703" s="4" t="s">
        <v>124</v>
      </c>
      <c r="CD703" s="7">
        <v>0.96774199999999999</v>
      </c>
      <c r="CE703" s="7">
        <v>50</v>
      </c>
      <c r="CF703" s="7">
        <v>50</v>
      </c>
      <c r="CG703" s="4" t="s">
        <v>124</v>
      </c>
      <c r="CH703" s="4" t="s">
        <v>124</v>
      </c>
      <c r="CI703" s="4" t="s">
        <v>124</v>
      </c>
      <c r="CJ703" s="4" t="s">
        <v>124</v>
      </c>
      <c r="CK703" s="4" t="s">
        <v>124</v>
      </c>
      <c r="CL703" s="4" t="s">
        <v>124</v>
      </c>
      <c r="CM703" s="4" t="s">
        <v>124</v>
      </c>
      <c r="CN703" s="4" t="s">
        <v>124</v>
      </c>
      <c r="CO703" s="4" t="s">
        <v>124</v>
      </c>
      <c r="CP703" s="4" t="s">
        <v>124</v>
      </c>
      <c r="CQ703" s="7">
        <v>0.47368399999999999</v>
      </c>
      <c r="CR703" s="7">
        <v>1.013333</v>
      </c>
      <c r="CS703" s="7">
        <v>31.578946999999999</v>
      </c>
      <c r="CT703" s="7">
        <v>50</v>
      </c>
      <c r="CU703" s="4" t="s">
        <v>124</v>
      </c>
      <c r="CV703" s="4" t="s">
        <v>124</v>
      </c>
      <c r="CW703" s="4" t="s">
        <v>124</v>
      </c>
      <c r="CX703" s="4" t="s">
        <v>124</v>
      </c>
      <c r="CY703" s="4" t="s">
        <v>124</v>
      </c>
      <c r="CZ703" s="4" t="s">
        <v>124</v>
      </c>
      <c r="DA703" s="7">
        <v>15.314097</v>
      </c>
      <c r="DB703" s="7">
        <v>17.400950000000002</v>
      </c>
      <c r="DC703" s="7">
        <v>16.332519999999999</v>
      </c>
      <c r="DD703" s="4" t="s">
        <v>124</v>
      </c>
      <c r="DE703" s="7">
        <v>0</v>
      </c>
      <c r="DF703" s="6"/>
      <c r="DG703" s="6"/>
      <c r="DH703" s="6"/>
      <c r="DI703" s="6"/>
      <c r="DJ703" s="7">
        <v>0</v>
      </c>
      <c r="DK703" s="7">
        <v>0</v>
      </c>
      <c r="DL703" s="7">
        <v>0</v>
      </c>
      <c r="DM703" s="7">
        <v>0</v>
      </c>
      <c r="DN703" s="7">
        <v>0</v>
      </c>
      <c r="DO703" s="7">
        <v>0</v>
      </c>
      <c r="DP703" s="6"/>
      <c r="DQ703" s="4" t="s">
        <v>125</v>
      </c>
    </row>
    <row r="704" spans="1:121" ht="20" customHeight="1" x14ac:dyDescent="0.15">
      <c r="A704" s="5">
        <v>2018</v>
      </c>
      <c r="B704" s="3" t="s">
        <v>134</v>
      </c>
      <c r="C704" s="4" t="str">
        <f t="shared" si="10"/>
        <v>0940011</v>
      </c>
      <c r="D704" s="4" t="s">
        <v>860</v>
      </c>
      <c r="E704" s="4" t="str">
        <f>"0940611"</f>
        <v>0940611</v>
      </c>
      <c r="F704" s="4" t="s">
        <v>327</v>
      </c>
      <c r="G704" s="4" t="s">
        <v>328</v>
      </c>
      <c r="H704" s="7">
        <v>4</v>
      </c>
      <c r="I704" s="4" t="s">
        <v>329</v>
      </c>
      <c r="J704" s="4" t="s">
        <v>330</v>
      </c>
      <c r="K704" s="7">
        <v>723.86089900000002</v>
      </c>
      <c r="L704" s="7">
        <v>850</v>
      </c>
      <c r="M704" s="7">
        <v>85.160105999999999</v>
      </c>
      <c r="N704" s="7">
        <v>1</v>
      </c>
      <c r="O704" s="7">
        <v>0</v>
      </c>
      <c r="P704" s="7">
        <v>72.790225000000007</v>
      </c>
      <c r="Q704" s="7">
        <v>48.526817000000001</v>
      </c>
      <c r="R704" s="7">
        <v>50</v>
      </c>
      <c r="S704" s="7">
        <v>67.548900000000003</v>
      </c>
      <c r="T704" s="7">
        <v>75</v>
      </c>
      <c r="U704" s="7">
        <v>45.032600000000002</v>
      </c>
      <c r="V704" s="7">
        <v>50</v>
      </c>
      <c r="W704" s="7">
        <v>69.397729999999996</v>
      </c>
      <c r="X704" s="7">
        <v>46.265152999999998</v>
      </c>
      <c r="Y704" s="7">
        <v>50</v>
      </c>
      <c r="Z704" s="7">
        <v>73.213911999999993</v>
      </c>
      <c r="AA704" s="7">
        <v>64.164107999999999</v>
      </c>
      <c r="AB704" s="7">
        <v>42.776071999999999</v>
      </c>
      <c r="AC704" s="7">
        <v>50</v>
      </c>
      <c r="AD704" s="4" t="s">
        <v>124</v>
      </c>
      <c r="AE704" s="4" t="s">
        <v>124</v>
      </c>
      <c r="AF704" s="4" t="s">
        <v>124</v>
      </c>
      <c r="AG704" s="4" t="s">
        <v>124</v>
      </c>
      <c r="AH704" s="4" t="s">
        <v>124</v>
      </c>
      <c r="AI704" s="4" t="s">
        <v>124</v>
      </c>
      <c r="AJ704" s="4" t="s">
        <v>124</v>
      </c>
      <c r="AK704" s="7">
        <v>7.45</v>
      </c>
      <c r="AL704" s="7">
        <v>9.0399999999999991</v>
      </c>
      <c r="AM704" s="4" t="s">
        <v>124</v>
      </c>
      <c r="AN704" s="7">
        <v>0.75036000000000003</v>
      </c>
      <c r="AO704" s="7">
        <v>75.036046999999996</v>
      </c>
      <c r="AP704" s="7">
        <v>100</v>
      </c>
      <c r="AQ704" s="7">
        <v>0.91994500000000001</v>
      </c>
      <c r="AR704" s="7">
        <v>91.994488000000004</v>
      </c>
      <c r="AS704" s="7">
        <v>100</v>
      </c>
      <c r="AT704" s="7">
        <v>0.754139</v>
      </c>
      <c r="AU704" s="7">
        <v>0.74800900000000003</v>
      </c>
      <c r="AV704" s="7">
        <v>75.413891000000007</v>
      </c>
      <c r="AW704" s="7">
        <v>100</v>
      </c>
      <c r="AX704" s="7">
        <v>0.94955199999999995</v>
      </c>
      <c r="AY704" s="7">
        <v>0.90152299999999996</v>
      </c>
      <c r="AZ704" s="7">
        <v>94.955196000000001</v>
      </c>
      <c r="BA704" s="7">
        <v>100</v>
      </c>
      <c r="BB704" s="7">
        <v>0.84650199999999998</v>
      </c>
      <c r="BC704" s="7">
        <v>42.325122</v>
      </c>
      <c r="BD704" s="7">
        <v>50</v>
      </c>
      <c r="BE704" s="7">
        <v>0.4592</v>
      </c>
      <c r="BF704" s="7">
        <v>22.960014999999999</v>
      </c>
      <c r="BG704" s="7">
        <v>50</v>
      </c>
      <c r="BH704" s="7">
        <v>0</v>
      </c>
      <c r="BI704" s="7">
        <v>1</v>
      </c>
      <c r="BJ704" s="7">
        <v>1</v>
      </c>
      <c r="BK704" s="7">
        <v>1</v>
      </c>
      <c r="BL704" s="7">
        <v>0.99408300000000005</v>
      </c>
      <c r="BM704" s="7">
        <v>0.98630099999999998</v>
      </c>
      <c r="BN704" s="7">
        <v>1</v>
      </c>
      <c r="BO704" s="4" t="s">
        <v>124</v>
      </c>
      <c r="BP704" s="4" t="s">
        <v>124</v>
      </c>
      <c r="BQ704" s="4" t="s">
        <v>124</v>
      </c>
      <c r="BR704" s="7">
        <v>5.3845999999999998E-2</v>
      </c>
      <c r="BS704" s="7">
        <v>49.230769000000002</v>
      </c>
      <c r="BT704" s="7">
        <v>50</v>
      </c>
      <c r="BU704" s="7">
        <v>9.2592999999999995E-2</v>
      </c>
      <c r="BV704" s="7">
        <v>41.481481000000002</v>
      </c>
      <c r="BW704" s="7">
        <v>50</v>
      </c>
      <c r="BX704" s="4" t="s">
        <v>124</v>
      </c>
      <c r="BY704" s="4" t="s">
        <v>124</v>
      </c>
      <c r="BZ704" s="4" t="s">
        <v>124</v>
      </c>
      <c r="CA704" s="4" t="s">
        <v>124</v>
      </c>
      <c r="CB704" s="4" t="s">
        <v>124</v>
      </c>
      <c r="CC704" s="4" t="s">
        <v>124</v>
      </c>
      <c r="CD704" s="4" t="s">
        <v>124</v>
      </c>
      <c r="CE704" s="4" t="s">
        <v>124</v>
      </c>
      <c r="CF704" s="4" t="s">
        <v>124</v>
      </c>
      <c r="CG704" s="4" t="s">
        <v>124</v>
      </c>
      <c r="CH704" s="4" t="s">
        <v>124</v>
      </c>
      <c r="CI704" s="4" t="s">
        <v>124</v>
      </c>
      <c r="CJ704" s="4" t="s">
        <v>124</v>
      </c>
      <c r="CK704" s="4" t="s">
        <v>124</v>
      </c>
      <c r="CL704" s="4" t="s">
        <v>124</v>
      </c>
      <c r="CM704" s="4" t="s">
        <v>124</v>
      </c>
      <c r="CN704" s="4" t="s">
        <v>124</v>
      </c>
      <c r="CO704" s="4" t="s">
        <v>124</v>
      </c>
      <c r="CP704" s="4" t="s">
        <v>124</v>
      </c>
      <c r="CQ704" s="7">
        <v>0.71794899999999995</v>
      </c>
      <c r="CR704" s="7">
        <v>1</v>
      </c>
      <c r="CS704" s="7">
        <v>47.863247999999999</v>
      </c>
      <c r="CT704" s="7">
        <v>50</v>
      </c>
      <c r="CU704" s="4" t="s">
        <v>124</v>
      </c>
      <c r="CV704" s="4" t="s">
        <v>124</v>
      </c>
      <c r="CW704" s="4" t="s">
        <v>124</v>
      </c>
      <c r="CX704" s="4" t="s">
        <v>124</v>
      </c>
      <c r="CY704" s="4" t="s">
        <v>124</v>
      </c>
      <c r="CZ704" s="4" t="s">
        <v>124</v>
      </c>
      <c r="DA704" s="7">
        <v>15.314097</v>
      </c>
      <c r="DB704" s="7">
        <v>17.400950000000002</v>
      </c>
      <c r="DC704" s="7">
        <v>16.332519999999999</v>
      </c>
      <c r="DD704" s="4" t="s">
        <v>124</v>
      </c>
      <c r="DE704" s="7">
        <v>0</v>
      </c>
      <c r="DF704" s="6"/>
      <c r="DG704" s="6"/>
      <c r="DH704" s="4" t="s">
        <v>331</v>
      </c>
      <c r="DI704" s="4" t="s">
        <v>476</v>
      </c>
      <c r="DJ704" s="7">
        <v>0</v>
      </c>
      <c r="DK704" s="7">
        <v>0</v>
      </c>
      <c r="DL704" s="7">
        <v>1</v>
      </c>
      <c r="DM704" s="7">
        <v>1</v>
      </c>
      <c r="DN704" s="7">
        <v>1</v>
      </c>
      <c r="DO704" s="7">
        <v>0</v>
      </c>
      <c r="DP704" s="6"/>
      <c r="DQ704" s="4" t="s">
        <v>125</v>
      </c>
    </row>
    <row r="705" spans="1:121" ht="20" customHeight="1" x14ac:dyDescent="0.15">
      <c r="A705" s="5">
        <v>2018</v>
      </c>
      <c r="B705" s="3" t="s">
        <v>134</v>
      </c>
      <c r="C705" s="4" t="str">
        <f t="shared" ref="C705:C710" si="231">"0940011"</f>
        <v>0940011</v>
      </c>
      <c r="D705" s="4" t="s">
        <v>861</v>
      </c>
      <c r="E705" s="4" t="str">
        <f>"0940211"</f>
        <v>0940211</v>
      </c>
      <c r="F705" s="4" t="s">
        <v>327</v>
      </c>
      <c r="G705" s="4" t="s">
        <v>328</v>
      </c>
      <c r="H705" s="7">
        <v>4</v>
      </c>
      <c r="I705" s="4" t="s">
        <v>329</v>
      </c>
      <c r="J705" s="4" t="s">
        <v>330</v>
      </c>
      <c r="K705" s="7">
        <v>644.93860299999994</v>
      </c>
      <c r="L705" s="7">
        <v>850</v>
      </c>
      <c r="M705" s="7">
        <v>75.875129999999999</v>
      </c>
      <c r="N705" s="7">
        <v>2</v>
      </c>
      <c r="O705" s="7">
        <v>0</v>
      </c>
      <c r="P705" s="7">
        <v>70.826560000000001</v>
      </c>
      <c r="Q705" s="7">
        <v>47.217706999999997</v>
      </c>
      <c r="R705" s="7">
        <v>50</v>
      </c>
      <c r="S705" s="7">
        <v>65.198617999999996</v>
      </c>
      <c r="T705" s="7">
        <v>75</v>
      </c>
      <c r="U705" s="7">
        <v>43.465744999999998</v>
      </c>
      <c r="V705" s="7">
        <v>50</v>
      </c>
      <c r="W705" s="7">
        <v>66.511748999999995</v>
      </c>
      <c r="X705" s="7">
        <v>44.341166000000001</v>
      </c>
      <c r="Y705" s="7">
        <v>50</v>
      </c>
      <c r="Z705" s="7">
        <v>74.495791999999994</v>
      </c>
      <c r="AA705" s="7">
        <v>59.795014000000002</v>
      </c>
      <c r="AB705" s="7">
        <v>39.863343</v>
      </c>
      <c r="AC705" s="7">
        <v>50</v>
      </c>
      <c r="AD705" s="4" t="s">
        <v>124</v>
      </c>
      <c r="AE705" s="4" t="s">
        <v>124</v>
      </c>
      <c r="AF705" s="4" t="s">
        <v>124</v>
      </c>
      <c r="AG705" s="4" t="s">
        <v>124</v>
      </c>
      <c r="AH705" s="4" t="s">
        <v>124</v>
      </c>
      <c r="AI705" s="4" t="s">
        <v>124</v>
      </c>
      <c r="AJ705" s="4" t="s">
        <v>124</v>
      </c>
      <c r="AK705" s="7">
        <v>9.8000000000000007</v>
      </c>
      <c r="AL705" s="7">
        <v>14.7</v>
      </c>
      <c r="AM705" s="4" t="s">
        <v>124</v>
      </c>
      <c r="AN705" s="7">
        <v>0.60728300000000002</v>
      </c>
      <c r="AO705" s="7">
        <v>60.728268999999997</v>
      </c>
      <c r="AP705" s="7">
        <v>100</v>
      </c>
      <c r="AQ705" s="7">
        <v>0.77379500000000001</v>
      </c>
      <c r="AR705" s="7">
        <v>77.379508000000001</v>
      </c>
      <c r="AS705" s="7">
        <v>100</v>
      </c>
      <c r="AT705" s="7">
        <v>0.591665</v>
      </c>
      <c r="AU705" s="7">
        <v>0.62694899999999998</v>
      </c>
      <c r="AV705" s="7">
        <v>59.166497</v>
      </c>
      <c r="AW705" s="7">
        <v>100</v>
      </c>
      <c r="AX705" s="7">
        <v>0.76026000000000005</v>
      </c>
      <c r="AY705" s="7">
        <v>0.79083999999999999</v>
      </c>
      <c r="AZ705" s="7">
        <v>76.025964999999999</v>
      </c>
      <c r="BA705" s="7">
        <v>100</v>
      </c>
      <c r="BB705" s="7">
        <v>0.84330499999999997</v>
      </c>
      <c r="BC705" s="7">
        <v>42.165246000000003</v>
      </c>
      <c r="BD705" s="7">
        <v>50</v>
      </c>
      <c r="BE705" s="7">
        <v>0.55642800000000003</v>
      </c>
      <c r="BF705" s="7">
        <v>27.821376999999998</v>
      </c>
      <c r="BG705" s="7">
        <v>50</v>
      </c>
      <c r="BH705" s="7">
        <v>0</v>
      </c>
      <c r="BI705" s="7">
        <v>1</v>
      </c>
      <c r="BJ705" s="7">
        <v>1</v>
      </c>
      <c r="BK705" s="7">
        <v>1</v>
      </c>
      <c r="BL705" s="7">
        <v>1</v>
      </c>
      <c r="BM705" s="7">
        <v>1</v>
      </c>
      <c r="BN705" s="7">
        <v>1</v>
      </c>
      <c r="BO705" s="4" t="s">
        <v>124</v>
      </c>
      <c r="BP705" s="4" t="s">
        <v>124</v>
      </c>
      <c r="BQ705" s="4" t="s">
        <v>124</v>
      </c>
      <c r="BR705" s="7">
        <v>3.8595999999999998E-2</v>
      </c>
      <c r="BS705" s="7">
        <v>50</v>
      </c>
      <c r="BT705" s="7">
        <v>50</v>
      </c>
      <c r="BU705" s="7">
        <v>6.9620000000000001E-2</v>
      </c>
      <c r="BV705" s="7">
        <v>46.075949000000001</v>
      </c>
      <c r="BW705" s="7">
        <v>50</v>
      </c>
      <c r="BX705" s="4" t="s">
        <v>124</v>
      </c>
      <c r="BY705" s="4" t="s">
        <v>124</v>
      </c>
      <c r="BZ705" s="4" t="s">
        <v>124</v>
      </c>
      <c r="CA705" s="4" t="s">
        <v>124</v>
      </c>
      <c r="CB705" s="4" t="s">
        <v>124</v>
      </c>
      <c r="CC705" s="4" t="s">
        <v>124</v>
      </c>
      <c r="CD705" s="4" t="s">
        <v>124</v>
      </c>
      <c r="CE705" s="4" t="s">
        <v>124</v>
      </c>
      <c r="CF705" s="4" t="s">
        <v>124</v>
      </c>
      <c r="CG705" s="4" t="s">
        <v>124</v>
      </c>
      <c r="CH705" s="4" t="s">
        <v>124</v>
      </c>
      <c r="CI705" s="4" t="s">
        <v>124</v>
      </c>
      <c r="CJ705" s="4" t="s">
        <v>124</v>
      </c>
      <c r="CK705" s="4" t="s">
        <v>124</v>
      </c>
      <c r="CL705" s="4" t="s">
        <v>124</v>
      </c>
      <c r="CM705" s="4" t="s">
        <v>124</v>
      </c>
      <c r="CN705" s="4" t="s">
        <v>124</v>
      </c>
      <c r="CO705" s="4" t="s">
        <v>124</v>
      </c>
      <c r="CP705" s="4" t="s">
        <v>124</v>
      </c>
      <c r="CQ705" s="7">
        <v>0.46031699999999998</v>
      </c>
      <c r="CR705" s="7">
        <v>0.984375</v>
      </c>
      <c r="CS705" s="7">
        <v>30.687830999999999</v>
      </c>
      <c r="CT705" s="7">
        <v>50</v>
      </c>
      <c r="CU705" s="4" t="s">
        <v>124</v>
      </c>
      <c r="CV705" s="4" t="s">
        <v>124</v>
      </c>
      <c r="CW705" s="4" t="s">
        <v>124</v>
      </c>
      <c r="CX705" s="4" t="s">
        <v>124</v>
      </c>
      <c r="CY705" s="4" t="s">
        <v>124</v>
      </c>
      <c r="CZ705" s="4" t="s">
        <v>124</v>
      </c>
      <c r="DA705" s="7">
        <v>15.314097</v>
      </c>
      <c r="DB705" s="7">
        <v>17.400950000000002</v>
      </c>
      <c r="DC705" s="7">
        <v>16.332519999999999</v>
      </c>
      <c r="DD705" s="4" t="s">
        <v>124</v>
      </c>
      <c r="DE705" s="7">
        <v>0</v>
      </c>
      <c r="DF705" s="6"/>
      <c r="DG705" s="6"/>
      <c r="DH705" s="6"/>
      <c r="DI705" s="6"/>
      <c r="DJ705" s="7">
        <v>0</v>
      </c>
      <c r="DK705" s="7">
        <v>0</v>
      </c>
      <c r="DL705" s="7">
        <v>0</v>
      </c>
      <c r="DM705" s="7">
        <v>0</v>
      </c>
      <c r="DN705" s="7">
        <v>0</v>
      </c>
      <c r="DO705" s="7">
        <v>0</v>
      </c>
      <c r="DP705" s="6"/>
      <c r="DQ705" s="4" t="s">
        <v>125</v>
      </c>
    </row>
    <row r="706" spans="1:121" ht="20" customHeight="1" x14ac:dyDescent="0.15">
      <c r="A706" s="5">
        <v>2018</v>
      </c>
      <c r="B706" s="3" t="s">
        <v>134</v>
      </c>
      <c r="C706" s="4" t="str">
        <f t="shared" si="231"/>
        <v>0940011</v>
      </c>
      <c r="D706" s="4" t="s">
        <v>862</v>
      </c>
      <c r="E706" s="4" t="str">
        <f>"0940811"</f>
        <v>0940811</v>
      </c>
      <c r="F706" s="4" t="s">
        <v>327</v>
      </c>
      <c r="G706" s="4" t="s">
        <v>328</v>
      </c>
      <c r="H706" s="7">
        <v>4</v>
      </c>
      <c r="I706" s="6"/>
      <c r="J706" s="4" t="s">
        <v>330</v>
      </c>
      <c r="K706" s="7">
        <v>641.17974100000004</v>
      </c>
      <c r="L706" s="7">
        <v>850</v>
      </c>
      <c r="M706" s="7">
        <v>75.432911000000004</v>
      </c>
      <c r="N706" s="7">
        <v>2</v>
      </c>
      <c r="O706" s="7">
        <v>0</v>
      </c>
      <c r="P706" s="7">
        <v>72.078434999999999</v>
      </c>
      <c r="Q706" s="7">
        <v>48.052289999999999</v>
      </c>
      <c r="R706" s="7">
        <v>50</v>
      </c>
      <c r="S706" s="7">
        <v>66.241511000000003</v>
      </c>
      <c r="T706" s="7">
        <v>75</v>
      </c>
      <c r="U706" s="7">
        <v>44.161006999999998</v>
      </c>
      <c r="V706" s="7">
        <v>50</v>
      </c>
      <c r="W706" s="7">
        <v>68.136028999999994</v>
      </c>
      <c r="X706" s="7">
        <v>45.424019000000001</v>
      </c>
      <c r="Y706" s="7">
        <v>50</v>
      </c>
      <c r="Z706" s="7">
        <v>75</v>
      </c>
      <c r="AA706" s="7">
        <v>61.386085999999999</v>
      </c>
      <c r="AB706" s="7">
        <v>40.924056999999998</v>
      </c>
      <c r="AC706" s="7">
        <v>50</v>
      </c>
      <c r="AD706" s="4" t="s">
        <v>124</v>
      </c>
      <c r="AE706" s="4" t="s">
        <v>124</v>
      </c>
      <c r="AF706" s="4" t="s">
        <v>124</v>
      </c>
      <c r="AG706" s="4" t="s">
        <v>124</v>
      </c>
      <c r="AH706" s="4" t="s">
        <v>124</v>
      </c>
      <c r="AI706" s="4" t="s">
        <v>124</v>
      </c>
      <c r="AJ706" s="4" t="s">
        <v>124</v>
      </c>
      <c r="AK706" s="7">
        <v>8.75</v>
      </c>
      <c r="AL706" s="7">
        <v>13.61</v>
      </c>
      <c r="AM706" s="4" t="s">
        <v>124</v>
      </c>
      <c r="AN706" s="7">
        <v>0.61976900000000001</v>
      </c>
      <c r="AO706" s="7">
        <v>61.976922999999999</v>
      </c>
      <c r="AP706" s="7">
        <v>100</v>
      </c>
      <c r="AQ706" s="7">
        <v>0.69283700000000004</v>
      </c>
      <c r="AR706" s="7">
        <v>69.283715000000001</v>
      </c>
      <c r="AS706" s="7">
        <v>100</v>
      </c>
      <c r="AT706" s="7">
        <v>0.67088499999999995</v>
      </c>
      <c r="AU706" s="7">
        <v>0.57595600000000002</v>
      </c>
      <c r="AV706" s="7">
        <v>67.088520000000003</v>
      </c>
      <c r="AW706" s="7">
        <v>100</v>
      </c>
      <c r="AX706" s="7">
        <v>0.68283499999999997</v>
      </c>
      <c r="AY706" s="7">
        <v>0.70141100000000001</v>
      </c>
      <c r="AZ706" s="7">
        <v>68.283475999999993</v>
      </c>
      <c r="BA706" s="7">
        <v>100</v>
      </c>
      <c r="BB706" s="7">
        <v>0.77648600000000001</v>
      </c>
      <c r="BC706" s="7">
        <v>38.824292</v>
      </c>
      <c r="BD706" s="7">
        <v>50</v>
      </c>
      <c r="BE706" s="7">
        <v>0.46030199999999999</v>
      </c>
      <c r="BF706" s="7">
        <v>23.0151</v>
      </c>
      <c r="BG706" s="7">
        <v>50</v>
      </c>
      <c r="BH706" s="7">
        <v>0</v>
      </c>
      <c r="BI706" s="7">
        <v>1</v>
      </c>
      <c r="BJ706" s="7">
        <v>1</v>
      </c>
      <c r="BK706" s="7">
        <v>1</v>
      </c>
      <c r="BL706" s="7">
        <v>1</v>
      </c>
      <c r="BM706" s="7">
        <v>1</v>
      </c>
      <c r="BN706" s="7">
        <v>1</v>
      </c>
      <c r="BO706" s="4" t="s">
        <v>124</v>
      </c>
      <c r="BP706" s="4" t="s">
        <v>124</v>
      </c>
      <c r="BQ706" s="4" t="s">
        <v>124</v>
      </c>
      <c r="BR706" s="7">
        <v>2.8653000000000001E-2</v>
      </c>
      <c r="BS706" s="7">
        <v>50</v>
      </c>
      <c r="BT706" s="7">
        <v>50</v>
      </c>
      <c r="BU706" s="7">
        <v>4.2944999999999997E-2</v>
      </c>
      <c r="BV706" s="7">
        <v>50</v>
      </c>
      <c r="BW706" s="7">
        <v>50</v>
      </c>
      <c r="BX706" s="4" t="s">
        <v>124</v>
      </c>
      <c r="BY706" s="4" t="s">
        <v>124</v>
      </c>
      <c r="BZ706" s="4" t="s">
        <v>124</v>
      </c>
      <c r="CA706" s="4" t="s">
        <v>124</v>
      </c>
      <c r="CB706" s="4" t="s">
        <v>124</v>
      </c>
      <c r="CC706" s="4" t="s">
        <v>124</v>
      </c>
      <c r="CD706" s="4" t="s">
        <v>124</v>
      </c>
      <c r="CE706" s="4" t="s">
        <v>124</v>
      </c>
      <c r="CF706" s="4" t="s">
        <v>124</v>
      </c>
      <c r="CG706" s="4" t="s">
        <v>124</v>
      </c>
      <c r="CH706" s="4" t="s">
        <v>124</v>
      </c>
      <c r="CI706" s="4" t="s">
        <v>124</v>
      </c>
      <c r="CJ706" s="4" t="s">
        <v>124</v>
      </c>
      <c r="CK706" s="4" t="s">
        <v>124</v>
      </c>
      <c r="CL706" s="4" t="s">
        <v>124</v>
      </c>
      <c r="CM706" s="4" t="s">
        <v>124</v>
      </c>
      <c r="CN706" s="4" t="s">
        <v>124</v>
      </c>
      <c r="CO706" s="4" t="s">
        <v>124</v>
      </c>
      <c r="CP706" s="4" t="s">
        <v>124</v>
      </c>
      <c r="CQ706" s="7">
        <v>0.51219499999999996</v>
      </c>
      <c r="CR706" s="7">
        <v>0.97619</v>
      </c>
      <c r="CS706" s="7">
        <v>34.146341</v>
      </c>
      <c r="CT706" s="7">
        <v>50</v>
      </c>
      <c r="CU706" s="4" t="s">
        <v>124</v>
      </c>
      <c r="CV706" s="4" t="s">
        <v>124</v>
      </c>
      <c r="CW706" s="4" t="s">
        <v>124</v>
      </c>
      <c r="CX706" s="4" t="s">
        <v>124</v>
      </c>
      <c r="CY706" s="4" t="s">
        <v>124</v>
      </c>
      <c r="CZ706" s="4" t="s">
        <v>124</v>
      </c>
      <c r="DA706" s="7">
        <v>15.314097</v>
      </c>
      <c r="DB706" s="7">
        <v>17.400950000000002</v>
      </c>
      <c r="DC706" s="7">
        <v>16.332519999999999</v>
      </c>
      <c r="DD706" s="4" t="s">
        <v>124</v>
      </c>
      <c r="DE706" s="7">
        <v>0</v>
      </c>
      <c r="DF706" s="6"/>
      <c r="DG706" s="6"/>
      <c r="DH706" s="6"/>
      <c r="DI706" s="6"/>
      <c r="DJ706" s="7">
        <v>0</v>
      </c>
      <c r="DK706" s="7">
        <v>0</v>
      </c>
      <c r="DL706" s="7">
        <v>0</v>
      </c>
      <c r="DM706" s="7">
        <v>0</v>
      </c>
      <c r="DN706" s="7">
        <v>0</v>
      </c>
      <c r="DO706" s="7">
        <v>0</v>
      </c>
      <c r="DP706" s="6"/>
      <c r="DQ706" s="4" t="s">
        <v>125</v>
      </c>
    </row>
    <row r="707" spans="1:121" ht="20" customHeight="1" x14ac:dyDescent="0.15">
      <c r="A707" s="5">
        <v>2018</v>
      </c>
      <c r="B707" s="3" t="s">
        <v>134</v>
      </c>
      <c r="C707" s="4" t="str">
        <f t="shared" si="231"/>
        <v>0940011</v>
      </c>
      <c r="D707" s="4" t="s">
        <v>863</v>
      </c>
      <c r="E707" s="4" t="str">
        <f>"0945311"</f>
        <v>0945311</v>
      </c>
      <c r="F707" s="4" t="s">
        <v>327</v>
      </c>
      <c r="G707" s="7">
        <v>5</v>
      </c>
      <c r="H707" s="7">
        <v>8</v>
      </c>
      <c r="I707" s="6"/>
      <c r="J707" s="4" t="s">
        <v>330</v>
      </c>
      <c r="K707" s="7">
        <v>612.70984199999998</v>
      </c>
      <c r="L707" s="7">
        <v>900</v>
      </c>
      <c r="M707" s="7">
        <v>68.078871000000007</v>
      </c>
      <c r="N707" s="7">
        <v>3</v>
      </c>
      <c r="O707" s="7">
        <v>0</v>
      </c>
      <c r="P707" s="7">
        <v>67.266458999999998</v>
      </c>
      <c r="Q707" s="7">
        <v>44.844306000000003</v>
      </c>
      <c r="R707" s="7">
        <v>50</v>
      </c>
      <c r="S707" s="7">
        <v>59.455661999999997</v>
      </c>
      <c r="T707" s="7">
        <v>72.868967999999995</v>
      </c>
      <c r="U707" s="7">
        <v>39.637107999999998</v>
      </c>
      <c r="V707" s="7">
        <v>50</v>
      </c>
      <c r="W707" s="7">
        <v>63.605891</v>
      </c>
      <c r="X707" s="7">
        <v>42.403927000000003</v>
      </c>
      <c r="Y707" s="7">
        <v>50</v>
      </c>
      <c r="Z707" s="7">
        <v>69.487143000000003</v>
      </c>
      <c r="AA707" s="7">
        <v>55.427945999999999</v>
      </c>
      <c r="AB707" s="7">
        <v>36.951963999999997</v>
      </c>
      <c r="AC707" s="7">
        <v>50</v>
      </c>
      <c r="AD707" s="7">
        <v>63.699562999999998</v>
      </c>
      <c r="AE707" s="7">
        <v>42.466374999999999</v>
      </c>
      <c r="AF707" s="7">
        <v>50</v>
      </c>
      <c r="AG707" s="7">
        <v>58.052819</v>
      </c>
      <c r="AH707" s="7">
        <v>68.470088000000004</v>
      </c>
      <c r="AI707" s="7">
        <v>38.701878999999998</v>
      </c>
      <c r="AJ707" s="7">
        <v>50</v>
      </c>
      <c r="AK707" s="7">
        <v>13.41</v>
      </c>
      <c r="AL707" s="7">
        <v>14.05</v>
      </c>
      <c r="AM707" s="7">
        <v>10.41</v>
      </c>
      <c r="AN707" s="7">
        <v>0.490651</v>
      </c>
      <c r="AO707" s="7">
        <v>49.065061999999998</v>
      </c>
      <c r="AP707" s="7">
        <v>100</v>
      </c>
      <c r="AQ707" s="7">
        <v>0.58279499999999995</v>
      </c>
      <c r="AR707" s="7">
        <v>58.279528999999997</v>
      </c>
      <c r="AS707" s="7">
        <v>100</v>
      </c>
      <c r="AT707" s="7">
        <v>0.44207600000000002</v>
      </c>
      <c r="AU707" s="7">
        <v>0.51977099999999998</v>
      </c>
      <c r="AV707" s="7">
        <v>44.207576000000003</v>
      </c>
      <c r="AW707" s="7">
        <v>100</v>
      </c>
      <c r="AX707" s="7">
        <v>0.52900599999999998</v>
      </c>
      <c r="AY707" s="7">
        <v>0.61525700000000005</v>
      </c>
      <c r="AZ707" s="7">
        <v>52.900599</v>
      </c>
      <c r="BA707" s="7">
        <v>100</v>
      </c>
      <c r="BB707" s="4" t="s">
        <v>124</v>
      </c>
      <c r="BC707" s="4" t="s">
        <v>124</v>
      </c>
      <c r="BD707" s="4" t="s">
        <v>124</v>
      </c>
      <c r="BE707" s="4" t="s">
        <v>124</v>
      </c>
      <c r="BF707" s="4" t="s">
        <v>124</v>
      </c>
      <c r="BG707" s="4" t="s">
        <v>124</v>
      </c>
      <c r="BH707" s="7">
        <v>0</v>
      </c>
      <c r="BI707" s="7">
        <v>0.99853800000000004</v>
      </c>
      <c r="BJ707" s="7">
        <v>0.99662200000000001</v>
      </c>
      <c r="BK707" s="7">
        <v>1</v>
      </c>
      <c r="BL707" s="7">
        <v>0.99560800000000005</v>
      </c>
      <c r="BM707" s="7">
        <v>0.99321999999999999</v>
      </c>
      <c r="BN707" s="7">
        <v>0.99742299999999995</v>
      </c>
      <c r="BO707" s="7">
        <v>0.99698799999999999</v>
      </c>
      <c r="BP707" s="7">
        <v>0.99363100000000004</v>
      </c>
      <c r="BQ707" s="7">
        <v>1</v>
      </c>
      <c r="BR707" s="7">
        <v>4.1237000000000003E-2</v>
      </c>
      <c r="BS707" s="7">
        <v>50</v>
      </c>
      <c r="BT707" s="7">
        <v>50</v>
      </c>
      <c r="BU707" s="7">
        <v>8.0153000000000002E-2</v>
      </c>
      <c r="BV707" s="7">
        <v>43.969465999999997</v>
      </c>
      <c r="BW707" s="7">
        <v>50</v>
      </c>
      <c r="BX707" s="4" t="s">
        <v>124</v>
      </c>
      <c r="BY707" s="4" t="s">
        <v>124</v>
      </c>
      <c r="BZ707" s="4" t="s">
        <v>124</v>
      </c>
      <c r="CA707" s="4" t="s">
        <v>124</v>
      </c>
      <c r="CB707" s="4" t="s">
        <v>124</v>
      </c>
      <c r="CC707" s="4" t="s">
        <v>124</v>
      </c>
      <c r="CD707" s="7">
        <v>0.96449700000000005</v>
      </c>
      <c r="CE707" s="7">
        <v>50</v>
      </c>
      <c r="CF707" s="7">
        <v>50</v>
      </c>
      <c r="CG707" s="4" t="s">
        <v>124</v>
      </c>
      <c r="CH707" s="4" t="s">
        <v>124</v>
      </c>
      <c r="CI707" s="4" t="s">
        <v>124</v>
      </c>
      <c r="CJ707" s="4" t="s">
        <v>124</v>
      </c>
      <c r="CK707" s="4" t="s">
        <v>124</v>
      </c>
      <c r="CL707" s="4" t="s">
        <v>124</v>
      </c>
      <c r="CM707" s="4" t="s">
        <v>124</v>
      </c>
      <c r="CN707" s="4" t="s">
        <v>124</v>
      </c>
      <c r="CO707" s="4" t="s">
        <v>124</v>
      </c>
      <c r="CP707" s="4" t="s">
        <v>124</v>
      </c>
      <c r="CQ707" s="7">
        <v>0.28923100000000002</v>
      </c>
      <c r="CR707" s="7">
        <v>0.95029200000000003</v>
      </c>
      <c r="CS707" s="7">
        <v>19.282050999999999</v>
      </c>
      <c r="CT707" s="7">
        <v>50</v>
      </c>
      <c r="CU707" s="4" t="s">
        <v>124</v>
      </c>
      <c r="CV707" s="4" t="s">
        <v>124</v>
      </c>
      <c r="CW707" s="4" t="s">
        <v>124</v>
      </c>
      <c r="CX707" s="4" t="s">
        <v>124</v>
      </c>
      <c r="CY707" s="4" t="s">
        <v>124</v>
      </c>
      <c r="CZ707" s="4" t="s">
        <v>124</v>
      </c>
      <c r="DA707" s="7">
        <v>15.314097</v>
      </c>
      <c r="DB707" s="7">
        <v>17.400950000000002</v>
      </c>
      <c r="DC707" s="7">
        <v>16.332519999999999</v>
      </c>
      <c r="DD707" s="4" t="s">
        <v>124</v>
      </c>
      <c r="DE707" s="7">
        <v>0</v>
      </c>
      <c r="DF707" s="6"/>
      <c r="DG707" s="6"/>
      <c r="DH707" s="6"/>
      <c r="DI707" s="6"/>
      <c r="DJ707" s="7">
        <v>0</v>
      </c>
      <c r="DK707" s="7">
        <v>0</v>
      </c>
      <c r="DL707" s="7">
        <v>0</v>
      </c>
      <c r="DM707" s="7">
        <v>0</v>
      </c>
      <c r="DN707" s="7">
        <v>0</v>
      </c>
      <c r="DO707" s="7">
        <v>0</v>
      </c>
      <c r="DP707" s="6"/>
      <c r="DQ707" s="4" t="s">
        <v>125</v>
      </c>
    </row>
    <row r="708" spans="1:121" ht="20" customHeight="1" x14ac:dyDescent="0.15">
      <c r="A708" s="5">
        <v>2018</v>
      </c>
      <c r="B708" s="3" t="s">
        <v>134</v>
      </c>
      <c r="C708" s="4" t="str">
        <f t="shared" si="231"/>
        <v>0940011</v>
      </c>
      <c r="D708" s="4" t="s">
        <v>864</v>
      </c>
      <c r="E708" s="4" t="str">
        <f>"0945111"</f>
        <v>0945111</v>
      </c>
      <c r="F708" s="4" t="s">
        <v>327</v>
      </c>
      <c r="G708" s="7">
        <v>5</v>
      </c>
      <c r="H708" s="7">
        <v>8</v>
      </c>
      <c r="I708" s="4" t="s">
        <v>329</v>
      </c>
      <c r="J708" s="4" t="s">
        <v>330</v>
      </c>
      <c r="K708" s="7">
        <v>733.19641200000001</v>
      </c>
      <c r="L708" s="7">
        <v>1000</v>
      </c>
      <c r="M708" s="7">
        <v>73.319641000000004</v>
      </c>
      <c r="N708" s="7">
        <v>2</v>
      </c>
      <c r="O708" s="7">
        <v>0</v>
      </c>
      <c r="P708" s="7">
        <v>68.235325000000003</v>
      </c>
      <c r="Q708" s="7">
        <v>45.490217000000001</v>
      </c>
      <c r="R708" s="7">
        <v>50</v>
      </c>
      <c r="S708" s="7">
        <v>62.119793999999999</v>
      </c>
      <c r="T708" s="7">
        <v>73.343592999999998</v>
      </c>
      <c r="U708" s="7">
        <v>41.413195999999999</v>
      </c>
      <c r="V708" s="7">
        <v>50</v>
      </c>
      <c r="W708" s="7">
        <v>67.661520999999993</v>
      </c>
      <c r="X708" s="7">
        <v>45.107680999999999</v>
      </c>
      <c r="Y708" s="7">
        <v>50</v>
      </c>
      <c r="Z708" s="7">
        <v>73.201929000000007</v>
      </c>
      <c r="AA708" s="7">
        <v>60.981597000000001</v>
      </c>
      <c r="AB708" s="7">
        <v>40.654398</v>
      </c>
      <c r="AC708" s="7">
        <v>50</v>
      </c>
      <c r="AD708" s="7">
        <v>66.552047999999999</v>
      </c>
      <c r="AE708" s="7">
        <v>44.368031999999999</v>
      </c>
      <c r="AF708" s="7">
        <v>50</v>
      </c>
      <c r="AG708" s="7">
        <v>61.70138</v>
      </c>
      <c r="AH708" s="7">
        <v>71.213729999999998</v>
      </c>
      <c r="AI708" s="7">
        <v>41.134253000000001</v>
      </c>
      <c r="AJ708" s="7">
        <v>50</v>
      </c>
      <c r="AK708" s="7">
        <v>11.22</v>
      </c>
      <c r="AL708" s="7">
        <v>12.22</v>
      </c>
      <c r="AM708" s="7">
        <v>9.51</v>
      </c>
      <c r="AN708" s="7">
        <v>0.54080700000000004</v>
      </c>
      <c r="AO708" s="7">
        <v>54.080728000000001</v>
      </c>
      <c r="AP708" s="7">
        <v>100</v>
      </c>
      <c r="AQ708" s="7">
        <v>0.63696399999999997</v>
      </c>
      <c r="AR708" s="7">
        <v>63.696395000000003</v>
      </c>
      <c r="AS708" s="7">
        <v>100</v>
      </c>
      <c r="AT708" s="7">
        <v>0.54023399999999999</v>
      </c>
      <c r="AU708" s="7">
        <v>0.54120999999999997</v>
      </c>
      <c r="AV708" s="7">
        <v>54.023394000000003</v>
      </c>
      <c r="AW708" s="7">
        <v>100</v>
      </c>
      <c r="AX708" s="7">
        <v>0.57972100000000004</v>
      </c>
      <c r="AY708" s="7">
        <v>0.676875</v>
      </c>
      <c r="AZ708" s="7">
        <v>57.972115000000002</v>
      </c>
      <c r="BA708" s="7">
        <v>100</v>
      </c>
      <c r="BB708" s="7">
        <v>0.57724799999999998</v>
      </c>
      <c r="BC708" s="7">
        <v>28.862397999999999</v>
      </c>
      <c r="BD708" s="7">
        <v>50</v>
      </c>
      <c r="BE708" s="7">
        <v>0.56288899999999997</v>
      </c>
      <c r="BF708" s="7">
        <v>28.144451</v>
      </c>
      <c r="BG708" s="7">
        <v>50</v>
      </c>
      <c r="BH708" s="7">
        <v>0</v>
      </c>
      <c r="BI708" s="7">
        <v>0.99532699999999996</v>
      </c>
      <c r="BJ708" s="7">
        <v>0.99331100000000006</v>
      </c>
      <c r="BK708" s="7">
        <v>0.997085</v>
      </c>
      <c r="BL708" s="7">
        <v>0.99377899999999997</v>
      </c>
      <c r="BM708" s="7">
        <v>0.99</v>
      </c>
      <c r="BN708" s="7">
        <v>0.997085</v>
      </c>
      <c r="BO708" s="7">
        <v>0.98397400000000002</v>
      </c>
      <c r="BP708" s="7">
        <v>1</v>
      </c>
      <c r="BQ708" s="7">
        <v>0.968553</v>
      </c>
      <c r="BR708" s="7">
        <v>4.3546000000000001E-2</v>
      </c>
      <c r="BS708" s="7">
        <v>50</v>
      </c>
      <c r="BT708" s="7">
        <v>50</v>
      </c>
      <c r="BU708" s="7">
        <v>7.0111000000000007E-2</v>
      </c>
      <c r="BV708" s="7">
        <v>45.97786</v>
      </c>
      <c r="BW708" s="7">
        <v>50</v>
      </c>
      <c r="BX708" s="4" t="s">
        <v>124</v>
      </c>
      <c r="BY708" s="4" t="s">
        <v>124</v>
      </c>
      <c r="BZ708" s="4" t="s">
        <v>124</v>
      </c>
      <c r="CA708" s="4" t="s">
        <v>124</v>
      </c>
      <c r="CB708" s="4" t="s">
        <v>124</v>
      </c>
      <c r="CC708" s="4" t="s">
        <v>124</v>
      </c>
      <c r="CD708" s="7">
        <v>0.95973200000000003</v>
      </c>
      <c r="CE708" s="7">
        <v>50</v>
      </c>
      <c r="CF708" s="7">
        <v>50</v>
      </c>
      <c r="CG708" s="4" t="s">
        <v>124</v>
      </c>
      <c r="CH708" s="4" t="s">
        <v>124</v>
      </c>
      <c r="CI708" s="4" t="s">
        <v>124</v>
      </c>
      <c r="CJ708" s="4" t="s">
        <v>124</v>
      </c>
      <c r="CK708" s="4" t="s">
        <v>124</v>
      </c>
      <c r="CL708" s="4" t="s">
        <v>124</v>
      </c>
      <c r="CM708" s="4" t="s">
        <v>124</v>
      </c>
      <c r="CN708" s="4" t="s">
        <v>124</v>
      </c>
      <c r="CO708" s="4" t="s">
        <v>124</v>
      </c>
      <c r="CP708" s="4" t="s">
        <v>124</v>
      </c>
      <c r="CQ708" s="7">
        <v>0.63406899999999999</v>
      </c>
      <c r="CR708" s="7">
        <v>0.97538499999999995</v>
      </c>
      <c r="CS708" s="7">
        <v>42.271293</v>
      </c>
      <c r="CT708" s="7">
        <v>50</v>
      </c>
      <c r="CU708" s="4" t="s">
        <v>124</v>
      </c>
      <c r="CV708" s="4" t="s">
        <v>124</v>
      </c>
      <c r="CW708" s="4" t="s">
        <v>124</v>
      </c>
      <c r="CX708" s="4" t="s">
        <v>124</v>
      </c>
      <c r="CY708" s="4" t="s">
        <v>124</v>
      </c>
      <c r="CZ708" s="4" t="s">
        <v>124</v>
      </c>
      <c r="DA708" s="7">
        <v>15.314097</v>
      </c>
      <c r="DB708" s="7">
        <v>17.400950000000002</v>
      </c>
      <c r="DC708" s="7">
        <v>16.332519999999999</v>
      </c>
      <c r="DD708" s="4" t="s">
        <v>124</v>
      </c>
      <c r="DE708" s="7">
        <v>0</v>
      </c>
      <c r="DF708" s="6"/>
      <c r="DG708" s="6"/>
      <c r="DH708" s="6"/>
      <c r="DI708" s="6"/>
      <c r="DJ708" s="7">
        <v>0</v>
      </c>
      <c r="DK708" s="7">
        <v>0</v>
      </c>
      <c r="DL708" s="7">
        <v>0</v>
      </c>
      <c r="DM708" s="7">
        <v>0</v>
      </c>
      <c r="DN708" s="7">
        <v>0</v>
      </c>
      <c r="DO708" s="7">
        <v>0</v>
      </c>
      <c r="DP708" s="6"/>
      <c r="DQ708" s="4" t="s">
        <v>125</v>
      </c>
    </row>
    <row r="709" spans="1:121" ht="20" customHeight="1" x14ac:dyDescent="0.15">
      <c r="A709" s="5">
        <v>2018</v>
      </c>
      <c r="B709" s="3" t="s">
        <v>134</v>
      </c>
      <c r="C709" s="4" t="str">
        <f t="shared" si="231"/>
        <v>0940011</v>
      </c>
      <c r="D709" s="4" t="s">
        <v>865</v>
      </c>
      <c r="E709" s="4" t="str">
        <f>"0946111"</f>
        <v>0946111</v>
      </c>
      <c r="F709" s="4" t="s">
        <v>327</v>
      </c>
      <c r="G709" s="7">
        <v>9</v>
      </c>
      <c r="H709" s="7">
        <v>12</v>
      </c>
      <c r="I709" s="6"/>
      <c r="J709" s="4" t="s">
        <v>330</v>
      </c>
      <c r="K709" s="7">
        <v>1194.2976779999999</v>
      </c>
      <c r="L709" s="7">
        <v>1450</v>
      </c>
      <c r="M709" s="7">
        <v>82.365357000000003</v>
      </c>
      <c r="N709" s="7">
        <v>2</v>
      </c>
      <c r="O709" s="7">
        <v>0</v>
      </c>
      <c r="P709" s="7">
        <v>61.486249000000001</v>
      </c>
      <c r="Q709" s="7">
        <v>122.972497</v>
      </c>
      <c r="R709" s="7">
        <v>150</v>
      </c>
      <c r="S709" s="7">
        <v>52.539473999999998</v>
      </c>
      <c r="T709" s="7">
        <v>66.882716000000002</v>
      </c>
      <c r="U709" s="7">
        <v>105.078947</v>
      </c>
      <c r="V709" s="7">
        <v>150</v>
      </c>
      <c r="W709" s="7">
        <v>59.826366</v>
      </c>
      <c r="X709" s="7">
        <v>119.652732</v>
      </c>
      <c r="Y709" s="7">
        <v>150</v>
      </c>
      <c r="Z709" s="7">
        <v>64.671075999999999</v>
      </c>
      <c r="AA709" s="7">
        <v>51.794347000000002</v>
      </c>
      <c r="AB709" s="7">
        <v>103.588694</v>
      </c>
      <c r="AC709" s="7">
        <v>150</v>
      </c>
      <c r="AD709" s="7">
        <v>60.262163000000001</v>
      </c>
      <c r="AE709" s="7">
        <v>80.349551000000005</v>
      </c>
      <c r="AF709" s="7">
        <v>100</v>
      </c>
      <c r="AG709" s="7">
        <v>53.814183</v>
      </c>
      <c r="AH709" s="7">
        <v>64.257107000000005</v>
      </c>
      <c r="AI709" s="7">
        <v>71.752244000000005</v>
      </c>
      <c r="AJ709" s="7">
        <v>100</v>
      </c>
      <c r="AK709" s="7">
        <v>14.34</v>
      </c>
      <c r="AL709" s="7">
        <v>12.87</v>
      </c>
      <c r="AM709" s="7">
        <v>10.44</v>
      </c>
      <c r="AN709" s="4" t="s">
        <v>124</v>
      </c>
      <c r="AO709" s="4" t="s">
        <v>124</v>
      </c>
      <c r="AP709" s="4" t="s">
        <v>124</v>
      </c>
      <c r="AQ709" s="4" t="s">
        <v>124</v>
      </c>
      <c r="AR709" s="4" t="s">
        <v>124</v>
      </c>
      <c r="AS709" s="4" t="s">
        <v>124</v>
      </c>
      <c r="AT709" s="4" t="s">
        <v>124</v>
      </c>
      <c r="AU709" s="4" t="s">
        <v>124</v>
      </c>
      <c r="AV709" s="4" t="s">
        <v>124</v>
      </c>
      <c r="AW709" s="4" t="s">
        <v>124</v>
      </c>
      <c r="AX709" s="4" t="s">
        <v>124</v>
      </c>
      <c r="AY709" s="4" t="s">
        <v>124</v>
      </c>
      <c r="AZ709" s="4" t="s">
        <v>124</v>
      </c>
      <c r="BA709" s="4" t="s">
        <v>124</v>
      </c>
      <c r="BB709" s="4" t="s">
        <v>124</v>
      </c>
      <c r="BC709" s="4" t="s">
        <v>124</v>
      </c>
      <c r="BD709" s="4" t="s">
        <v>124</v>
      </c>
      <c r="BE709" s="4" t="s">
        <v>124</v>
      </c>
      <c r="BF709" s="4" t="s">
        <v>124</v>
      </c>
      <c r="BG709" s="4" t="s">
        <v>124</v>
      </c>
      <c r="BH709" s="7">
        <v>0</v>
      </c>
      <c r="BI709" s="7">
        <v>0.99032299999999995</v>
      </c>
      <c r="BJ709" s="7">
        <v>0.98333300000000001</v>
      </c>
      <c r="BK709" s="7">
        <v>0.99473699999999998</v>
      </c>
      <c r="BL709" s="7">
        <v>0.99032299999999995</v>
      </c>
      <c r="BM709" s="7">
        <v>0.98333300000000001</v>
      </c>
      <c r="BN709" s="7">
        <v>0.99473699999999998</v>
      </c>
      <c r="BO709" s="7">
        <v>0.96474400000000005</v>
      </c>
      <c r="BP709" s="7">
        <v>0.96694199999999997</v>
      </c>
      <c r="BQ709" s="7">
        <v>0.96335099999999996</v>
      </c>
      <c r="BR709" s="7">
        <v>8.3655999999999994E-2</v>
      </c>
      <c r="BS709" s="7">
        <v>43.268783999999997</v>
      </c>
      <c r="BT709" s="7">
        <v>50</v>
      </c>
      <c r="BU709" s="7">
        <v>0.143182</v>
      </c>
      <c r="BV709" s="7">
        <v>31.363636</v>
      </c>
      <c r="BW709" s="7">
        <v>50</v>
      </c>
      <c r="BX709" s="7">
        <v>0.82677199999999995</v>
      </c>
      <c r="BY709" s="7">
        <v>50</v>
      </c>
      <c r="BZ709" s="7">
        <v>50</v>
      </c>
      <c r="CA709" s="7">
        <v>0.52440900000000001</v>
      </c>
      <c r="CB709" s="7">
        <v>34.960630000000002</v>
      </c>
      <c r="CC709" s="7">
        <v>50</v>
      </c>
      <c r="CD709" s="7">
        <v>0.95548999999999995</v>
      </c>
      <c r="CE709" s="7">
        <v>50</v>
      </c>
      <c r="CF709" s="7">
        <v>50</v>
      </c>
      <c r="CG709" s="7">
        <v>0.96</v>
      </c>
      <c r="CH709" s="7">
        <v>100</v>
      </c>
      <c r="CI709" s="7">
        <v>100</v>
      </c>
      <c r="CJ709" s="7">
        <v>0</v>
      </c>
      <c r="CK709" s="7">
        <v>0.91891900000000004</v>
      </c>
      <c r="CL709" s="7">
        <v>97.757332000000005</v>
      </c>
      <c r="CM709" s="7">
        <v>100</v>
      </c>
      <c r="CN709" s="7">
        <v>0.75337799999999999</v>
      </c>
      <c r="CO709" s="7">
        <v>100</v>
      </c>
      <c r="CP709" s="7">
        <v>100</v>
      </c>
      <c r="CQ709" s="7">
        <v>0.50328899999999999</v>
      </c>
      <c r="CR709" s="7">
        <v>0.95</v>
      </c>
      <c r="CS709" s="7">
        <v>33.552632000000003</v>
      </c>
      <c r="CT709" s="7">
        <v>50</v>
      </c>
      <c r="CU709" s="7">
        <v>0.62819499999999995</v>
      </c>
      <c r="CV709" s="7">
        <v>50</v>
      </c>
      <c r="CW709" s="7">
        <v>50</v>
      </c>
      <c r="CX709" s="7">
        <v>0.91891900000000004</v>
      </c>
      <c r="CY709" s="7">
        <v>0.94</v>
      </c>
      <c r="CZ709" s="7">
        <v>2.1080999999999999E-2</v>
      </c>
      <c r="DA709" s="7">
        <v>15.314097</v>
      </c>
      <c r="DB709" s="7">
        <v>17.400950000000002</v>
      </c>
      <c r="DC709" s="7">
        <v>16.332519999999999</v>
      </c>
      <c r="DD709" s="7">
        <v>7.9891730000000001</v>
      </c>
      <c r="DE709" s="7">
        <v>0</v>
      </c>
      <c r="DF709" s="6"/>
      <c r="DG709" s="6"/>
      <c r="DH709" s="6"/>
      <c r="DI709" s="6"/>
      <c r="DJ709" s="7">
        <v>0</v>
      </c>
      <c r="DK709" s="7">
        <v>0</v>
      </c>
      <c r="DL709" s="7">
        <v>0</v>
      </c>
      <c r="DM709" s="7">
        <v>0</v>
      </c>
      <c r="DN709" s="7">
        <v>0</v>
      </c>
      <c r="DO709" s="7">
        <v>0</v>
      </c>
      <c r="DP709" s="6"/>
      <c r="DQ709" s="4" t="s">
        <v>125</v>
      </c>
    </row>
    <row r="710" spans="1:121" ht="20" customHeight="1" x14ac:dyDescent="0.15">
      <c r="A710" s="5">
        <v>2018</v>
      </c>
      <c r="B710" s="3" t="s">
        <v>134</v>
      </c>
      <c r="C710" s="4" t="str">
        <f t="shared" si="231"/>
        <v>0940011</v>
      </c>
      <c r="D710" s="4" t="s">
        <v>866</v>
      </c>
      <c r="E710" s="4" t="str">
        <f>"0940711"</f>
        <v>0940711</v>
      </c>
      <c r="F710" s="4" t="s">
        <v>327</v>
      </c>
      <c r="G710" s="4" t="s">
        <v>338</v>
      </c>
      <c r="H710" s="7">
        <v>4</v>
      </c>
      <c r="I710" s="6"/>
      <c r="J710" s="4" t="s">
        <v>330</v>
      </c>
      <c r="K710" s="7">
        <v>618.72855200000004</v>
      </c>
      <c r="L710" s="7">
        <v>850</v>
      </c>
      <c r="M710" s="7">
        <v>72.791594000000003</v>
      </c>
      <c r="N710" s="7">
        <v>2</v>
      </c>
      <c r="O710" s="7">
        <v>0</v>
      </c>
      <c r="P710" s="7">
        <v>72.430339000000004</v>
      </c>
      <c r="Q710" s="7">
        <v>48.286892999999999</v>
      </c>
      <c r="R710" s="7">
        <v>50</v>
      </c>
      <c r="S710" s="7">
        <v>64.067411000000007</v>
      </c>
      <c r="T710" s="7">
        <v>75</v>
      </c>
      <c r="U710" s="7">
        <v>42.711607000000001</v>
      </c>
      <c r="V710" s="7">
        <v>50</v>
      </c>
      <c r="W710" s="7">
        <v>68.264376999999996</v>
      </c>
      <c r="X710" s="7">
        <v>45.509585000000001</v>
      </c>
      <c r="Y710" s="7">
        <v>50</v>
      </c>
      <c r="Z710" s="7">
        <v>75</v>
      </c>
      <c r="AA710" s="7">
        <v>59.139955999999998</v>
      </c>
      <c r="AB710" s="7">
        <v>39.426636999999999</v>
      </c>
      <c r="AC710" s="7">
        <v>50</v>
      </c>
      <c r="AD710" s="4" t="s">
        <v>124</v>
      </c>
      <c r="AE710" s="4" t="s">
        <v>124</v>
      </c>
      <c r="AF710" s="4" t="s">
        <v>124</v>
      </c>
      <c r="AG710" s="4" t="s">
        <v>124</v>
      </c>
      <c r="AH710" s="4" t="s">
        <v>124</v>
      </c>
      <c r="AI710" s="4" t="s">
        <v>124</v>
      </c>
      <c r="AJ710" s="4" t="s">
        <v>124</v>
      </c>
      <c r="AK710" s="7">
        <v>10.93</v>
      </c>
      <c r="AL710" s="7">
        <v>15.86</v>
      </c>
      <c r="AM710" s="4" t="s">
        <v>124</v>
      </c>
      <c r="AN710" s="7">
        <v>0.56113000000000002</v>
      </c>
      <c r="AO710" s="7">
        <v>56.113008000000001</v>
      </c>
      <c r="AP710" s="7">
        <v>100</v>
      </c>
      <c r="AQ710" s="7">
        <v>0.60333099999999995</v>
      </c>
      <c r="AR710" s="7">
        <v>60.333070999999997</v>
      </c>
      <c r="AS710" s="7">
        <v>100</v>
      </c>
      <c r="AT710" s="7">
        <v>0.55466000000000004</v>
      </c>
      <c r="AU710" s="7">
        <v>0.56498099999999996</v>
      </c>
      <c r="AV710" s="7">
        <v>55.466016000000003</v>
      </c>
      <c r="AW710" s="7">
        <v>100</v>
      </c>
      <c r="AX710" s="7">
        <v>0.58829399999999998</v>
      </c>
      <c r="AY710" s="7">
        <v>0.61228099999999996</v>
      </c>
      <c r="AZ710" s="7">
        <v>58.829425000000001</v>
      </c>
      <c r="BA710" s="7">
        <v>100</v>
      </c>
      <c r="BB710" s="7">
        <v>0.935446</v>
      </c>
      <c r="BC710" s="7">
        <v>46.772286999999999</v>
      </c>
      <c r="BD710" s="7">
        <v>50</v>
      </c>
      <c r="BE710" s="7">
        <v>0.59971799999999997</v>
      </c>
      <c r="BF710" s="7">
        <v>29.985904999999999</v>
      </c>
      <c r="BG710" s="7">
        <v>50</v>
      </c>
      <c r="BH710" s="7">
        <v>0</v>
      </c>
      <c r="BI710" s="7">
        <v>1</v>
      </c>
      <c r="BJ710" s="7">
        <v>1</v>
      </c>
      <c r="BK710" s="7">
        <v>1</v>
      </c>
      <c r="BL710" s="7">
        <v>1</v>
      </c>
      <c r="BM710" s="7">
        <v>1</v>
      </c>
      <c r="BN710" s="7">
        <v>1</v>
      </c>
      <c r="BO710" s="4" t="s">
        <v>124</v>
      </c>
      <c r="BP710" s="4" t="s">
        <v>124</v>
      </c>
      <c r="BQ710" s="4" t="s">
        <v>124</v>
      </c>
      <c r="BR710" s="7">
        <v>2.4615000000000001E-2</v>
      </c>
      <c r="BS710" s="7">
        <v>50</v>
      </c>
      <c r="BT710" s="7">
        <v>50</v>
      </c>
      <c r="BU710" s="7">
        <v>4.9296E-2</v>
      </c>
      <c r="BV710" s="7">
        <v>50</v>
      </c>
      <c r="BW710" s="7">
        <v>50</v>
      </c>
      <c r="BX710" s="4" t="s">
        <v>124</v>
      </c>
      <c r="BY710" s="4" t="s">
        <v>124</v>
      </c>
      <c r="BZ710" s="4" t="s">
        <v>124</v>
      </c>
      <c r="CA710" s="4" t="s">
        <v>124</v>
      </c>
      <c r="CB710" s="4" t="s">
        <v>124</v>
      </c>
      <c r="CC710" s="4" t="s">
        <v>124</v>
      </c>
      <c r="CD710" s="4" t="s">
        <v>124</v>
      </c>
      <c r="CE710" s="4" t="s">
        <v>124</v>
      </c>
      <c r="CF710" s="4" t="s">
        <v>124</v>
      </c>
      <c r="CG710" s="4" t="s">
        <v>124</v>
      </c>
      <c r="CH710" s="4" t="s">
        <v>124</v>
      </c>
      <c r="CI710" s="4" t="s">
        <v>124</v>
      </c>
      <c r="CJ710" s="4" t="s">
        <v>124</v>
      </c>
      <c r="CK710" s="4" t="s">
        <v>124</v>
      </c>
      <c r="CL710" s="4" t="s">
        <v>124</v>
      </c>
      <c r="CM710" s="4" t="s">
        <v>124</v>
      </c>
      <c r="CN710" s="4" t="s">
        <v>124</v>
      </c>
      <c r="CO710" s="4" t="s">
        <v>124</v>
      </c>
      <c r="CP710" s="4" t="s">
        <v>124</v>
      </c>
      <c r="CQ710" s="7">
        <v>0.52941199999999999</v>
      </c>
      <c r="CR710" s="7">
        <v>0.97142899999999999</v>
      </c>
      <c r="CS710" s="7">
        <v>35.294117999999997</v>
      </c>
      <c r="CT710" s="7">
        <v>50</v>
      </c>
      <c r="CU710" s="4" t="s">
        <v>124</v>
      </c>
      <c r="CV710" s="4" t="s">
        <v>124</v>
      </c>
      <c r="CW710" s="4" t="s">
        <v>124</v>
      </c>
      <c r="CX710" s="4" t="s">
        <v>124</v>
      </c>
      <c r="CY710" s="4" t="s">
        <v>124</v>
      </c>
      <c r="CZ710" s="4" t="s">
        <v>124</v>
      </c>
      <c r="DA710" s="7">
        <v>15.314097</v>
      </c>
      <c r="DB710" s="7">
        <v>17.400950000000002</v>
      </c>
      <c r="DC710" s="7">
        <v>16.332519999999999</v>
      </c>
      <c r="DD710" s="4" t="s">
        <v>124</v>
      </c>
      <c r="DE710" s="7">
        <v>0</v>
      </c>
      <c r="DF710" s="6"/>
      <c r="DG710" s="6"/>
      <c r="DH710" s="6"/>
      <c r="DI710" s="6"/>
      <c r="DJ710" s="7">
        <v>0</v>
      </c>
      <c r="DK710" s="7">
        <v>0</v>
      </c>
      <c r="DL710" s="7">
        <v>0</v>
      </c>
      <c r="DM710" s="7">
        <v>0</v>
      </c>
      <c r="DN710" s="7">
        <v>0</v>
      </c>
      <c r="DO710" s="7">
        <v>0</v>
      </c>
      <c r="DP710" s="6"/>
      <c r="DQ710" s="4" t="s">
        <v>125</v>
      </c>
    </row>
    <row r="711" spans="1:121" ht="20" customHeight="1" x14ac:dyDescent="0.15">
      <c r="A711" s="5">
        <v>2018</v>
      </c>
      <c r="B711" s="3" t="s">
        <v>236</v>
      </c>
      <c r="C711" s="4" t="str">
        <f t="shared" si="111"/>
        <v>0950011</v>
      </c>
      <c r="D711" s="4" t="s">
        <v>867</v>
      </c>
      <c r="E711" s="4" t="str">
        <f>"0955111"</f>
        <v>0955111</v>
      </c>
      <c r="F711" s="4" t="s">
        <v>327</v>
      </c>
      <c r="G711" s="7">
        <v>6</v>
      </c>
      <c r="H711" s="7">
        <v>8</v>
      </c>
      <c r="I711" s="4" t="s">
        <v>335</v>
      </c>
      <c r="J711" s="4" t="s">
        <v>330</v>
      </c>
      <c r="K711" s="7">
        <v>468.53216600000002</v>
      </c>
      <c r="L711" s="7">
        <v>1000</v>
      </c>
      <c r="M711" s="7">
        <v>46.853217000000001</v>
      </c>
      <c r="N711" s="7">
        <v>4</v>
      </c>
      <c r="O711" s="7">
        <v>0</v>
      </c>
      <c r="P711" s="7">
        <v>47.500948999999999</v>
      </c>
      <c r="Q711" s="7">
        <v>31.667299</v>
      </c>
      <c r="R711" s="7">
        <v>50</v>
      </c>
      <c r="S711" s="7">
        <v>47.180402000000001</v>
      </c>
      <c r="T711" s="4" t="s">
        <v>124</v>
      </c>
      <c r="U711" s="7">
        <v>31.453600999999999</v>
      </c>
      <c r="V711" s="7">
        <v>50</v>
      </c>
      <c r="W711" s="7">
        <v>40.704774</v>
      </c>
      <c r="X711" s="7">
        <v>27.136516</v>
      </c>
      <c r="Y711" s="7">
        <v>50</v>
      </c>
      <c r="Z711" s="4" t="s">
        <v>124</v>
      </c>
      <c r="AA711" s="7">
        <v>40.297784999999998</v>
      </c>
      <c r="AB711" s="7">
        <v>26.865189999999998</v>
      </c>
      <c r="AC711" s="7">
        <v>50</v>
      </c>
      <c r="AD711" s="7">
        <v>47.835503000000003</v>
      </c>
      <c r="AE711" s="7">
        <v>31.890335</v>
      </c>
      <c r="AF711" s="7">
        <v>50</v>
      </c>
      <c r="AG711" s="7">
        <v>47.070808</v>
      </c>
      <c r="AH711" s="4" t="s">
        <v>124</v>
      </c>
      <c r="AI711" s="7">
        <v>31.380538999999999</v>
      </c>
      <c r="AJ711" s="7">
        <v>50</v>
      </c>
      <c r="AK711" s="4" t="s">
        <v>124</v>
      </c>
      <c r="AL711" s="4" t="s">
        <v>124</v>
      </c>
      <c r="AM711" s="4" t="s">
        <v>124</v>
      </c>
      <c r="AN711" s="7">
        <v>0.42141600000000001</v>
      </c>
      <c r="AO711" s="7">
        <v>42.141573999999999</v>
      </c>
      <c r="AP711" s="7">
        <v>100</v>
      </c>
      <c r="AQ711" s="7">
        <v>0.40146799999999999</v>
      </c>
      <c r="AR711" s="7">
        <v>40.146818000000003</v>
      </c>
      <c r="AS711" s="7">
        <v>100</v>
      </c>
      <c r="AT711" s="7">
        <v>0.41667700000000002</v>
      </c>
      <c r="AU711" s="4" t="s">
        <v>124</v>
      </c>
      <c r="AV711" s="7">
        <v>41.667709000000002</v>
      </c>
      <c r="AW711" s="7">
        <v>100</v>
      </c>
      <c r="AX711" s="7">
        <v>0.40237600000000001</v>
      </c>
      <c r="AY711" s="4" t="s">
        <v>124</v>
      </c>
      <c r="AZ711" s="7">
        <v>40.237605000000002</v>
      </c>
      <c r="BA711" s="7">
        <v>100</v>
      </c>
      <c r="BB711" s="7">
        <v>0.60468</v>
      </c>
      <c r="BC711" s="7">
        <v>30.234003999999999</v>
      </c>
      <c r="BD711" s="7">
        <v>50</v>
      </c>
      <c r="BE711" s="7">
        <v>0.499031</v>
      </c>
      <c r="BF711" s="7">
        <v>24.951530999999999</v>
      </c>
      <c r="BG711" s="7">
        <v>50</v>
      </c>
      <c r="BH711" s="7">
        <v>0</v>
      </c>
      <c r="BI711" s="7">
        <v>0.99</v>
      </c>
      <c r="BJ711" s="7">
        <v>0.98972599999999999</v>
      </c>
      <c r="BK711" s="4" t="s">
        <v>124</v>
      </c>
      <c r="BL711" s="7">
        <v>0.98333300000000001</v>
      </c>
      <c r="BM711" s="7">
        <v>0.982877</v>
      </c>
      <c r="BN711" s="4" t="s">
        <v>124</v>
      </c>
      <c r="BO711" s="7">
        <v>0.96610200000000002</v>
      </c>
      <c r="BP711" s="7">
        <v>0.96428599999999998</v>
      </c>
      <c r="BQ711" s="4" t="s">
        <v>124</v>
      </c>
      <c r="BR711" s="7">
        <v>0.28666700000000001</v>
      </c>
      <c r="BS711" s="7">
        <v>2.6666669999999999</v>
      </c>
      <c r="BT711" s="7">
        <v>50</v>
      </c>
      <c r="BU711" s="7">
        <v>0.28668900000000003</v>
      </c>
      <c r="BV711" s="7">
        <v>2.6621160000000001</v>
      </c>
      <c r="BW711" s="7">
        <v>50</v>
      </c>
      <c r="BX711" s="4" t="s">
        <v>124</v>
      </c>
      <c r="BY711" s="4" t="s">
        <v>124</v>
      </c>
      <c r="BZ711" s="4" t="s">
        <v>124</v>
      </c>
      <c r="CA711" s="4" t="s">
        <v>124</v>
      </c>
      <c r="CB711" s="4" t="s">
        <v>124</v>
      </c>
      <c r="CC711" s="4" t="s">
        <v>124</v>
      </c>
      <c r="CD711" s="7">
        <v>0.84552799999999995</v>
      </c>
      <c r="CE711" s="7">
        <v>44.974918000000002</v>
      </c>
      <c r="CF711" s="7">
        <v>50</v>
      </c>
      <c r="CG711" s="4" t="s">
        <v>124</v>
      </c>
      <c r="CH711" s="4" t="s">
        <v>124</v>
      </c>
      <c r="CI711" s="4" t="s">
        <v>124</v>
      </c>
      <c r="CJ711" s="4" t="s">
        <v>124</v>
      </c>
      <c r="CK711" s="4" t="s">
        <v>124</v>
      </c>
      <c r="CL711" s="4" t="s">
        <v>124</v>
      </c>
      <c r="CM711" s="4" t="s">
        <v>124</v>
      </c>
      <c r="CN711" s="4" t="s">
        <v>124</v>
      </c>
      <c r="CO711" s="4" t="s">
        <v>124</v>
      </c>
      <c r="CP711" s="4" t="s">
        <v>124</v>
      </c>
      <c r="CQ711" s="7">
        <v>0.55367200000000005</v>
      </c>
      <c r="CR711" s="7">
        <v>0.86341500000000004</v>
      </c>
      <c r="CS711" s="7">
        <v>18.455743999999999</v>
      </c>
      <c r="CT711" s="7">
        <v>50</v>
      </c>
      <c r="CU711" s="4" t="s">
        <v>124</v>
      </c>
      <c r="CV711" s="4" t="s">
        <v>124</v>
      </c>
      <c r="CW711" s="4" t="s">
        <v>124</v>
      </c>
      <c r="CX711" s="4" t="s">
        <v>124</v>
      </c>
      <c r="CY711" s="4" t="s">
        <v>124</v>
      </c>
      <c r="CZ711" s="4" t="s">
        <v>124</v>
      </c>
      <c r="DA711" s="7">
        <v>15.314097</v>
      </c>
      <c r="DB711" s="7">
        <v>17.400950000000002</v>
      </c>
      <c r="DC711" s="7">
        <v>16.332519999999999</v>
      </c>
      <c r="DD711" s="4" t="s">
        <v>124</v>
      </c>
      <c r="DE711" s="7">
        <v>0</v>
      </c>
      <c r="DF711" s="4" t="s">
        <v>375</v>
      </c>
      <c r="DG711" s="4" t="s">
        <v>376</v>
      </c>
      <c r="DH711" s="6"/>
      <c r="DI711" s="6"/>
      <c r="DJ711" s="7">
        <v>0</v>
      </c>
      <c r="DK711" s="7">
        <v>0</v>
      </c>
      <c r="DL711" s="7">
        <v>0</v>
      </c>
      <c r="DM711" s="7">
        <v>0</v>
      </c>
      <c r="DN711" s="7">
        <v>0</v>
      </c>
      <c r="DO711" s="7">
        <v>0</v>
      </c>
      <c r="DP711" s="6"/>
      <c r="DQ711" s="4" t="s">
        <v>125</v>
      </c>
    </row>
    <row r="712" spans="1:121" ht="20" customHeight="1" x14ac:dyDescent="0.15">
      <c r="A712" s="5">
        <v>2018</v>
      </c>
      <c r="B712" s="3" t="s">
        <v>236</v>
      </c>
      <c r="C712" s="4" t="str">
        <f t="shared" ref="C712:C718" si="232">"0950011"</f>
        <v>0950011</v>
      </c>
      <c r="D712" s="4" t="s">
        <v>868</v>
      </c>
      <c r="E712" s="4" t="str">
        <f>"0950311"</f>
        <v>0950311</v>
      </c>
      <c r="F712" s="4" t="s">
        <v>327</v>
      </c>
      <c r="G712" s="4" t="s">
        <v>328</v>
      </c>
      <c r="H712" s="7">
        <v>5</v>
      </c>
      <c r="I712" s="4" t="s">
        <v>335</v>
      </c>
      <c r="J712" s="4" t="s">
        <v>330</v>
      </c>
      <c r="K712" s="7">
        <v>523.909583</v>
      </c>
      <c r="L712" s="7">
        <v>950</v>
      </c>
      <c r="M712" s="7">
        <v>55.148377000000004</v>
      </c>
      <c r="N712" s="7">
        <v>3</v>
      </c>
      <c r="O712" s="7">
        <v>0</v>
      </c>
      <c r="P712" s="7">
        <v>52.136947999999997</v>
      </c>
      <c r="Q712" s="7">
        <v>34.757964999999999</v>
      </c>
      <c r="R712" s="7">
        <v>50</v>
      </c>
      <c r="S712" s="7">
        <v>51.332957999999998</v>
      </c>
      <c r="T712" s="4" t="s">
        <v>124</v>
      </c>
      <c r="U712" s="7">
        <v>34.221972000000001</v>
      </c>
      <c r="V712" s="7">
        <v>50</v>
      </c>
      <c r="W712" s="7">
        <v>48.205841999999997</v>
      </c>
      <c r="X712" s="7">
        <v>32.137228</v>
      </c>
      <c r="Y712" s="7">
        <v>50</v>
      </c>
      <c r="Z712" s="4" t="s">
        <v>124</v>
      </c>
      <c r="AA712" s="7">
        <v>47.35528</v>
      </c>
      <c r="AB712" s="7">
        <v>31.570187000000001</v>
      </c>
      <c r="AC712" s="7">
        <v>50</v>
      </c>
      <c r="AD712" s="7">
        <v>47.497084999999998</v>
      </c>
      <c r="AE712" s="7">
        <v>31.664722999999999</v>
      </c>
      <c r="AF712" s="7">
        <v>50</v>
      </c>
      <c r="AG712" s="7">
        <v>47.291128999999998</v>
      </c>
      <c r="AH712" s="4" t="s">
        <v>124</v>
      </c>
      <c r="AI712" s="7">
        <v>31.527418999999998</v>
      </c>
      <c r="AJ712" s="7">
        <v>50</v>
      </c>
      <c r="AK712" s="4" t="s">
        <v>124</v>
      </c>
      <c r="AL712" s="4" t="s">
        <v>124</v>
      </c>
      <c r="AM712" s="4" t="s">
        <v>124</v>
      </c>
      <c r="AN712" s="7">
        <v>0.49014799999999997</v>
      </c>
      <c r="AO712" s="7">
        <v>49.014814000000001</v>
      </c>
      <c r="AP712" s="7">
        <v>100</v>
      </c>
      <c r="AQ712" s="7">
        <v>0.52298299999999998</v>
      </c>
      <c r="AR712" s="7">
        <v>52.298326000000003</v>
      </c>
      <c r="AS712" s="7">
        <v>100</v>
      </c>
      <c r="AT712" s="7">
        <v>0.49992799999999998</v>
      </c>
      <c r="AU712" s="4" t="s">
        <v>124</v>
      </c>
      <c r="AV712" s="7">
        <v>49.992820999999999</v>
      </c>
      <c r="AW712" s="7">
        <v>100</v>
      </c>
      <c r="AX712" s="7">
        <v>0.52342900000000003</v>
      </c>
      <c r="AY712" s="4" t="s">
        <v>124</v>
      </c>
      <c r="AZ712" s="7">
        <v>52.342854000000003</v>
      </c>
      <c r="BA712" s="7">
        <v>100</v>
      </c>
      <c r="BB712" s="7">
        <v>0.53031200000000001</v>
      </c>
      <c r="BC712" s="7">
        <v>26.515612000000001</v>
      </c>
      <c r="BD712" s="7">
        <v>50</v>
      </c>
      <c r="BE712" s="7">
        <v>0.42564800000000003</v>
      </c>
      <c r="BF712" s="7">
        <v>21.282425</v>
      </c>
      <c r="BG712" s="7">
        <v>50</v>
      </c>
      <c r="BH712" s="7">
        <v>0</v>
      </c>
      <c r="BI712" s="7">
        <v>1</v>
      </c>
      <c r="BJ712" s="7">
        <v>1</v>
      </c>
      <c r="BK712" s="4" t="s">
        <v>124</v>
      </c>
      <c r="BL712" s="7">
        <v>0.99588500000000002</v>
      </c>
      <c r="BM712" s="7">
        <v>0.99568999999999996</v>
      </c>
      <c r="BN712" s="4" t="s">
        <v>124</v>
      </c>
      <c r="BO712" s="7">
        <v>0.98958299999999999</v>
      </c>
      <c r="BP712" s="7">
        <v>0.98924699999999999</v>
      </c>
      <c r="BQ712" s="4" t="s">
        <v>124</v>
      </c>
      <c r="BR712" s="7">
        <v>0.14069300000000001</v>
      </c>
      <c r="BS712" s="7">
        <v>31.861471999999999</v>
      </c>
      <c r="BT712" s="7">
        <v>50</v>
      </c>
      <c r="BU712" s="7">
        <v>0.14252899999999999</v>
      </c>
      <c r="BV712" s="7">
        <v>31.494253</v>
      </c>
      <c r="BW712" s="7">
        <v>50</v>
      </c>
      <c r="BX712" s="4" t="s">
        <v>124</v>
      </c>
      <c r="BY712" s="4" t="s">
        <v>124</v>
      </c>
      <c r="BZ712" s="4" t="s">
        <v>124</v>
      </c>
      <c r="CA712" s="4" t="s">
        <v>124</v>
      </c>
      <c r="CB712" s="4" t="s">
        <v>124</v>
      </c>
      <c r="CC712" s="4" t="s">
        <v>124</v>
      </c>
      <c r="CD712" s="4" t="s">
        <v>124</v>
      </c>
      <c r="CE712" s="4" t="s">
        <v>124</v>
      </c>
      <c r="CF712" s="4" t="s">
        <v>124</v>
      </c>
      <c r="CG712" s="4" t="s">
        <v>124</v>
      </c>
      <c r="CH712" s="4" t="s">
        <v>124</v>
      </c>
      <c r="CI712" s="4" t="s">
        <v>124</v>
      </c>
      <c r="CJ712" s="4" t="s">
        <v>124</v>
      </c>
      <c r="CK712" s="4" t="s">
        <v>124</v>
      </c>
      <c r="CL712" s="4" t="s">
        <v>124</v>
      </c>
      <c r="CM712" s="4" t="s">
        <v>124</v>
      </c>
      <c r="CN712" s="4" t="s">
        <v>124</v>
      </c>
      <c r="CO712" s="4" t="s">
        <v>124</v>
      </c>
      <c r="CP712" s="4" t="s">
        <v>124</v>
      </c>
      <c r="CQ712" s="7">
        <v>0.39682499999999998</v>
      </c>
      <c r="CR712" s="7">
        <v>0.85135099999999997</v>
      </c>
      <c r="CS712" s="7">
        <v>13.227513</v>
      </c>
      <c r="CT712" s="7">
        <v>50</v>
      </c>
      <c r="CU712" s="4" t="s">
        <v>124</v>
      </c>
      <c r="CV712" s="4" t="s">
        <v>124</v>
      </c>
      <c r="CW712" s="4" t="s">
        <v>124</v>
      </c>
      <c r="CX712" s="4" t="s">
        <v>124</v>
      </c>
      <c r="CY712" s="4" t="s">
        <v>124</v>
      </c>
      <c r="CZ712" s="4" t="s">
        <v>124</v>
      </c>
      <c r="DA712" s="7">
        <v>15.314097</v>
      </c>
      <c r="DB712" s="7">
        <v>17.400950000000002</v>
      </c>
      <c r="DC712" s="7">
        <v>16.332519999999999</v>
      </c>
      <c r="DD712" s="4" t="s">
        <v>124</v>
      </c>
      <c r="DE712" s="7">
        <v>0</v>
      </c>
      <c r="DF712" s="6"/>
      <c r="DG712" s="6"/>
      <c r="DH712" s="6"/>
      <c r="DI712" s="6"/>
      <c r="DJ712" s="7">
        <v>0</v>
      </c>
      <c r="DK712" s="7">
        <v>0</v>
      </c>
      <c r="DL712" s="7">
        <v>0</v>
      </c>
      <c r="DM712" s="7">
        <v>0</v>
      </c>
      <c r="DN712" s="7">
        <v>0</v>
      </c>
      <c r="DO712" s="7">
        <v>0</v>
      </c>
      <c r="DP712" s="6"/>
      <c r="DQ712" s="4" t="s">
        <v>125</v>
      </c>
    </row>
    <row r="713" spans="1:121" ht="20" customHeight="1" x14ac:dyDescent="0.15">
      <c r="A713" s="5">
        <v>2018</v>
      </c>
      <c r="B713" s="3" t="s">
        <v>236</v>
      </c>
      <c r="C713" s="4" t="str">
        <f t="shared" si="232"/>
        <v>0950011</v>
      </c>
      <c r="D713" s="4" t="s">
        <v>869</v>
      </c>
      <c r="E713" s="4" t="str">
        <f>"0950611"</f>
        <v>0950611</v>
      </c>
      <c r="F713" s="4" t="s">
        <v>327</v>
      </c>
      <c r="G713" s="4" t="s">
        <v>328</v>
      </c>
      <c r="H713" s="7">
        <v>5</v>
      </c>
      <c r="I713" s="4" t="s">
        <v>335</v>
      </c>
      <c r="J713" s="4" t="s">
        <v>330</v>
      </c>
      <c r="K713" s="7">
        <v>371.61440399999998</v>
      </c>
      <c r="L713" s="7">
        <v>850</v>
      </c>
      <c r="M713" s="7">
        <v>43.719341999999997</v>
      </c>
      <c r="N713" s="7">
        <v>3</v>
      </c>
      <c r="O713" s="7">
        <v>0</v>
      </c>
      <c r="P713" s="7">
        <v>52.378041000000003</v>
      </c>
      <c r="Q713" s="7">
        <v>34.918694000000002</v>
      </c>
      <c r="R713" s="7">
        <v>50</v>
      </c>
      <c r="S713" s="7">
        <v>52.520077999999998</v>
      </c>
      <c r="T713" s="4" t="s">
        <v>124</v>
      </c>
      <c r="U713" s="7">
        <v>35.013385</v>
      </c>
      <c r="V713" s="7">
        <v>50</v>
      </c>
      <c r="W713" s="7">
        <v>44.981186999999998</v>
      </c>
      <c r="X713" s="7">
        <v>29.987458</v>
      </c>
      <c r="Y713" s="7">
        <v>50</v>
      </c>
      <c r="Z713" s="4" t="s">
        <v>124</v>
      </c>
      <c r="AA713" s="7">
        <v>45.606962000000003</v>
      </c>
      <c r="AB713" s="7">
        <v>30.404641000000002</v>
      </c>
      <c r="AC713" s="7">
        <v>50</v>
      </c>
      <c r="AD713" s="4" t="s">
        <v>124</v>
      </c>
      <c r="AE713" s="4" t="s">
        <v>124</v>
      </c>
      <c r="AF713" s="4" t="s">
        <v>124</v>
      </c>
      <c r="AG713" s="4" t="s">
        <v>124</v>
      </c>
      <c r="AH713" s="4" t="s">
        <v>124</v>
      </c>
      <c r="AI713" s="4" t="s">
        <v>124</v>
      </c>
      <c r="AJ713" s="4" t="s">
        <v>124</v>
      </c>
      <c r="AK713" s="4" t="s">
        <v>124</v>
      </c>
      <c r="AL713" s="4" t="s">
        <v>124</v>
      </c>
      <c r="AM713" s="4" t="s">
        <v>124</v>
      </c>
      <c r="AN713" s="7">
        <v>0.50743799999999994</v>
      </c>
      <c r="AO713" s="7">
        <v>50.743780999999998</v>
      </c>
      <c r="AP713" s="7">
        <v>100</v>
      </c>
      <c r="AQ713" s="7">
        <v>0.36026000000000002</v>
      </c>
      <c r="AR713" s="7">
        <v>36.026015999999998</v>
      </c>
      <c r="AS713" s="7">
        <v>100</v>
      </c>
      <c r="AT713" s="7">
        <v>0.46831499999999998</v>
      </c>
      <c r="AU713" s="4" t="s">
        <v>124</v>
      </c>
      <c r="AV713" s="7">
        <v>46.831502999999998</v>
      </c>
      <c r="AW713" s="7">
        <v>100</v>
      </c>
      <c r="AX713" s="7">
        <v>0.34760000000000002</v>
      </c>
      <c r="AY713" s="4" t="s">
        <v>124</v>
      </c>
      <c r="AZ713" s="7">
        <v>34.759973000000002</v>
      </c>
      <c r="BA713" s="7">
        <v>100</v>
      </c>
      <c r="BB713" s="7">
        <v>0.224743</v>
      </c>
      <c r="BC713" s="7">
        <v>11.237138</v>
      </c>
      <c r="BD713" s="7">
        <v>50</v>
      </c>
      <c r="BE713" s="7">
        <v>0.24840599999999999</v>
      </c>
      <c r="BF713" s="7">
        <v>12.420310000000001</v>
      </c>
      <c r="BG713" s="7">
        <v>50</v>
      </c>
      <c r="BH713" s="7">
        <v>0</v>
      </c>
      <c r="BI713" s="7">
        <v>1</v>
      </c>
      <c r="BJ713" s="7">
        <v>1</v>
      </c>
      <c r="BK713" s="4" t="s">
        <v>124</v>
      </c>
      <c r="BL713" s="7">
        <v>1</v>
      </c>
      <c r="BM713" s="7">
        <v>1</v>
      </c>
      <c r="BN713" s="4" t="s">
        <v>124</v>
      </c>
      <c r="BO713" s="7">
        <v>1</v>
      </c>
      <c r="BP713" s="4" t="s">
        <v>124</v>
      </c>
      <c r="BQ713" s="4" t="s">
        <v>124</v>
      </c>
      <c r="BR713" s="7">
        <v>0.17460300000000001</v>
      </c>
      <c r="BS713" s="7">
        <v>25.079364999999999</v>
      </c>
      <c r="BT713" s="7">
        <v>50</v>
      </c>
      <c r="BU713" s="7">
        <v>0.179039</v>
      </c>
      <c r="BV713" s="7">
        <v>24.192139999999998</v>
      </c>
      <c r="BW713" s="7">
        <v>50</v>
      </c>
      <c r="BX713" s="4" t="s">
        <v>124</v>
      </c>
      <c r="BY713" s="4" t="s">
        <v>124</v>
      </c>
      <c r="BZ713" s="4" t="s">
        <v>124</v>
      </c>
      <c r="CA713" s="4" t="s">
        <v>124</v>
      </c>
      <c r="CB713" s="4" t="s">
        <v>124</v>
      </c>
      <c r="CC713" s="4" t="s">
        <v>124</v>
      </c>
      <c r="CD713" s="4" t="s">
        <v>124</v>
      </c>
      <c r="CE713" s="4" t="s">
        <v>124</v>
      </c>
      <c r="CF713" s="4" t="s">
        <v>124</v>
      </c>
      <c r="CG713" s="4" t="s">
        <v>124</v>
      </c>
      <c r="CH713" s="4" t="s">
        <v>124</v>
      </c>
      <c r="CI713" s="4" t="s">
        <v>124</v>
      </c>
      <c r="CJ713" s="4" t="s">
        <v>124</v>
      </c>
      <c r="CK713" s="4" t="s">
        <v>124</v>
      </c>
      <c r="CL713" s="4" t="s">
        <v>124</v>
      </c>
      <c r="CM713" s="4" t="s">
        <v>124</v>
      </c>
      <c r="CN713" s="4" t="s">
        <v>124</v>
      </c>
      <c r="CO713" s="4" t="s">
        <v>124</v>
      </c>
      <c r="CP713" s="4" t="s">
        <v>124</v>
      </c>
      <c r="CQ713" s="7">
        <v>0</v>
      </c>
      <c r="CR713" s="7">
        <v>1.3243240000000001</v>
      </c>
      <c r="CS713" s="7">
        <v>0</v>
      </c>
      <c r="CT713" s="7">
        <v>50</v>
      </c>
      <c r="CU713" s="4" t="s">
        <v>124</v>
      </c>
      <c r="CV713" s="4" t="s">
        <v>124</v>
      </c>
      <c r="CW713" s="4" t="s">
        <v>124</v>
      </c>
      <c r="CX713" s="4" t="s">
        <v>124</v>
      </c>
      <c r="CY713" s="4" t="s">
        <v>124</v>
      </c>
      <c r="CZ713" s="4" t="s">
        <v>124</v>
      </c>
      <c r="DA713" s="7">
        <v>15.314097</v>
      </c>
      <c r="DB713" s="7">
        <v>17.400950000000002</v>
      </c>
      <c r="DC713" s="7">
        <v>16.332519999999999</v>
      </c>
      <c r="DD713" s="4" t="s">
        <v>124</v>
      </c>
      <c r="DE713" s="7">
        <v>0</v>
      </c>
      <c r="DF713" s="6"/>
      <c r="DG713" s="6"/>
      <c r="DH713" s="6"/>
      <c r="DI713" s="6"/>
      <c r="DJ713" s="7">
        <v>0</v>
      </c>
      <c r="DK713" s="7">
        <v>0</v>
      </c>
      <c r="DL713" s="7">
        <v>0</v>
      </c>
      <c r="DM713" s="7">
        <v>0</v>
      </c>
      <c r="DN713" s="7">
        <v>0</v>
      </c>
      <c r="DO713" s="7">
        <v>0</v>
      </c>
      <c r="DP713" s="6"/>
      <c r="DQ713" s="4" t="s">
        <v>125</v>
      </c>
    </row>
    <row r="714" spans="1:121" ht="20" customHeight="1" x14ac:dyDescent="0.15">
      <c r="A714" s="5">
        <v>2018</v>
      </c>
      <c r="B714" s="3" t="s">
        <v>236</v>
      </c>
      <c r="C714" s="4" t="str">
        <f t="shared" si="232"/>
        <v>0950011</v>
      </c>
      <c r="D714" s="4" t="s">
        <v>870</v>
      </c>
      <c r="E714" s="4" t="str">
        <f>"0950911"</f>
        <v>0950911</v>
      </c>
      <c r="F714" s="4" t="s">
        <v>327</v>
      </c>
      <c r="G714" s="4" t="s">
        <v>338</v>
      </c>
      <c r="H714" s="7">
        <v>5</v>
      </c>
      <c r="I714" s="4" t="s">
        <v>335</v>
      </c>
      <c r="J714" s="4" t="s">
        <v>330</v>
      </c>
      <c r="K714" s="7">
        <v>639.30557299999998</v>
      </c>
      <c r="L714" s="7">
        <v>950</v>
      </c>
      <c r="M714" s="7">
        <v>67.295323999999994</v>
      </c>
      <c r="N714" s="7">
        <v>3</v>
      </c>
      <c r="O714" s="7">
        <v>0</v>
      </c>
      <c r="P714" s="7">
        <v>64.770146999999994</v>
      </c>
      <c r="Q714" s="7">
        <v>43.180098000000001</v>
      </c>
      <c r="R714" s="7">
        <v>50</v>
      </c>
      <c r="S714" s="7">
        <v>62.485056999999998</v>
      </c>
      <c r="T714" s="7">
        <v>75</v>
      </c>
      <c r="U714" s="7">
        <v>41.656705000000002</v>
      </c>
      <c r="V714" s="7">
        <v>50</v>
      </c>
      <c r="W714" s="7">
        <v>56.954959000000002</v>
      </c>
      <c r="X714" s="7">
        <v>37.969973000000003</v>
      </c>
      <c r="Y714" s="7">
        <v>50</v>
      </c>
      <c r="Z714" s="7">
        <v>69.738485999999995</v>
      </c>
      <c r="AA714" s="7">
        <v>54.564996000000001</v>
      </c>
      <c r="AB714" s="7">
        <v>36.376663999999998</v>
      </c>
      <c r="AC714" s="7">
        <v>50</v>
      </c>
      <c r="AD714" s="7">
        <v>62.003945000000002</v>
      </c>
      <c r="AE714" s="7">
        <v>41.335963</v>
      </c>
      <c r="AF714" s="7">
        <v>50</v>
      </c>
      <c r="AG714" s="7">
        <v>60.156368000000001</v>
      </c>
      <c r="AH714" s="4" t="s">
        <v>124</v>
      </c>
      <c r="AI714" s="7">
        <v>40.104244999999999</v>
      </c>
      <c r="AJ714" s="7">
        <v>50</v>
      </c>
      <c r="AK714" s="7">
        <v>12.51</v>
      </c>
      <c r="AL714" s="7">
        <v>15.17</v>
      </c>
      <c r="AM714" s="4" t="s">
        <v>124</v>
      </c>
      <c r="AN714" s="7">
        <v>0.65018299999999996</v>
      </c>
      <c r="AO714" s="7">
        <v>65.018286000000003</v>
      </c>
      <c r="AP714" s="7">
        <v>100</v>
      </c>
      <c r="AQ714" s="7">
        <v>0.65765499999999999</v>
      </c>
      <c r="AR714" s="7">
        <v>65.765544000000006</v>
      </c>
      <c r="AS714" s="7">
        <v>100</v>
      </c>
      <c r="AT714" s="7">
        <v>0.62270400000000004</v>
      </c>
      <c r="AU714" s="7">
        <v>0.81615800000000005</v>
      </c>
      <c r="AV714" s="7">
        <v>62.270359999999997</v>
      </c>
      <c r="AW714" s="7">
        <v>100</v>
      </c>
      <c r="AX714" s="7">
        <v>0.626108</v>
      </c>
      <c r="AY714" s="7">
        <v>0.85614500000000004</v>
      </c>
      <c r="AZ714" s="7">
        <v>62.610750000000003</v>
      </c>
      <c r="BA714" s="7">
        <v>100</v>
      </c>
      <c r="BB714" s="7">
        <v>0.73706199999999999</v>
      </c>
      <c r="BC714" s="7">
        <v>36.853099999999998</v>
      </c>
      <c r="BD714" s="7">
        <v>50</v>
      </c>
      <c r="BE714" s="7">
        <v>0.46707100000000001</v>
      </c>
      <c r="BF714" s="7">
        <v>23.353555</v>
      </c>
      <c r="BG714" s="7">
        <v>50</v>
      </c>
      <c r="BH714" s="7">
        <v>0</v>
      </c>
      <c r="BI714" s="7">
        <v>0.99290800000000001</v>
      </c>
      <c r="BJ714" s="7">
        <v>0.99159699999999995</v>
      </c>
      <c r="BK714" s="7">
        <v>1</v>
      </c>
      <c r="BL714" s="7">
        <v>0.98936199999999996</v>
      </c>
      <c r="BM714" s="7">
        <v>0.98739500000000002</v>
      </c>
      <c r="BN714" s="7">
        <v>1</v>
      </c>
      <c r="BO714" s="7">
        <v>0.98936199999999996</v>
      </c>
      <c r="BP714" s="7">
        <v>0.98734200000000005</v>
      </c>
      <c r="BQ714" s="4" t="s">
        <v>124</v>
      </c>
      <c r="BR714" s="7">
        <v>9.5148999999999997E-2</v>
      </c>
      <c r="BS714" s="7">
        <v>40.970148999999999</v>
      </c>
      <c r="BT714" s="7">
        <v>50</v>
      </c>
      <c r="BU714" s="7">
        <v>0.10798099999999999</v>
      </c>
      <c r="BV714" s="7">
        <v>38.403756000000001</v>
      </c>
      <c r="BW714" s="7">
        <v>50</v>
      </c>
      <c r="BX714" s="4" t="s">
        <v>124</v>
      </c>
      <c r="BY714" s="4" t="s">
        <v>124</v>
      </c>
      <c r="BZ714" s="4" t="s">
        <v>124</v>
      </c>
      <c r="CA714" s="4" t="s">
        <v>124</v>
      </c>
      <c r="CB714" s="4" t="s">
        <v>124</v>
      </c>
      <c r="CC714" s="4" t="s">
        <v>124</v>
      </c>
      <c r="CD714" s="4" t="s">
        <v>124</v>
      </c>
      <c r="CE714" s="4" t="s">
        <v>124</v>
      </c>
      <c r="CF714" s="4" t="s">
        <v>124</v>
      </c>
      <c r="CG714" s="4" t="s">
        <v>124</v>
      </c>
      <c r="CH714" s="4" t="s">
        <v>124</v>
      </c>
      <c r="CI714" s="4" t="s">
        <v>124</v>
      </c>
      <c r="CJ714" s="4" t="s">
        <v>124</v>
      </c>
      <c r="CK714" s="4" t="s">
        <v>124</v>
      </c>
      <c r="CL714" s="4" t="s">
        <v>124</v>
      </c>
      <c r="CM714" s="4" t="s">
        <v>124</v>
      </c>
      <c r="CN714" s="4" t="s">
        <v>124</v>
      </c>
      <c r="CO714" s="4" t="s">
        <v>124</v>
      </c>
      <c r="CP714" s="4" t="s">
        <v>124</v>
      </c>
      <c r="CQ714" s="7">
        <v>5.1546000000000002E-2</v>
      </c>
      <c r="CR714" s="7">
        <v>1.0104169999999999</v>
      </c>
      <c r="CS714" s="7">
        <v>3.436426</v>
      </c>
      <c r="CT714" s="7">
        <v>50</v>
      </c>
      <c r="CU714" s="4" t="s">
        <v>124</v>
      </c>
      <c r="CV714" s="4" t="s">
        <v>124</v>
      </c>
      <c r="CW714" s="4" t="s">
        <v>124</v>
      </c>
      <c r="CX714" s="4" t="s">
        <v>124</v>
      </c>
      <c r="CY714" s="4" t="s">
        <v>124</v>
      </c>
      <c r="CZ714" s="4" t="s">
        <v>124</v>
      </c>
      <c r="DA714" s="7">
        <v>15.314097</v>
      </c>
      <c r="DB714" s="7">
        <v>17.400950000000002</v>
      </c>
      <c r="DC714" s="7">
        <v>16.332519999999999</v>
      </c>
      <c r="DD714" s="4" t="s">
        <v>124</v>
      </c>
      <c r="DE714" s="7">
        <v>0</v>
      </c>
      <c r="DF714" s="6"/>
      <c r="DG714" s="6"/>
      <c r="DH714" s="6"/>
      <c r="DI714" s="6"/>
      <c r="DJ714" s="7">
        <v>0</v>
      </c>
      <c r="DK714" s="7">
        <v>0</v>
      </c>
      <c r="DL714" s="7">
        <v>0</v>
      </c>
      <c r="DM714" s="7">
        <v>0</v>
      </c>
      <c r="DN714" s="7">
        <v>0</v>
      </c>
      <c r="DO714" s="7">
        <v>0</v>
      </c>
      <c r="DP714" s="6"/>
      <c r="DQ714" s="4" t="s">
        <v>125</v>
      </c>
    </row>
    <row r="715" spans="1:121" ht="20" customHeight="1" x14ac:dyDescent="0.15">
      <c r="A715" s="5">
        <v>2018</v>
      </c>
      <c r="B715" s="3" t="s">
        <v>236</v>
      </c>
      <c r="C715" s="4" t="str">
        <f t="shared" si="232"/>
        <v>0950011</v>
      </c>
      <c r="D715" s="4" t="s">
        <v>871</v>
      </c>
      <c r="E715" s="4" t="str">
        <f>"0956111"</f>
        <v>0956111</v>
      </c>
      <c r="F715" s="4" t="s">
        <v>327</v>
      </c>
      <c r="G715" s="7">
        <v>9</v>
      </c>
      <c r="H715" s="7">
        <v>12</v>
      </c>
      <c r="I715" s="4" t="s">
        <v>335</v>
      </c>
      <c r="J715" s="4" t="s">
        <v>330</v>
      </c>
      <c r="K715" s="7">
        <v>810.93578600000001</v>
      </c>
      <c r="L715" s="7">
        <v>1550</v>
      </c>
      <c r="M715" s="7">
        <v>52.318438</v>
      </c>
      <c r="N715" s="7">
        <v>4</v>
      </c>
      <c r="O715" s="7">
        <v>0</v>
      </c>
      <c r="P715" s="7">
        <v>38.107498</v>
      </c>
      <c r="Q715" s="7">
        <v>76.214995000000002</v>
      </c>
      <c r="R715" s="7">
        <v>150</v>
      </c>
      <c r="S715" s="7">
        <v>37.115535999999999</v>
      </c>
      <c r="T715" s="4" t="s">
        <v>124</v>
      </c>
      <c r="U715" s="7">
        <v>74.231071999999998</v>
      </c>
      <c r="V715" s="7">
        <v>150</v>
      </c>
      <c r="W715" s="7">
        <v>35.131436000000001</v>
      </c>
      <c r="X715" s="7">
        <v>70.262872999999999</v>
      </c>
      <c r="Y715" s="7">
        <v>150</v>
      </c>
      <c r="Z715" s="4" t="s">
        <v>124</v>
      </c>
      <c r="AA715" s="7">
        <v>34.087021</v>
      </c>
      <c r="AB715" s="7">
        <v>68.174041000000003</v>
      </c>
      <c r="AC715" s="7">
        <v>150</v>
      </c>
      <c r="AD715" s="7">
        <v>33.585231999999998</v>
      </c>
      <c r="AE715" s="7">
        <v>44.780309000000003</v>
      </c>
      <c r="AF715" s="7">
        <v>100</v>
      </c>
      <c r="AG715" s="7">
        <v>33.277594000000001</v>
      </c>
      <c r="AH715" s="4" t="s">
        <v>124</v>
      </c>
      <c r="AI715" s="7">
        <v>44.370125000000002</v>
      </c>
      <c r="AJ715" s="7">
        <v>100</v>
      </c>
      <c r="AK715" s="4" t="s">
        <v>124</v>
      </c>
      <c r="AL715" s="4" t="s">
        <v>124</v>
      </c>
      <c r="AM715" s="4" t="s">
        <v>124</v>
      </c>
      <c r="AN715" s="4" t="s">
        <v>124</v>
      </c>
      <c r="AO715" s="4" t="s">
        <v>124</v>
      </c>
      <c r="AP715" s="4" t="s">
        <v>124</v>
      </c>
      <c r="AQ715" s="4" t="s">
        <v>124</v>
      </c>
      <c r="AR715" s="4" t="s">
        <v>124</v>
      </c>
      <c r="AS715" s="4" t="s">
        <v>124</v>
      </c>
      <c r="AT715" s="4" t="s">
        <v>124</v>
      </c>
      <c r="AU715" s="4" t="s">
        <v>124</v>
      </c>
      <c r="AV715" s="4" t="s">
        <v>124</v>
      </c>
      <c r="AW715" s="4" t="s">
        <v>124</v>
      </c>
      <c r="AX715" s="4" t="s">
        <v>124</v>
      </c>
      <c r="AY715" s="4" t="s">
        <v>124</v>
      </c>
      <c r="AZ715" s="4" t="s">
        <v>124</v>
      </c>
      <c r="BA715" s="4" t="s">
        <v>124</v>
      </c>
      <c r="BB715" s="7">
        <v>0.46881200000000001</v>
      </c>
      <c r="BC715" s="7">
        <v>23.440601000000001</v>
      </c>
      <c r="BD715" s="7">
        <v>50</v>
      </c>
      <c r="BE715" s="7">
        <v>0.48184500000000002</v>
      </c>
      <c r="BF715" s="7">
        <v>24.092268000000001</v>
      </c>
      <c r="BG715" s="7">
        <v>50</v>
      </c>
      <c r="BH715" s="7">
        <v>1</v>
      </c>
      <c r="BI715" s="7">
        <v>0.94444399999999995</v>
      </c>
      <c r="BJ715" s="7">
        <v>0.93984999999999996</v>
      </c>
      <c r="BK715" s="4" t="s">
        <v>124</v>
      </c>
      <c r="BL715" s="7">
        <v>0.94444399999999995</v>
      </c>
      <c r="BM715" s="7">
        <v>0.93984999999999996</v>
      </c>
      <c r="BN715" s="4" t="s">
        <v>124</v>
      </c>
      <c r="BO715" s="7">
        <v>0.96428599999999998</v>
      </c>
      <c r="BP715" s="7">
        <v>0.96123999999999998</v>
      </c>
      <c r="BQ715" s="4" t="s">
        <v>124</v>
      </c>
      <c r="BR715" s="7">
        <v>0.27457100000000001</v>
      </c>
      <c r="BS715" s="7">
        <v>5.0858030000000003</v>
      </c>
      <c r="BT715" s="7">
        <v>50</v>
      </c>
      <c r="BU715" s="7">
        <v>0.27557799999999999</v>
      </c>
      <c r="BV715" s="7">
        <v>4.8844880000000002</v>
      </c>
      <c r="BW715" s="7">
        <v>50</v>
      </c>
      <c r="BX715" s="7">
        <v>0.69551300000000005</v>
      </c>
      <c r="BY715" s="7">
        <v>46.367521000000004</v>
      </c>
      <c r="BZ715" s="7">
        <v>50</v>
      </c>
      <c r="CA715" s="7">
        <v>0.15384600000000001</v>
      </c>
      <c r="CB715" s="7">
        <v>10.256410000000001</v>
      </c>
      <c r="CC715" s="7">
        <v>50</v>
      </c>
      <c r="CD715" s="7">
        <v>0.70857099999999995</v>
      </c>
      <c r="CE715" s="7">
        <v>37.689970000000002</v>
      </c>
      <c r="CF715" s="7">
        <v>50</v>
      </c>
      <c r="CG715" s="7">
        <v>0.74846599999999996</v>
      </c>
      <c r="CH715" s="7">
        <v>79.624070000000003</v>
      </c>
      <c r="CI715" s="7">
        <v>100</v>
      </c>
      <c r="CJ715" s="7">
        <v>1</v>
      </c>
      <c r="CK715" s="7">
        <v>0.80219799999999997</v>
      </c>
      <c r="CL715" s="7">
        <v>85.340192000000002</v>
      </c>
      <c r="CM715" s="7">
        <v>100</v>
      </c>
      <c r="CN715" s="7">
        <v>0.48091600000000001</v>
      </c>
      <c r="CO715" s="7">
        <v>64.122136999999995</v>
      </c>
      <c r="CP715" s="7">
        <v>100</v>
      </c>
      <c r="CQ715" s="7">
        <v>0.335366</v>
      </c>
      <c r="CR715" s="7">
        <v>1.044586</v>
      </c>
      <c r="CS715" s="7">
        <v>22.357724000000001</v>
      </c>
      <c r="CT715" s="7">
        <v>50</v>
      </c>
      <c r="CU715" s="7">
        <v>0.35569400000000001</v>
      </c>
      <c r="CV715" s="7">
        <v>29.641186000000001</v>
      </c>
      <c r="CW715" s="7">
        <v>50</v>
      </c>
      <c r="CX715" s="7">
        <v>0.80219799999999997</v>
      </c>
      <c r="CY715" s="7">
        <v>0.92</v>
      </c>
      <c r="CZ715" s="7">
        <v>0.117802</v>
      </c>
      <c r="DA715" s="7">
        <v>15.314097</v>
      </c>
      <c r="DB715" s="7">
        <v>17.400950000000002</v>
      </c>
      <c r="DC715" s="7">
        <v>16.332519999999999</v>
      </c>
      <c r="DD715" s="7">
        <v>7.9891730000000001</v>
      </c>
      <c r="DE715" s="7">
        <v>1</v>
      </c>
      <c r="DF715" s="4" t="s">
        <v>384</v>
      </c>
      <c r="DG715" s="4" t="s">
        <v>385</v>
      </c>
      <c r="DH715" s="6"/>
      <c r="DI715" s="6"/>
      <c r="DJ715" s="7">
        <v>0</v>
      </c>
      <c r="DK715" s="7">
        <v>0</v>
      </c>
      <c r="DL715" s="7">
        <v>0</v>
      </c>
      <c r="DM715" s="7">
        <v>0</v>
      </c>
      <c r="DN715" s="7">
        <v>0</v>
      </c>
      <c r="DO715" s="7">
        <v>0</v>
      </c>
      <c r="DP715" s="6"/>
      <c r="DQ715" s="4" t="s">
        <v>125</v>
      </c>
    </row>
    <row r="716" spans="1:121" ht="20" customHeight="1" x14ac:dyDescent="0.15">
      <c r="A716" s="5">
        <v>2018</v>
      </c>
      <c r="B716" s="3" t="s">
        <v>236</v>
      </c>
      <c r="C716" s="4" t="str">
        <f t="shared" si="232"/>
        <v>0950011</v>
      </c>
      <c r="D716" s="4" t="s">
        <v>872</v>
      </c>
      <c r="E716" s="4" t="str">
        <f>"0951411"</f>
        <v>0951411</v>
      </c>
      <c r="F716" s="4" t="s">
        <v>327</v>
      </c>
      <c r="G716" s="7">
        <v>6</v>
      </c>
      <c r="H716" s="7">
        <v>9</v>
      </c>
      <c r="I716" s="4" t="s">
        <v>335</v>
      </c>
      <c r="J716" s="4" t="s">
        <v>330</v>
      </c>
      <c r="K716" s="7">
        <v>530.32132799999999</v>
      </c>
      <c r="L716" s="7">
        <v>950</v>
      </c>
      <c r="M716" s="7">
        <v>55.823298000000001</v>
      </c>
      <c r="N716" s="7">
        <v>3</v>
      </c>
      <c r="O716" s="7">
        <v>1</v>
      </c>
      <c r="P716" s="7">
        <v>55.142843999999997</v>
      </c>
      <c r="Q716" s="7">
        <v>36.761896</v>
      </c>
      <c r="R716" s="7">
        <v>50</v>
      </c>
      <c r="S716" s="7">
        <v>51.600428000000001</v>
      </c>
      <c r="T716" s="7">
        <v>72.222352999999998</v>
      </c>
      <c r="U716" s="7">
        <v>34.400284999999997</v>
      </c>
      <c r="V716" s="7">
        <v>50</v>
      </c>
      <c r="W716" s="7">
        <v>45.108116000000003</v>
      </c>
      <c r="X716" s="7">
        <v>30.072077</v>
      </c>
      <c r="Y716" s="7">
        <v>50</v>
      </c>
      <c r="Z716" s="7">
        <v>59.067874000000003</v>
      </c>
      <c r="AA716" s="7">
        <v>42.212758999999998</v>
      </c>
      <c r="AB716" s="7">
        <v>28.141839000000001</v>
      </c>
      <c r="AC716" s="7">
        <v>50</v>
      </c>
      <c r="AD716" s="7">
        <v>53.695171999999999</v>
      </c>
      <c r="AE716" s="7">
        <v>35.796782</v>
      </c>
      <c r="AF716" s="7">
        <v>50</v>
      </c>
      <c r="AG716" s="7">
        <v>51.036206999999997</v>
      </c>
      <c r="AH716" s="4" t="s">
        <v>124</v>
      </c>
      <c r="AI716" s="7">
        <v>34.024138000000001</v>
      </c>
      <c r="AJ716" s="7">
        <v>50</v>
      </c>
      <c r="AK716" s="7">
        <v>20.62</v>
      </c>
      <c r="AL716" s="7">
        <v>16.850000000000001</v>
      </c>
      <c r="AM716" s="4" t="s">
        <v>124</v>
      </c>
      <c r="AN716" s="7">
        <v>0.46731800000000001</v>
      </c>
      <c r="AO716" s="7">
        <v>46.731827000000003</v>
      </c>
      <c r="AP716" s="7">
        <v>100</v>
      </c>
      <c r="AQ716" s="7">
        <v>0.394478</v>
      </c>
      <c r="AR716" s="7">
        <v>39.447764999999997</v>
      </c>
      <c r="AS716" s="7">
        <v>100</v>
      </c>
      <c r="AT716" s="7">
        <v>0.465254</v>
      </c>
      <c r="AU716" s="7">
        <v>0.47733500000000001</v>
      </c>
      <c r="AV716" s="7">
        <v>46.525376999999999</v>
      </c>
      <c r="AW716" s="7">
        <v>100</v>
      </c>
      <c r="AX716" s="7">
        <v>0.37567899999999999</v>
      </c>
      <c r="AY716" s="7">
        <v>0.48499100000000001</v>
      </c>
      <c r="AZ716" s="7">
        <v>37.567872000000001</v>
      </c>
      <c r="BA716" s="7">
        <v>100</v>
      </c>
      <c r="BB716" s="4" t="s">
        <v>124</v>
      </c>
      <c r="BC716" s="4" t="s">
        <v>124</v>
      </c>
      <c r="BD716" s="4" t="s">
        <v>124</v>
      </c>
      <c r="BE716" s="4" t="s">
        <v>124</v>
      </c>
      <c r="BF716" s="4" t="s">
        <v>124</v>
      </c>
      <c r="BG716" s="4" t="s">
        <v>124</v>
      </c>
      <c r="BH716" s="7">
        <v>0</v>
      </c>
      <c r="BI716" s="7">
        <v>0.97647099999999998</v>
      </c>
      <c r="BJ716" s="7">
        <v>0.971831</v>
      </c>
      <c r="BK716" s="7">
        <v>1</v>
      </c>
      <c r="BL716" s="7">
        <v>0.97647099999999998</v>
      </c>
      <c r="BM716" s="7">
        <v>0.971831</v>
      </c>
      <c r="BN716" s="7">
        <v>1</v>
      </c>
      <c r="BO716" s="7">
        <v>0.980769</v>
      </c>
      <c r="BP716" s="7">
        <v>0.97619</v>
      </c>
      <c r="BQ716" s="4" t="s">
        <v>124</v>
      </c>
      <c r="BR716" s="7">
        <v>0.14361699999999999</v>
      </c>
      <c r="BS716" s="7">
        <v>31.276596000000001</v>
      </c>
      <c r="BT716" s="7">
        <v>50</v>
      </c>
      <c r="BU716" s="7">
        <v>0.15625</v>
      </c>
      <c r="BV716" s="7">
        <v>28.75</v>
      </c>
      <c r="BW716" s="7">
        <v>50</v>
      </c>
      <c r="BX716" s="4" t="s">
        <v>124</v>
      </c>
      <c r="BY716" s="4" t="s">
        <v>124</v>
      </c>
      <c r="BZ716" s="4" t="s">
        <v>124</v>
      </c>
      <c r="CA716" s="4" t="s">
        <v>124</v>
      </c>
      <c r="CB716" s="4" t="s">
        <v>124</v>
      </c>
      <c r="CC716" s="4" t="s">
        <v>124</v>
      </c>
      <c r="CD716" s="7">
        <v>0.92982500000000001</v>
      </c>
      <c r="CE716" s="7">
        <v>49.458753000000002</v>
      </c>
      <c r="CF716" s="7">
        <v>50</v>
      </c>
      <c r="CG716" s="4" t="s">
        <v>124</v>
      </c>
      <c r="CH716" s="4" t="s">
        <v>124</v>
      </c>
      <c r="CI716" s="4" t="s">
        <v>124</v>
      </c>
      <c r="CJ716" s="4" t="s">
        <v>124</v>
      </c>
      <c r="CK716" s="4" t="s">
        <v>124</v>
      </c>
      <c r="CL716" s="4" t="s">
        <v>124</v>
      </c>
      <c r="CM716" s="4" t="s">
        <v>124</v>
      </c>
      <c r="CN716" s="4" t="s">
        <v>124</v>
      </c>
      <c r="CO716" s="4" t="s">
        <v>124</v>
      </c>
      <c r="CP716" s="4" t="s">
        <v>124</v>
      </c>
      <c r="CQ716" s="7">
        <v>8.1966999999999998E-2</v>
      </c>
      <c r="CR716" s="7">
        <v>0.54954999999999998</v>
      </c>
      <c r="CS716" s="7">
        <v>1.36612</v>
      </c>
      <c r="CT716" s="7">
        <v>50</v>
      </c>
      <c r="CU716" s="7">
        <v>0.95238100000000003</v>
      </c>
      <c r="CV716" s="7">
        <v>50</v>
      </c>
      <c r="CW716" s="7">
        <v>50</v>
      </c>
      <c r="CX716" s="4" t="s">
        <v>124</v>
      </c>
      <c r="CY716" s="4" t="s">
        <v>124</v>
      </c>
      <c r="CZ716" s="4" t="s">
        <v>124</v>
      </c>
      <c r="DA716" s="7">
        <v>15.314097</v>
      </c>
      <c r="DB716" s="7">
        <v>17.400950000000002</v>
      </c>
      <c r="DC716" s="7">
        <v>16.332519999999999</v>
      </c>
      <c r="DD716" s="4" t="s">
        <v>124</v>
      </c>
      <c r="DE716" s="7">
        <v>1</v>
      </c>
      <c r="DF716" s="6"/>
      <c r="DG716" s="6"/>
      <c r="DH716" s="6"/>
      <c r="DI716" s="6"/>
      <c r="DJ716" s="7">
        <v>0</v>
      </c>
      <c r="DK716" s="7">
        <v>0</v>
      </c>
      <c r="DL716" s="7">
        <v>0</v>
      </c>
      <c r="DM716" s="7">
        <v>0</v>
      </c>
      <c r="DN716" s="7">
        <v>0</v>
      </c>
      <c r="DO716" s="7">
        <v>0</v>
      </c>
      <c r="DP716" s="6"/>
      <c r="DQ716" s="4" t="s">
        <v>125</v>
      </c>
    </row>
    <row r="717" spans="1:121" ht="20" customHeight="1" x14ac:dyDescent="0.15">
      <c r="A717" s="5">
        <v>2018</v>
      </c>
      <c r="B717" s="3" t="s">
        <v>236</v>
      </c>
      <c r="C717" s="4" t="str">
        <f t="shared" si="232"/>
        <v>0950011</v>
      </c>
      <c r="D717" s="4" t="s">
        <v>873</v>
      </c>
      <c r="E717" s="4" t="str">
        <f>"0951311"</f>
        <v>0951311</v>
      </c>
      <c r="F717" s="4" t="s">
        <v>327</v>
      </c>
      <c r="G717" s="7">
        <v>6</v>
      </c>
      <c r="H717" s="7">
        <v>12</v>
      </c>
      <c r="I717" s="6"/>
      <c r="J717" s="4" t="s">
        <v>330</v>
      </c>
      <c r="K717" s="7">
        <v>846.91648299999997</v>
      </c>
      <c r="L717" s="7">
        <v>1350</v>
      </c>
      <c r="M717" s="7">
        <v>62.734554000000003</v>
      </c>
      <c r="N717" s="7">
        <v>3</v>
      </c>
      <c r="O717" s="7">
        <v>0</v>
      </c>
      <c r="P717" s="7">
        <v>54.339830999999997</v>
      </c>
      <c r="Q717" s="7">
        <v>36.226554</v>
      </c>
      <c r="R717" s="7">
        <v>50</v>
      </c>
      <c r="S717" s="7">
        <v>51.155476999999998</v>
      </c>
      <c r="T717" s="7">
        <v>65.459795999999997</v>
      </c>
      <c r="U717" s="7">
        <v>34.103650999999999</v>
      </c>
      <c r="V717" s="7">
        <v>50</v>
      </c>
      <c r="W717" s="7">
        <v>50.253492999999999</v>
      </c>
      <c r="X717" s="7">
        <v>33.502329000000003</v>
      </c>
      <c r="Y717" s="7">
        <v>50</v>
      </c>
      <c r="Z717" s="7">
        <v>62.280338</v>
      </c>
      <c r="AA717" s="7">
        <v>46.809441999999997</v>
      </c>
      <c r="AB717" s="7">
        <v>31.206295000000001</v>
      </c>
      <c r="AC717" s="7">
        <v>50</v>
      </c>
      <c r="AD717" s="7">
        <v>56.133913999999997</v>
      </c>
      <c r="AE717" s="7">
        <v>37.422609000000001</v>
      </c>
      <c r="AF717" s="7">
        <v>50</v>
      </c>
      <c r="AG717" s="7">
        <v>51.570376000000003</v>
      </c>
      <c r="AH717" s="7">
        <v>65.883289000000005</v>
      </c>
      <c r="AI717" s="7">
        <v>34.380251000000001</v>
      </c>
      <c r="AJ717" s="7">
        <v>50</v>
      </c>
      <c r="AK717" s="7">
        <v>14.3</v>
      </c>
      <c r="AL717" s="7">
        <v>15.47</v>
      </c>
      <c r="AM717" s="7">
        <v>14.31</v>
      </c>
      <c r="AN717" s="7">
        <v>0.43817800000000001</v>
      </c>
      <c r="AO717" s="7">
        <v>43.817827000000001</v>
      </c>
      <c r="AP717" s="7">
        <v>100</v>
      </c>
      <c r="AQ717" s="7">
        <v>0.37618200000000002</v>
      </c>
      <c r="AR717" s="7">
        <v>37.618225000000002</v>
      </c>
      <c r="AS717" s="7">
        <v>100</v>
      </c>
      <c r="AT717" s="7">
        <v>0.44997599999999999</v>
      </c>
      <c r="AU717" s="7">
        <v>0.37697900000000001</v>
      </c>
      <c r="AV717" s="7">
        <v>44.997568000000001</v>
      </c>
      <c r="AW717" s="7">
        <v>100</v>
      </c>
      <c r="AX717" s="7">
        <v>0.353242</v>
      </c>
      <c r="AY717" s="7">
        <v>0.49518600000000002</v>
      </c>
      <c r="AZ717" s="7">
        <v>35.324168999999998</v>
      </c>
      <c r="BA717" s="7">
        <v>100</v>
      </c>
      <c r="BB717" s="7">
        <v>0.31415999999999999</v>
      </c>
      <c r="BC717" s="7">
        <v>15.707984</v>
      </c>
      <c r="BD717" s="7">
        <v>50</v>
      </c>
      <c r="BE717" s="7">
        <v>0.35563800000000001</v>
      </c>
      <c r="BF717" s="7">
        <v>17.781908999999999</v>
      </c>
      <c r="BG717" s="7">
        <v>50</v>
      </c>
      <c r="BH717" s="7">
        <v>0</v>
      </c>
      <c r="BI717" s="7">
        <v>0.98639500000000002</v>
      </c>
      <c r="BJ717" s="7">
        <v>0.98253299999999999</v>
      </c>
      <c r="BK717" s="7">
        <v>1</v>
      </c>
      <c r="BL717" s="7">
        <v>0.98644100000000001</v>
      </c>
      <c r="BM717" s="7">
        <v>0.98260899999999995</v>
      </c>
      <c r="BN717" s="7">
        <v>1</v>
      </c>
      <c r="BO717" s="7">
        <v>0.99300699999999997</v>
      </c>
      <c r="BP717" s="7">
        <v>0.98969099999999999</v>
      </c>
      <c r="BQ717" s="7">
        <v>1</v>
      </c>
      <c r="BR717" s="7">
        <v>9.0090000000000003E-2</v>
      </c>
      <c r="BS717" s="7">
        <v>41.981982000000002</v>
      </c>
      <c r="BT717" s="7">
        <v>50</v>
      </c>
      <c r="BU717" s="7">
        <v>9.8765000000000006E-2</v>
      </c>
      <c r="BV717" s="7">
        <v>40.246913999999997</v>
      </c>
      <c r="BW717" s="7">
        <v>50</v>
      </c>
      <c r="BX717" s="7">
        <v>0.856209</v>
      </c>
      <c r="BY717" s="7">
        <v>50</v>
      </c>
      <c r="BZ717" s="7">
        <v>50</v>
      </c>
      <c r="CA717" s="7">
        <v>0.45097999999999999</v>
      </c>
      <c r="CB717" s="7">
        <v>30.065359000000001</v>
      </c>
      <c r="CC717" s="7">
        <v>50</v>
      </c>
      <c r="CD717" s="7">
        <v>0.86666699999999997</v>
      </c>
      <c r="CE717" s="7">
        <v>46.099291000000001</v>
      </c>
      <c r="CF717" s="7">
        <v>50</v>
      </c>
      <c r="CG717" s="7">
        <v>0.94680900000000001</v>
      </c>
      <c r="CH717" s="7">
        <v>100</v>
      </c>
      <c r="CI717" s="7">
        <v>100</v>
      </c>
      <c r="CJ717" s="4" t="s">
        <v>124</v>
      </c>
      <c r="CK717" s="4" t="s">
        <v>124</v>
      </c>
      <c r="CL717" s="4" t="s">
        <v>124</v>
      </c>
      <c r="CM717" s="4" t="s">
        <v>124</v>
      </c>
      <c r="CN717" s="7">
        <v>0.74725299999999995</v>
      </c>
      <c r="CO717" s="7">
        <v>99.633700000000005</v>
      </c>
      <c r="CP717" s="7">
        <v>100</v>
      </c>
      <c r="CQ717" s="7">
        <v>0.375527</v>
      </c>
      <c r="CR717" s="7">
        <v>0.983402</v>
      </c>
      <c r="CS717" s="7">
        <v>25.035162</v>
      </c>
      <c r="CT717" s="7">
        <v>50</v>
      </c>
      <c r="CU717" s="7">
        <v>0.141176</v>
      </c>
      <c r="CV717" s="7">
        <v>11.764706</v>
      </c>
      <c r="CW717" s="7">
        <v>50</v>
      </c>
      <c r="CX717" s="4" t="s">
        <v>124</v>
      </c>
      <c r="CY717" s="4" t="s">
        <v>124</v>
      </c>
      <c r="CZ717" s="4" t="s">
        <v>124</v>
      </c>
      <c r="DA717" s="7">
        <v>15.314097</v>
      </c>
      <c r="DB717" s="7">
        <v>17.400950000000002</v>
      </c>
      <c r="DC717" s="7">
        <v>16.332519999999999</v>
      </c>
      <c r="DD717" s="4" t="s">
        <v>124</v>
      </c>
      <c r="DE717" s="7">
        <v>0</v>
      </c>
      <c r="DF717" s="6"/>
      <c r="DG717" s="6"/>
      <c r="DH717" s="6"/>
      <c r="DI717" s="6"/>
      <c r="DJ717" s="7">
        <v>0</v>
      </c>
      <c r="DK717" s="7">
        <v>0</v>
      </c>
      <c r="DL717" s="7">
        <v>0</v>
      </c>
      <c r="DM717" s="7">
        <v>0</v>
      </c>
      <c r="DN717" s="7">
        <v>0</v>
      </c>
      <c r="DO717" s="7">
        <v>0</v>
      </c>
      <c r="DP717" s="6"/>
      <c r="DQ717" s="4" t="s">
        <v>125</v>
      </c>
    </row>
    <row r="718" spans="1:121" ht="20" customHeight="1" x14ac:dyDescent="0.15">
      <c r="A718" s="5">
        <v>2018</v>
      </c>
      <c r="B718" s="3" t="s">
        <v>236</v>
      </c>
      <c r="C718" s="4" t="str">
        <f t="shared" si="232"/>
        <v>0950011</v>
      </c>
      <c r="D718" s="4" t="s">
        <v>874</v>
      </c>
      <c r="E718" s="4" t="str">
        <f>"0950811"</f>
        <v>0950811</v>
      </c>
      <c r="F718" s="4" t="s">
        <v>327</v>
      </c>
      <c r="G718" s="4" t="s">
        <v>338</v>
      </c>
      <c r="H718" s="7">
        <v>5</v>
      </c>
      <c r="I718" s="4" t="s">
        <v>335</v>
      </c>
      <c r="J718" s="4" t="s">
        <v>330</v>
      </c>
      <c r="K718" s="7">
        <v>727.01890300000002</v>
      </c>
      <c r="L718" s="7">
        <v>950</v>
      </c>
      <c r="M718" s="7">
        <v>76.528306000000001</v>
      </c>
      <c r="N718" s="7">
        <v>2</v>
      </c>
      <c r="O718" s="7">
        <v>0</v>
      </c>
      <c r="P718" s="7">
        <v>70.004902000000001</v>
      </c>
      <c r="Q718" s="7">
        <v>46.669935000000002</v>
      </c>
      <c r="R718" s="7">
        <v>50</v>
      </c>
      <c r="S718" s="7">
        <v>67.039728999999994</v>
      </c>
      <c r="T718" s="7">
        <v>75</v>
      </c>
      <c r="U718" s="7">
        <v>44.693153000000002</v>
      </c>
      <c r="V718" s="7">
        <v>50</v>
      </c>
      <c r="W718" s="7">
        <v>64.837680000000006</v>
      </c>
      <c r="X718" s="7">
        <v>43.225119999999997</v>
      </c>
      <c r="Y718" s="7">
        <v>50</v>
      </c>
      <c r="Z718" s="7">
        <v>75</v>
      </c>
      <c r="AA718" s="7">
        <v>61.598365999999999</v>
      </c>
      <c r="AB718" s="7">
        <v>41.065578000000002</v>
      </c>
      <c r="AC718" s="7">
        <v>50</v>
      </c>
      <c r="AD718" s="7">
        <v>62.868172000000001</v>
      </c>
      <c r="AE718" s="7">
        <v>41.912115</v>
      </c>
      <c r="AF718" s="7">
        <v>50</v>
      </c>
      <c r="AG718" s="7">
        <v>60.110976999999998</v>
      </c>
      <c r="AH718" s="4" t="s">
        <v>124</v>
      </c>
      <c r="AI718" s="7">
        <v>40.073985</v>
      </c>
      <c r="AJ718" s="7">
        <v>50</v>
      </c>
      <c r="AK718" s="7">
        <v>7.96</v>
      </c>
      <c r="AL718" s="7">
        <v>13.4</v>
      </c>
      <c r="AM718" s="4" t="s">
        <v>124</v>
      </c>
      <c r="AN718" s="7">
        <v>0.72871799999999998</v>
      </c>
      <c r="AO718" s="7">
        <v>72.871838999999994</v>
      </c>
      <c r="AP718" s="7">
        <v>100</v>
      </c>
      <c r="AQ718" s="7">
        <v>0.71434200000000003</v>
      </c>
      <c r="AR718" s="7">
        <v>71.434218999999999</v>
      </c>
      <c r="AS718" s="7">
        <v>100</v>
      </c>
      <c r="AT718" s="7">
        <v>0.72877999999999998</v>
      </c>
      <c r="AU718" s="7">
        <v>0.728321</v>
      </c>
      <c r="AV718" s="7">
        <v>72.878026000000006</v>
      </c>
      <c r="AW718" s="7">
        <v>100</v>
      </c>
      <c r="AX718" s="7">
        <v>0.68566199999999999</v>
      </c>
      <c r="AY718" s="7">
        <v>0.89734899999999995</v>
      </c>
      <c r="AZ718" s="7">
        <v>68.566203000000002</v>
      </c>
      <c r="BA718" s="7">
        <v>100</v>
      </c>
      <c r="BB718" s="7">
        <v>0.58231200000000005</v>
      </c>
      <c r="BC718" s="7">
        <v>29.115621000000001</v>
      </c>
      <c r="BD718" s="7">
        <v>50</v>
      </c>
      <c r="BE718" s="7">
        <v>0.36560900000000002</v>
      </c>
      <c r="BF718" s="7">
        <v>18.280431</v>
      </c>
      <c r="BG718" s="7">
        <v>50</v>
      </c>
      <c r="BH718" s="7">
        <v>0</v>
      </c>
      <c r="BI718" s="7">
        <v>1</v>
      </c>
      <c r="BJ718" s="7">
        <v>1</v>
      </c>
      <c r="BK718" s="7">
        <v>1</v>
      </c>
      <c r="BL718" s="7">
        <v>0.99591799999999997</v>
      </c>
      <c r="BM718" s="7">
        <v>0.99516899999999997</v>
      </c>
      <c r="BN718" s="7">
        <v>1</v>
      </c>
      <c r="BO718" s="7">
        <v>1</v>
      </c>
      <c r="BP718" s="7">
        <v>1</v>
      </c>
      <c r="BQ718" s="4" t="s">
        <v>124</v>
      </c>
      <c r="BR718" s="7">
        <v>4.9603000000000001E-2</v>
      </c>
      <c r="BS718" s="7">
        <v>50</v>
      </c>
      <c r="BT718" s="7">
        <v>50</v>
      </c>
      <c r="BU718" s="7">
        <v>5.7591999999999997E-2</v>
      </c>
      <c r="BV718" s="7">
        <v>48.481675000000003</v>
      </c>
      <c r="BW718" s="7">
        <v>50</v>
      </c>
      <c r="BX718" s="4" t="s">
        <v>124</v>
      </c>
      <c r="BY718" s="4" t="s">
        <v>124</v>
      </c>
      <c r="BZ718" s="4" t="s">
        <v>124</v>
      </c>
      <c r="CA718" s="4" t="s">
        <v>124</v>
      </c>
      <c r="CB718" s="4" t="s">
        <v>124</v>
      </c>
      <c r="CC718" s="4" t="s">
        <v>124</v>
      </c>
      <c r="CD718" s="4" t="s">
        <v>124</v>
      </c>
      <c r="CE718" s="4" t="s">
        <v>124</v>
      </c>
      <c r="CF718" s="4" t="s">
        <v>124</v>
      </c>
      <c r="CG718" s="4" t="s">
        <v>124</v>
      </c>
      <c r="CH718" s="4" t="s">
        <v>124</v>
      </c>
      <c r="CI718" s="4" t="s">
        <v>124</v>
      </c>
      <c r="CJ718" s="4" t="s">
        <v>124</v>
      </c>
      <c r="CK718" s="4" t="s">
        <v>124</v>
      </c>
      <c r="CL718" s="4" t="s">
        <v>124</v>
      </c>
      <c r="CM718" s="4" t="s">
        <v>124</v>
      </c>
      <c r="CN718" s="4" t="s">
        <v>124</v>
      </c>
      <c r="CO718" s="4" t="s">
        <v>124</v>
      </c>
      <c r="CP718" s="4" t="s">
        <v>124</v>
      </c>
      <c r="CQ718" s="7">
        <v>0.56626500000000002</v>
      </c>
      <c r="CR718" s="7">
        <v>0.97647099999999998</v>
      </c>
      <c r="CS718" s="7">
        <v>37.751004000000002</v>
      </c>
      <c r="CT718" s="7">
        <v>50</v>
      </c>
      <c r="CU718" s="4" t="s">
        <v>124</v>
      </c>
      <c r="CV718" s="4" t="s">
        <v>124</v>
      </c>
      <c r="CW718" s="4" t="s">
        <v>124</v>
      </c>
      <c r="CX718" s="4" t="s">
        <v>124</v>
      </c>
      <c r="CY718" s="4" t="s">
        <v>124</v>
      </c>
      <c r="CZ718" s="4" t="s">
        <v>124</v>
      </c>
      <c r="DA718" s="7">
        <v>15.314097</v>
      </c>
      <c r="DB718" s="7">
        <v>17.400950000000002</v>
      </c>
      <c r="DC718" s="7">
        <v>16.332519999999999</v>
      </c>
      <c r="DD718" s="4" t="s">
        <v>124</v>
      </c>
      <c r="DE718" s="7">
        <v>0</v>
      </c>
      <c r="DF718" s="6"/>
      <c r="DG718" s="6"/>
      <c r="DH718" s="4" t="s">
        <v>331</v>
      </c>
      <c r="DI718" s="4" t="s">
        <v>523</v>
      </c>
      <c r="DJ718" s="7">
        <v>0</v>
      </c>
      <c r="DK718" s="7">
        <v>0</v>
      </c>
      <c r="DL718" s="7">
        <v>0</v>
      </c>
      <c r="DM718" s="7">
        <v>1</v>
      </c>
      <c r="DN718" s="7">
        <v>0</v>
      </c>
      <c r="DO718" s="7">
        <v>0</v>
      </c>
      <c r="DP718" s="6"/>
      <c r="DQ718" s="4" t="s">
        <v>125</v>
      </c>
    </row>
    <row r="719" spans="1:121" ht="20" customHeight="1" x14ac:dyDescent="0.15">
      <c r="A719" s="5">
        <v>2018</v>
      </c>
      <c r="B719" s="3" t="s">
        <v>207</v>
      </c>
      <c r="C719" s="4" t="str">
        <f t="shared" si="82"/>
        <v>0960011</v>
      </c>
      <c r="D719" s="4" t="s">
        <v>875</v>
      </c>
      <c r="E719" s="4" t="str">
        <f>"0960511"</f>
        <v>0960511</v>
      </c>
      <c r="F719" s="4" t="s">
        <v>327</v>
      </c>
      <c r="G719" s="4" t="s">
        <v>328</v>
      </c>
      <c r="H719" s="7">
        <v>2</v>
      </c>
      <c r="I719" s="4" t="s">
        <v>329</v>
      </c>
      <c r="J719" s="4" t="s">
        <v>330</v>
      </c>
      <c r="K719" s="7">
        <v>97.179486999999995</v>
      </c>
      <c r="L719" s="7">
        <v>100</v>
      </c>
      <c r="M719" s="7">
        <v>97.179486999999995</v>
      </c>
      <c r="N719" s="4" t="s">
        <v>124</v>
      </c>
      <c r="O719" s="4" t="s">
        <v>124</v>
      </c>
      <c r="P719" s="4" t="s">
        <v>124</v>
      </c>
      <c r="Q719" s="4" t="s">
        <v>124</v>
      </c>
      <c r="R719" s="4" t="s">
        <v>124</v>
      </c>
      <c r="S719" s="4" t="s">
        <v>124</v>
      </c>
      <c r="T719" s="4" t="s">
        <v>124</v>
      </c>
      <c r="U719" s="4" t="s">
        <v>124</v>
      </c>
      <c r="V719" s="4" t="s">
        <v>124</v>
      </c>
      <c r="W719" s="4" t="s">
        <v>124</v>
      </c>
      <c r="X719" s="4" t="s">
        <v>124</v>
      </c>
      <c r="Y719" s="4" t="s">
        <v>124</v>
      </c>
      <c r="Z719" s="4" t="s">
        <v>124</v>
      </c>
      <c r="AA719" s="4" t="s">
        <v>124</v>
      </c>
      <c r="AB719" s="4" t="s">
        <v>124</v>
      </c>
      <c r="AC719" s="4" t="s">
        <v>124</v>
      </c>
      <c r="AD719" s="4" t="s">
        <v>124</v>
      </c>
      <c r="AE719" s="4" t="s">
        <v>124</v>
      </c>
      <c r="AF719" s="4" t="s">
        <v>124</v>
      </c>
      <c r="AG719" s="4" t="s">
        <v>124</v>
      </c>
      <c r="AH719" s="4" t="s">
        <v>124</v>
      </c>
      <c r="AI719" s="4" t="s">
        <v>124</v>
      </c>
      <c r="AJ719" s="4" t="s">
        <v>124</v>
      </c>
      <c r="AK719" s="4" t="s">
        <v>124</v>
      </c>
      <c r="AL719" s="4" t="s">
        <v>124</v>
      </c>
      <c r="AM719" s="4" t="s">
        <v>124</v>
      </c>
      <c r="AN719" s="4" t="s">
        <v>124</v>
      </c>
      <c r="AO719" s="4" t="s">
        <v>124</v>
      </c>
      <c r="AP719" s="4" t="s">
        <v>124</v>
      </c>
      <c r="AQ719" s="4" t="s">
        <v>124</v>
      </c>
      <c r="AR719" s="4" t="s">
        <v>124</v>
      </c>
      <c r="AS719" s="4" t="s">
        <v>124</v>
      </c>
      <c r="AT719" s="4" t="s">
        <v>124</v>
      </c>
      <c r="AU719" s="4" t="s">
        <v>124</v>
      </c>
      <c r="AV719" s="4" t="s">
        <v>124</v>
      </c>
      <c r="AW719" s="4" t="s">
        <v>124</v>
      </c>
      <c r="AX719" s="4" t="s">
        <v>124</v>
      </c>
      <c r="AY719" s="4" t="s">
        <v>124</v>
      </c>
      <c r="AZ719" s="4" t="s">
        <v>124</v>
      </c>
      <c r="BA719" s="4" t="s">
        <v>124</v>
      </c>
      <c r="BB719" s="4" t="s">
        <v>124</v>
      </c>
      <c r="BC719" s="4" t="s">
        <v>124</v>
      </c>
      <c r="BD719" s="4" t="s">
        <v>124</v>
      </c>
      <c r="BE719" s="4" t="s">
        <v>124</v>
      </c>
      <c r="BF719" s="4" t="s">
        <v>124</v>
      </c>
      <c r="BG719" s="4" t="s">
        <v>124</v>
      </c>
      <c r="BH719" s="4" t="s">
        <v>124</v>
      </c>
      <c r="BI719" s="4" t="s">
        <v>124</v>
      </c>
      <c r="BJ719" s="4" t="s">
        <v>124</v>
      </c>
      <c r="BK719" s="4" t="s">
        <v>124</v>
      </c>
      <c r="BL719" s="4" t="s">
        <v>124</v>
      </c>
      <c r="BM719" s="4" t="s">
        <v>124</v>
      </c>
      <c r="BN719" s="4" t="s">
        <v>124</v>
      </c>
      <c r="BO719" s="4" t="s">
        <v>124</v>
      </c>
      <c r="BP719" s="4" t="s">
        <v>124</v>
      </c>
      <c r="BQ719" s="4" t="s">
        <v>124</v>
      </c>
      <c r="BR719" s="7">
        <v>3.2543999999999997E-2</v>
      </c>
      <c r="BS719" s="7">
        <v>50</v>
      </c>
      <c r="BT719" s="7">
        <v>50</v>
      </c>
      <c r="BU719" s="7">
        <v>6.4102999999999993E-2</v>
      </c>
      <c r="BV719" s="7">
        <v>47.179487000000002</v>
      </c>
      <c r="BW719" s="7">
        <v>50</v>
      </c>
      <c r="BX719" s="4" t="s">
        <v>124</v>
      </c>
      <c r="BY719" s="4" t="s">
        <v>124</v>
      </c>
      <c r="BZ719" s="4" t="s">
        <v>124</v>
      </c>
      <c r="CA719" s="4" t="s">
        <v>124</v>
      </c>
      <c r="CB719" s="4" t="s">
        <v>124</v>
      </c>
      <c r="CC719" s="4" t="s">
        <v>124</v>
      </c>
      <c r="CD719" s="4" t="s">
        <v>124</v>
      </c>
      <c r="CE719" s="4" t="s">
        <v>124</v>
      </c>
      <c r="CF719" s="4" t="s">
        <v>124</v>
      </c>
      <c r="CG719" s="4" t="s">
        <v>124</v>
      </c>
      <c r="CH719" s="4" t="s">
        <v>124</v>
      </c>
      <c r="CI719" s="4" t="s">
        <v>124</v>
      </c>
      <c r="CJ719" s="4" t="s">
        <v>124</v>
      </c>
      <c r="CK719" s="4" t="s">
        <v>124</v>
      </c>
      <c r="CL719" s="4" t="s">
        <v>124</v>
      </c>
      <c r="CM719" s="4" t="s">
        <v>124</v>
      </c>
      <c r="CN719" s="4" t="s">
        <v>124</v>
      </c>
      <c r="CO719" s="4" t="s">
        <v>124</v>
      </c>
      <c r="CP719" s="4" t="s">
        <v>124</v>
      </c>
      <c r="CQ719" s="4" t="s">
        <v>124</v>
      </c>
      <c r="CR719" s="4" t="s">
        <v>124</v>
      </c>
      <c r="CS719" s="4" t="s">
        <v>124</v>
      </c>
      <c r="CT719" s="4" t="s">
        <v>124</v>
      </c>
      <c r="CU719" s="4" t="s">
        <v>124</v>
      </c>
      <c r="CV719" s="4" t="s">
        <v>124</v>
      </c>
      <c r="CW719" s="4" t="s">
        <v>124</v>
      </c>
      <c r="CX719" s="4" t="s">
        <v>124</v>
      </c>
      <c r="CY719" s="4" t="s">
        <v>124</v>
      </c>
      <c r="CZ719" s="4" t="s">
        <v>124</v>
      </c>
      <c r="DA719" s="4" t="s">
        <v>124</v>
      </c>
      <c r="DB719" s="4" t="s">
        <v>124</v>
      </c>
      <c r="DC719" s="4" t="s">
        <v>124</v>
      </c>
      <c r="DD719" s="4" t="s">
        <v>124</v>
      </c>
      <c r="DE719" s="4" t="s">
        <v>124</v>
      </c>
      <c r="DF719" s="6"/>
      <c r="DG719" s="6"/>
      <c r="DH719" s="6"/>
      <c r="DI719" s="6"/>
      <c r="DJ719" s="4" t="s">
        <v>124</v>
      </c>
      <c r="DK719" s="4" t="s">
        <v>124</v>
      </c>
      <c r="DL719" s="4" t="s">
        <v>124</v>
      </c>
      <c r="DM719" s="4" t="s">
        <v>124</v>
      </c>
      <c r="DN719" s="4" t="s">
        <v>124</v>
      </c>
      <c r="DO719" s="4" t="s">
        <v>124</v>
      </c>
      <c r="DP719" s="6"/>
      <c r="DQ719" s="4" t="s">
        <v>125</v>
      </c>
    </row>
    <row r="720" spans="1:121" ht="20" customHeight="1" x14ac:dyDescent="0.15">
      <c r="A720" s="5">
        <v>2018</v>
      </c>
      <c r="B720" s="3" t="s">
        <v>207</v>
      </c>
      <c r="C720" s="4" t="str">
        <f t="shared" ref="C720:C722" si="233">"0960011"</f>
        <v>0960011</v>
      </c>
      <c r="D720" s="4" t="s">
        <v>876</v>
      </c>
      <c r="E720" s="4" t="str">
        <f>"0966111"</f>
        <v>0966111</v>
      </c>
      <c r="F720" s="4" t="s">
        <v>327</v>
      </c>
      <c r="G720" s="7">
        <v>9</v>
      </c>
      <c r="H720" s="7">
        <v>12</v>
      </c>
      <c r="I720" s="6"/>
      <c r="J720" s="4" t="s">
        <v>330</v>
      </c>
      <c r="K720" s="7">
        <v>1214.534938</v>
      </c>
      <c r="L720" s="7">
        <v>1550</v>
      </c>
      <c r="M720" s="7">
        <v>78.357093000000006</v>
      </c>
      <c r="N720" s="7">
        <v>3</v>
      </c>
      <c r="O720" s="7">
        <v>0</v>
      </c>
      <c r="P720" s="7">
        <v>60.949289999999998</v>
      </c>
      <c r="Q720" s="7">
        <v>121.89858099999999</v>
      </c>
      <c r="R720" s="7">
        <v>150</v>
      </c>
      <c r="S720" s="7">
        <v>54.183225999999998</v>
      </c>
      <c r="T720" s="7">
        <v>64.192012000000005</v>
      </c>
      <c r="U720" s="7">
        <v>108.36645300000001</v>
      </c>
      <c r="V720" s="7">
        <v>150</v>
      </c>
      <c r="W720" s="7">
        <v>60.661821000000003</v>
      </c>
      <c r="X720" s="7">
        <v>121.32364099999999</v>
      </c>
      <c r="Y720" s="7">
        <v>150</v>
      </c>
      <c r="Z720" s="7">
        <v>64.225806000000006</v>
      </c>
      <c r="AA720" s="7">
        <v>53.225427000000003</v>
      </c>
      <c r="AB720" s="7">
        <v>106.450855</v>
      </c>
      <c r="AC720" s="7">
        <v>150</v>
      </c>
      <c r="AD720" s="7">
        <v>62.725309000000003</v>
      </c>
      <c r="AE720" s="7">
        <v>83.633745000000005</v>
      </c>
      <c r="AF720" s="7">
        <v>100</v>
      </c>
      <c r="AG720" s="7">
        <v>52.745489999999997</v>
      </c>
      <c r="AH720" s="7">
        <v>67.668583999999996</v>
      </c>
      <c r="AI720" s="7">
        <v>70.32732</v>
      </c>
      <c r="AJ720" s="7">
        <v>100</v>
      </c>
      <c r="AK720" s="7">
        <v>10</v>
      </c>
      <c r="AL720" s="7">
        <v>11</v>
      </c>
      <c r="AM720" s="7">
        <v>14.92</v>
      </c>
      <c r="AN720" s="4" t="s">
        <v>124</v>
      </c>
      <c r="AO720" s="4" t="s">
        <v>124</v>
      </c>
      <c r="AP720" s="4" t="s">
        <v>124</v>
      </c>
      <c r="AQ720" s="4" t="s">
        <v>124</v>
      </c>
      <c r="AR720" s="4" t="s">
        <v>124</v>
      </c>
      <c r="AS720" s="4" t="s">
        <v>124</v>
      </c>
      <c r="AT720" s="4" t="s">
        <v>124</v>
      </c>
      <c r="AU720" s="4" t="s">
        <v>124</v>
      </c>
      <c r="AV720" s="4" t="s">
        <v>124</v>
      </c>
      <c r="AW720" s="4" t="s">
        <v>124</v>
      </c>
      <c r="AX720" s="4" t="s">
        <v>124</v>
      </c>
      <c r="AY720" s="4" t="s">
        <v>124</v>
      </c>
      <c r="AZ720" s="4" t="s">
        <v>124</v>
      </c>
      <c r="BA720" s="4" t="s">
        <v>124</v>
      </c>
      <c r="BB720" s="7">
        <v>0.45168599999999998</v>
      </c>
      <c r="BC720" s="7">
        <v>22.584306000000002</v>
      </c>
      <c r="BD720" s="7">
        <v>50</v>
      </c>
      <c r="BE720" s="7">
        <v>0.72878500000000002</v>
      </c>
      <c r="BF720" s="7">
        <v>36.439230000000002</v>
      </c>
      <c r="BG720" s="7">
        <v>50</v>
      </c>
      <c r="BH720" s="7">
        <v>1</v>
      </c>
      <c r="BI720" s="7">
        <v>0.97916700000000001</v>
      </c>
      <c r="BJ720" s="7">
        <v>0.94067800000000001</v>
      </c>
      <c r="BK720" s="7">
        <v>1</v>
      </c>
      <c r="BL720" s="7">
        <v>0.97916700000000001</v>
      </c>
      <c r="BM720" s="7">
        <v>0.94067800000000001</v>
      </c>
      <c r="BN720" s="7">
        <v>1</v>
      </c>
      <c r="BO720" s="7">
        <v>0.97023800000000004</v>
      </c>
      <c r="BP720" s="7">
        <v>0.94067800000000001</v>
      </c>
      <c r="BQ720" s="7">
        <v>0.98623899999999998</v>
      </c>
      <c r="BR720" s="7">
        <v>9.7933999999999993E-2</v>
      </c>
      <c r="BS720" s="7">
        <v>40.413159999999998</v>
      </c>
      <c r="BT720" s="7">
        <v>50</v>
      </c>
      <c r="BU720" s="7">
        <v>0.18584100000000001</v>
      </c>
      <c r="BV720" s="7">
        <v>22.831858</v>
      </c>
      <c r="BW720" s="7">
        <v>50</v>
      </c>
      <c r="BX720" s="7">
        <v>0.95866499999999999</v>
      </c>
      <c r="BY720" s="7">
        <v>50</v>
      </c>
      <c r="BZ720" s="7">
        <v>50</v>
      </c>
      <c r="CA720" s="7">
        <v>0.54690000000000005</v>
      </c>
      <c r="CB720" s="7">
        <v>36.459989</v>
      </c>
      <c r="CC720" s="7">
        <v>50</v>
      </c>
      <c r="CD720" s="7">
        <v>0.93333299999999997</v>
      </c>
      <c r="CE720" s="7">
        <v>49.645389999999999</v>
      </c>
      <c r="CF720" s="7">
        <v>50</v>
      </c>
      <c r="CG720" s="7">
        <v>0.92592600000000003</v>
      </c>
      <c r="CH720" s="7">
        <v>98.502758</v>
      </c>
      <c r="CI720" s="7">
        <v>100</v>
      </c>
      <c r="CJ720" s="7">
        <v>1</v>
      </c>
      <c r="CK720" s="7">
        <v>0.85057499999999997</v>
      </c>
      <c r="CL720" s="7">
        <v>90.486671999999999</v>
      </c>
      <c r="CM720" s="7">
        <v>100</v>
      </c>
      <c r="CN720" s="7">
        <v>0.82674800000000004</v>
      </c>
      <c r="CO720" s="7">
        <v>100</v>
      </c>
      <c r="CP720" s="7">
        <v>100</v>
      </c>
      <c r="CQ720" s="7">
        <v>0.44625399999999998</v>
      </c>
      <c r="CR720" s="7">
        <v>0.89504399999999995</v>
      </c>
      <c r="CS720" s="7">
        <v>14.875135999999999</v>
      </c>
      <c r="CT720" s="7">
        <v>50</v>
      </c>
      <c r="CU720" s="7">
        <v>0.48354999999999998</v>
      </c>
      <c r="CV720" s="7">
        <v>40.295842999999998</v>
      </c>
      <c r="CW720" s="7">
        <v>50</v>
      </c>
      <c r="CX720" s="7">
        <v>0.85057499999999997</v>
      </c>
      <c r="CY720" s="7">
        <v>0.94</v>
      </c>
      <c r="CZ720" s="7">
        <v>8.9425000000000004E-2</v>
      </c>
      <c r="DA720" s="7">
        <v>15.314097</v>
      </c>
      <c r="DB720" s="7">
        <v>17.400950000000002</v>
      </c>
      <c r="DC720" s="7">
        <v>16.332519999999999</v>
      </c>
      <c r="DD720" s="7">
        <v>7.9891730000000001</v>
      </c>
      <c r="DE720" s="7">
        <v>1</v>
      </c>
      <c r="DF720" s="6"/>
      <c r="DG720" s="6"/>
      <c r="DH720" s="6"/>
      <c r="DI720" s="6"/>
      <c r="DJ720" s="7">
        <v>0</v>
      </c>
      <c r="DK720" s="7">
        <v>0</v>
      </c>
      <c r="DL720" s="7">
        <v>0</v>
      </c>
      <c r="DM720" s="7">
        <v>0</v>
      </c>
      <c r="DN720" s="7">
        <v>0</v>
      </c>
      <c r="DO720" s="7">
        <v>0</v>
      </c>
      <c r="DP720" s="6"/>
      <c r="DQ720" s="4" t="s">
        <v>125</v>
      </c>
    </row>
    <row r="721" spans="1:121" ht="20" customHeight="1" x14ac:dyDescent="0.15">
      <c r="A721" s="5">
        <v>2018</v>
      </c>
      <c r="B721" s="3" t="s">
        <v>207</v>
      </c>
      <c r="C721" s="4" t="str">
        <f t="shared" si="233"/>
        <v>0960011</v>
      </c>
      <c r="D721" s="4" t="s">
        <v>877</v>
      </c>
      <c r="E721" s="4" t="str">
        <f>"0960811"</f>
        <v>0960811</v>
      </c>
      <c r="F721" s="4" t="s">
        <v>327</v>
      </c>
      <c r="G721" s="4" t="s">
        <v>328</v>
      </c>
      <c r="H721" s="7">
        <v>2</v>
      </c>
      <c r="I721" s="6"/>
      <c r="J721" s="4" t="s">
        <v>330</v>
      </c>
      <c r="K721" s="7">
        <v>94.905659999999997</v>
      </c>
      <c r="L721" s="7">
        <v>100</v>
      </c>
      <c r="M721" s="7">
        <v>94.905659999999997</v>
      </c>
      <c r="N721" s="4" t="s">
        <v>124</v>
      </c>
      <c r="O721" s="4" t="s">
        <v>124</v>
      </c>
      <c r="P721" s="4" t="s">
        <v>124</v>
      </c>
      <c r="Q721" s="4" t="s">
        <v>124</v>
      </c>
      <c r="R721" s="4" t="s">
        <v>124</v>
      </c>
      <c r="S721" s="4" t="s">
        <v>124</v>
      </c>
      <c r="T721" s="4" t="s">
        <v>124</v>
      </c>
      <c r="U721" s="4" t="s">
        <v>124</v>
      </c>
      <c r="V721" s="4" t="s">
        <v>124</v>
      </c>
      <c r="W721" s="4" t="s">
        <v>124</v>
      </c>
      <c r="X721" s="4" t="s">
        <v>124</v>
      </c>
      <c r="Y721" s="4" t="s">
        <v>124</v>
      </c>
      <c r="Z721" s="4" t="s">
        <v>124</v>
      </c>
      <c r="AA721" s="4" t="s">
        <v>124</v>
      </c>
      <c r="AB721" s="4" t="s">
        <v>124</v>
      </c>
      <c r="AC721" s="4" t="s">
        <v>124</v>
      </c>
      <c r="AD721" s="4" t="s">
        <v>124</v>
      </c>
      <c r="AE721" s="4" t="s">
        <v>124</v>
      </c>
      <c r="AF721" s="4" t="s">
        <v>124</v>
      </c>
      <c r="AG721" s="4" t="s">
        <v>124</v>
      </c>
      <c r="AH721" s="4" t="s">
        <v>124</v>
      </c>
      <c r="AI721" s="4" t="s">
        <v>124</v>
      </c>
      <c r="AJ721" s="4" t="s">
        <v>124</v>
      </c>
      <c r="AK721" s="4" t="s">
        <v>124</v>
      </c>
      <c r="AL721" s="4" t="s">
        <v>124</v>
      </c>
      <c r="AM721" s="4" t="s">
        <v>124</v>
      </c>
      <c r="AN721" s="4" t="s">
        <v>124</v>
      </c>
      <c r="AO721" s="4" t="s">
        <v>124</v>
      </c>
      <c r="AP721" s="4" t="s">
        <v>124</v>
      </c>
      <c r="AQ721" s="4" t="s">
        <v>124</v>
      </c>
      <c r="AR721" s="4" t="s">
        <v>124</v>
      </c>
      <c r="AS721" s="4" t="s">
        <v>124</v>
      </c>
      <c r="AT721" s="4" t="s">
        <v>124</v>
      </c>
      <c r="AU721" s="4" t="s">
        <v>124</v>
      </c>
      <c r="AV721" s="4" t="s">
        <v>124</v>
      </c>
      <c r="AW721" s="4" t="s">
        <v>124</v>
      </c>
      <c r="AX721" s="4" t="s">
        <v>124</v>
      </c>
      <c r="AY721" s="4" t="s">
        <v>124</v>
      </c>
      <c r="AZ721" s="4" t="s">
        <v>124</v>
      </c>
      <c r="BA721" s="4" t="s">
        <v>124</v>
      </c>
      <c r="BB721" s="4" t="s">
        <v>124</v>
      </c>
      <c r="BC721" s="4" t="s">
        <v>124</v>
      </c>
      <c r="BD721" s="4" t="s">
        <v>124</v>
      </c>
      <c r="BE721" s="4" t="s">
        <v>124</v>
      </c>
      <c r="BF721" s="4" t="s">
        <v>124</v>
      </c>
      <c r="BG721" s="4" t="s">
        <v>124</v>
      </c>
      <c r="BH721" s="4" t="s">
        <v>124</v>
      </c>
      <c r="BI721" s="4" t="s">
        <v>124</v>
      </c>
      <c r="BJ721" s="4" t="s">
        <v>124</v>
      </c>
      <c r="BK721" s="4" t="s">
        <v>124</v>
      </c>
      <c r="BL721" s="4" t="s">
        <v>124</v>
      </c>
      <c r="BM721" s="4" t="s">
        <v>124</v>
      </c>
      <c r="BN721" s="4" t="s">
        <v>124</v>
      </c>
      <c r="BO721" s="4" t="s">
        <v>124</v>
      </c>
      <c r="BP721" s="4" t="s">
        <v>124</v>
      </c>
      <c r="BQ721" s="4" t="s">
        <v>124</v>
      </c>
      <c r="BR721" s="7">
        <v>3.6854999999999999E-2</v>
      </c>
      <c r="BS721" s="7">
        <v>50</v>
      </c>
      <c r="BT721" s="7">
        <v>50</v>
      </c>
      <c r="BU721" s="7">
        <v>7.5471999999999997E-2</v>
      </c>
      <c r="BV721" s="7">
        <v>44.905659999999997</v>
      </c>
      <c r="BW721" s="7">
        <v>50</v>
      </c>
      <c r="BX721" s="4" t="s">
        <v>124</v>
      </c>
      <c r="BY721" s="4" t="s">
        <v>124</v>
      </c>
      <c r="BZ721" s="4" t="s">
        <v>124</v>
      </c>
      <c r="CA721" s="4" t="s">
        <v>124</v>
      </c>
      <c r="CB721" s="4" t="s">
        <v>124</v>
      </c>
      <c r="CC721" s="4" t="s">
        <v>124</v>
      </c>
      <c r="CD721" s="4" t="s">
        <v>124</v>
      </c>
      <c r="CE721" s="4" t="s">
        <v>124</v>
      </c>
      <c r="CF721" s="4" t="s">
        <v>124</v>
      </c>
      <c r="CG721" s="4" t="s">
        <v>124</v>
      </c>
      <c r="CH721" s="4" t="s">
        <v>124</v>
      </c>
      <c r="CI721" s="4" t="s">
        <v>124</v>
      </c>
      <c r="CJ721" s="4" t="s">
        <v>124</v>
      </c>
      <c r="CK721" s="4" t="s">
        <v>124</v>
      </c>
      <c r="CL721" s="4" t="s">
        <v>124</v>
      </c>
      <c r="CM721" s="4" t="s">
        <v>124</v>
      </c>
      <c r="CN721" s="4" t="s">
        <v>124</v>
      </c>
      <c r="CO721" s="4" t="s">
        <v>124</v>
      </c>
      <c r="CP721" s="4" t="s">
        <v>124</v>
      </c>
      <c r="CQ721" s="4" t="s">
        <v>124</v>
      </c>
      <c r="CR721" s="4" t="s">
        <v>124</v>
      </c>
      <c r="CS721" s="4" t="s">
        <v>124</v>
      </c>
      <c r="CT721" s="4" t="s">
        <v>124</v>
      </c>
      <c r="CU721" s="4" t="s">
        <v>124</v>
      </c>
      <c r="CV721" s="4" t="s">
        <v>124</v>
      </c>
      <c r="CW721" s="4" t="s">
        <v>124</v>
      </c>
      <c r="CX721" s="4" t="s">
        <v>124</v>
      </c>
      <c r="CY721" s="4" t="s">
        <v>124</v>
      </c>
      <c r="CZ721" s="4" t="s">
        <v>124</v>
      </c>
      <c r="DA721" s="4" t="s">
        <v>124</v>
      </c>
      <c r="DB721" s="4" t="s">
        <v>124</v>
      </c>
      <c r="DC721" s="4" t="s">
        <v>124</v>
      </c>
      <c r="DD721" s="4" t="s">
        <v>124</v>
      </c>
      <c r="DE721" s="4" t="s">
        <v>124</v>
      </c>
      <c r="DF721" s="6"/>
      <c r="DG721" s="6"/>
      <c r="DH721" s="6"/>
      <c r="DI721" s="6"/>
      <c r="DJ721" s="4" t="s">
        <v>124</v>
      </c>
      <c r="DK721" s="4" t="s">
        <v>124</v>
      </c>
      <c r="DL721" s="4" t="s">
        <v>124</v>
      </c>
      <c r="DM721" s="4" t="s">
        <v>124</v>
      </c>
      <c r="DN721" s="4" t="s">
        <v>124</v>
      </c>
      <c r="DO721" s="4" t="s">
        <v>124</v>
      </c>
      <c r="DP721" s="6"/>
      <c r="DQ721" s="4" t="s">
        <v>125</v>
      </c>
    </row>
    <row r="722" spans="1:121" ht="20" customHeight="1" x14ac:dyDescent="0.15">
      <c r="A722" s="5">
        <v>2018</v>
      </c>
      <c r="B722" s="3" t="s">
        <v>207</v>
      </c>
      <c r="C722" s="4" t="str">
        <f t="shared" si="233"/>
        <v>0960011</v>
      </c>
      <c r="D722" s="4" t="s">
        <v>878</v>
      </c>
      <c r="E722" s="4" t="str">
        <f>"0960911"</f>
        <v>0960911</v>
      </c>
      <c r="F722" s="4" t="s">
        <v>327</v>
      </c>
      <c r="G722" s="7">
        <v>3</v>
      </c>
      <c r="H722" s="7">
        <v>5</v>
      </c>
      <c r="I722" s="4" t="s">
        <v>329</v>
      </c>
      <c r="J722" s="4" t="s">
        <v>330</v>
      </c>
      <c r="K722" s="7">
        <v>727.04973600000005</v>
      </c>
      <c r="L722" s="7">
        <v>950</v>
      </c>
      <c r="M722" s="7">
        <v>76.531550999999993</v>
      </c>
      <c r="N722" s="7">
        <v>2</v>
      </c>
      <c r="O722" s="7">
        <v>0</v>
      </c>
      <c r="P722" s="7">
        <v>68.478378000000006</v>
      </c>
      <c r="Q722" s="7">
        <v>45.652251999999997</v>
      </c>
      <c r="R722" s="7">
        <v>50</v>
      </c>
      <c r="S722" s="7">
        <v>61.143605000000001</v>
      </c>
      <c r="T722" s="7">
        <v>75</v>
      </c>
      <c r="U722" s="7">
        <v>40.762402999999999</v>
      </c>
      <c r="V722" s="7">
        <v>50</v>
      </c>
      <c r="W722" s="7">
        <v>67.116523000000001</v>
      </c>
      <c r="X722" s="7">
        <v>44.744349</v>
      </c>
      <c r="Y722" s="7">
        <v>50</v>
      </c>
      <c r="Z722" s="7">
        <v>73.872086999999993</v>
      </c>
      <c r="AA722" s="7">
        <v>59.926285</v>
      </c>
      <c r="AB722" s="7">
        <v>39.950856999999999</v>
      </c>
      <c r="AC722" s="7">
        <v>50</v>
      </c>
      <c r="AD722" s="7">
        <v>69.999301000000003</v>
      </c>
      <c r="AE722" s="7">
        <v>46.666201000000001</v>
      </c>
      <c r="AF722" s="7">
        <v>50</v>
      </c>
      <c r="AG722" s="7">
        <v>64.159908000000001</v>
      </c>
      <c r="AH722" s="7">
        <v>75</v>
      </c>
      <c r="AI722" s="7">
        <v>42.773271999999999</v>
      </c>
      <c r="AJ722" s="7">
        <v>50</v>
      </c>
      <c r="AK722" s="7">
        <v>13.85</v>
      </c>
      <c r="AL722" s="7">
        <v>13.94</v>
      </c>
      <c r="AM722" s="7">
        <v>10.84</v>
      </c>
      <c r="AN722" s="7">
        <v>0.60662000000000005</v>
      </c>
      <c r="AO722" s="7">
        <v>60.661982000000002</v>
      </c>
      <c r="AP722" s="7">
        <v>100</v>
      </c>
      <c r="AQ722" s="7">
        <v>0.74734100000000003</v>
      </c>
      <c r="AR722" s="7">
        <v>74.734149000000002</v>
      </c>
      <c r="AS722" s="7">
        <v>100</v>
      </c>
      <c r="AT722" s="7">
        <v>0.55960299999999996</v>
      </c>
      <c r="AU722" s="7">
        <v>0.64820500000000003</v>
      </c>
      <c r="AV722" s="7">
        <v>55.960303000000003</v>
      </c>
      <c r="AW722" s="7">
        <v>100</v>
      </c>
      <c r="AX722" s="7">
        <v>0.744896</v>
      </c>
      <c r="AY722" s="7">
        <v>0.74951800000000002</v>
      </c>
      <c r="AZ722" s="7">
        <v>74.489648000000003</v>
      </c>
      <c r="BA722" s="7">
        <v>100</v>
      </c>
      <c r="BB722" s="7">
        <v>0.641428</v>
      </c>
      <c r="BC722" s="7">
        <v>32.071399</v>
      </c>
      <c r="BD722" s="7">
        <v>50</v>
      </c>
      <c r="BE722" s="7">
        <v>0.67966599999999999</v>
      </c>
      <c r="BF722" s="7">
        <v>33.983297</v>
      </c>
      <c r="BG722" s="7">
        <v>50</v>
      </c>
      <c r="BH722" s="7">
        <v>0</v>
      </c>
      <c r="BI722" s="7">
        <v>0.99004999999999999</v>
      </c>
      <c r="BJ722" s="7">
        <v>0.98984799999999995</v>
      </c>
      <c r="BK722" s="7">
        <v>0.99024400000000001</v>
      </c>
      <c r="BL722" s="7">
        <v>0.98007500000000003</v>
      </c>
      <c r="BM722" s="7">
        <v>0.98223400000000005</v>
      </c>
      <c r="BN722" s="7">
        <v>0.97799499999999995</v>
      </c>
      <c r="BO722" s="7">
        <v>0.98947399999999996</v>
      </c>
      <c r="BP722" s="7">
        <v>0.99310299999999996</v>
      </c>
      <c r="BQ722" s="7">
        <v>0.98571399999999998</v>
      </c>
      <c r="BR722" s="7">
        <v>3.4913E-2</v>
      </c>
      <c r="BS722" s="7">
        <v>50</v>
      </c>
      <c r="BT722" s="7">
        <v>50</v>
      </c>
      <c r="BU722" s="7">
        <v>5.0802E-2</v>
      </c>
      <c r="BV722" s="7">
        <v>49.839571999999997</v>
      </c>
      <c r="BW722" s="7">
        <v>50</v>
      </c>
      <c r="BX722" s="4" t="s">
        <v>124</v>
      </c>
      <c r="BY722" s="4" t="s">
        <v>124</v>
      </c>
      <c r="BZ722" s="4" t="s">
        <v>124</v>
      </c>
      <c r="CA722" s="4" t="s">
        <v>124</v>
      </c>
      <c r="CB722" s="4" t="s">
        <v>124</v>
      </c>
      <c r="CC722" s="4" t="s">
        <v>124</v>
      </c>
      <c r="CD722" s="4" t="s">
        <v>124</v>
      </c>
      <c r="CE722" s="4" t="s">
        <v>124</v>
      </c>
      <c r="CF722" s="4" t="s">
        <v>124</v>
      </c>
      <c r="CG722" s="4" t="s">
        <v>124</v>
      </c>
      <c r="CH722" s="4" t="s">
        <v>124</v>
      </c>
      <c r="CI722" s="4" t="s">
        <v>124</v>
      </c>
      <c r="CJ722" s="4" t="s">
        <v>124</v>
      </c>
      <c r="CK722" s="4" t="s">
        <v>124</v>
      </c>
      <c r="CL722" s="4" t="s">
        <v>124</v>
      </c>
      <c r="CM722" s="4" t="s">
        <v>124</v>
      </c>
      <c r="CN722" s="4" t="s">
        <v>124</v>
      </c>
      <c r="CO722" s="4" t="s">
        <v>124</v>
      </c>
      <c r="CP722" s="4" t="s">
        <v>124</v>
      </c>
      <c r="CQ722" s="7">
        <v>0.521401</v>
      </c>
      <c r="CR722" s="7">
        <v>0.98091600000000001</v>
      </c>
      <c r="CS722" s="7">
        <v>34.760052000000002</v>
      </c>
      <c r="CT722" s="7">
        <v>50</v>
      </c>
      <c r="CU722" s="4" t="s">
        <v>124</v>
      </c>
      <c r="CV722" s="4" t="s">
        <v>124</v>
      </c>
      <c r="CW722" s="4" t="s">
        <v>124</v>
      </c>
      <c r="CX722" s="4" t="s">
        <v>124</v>
      </c>
      <c r="CY722" s="4" t="s">
        <v>124</v>
      </c>
      <c r="CZ722" s="4" t="s">
        <v>124</v>
      </c>
      <c r="DA722" s="7">
        <v>15.314097</v>
      </c>
      <c r="DB722" s="7">
        <v>17.400950000000002</v>
      </c>
      <c r="DC722" s="7">
        <v>16.332519999999999</v>
      </c>
      <c r="DD722" s="4" t="s">
        <v>124</v>
      </c>
      <c r="DE722" s="7">
        <v>0</v>
      </c>
      <c r="DF722" s="6"/>
      <c r="DG722" s="6"/>
      <c r="DH722" s="6"/>
      <c r="DI722" s="6"/>
      <c r="DJ722" s="7">
        <v>0</v>
      </c>
      <c r="DK722" s="7">
        <v>0</v>
      </c>
      <c r="DL722" s="7">
        <v>0</v>
      </c>
      <c r="DM722" s="7">
        <v>0</v>
      </c>
      <c r="DN722" s="7">
        <v>0</v>
      </c>
      <c r="DO722" s="7">
        <v>0</v>
      </c>
      <c r="DP722" s="6"/>
      <c r="DQ722" s="4" t="s">
        <v>125</v>
      </c>
    </row>
    <row r="723" spans="1:121" ht="20" customHeight="1" x14ac:dyDescent="0.15">
      <c r="A723" s="5">
        <v>2018</v>
      </c>
      <c r="B723" s="3" t="s">
        <v>207</v>
      </c>
      <c r="C723" s="4" t="str">
        <f>"0960011"</f>
        <v>0960011</v>
      </c>
      <c r="D723" s="4" t="s">
        <v>879</v>
      </c>
      <c r="E723" s="4" t="str">
        <f>"0965211"</f>
        <v>0965211</v>
      </c>
      <c r="F723" s="4" t="s">
        <v>327</v>
      </c>
      <c r="G723" s="7">
        <v>6</v>
      </c>
      <c r="H723" s="7">
        <v>8</v>
      </c>
      <c r="I723" s="6"/>
      <c r="J723" s="4" t="s">
        <v>330</v>
      </c>
      <c r="K723" s="7">
        <v>699.57282099999998</v>
      </c>
      <c r="L723" s="7">
        <v>1000</v>
      </c>
      <c r="M723" s="7">
        <v>69.957282000000006</v>
      </c>
      <c r="N723" s="7">
        <v>3</v>
      </c>
      <c r="O723" s="7">
        <v>0</v>
      </c>
      <c r="P723" s="7">
        <v>69.668098999999998</v>
      </c>
      <c r="Q723" s="7">
        <v>46.445399000000002</v>
      </c>
      <c r="R723" s="7">
        <v>50</v>
      </c>
      <c r="S723" s="7">
        <v>62.136139</v>
      </c>
      <c r="T723" s="7">
        <v>75</v>
      </c>
      <c r="U723" s="7">
        <v>41.424092000000002</v>
      </c>
      <c r="V723" s="7">
        <v>50</v>
      </c>
      <c r="W723" s="7">
        <v>64.822950000000006</v>
      </c>
      <c r="X723" s="7">
        <v>43.215299999999999</v>
      </c>
      <c r="Y723" s="7">
        <v>50</v>
      </c>
      <c r="Z723" s="7">
        <v>71.173437000000007</v>
      </c>
      <c r="AA723" s="7">
        <v>55.873041000000001</v>
      </c>
      <c r="AB723" s="7">
        <v>37.248694</v>
      </c>
      <c r="AC723" s="7">
        <v>50</v>
      </c>
      <c r="AD723" s="7">
        <v>69.260614000000004</v>
      </c>
      <c r="AE723" s="7">
        <v>46.173743000000002</v>
      </c>
      <c r="AF723" s="7">
        <v>50</v>
      </c>
      <c r="AG723" s="7">
        <v>59.683494000000003</v>
      </c>
      <c r="AH723" s="7">
        <v>75</v>
      </c>
      <c r="AI723" s="7">
        <v>39.788995999999997</v>
      </c>
      <c r="AJ723" s="7">
        <v>50</v>
      </c>
      <c r="AK723" s="7">
        <v>12.86</v>
      </c>
      <c r="AL723" s="7">
        <v>15.3</v>
      </c>
      <c r="AM723" s="7">
        <v>15.31</v>
      </c>
      <c r="AN723" s="7">
        <v>0.518706</v>
      </c>
      <c r="AO723" s="7">
        <v>51.870631000000003</v>
      </c>
      <c r="AP723" s="7">
        <v>100</v>
      </c>
      <c r="AQ723" s="7">
        <v>0.57161200000000001</v>
      </c>
      <c r="AR723" s="7">
        <v>57.161192</v>
      </c>
      <c r="AS723" s="7">
        <v>100</v>
      </c>
      <c r="AT723" s="7">
        <v>0.52935900000000002</v>
      </c>
      <c r="AU723" s="7">
        <v>0.511382</v>
      </c>
      <c r="AV723" s="7">
        <v>52.935865</v>
      </c>
      <c r="AW723" s="7">
        <v>100</v>
      </c>
      <c r="AX723" s="7">
        <v>0.52497000000000005</v>
      </c>
      <c r="AY723" s="7">
        <v>0.60348400000000002</v>
      </c>
      <c r="AZ723" s="7">
        <v>52.496951000000003</v>
      </c>
      <c r="BA723" s="7">
        <v>100</v>
      </c>
      <c r="BB723" s="7">
        <v>0.71049200000000001</v>
      </c>
      <c r="BC723" s="7">
        <v>35.524579000000003</v>
      </c>
      <c r="BD723" s="7">
        <v>50</v>
      </c>
      <c r="BE723" s="7">
        <v>0.68545400000000001</v>
      </c>
      <c r="BF723" s="7">
        <v>34.272722999999999</v>
      </c>
      <c r="BG723" s="7">
        <v>50</v>
      </c>
      <c r="BH723" s="7">
        <v>0</v>
      </c>
      <c r="BI723" s="7">
        <v>0.96751299999999996</v>
      </c>
      <c r="BJ723" s="7">
        <v>0.97142899999999999</v>
      </c>
      <c r="BK723" s="7">
        <v>0.96460199999999996</v>
      </c>
      <c r="BL723" s="7">
        <v>0.96751299999999996</v>
      </c>
      <c r="BM723" s="7">
        <v>0.96666700000000005</v>
      </c>
      <c r="BN723" s="7">
        <v>0.96814199999999995</v>
      </c>
      <c r="BO723" s="7">
        <v>0.98546500000000004</v>
      </c>
      <c r="BP723" s="7">
        <v>0.99248099999999995</v>
      </c>
      <c r="BQ723" s="7">
        <v>0.981043</v>
      </c>
      <c r="BR723" s="7">
        <v>7.4111999999999997E-2</v>
      </c>
      <c r="BS723" s="7">
        <v>45.177664999999998</v>
      </c>
      <c r="BT723" s="7">
        <v>50</v>
      </c>
      <c r="BU723" s="7">
        <v>0.113527</v>
      </c>
      <c r="BV723" s="7">
        <v>37.294685999999999</v>
      </c>
      <c r="BW723" s="7">
        <v>50</v>
      </c>
      <c r="BX723" s="4" t="s">
        <v>124</v>
      </c>
      <c r="BY723" s="4" t="s">
        <v>124</v>
      </c>
      <c r="BZ723" s="4" t="s">
        <v>124</v>
      </c>
      <c r="CA723" s="4" t="s">
        <v>124</v>
      </c>
      <c r="CB723" s="4" t="s">
        <v>124</v>
      </c>
      <c r="CC723" s="4" t="s">
        <v>124</v>
      </c>
      <c r="CD723" s="7">
        <v>0.961538</v>
      </c>
      <c r="CE723" s="7">
        <v>50</v>
      </c>
      <c r="CF723" s="7">
        <v>50</v>
      </c>
      <c r="CG723" s="4" t="s">
        <v>124</v>
      </c>
      <c r="CH723" s="4" t="s">
        <v>124</v>
      </c>
      <c r="CI723" s="4" t="s">
        <v>124</v>
      </c>
      <c r="CJ723" s="4" t="s">
        <v>124</v>
      </c>
      <c r="CK723" s="4" t="s">
        <v>124</v>
      </c>
      <c r="CL723" s="4" t="s">
        <v>124</v>
      </c>
      <c r="CM723" s="4" t="s">
        <v>124</v>
      </c>
      <c r="CN723" s="4" t="s">
        <v>124</v>
      </c>
      <c r="CO723" s="4" t="s">
        <v>124</v>
      </c>
      <c r="CP723" s="4" t="s">
        <v>124</v>
      </c>
      <c r="CQ723" s="7">
        <v>0.42813499999999999</v>
      </c>
      <c r="CR723" s="7">
        <v>0.98345899999999997</v>
      </c>
      <c r="CS723" s="7">
        <v>28.542304000000001</v>
      </c>
      <c r="CT723" s="7">
        <v>50</v>
      </c>
      <c r="CU723" s="4" t="s">
        <v>124</v>
      </c>
      <c r="CV723" s="4" t="s">
        <v>124</v>
      </c>
      <c r="CW723" s="4" t="s">
        <v>124</v>
      </c>
      <c r="CX723" s="4" t="s">
        <v>124</v>
      </c>
      <c r="CY723" s="4" t="s">
        <v>124</v>
      </c>
      <c r="CZ723" s="4" t="s">
        <v>124</v>
      </c>
      <c r="DA723" s="7">
        <v>15.314097</v>
      </c>
      <c r="DB723" s="7">
        <v>17.400950000000002</v>
      </c>
      <c r="DC723" s="7">
        <v>16.332519999999999</v>
      </c>
      <c r="DD723" s="4" t="s">
        <v>124</v>
      </c>
      <c r="DE723" s="7">
        <v>0</v>
      </c>
      <c r="DF723" s="6"/>
      <c r="DG723" s="6"/>
      <c r="DH723" s="6"/>
      <c r="DI723" s="6"/>
      <c r="DJ723" s="7">
        <v>0</v>
      </c>
      <c r="DK723" s="7">
        <v>0</v>
      </c>
      <c r="DL723" s="7">
        <v>0</v>
      </c>
      <c r="DM723" s="7">
        <v>0</v>
      </c>
      <c r="DN723" s="7">
        <v>0</v>
      </c>
      <c r="DO723" s="7">
        <v>0</v>
      </c>
      <c r="DP723" s="6"/>
      <c r="DQ723" s="4" t="s">
        <v>125</v>
      </c>
    </row>
    <row r="724" spans="1:121" ht="20" customHeight="1" x14ac:dyDescent="0.15">
      <c r="A724" s="5">
        <v>2018</v>
      </c>
      <c r="B724" s="3" t="s">
        <v>224</v>
      </c>
      <c r="C724" s="4" t="str">
        <f>"0970011"</f>
        <v>0970011</v>
      </c>
      <c r="D724" s="4" t="s">
        <v>880</v>
      </c>
      <c r="E724" s="4" t="str">
        <f>"0970111"</f>
        <v>0970111</v>
      </c>
      <c r="F724" s="4" t="s">
        <v>327</v>
      </c>
      <c r="G724" s="4" t="s">
        <v>338</v>
      </c>
      <c r="H724" s="7">
        <v>4</v>
      </c>
      <c r="I724" s="6"/>
      <c r="J724" s="4" t="s">
        <v>330</v>
      </c>
      <c r="K724" s="7">
        <v>468.70544100000001</v>
      </c>
      <c r="L724" s="7">
        <v>550</v>
      </c>
      <c r="M724" s="7">
        <v>85.219171000000003</v>
      </c>
      <c r="N724" s="7">
        <v>1</v>
      </c>
      <c r="O724" s="7">
        <v>0</v>
      </c>
      <c r="P724" s="7">
        <v>80.253611000000006</v>
      </c>
      <c r="Q724" s="7">
        <v>50</v>
      </c>
      <c r="R724" s="7">
        <v>50</v>
      </c>
      <c r="S724" s="7">
        <v>68.198498000000001</v>
      </c>
      <c r="T724" s="7">
        <v>75</v>
      </c>
      <c r="U724" s="7">
        <v>45.465665000000001</v>
      </c>
      <c r="V724" s="7">
        <v>50</v>
      </c>
      <c r="W724" s="7">
        <v>76.628404000000003</v>
      </c>
      <c r="X724" s="7">
        <v>50</v>
      </c>
      <c r="Y724" s="7">
        <v>50</v>
      </c>
      <c r="Z724" s="7">
        <v>75</v>
      </c>
      <c r="AA724" s="7">
        <v>68.229934</v>
      </c>
      <c r="AB724" s="7">
        <v>45.486623000000002</v>
      </c>
      <c r="AC724" s="7">
        <v>50</v>
      </c>
      <c r="AD724" s="4" t="s">
        <v>124</v>
      </c>
      <c r="AE724" s="4" t="s">
        <v>124</v>
      </c>
      <c r="AF724" s="4" t="s">
        <v>124</v>
      </c>
      <c r="AG724" s="4" t="s">
        <v>124</v>
      </c>
      <c r="AH724" s="4" t="s">
        <v>124</v>
      </c>
      <c r="AI724" s="4" t="s">
        <v>124</v>
      </c>
      <c r="AJ724" s="4" t="s">
        <v>124</v>
      </c>
      <c r="AK724" s="7">
        <v>6.8</v>
      </c>
      <c r="AL724" s="7">
        <v>6.77</v>
      </c>
      <c r="AM724" s="4" t="s">
        <v>124</v>
      </c>
      <c r="AN724" s="7">
        <v>0.63505599999999995</v>
      </c>
      <c r="AO724" s="7">
        <v>63.505626999999997</v>
      </c>
      <c r="AP724" s="7">
        <v>100</v>
      </c>
      <c r="AQ724" s="7">
        <v>0.77507300000000001</v>
      </c>
      <c r="AR724" s="7">
        <v>77.507288000000003</v>
      </c>
      <c r="AS724" s="7">
        <v>100</v>
      </c>
      <c r="AT724" s="4" t="s">
        <v>124</v>
      </c>
      <c r="AU724" s="7">
        <v>0.67356300000000002</v>
      </c>
      <c r="AV724" s="4" t="s">
        <v>124</v>
      </c>
      <c r="AW724" s="4" t="s">
        <v>124</v>
      </c>
      <c r="AX724" s="4" t="s">
        <v>124</v>
      </c>
      <c r="AY724" s="7">
        <v>0.768509</v>
      </c>
      <c r="AZ724" s="4" t="s">
        <v>124</v>
      </c>
      <c r="BA724" s="4" t="s">
        <v>124</v>
      </c>
      <c r="BB724" s="4" t="s">
        <v>124</v>
      </c>
      <c r="BC724" s="4" t="s">
        <v>124</v>
      </c>
      <c r="BD724" s="4" t="s">
        <v>124</v>
      </c>
      <c r="BE724" s="4" t="s">
        <v>124</v>
      </c>
      <c r="BF724" s="4" t="s">
        <v>124</v>
      </c>
      <c r="BG724" s="4" t="s">
        <v>124</v>
      </c>
      <c r="BH724" s="7">
        <v>0</v>
      </c>
      <c r="BI724" s="7">
        <v>1</v>
      </c>
      <c r="BJ724" s="7">
        <v>1</v>
      </c>
      <c r="BK724" s="7">
        <v>1</v>
      </c>
      <c r="BL724" s="7">
        <v>1</v>
      </c>
      <c r="BM724" s="7">
        <v>1</v>
      </c>
      <c r="BN724" s="7">
        <v>1</v>
      </c>
      <c r="BO724" s="4" t="s">
        <v>124</v>
      </c>
      <c r="BP724" s="4" t="s">
        <v>124</v>
      </c>
      <c r="BQ724" s="4" t="s">
        <v>124</v>
      </c>
      <c r="BR724" s="7">
        <v>4.5455000000000002E-2</v>
      </c>
      <c r="BS724" s="7">
        <v>50</v>
      </c>
      <c r="BT724" s="7">
        <v>50</v>
      </c>
      <c r="BU724" s="7">
        <v>9.2105000000000006E-2</v>
      </c>
      <c r="BV724" s="7">
        <v>41.578946999999999</v>
      </c>
      <c r="BW724" s="7">
        <v>50</v>
      </c>
      <c r="BX724" s="4" t="s">
        <v>124</v>
      </c>
      <c r="BY724" s="4" t="s">
        <v>124</v>
      </c>
      <c r="BZ724" s="4" t="s">
        <v>124</v>
      </c>
      <c r="CA724" s="4" t="s">
        <v>124</v>
      </c>
      <c r="CB724" s="4" t="s">
        <v>124</v>
      </c>
      <c r="CC724" s="4" t="s">
        <v>124</v>
      </c>
      <c r="CD724" s="4" t="s">
        <v>124</v>
      </c>
      <c r="CE724" s="4" t="s">
        <v>124</v>
      </c>
      <c r="CF724" s="4" t="s">
        <v>124</v>
      </c>
      <c r="CG724" s="4" t="s">
        <v>124</v>
      </c>
      <c r="CH724" s="4" t="s">
        <v>124</v>
      </c>
      <c r="CI724" s="4" t="s">
        <v>124</v>
      </c>
      <c r="CJ724" s="4" t="s">
        <v>124</v>
      </c>
      <c r="CK724" s="4" t="s">
        <v>124</v>
      </c>
      <c r="CL724" s="4" t="s">
        <v>124</v>
      </c>
      <c r="CM724" s="4" t="s">
        <v>124</v>
      </c>
      <c r="CN724" s="4" t="s">
        <v>124</v>
      </c>
      <c r="CO724" s="4" t="s">
        <v>124</v>
      </c>
      <c r="CP724" s="4" t="s">
        <v>124</v>
      </c>
      <c r="CQ724" s="7">
        <v>0.67741899999999999</v>
      </c>
      <c r="CR724" s="7">
        <v>0.98412699999999997</v>
      </c>
      <c r="CS724" s="7">
        <v>45.161290000000001</v>
      </c>
      <c r="CT724" s="7">
        <v>50</v>
      </c>
      <c r="CU724" s="4" t="s">
        <v>124</v>
      </c>
      <c r="CV724" s="4" t="s">
        <v>124</v>
      </c>
      <c r="CW724" s="4" t="s">
        <v>124</v>
      </c>
      <c r="CX724" s="4" t="s">
        <v>124</v>
      </c>
      <c r="CY724" s="4" t="s">
        <v>124</v>
      </c>
      <c r="CZ724" s="4" t="s">
        <v>124</v>
      </c>
      <c r="DA724" s="7">
        <v>15.314097</v>
      </c>
      <c r="DB724" s="7">
        <v>17.400950000000002</v>
      </c>
      <c r="DC724" s="7">
        <v>16.332519999999999</v>
      </c>
      <c r="DD724" s="4" t="s">
        <v>124</v>
      </c>
      <c r="DE724" s="7">
        <v>0</v>
      </c>
      <c r="DF724" s="6"/>
      <c r="DG724" s="6"/>
      <c r="DH724" s="6"/>
      <c r="DI724" s="6"/>
      <c r="DJ724" s="7">
        <v>0</v>
      </c>
      <c r="DK724" s="7">
        <v>0</v>
      </c>
      <c r="DL724" s="7">
        <v>0</v>
      </c>
      <c r="DM724" s="7">
        <v>0</v>
      </c>
      <c r="DN724" s="7">
        <v>0</v>
      </c>
      <c r="DO724" s="7">
        <v>0</v>
      </c>
      <c r="DP724" s="6"/>
      <c r="DQ724" s="4" t="s">
        <v>125</v>
      </c>
    </row>
    <row r="725" spans="1:121" ht="20" customHeight="1" x14ac:dyDescent="0.15">
      <c r="A725" s="5">
        <v>2018</v>
      </c>
      <c r="B725" s="3" t="s">
        <v>224</v>
      </c>
      <c r="C725" s="4" t="str">
        <f t="shared" si="99"/>
        <v>0970011</v>
      </c>
      <c r="D725" s="4" t="s">
        <v>881</v>
      </c>
      <c r="E725" s="4" t="str">
        <f>"0970411"</f>
        <v>0970411</v>
      </c>
      <c r="F725" s="4" t="s">
        <v>327</v>
      </c>
      <c r="G725" s="4" t="s">
        <v>338</v>
      </c>
      <c r="H725" s="7">
        <v>4</v>
      </c>
      <c r="I725" s="6"/>
      <c r="J725" s="4" t="s">
        <v>330</v>
      </c>
      <c r="K725" s="7">
        <v>459.15189900000001</v>
      </c>
      <c r="L725" s="7">
        <v>550</v>
      </c>
      <c r="M725" s="7">
        <v>83.482163</v>
      </c>
      <c r="N725" s="7">
        <v>2</v>
      </c>
      <c r="O725" s="7">
        <v>0</v>
      </c>
      <c r="P725" s="7">
        <v>80.099616999999995</v>
      </c>
      <c r="Q725" s="7">
        <v>50</v>
      </c>
      <c r="R725" s="7">
        <v>50</v>
      </c>
      <c r="S725" s="7">
        <v>69.161045999999999</v>
      </c>
      <c r="T725" s="7">
        <v>75</v>
      </c>
      <c r="U725" s="7">
        <v>46.107363999999997</v>
      </c>
      <c r="V725" s="7">
        <v>50</v>
      </c>
      <c r="W725" s="7">
        <v>74.611716000000001</v>
      </c>
      <c r="X725" s="7">
        <v>49.741143999999998</v>
      </c>
      <c r="Y725" s="7">
        <v>50</v>
      </c>
      <c r="Z725" s="7">
        <v>75</v>
      </c>
      <c r="AA725" s="7">
        <v>65.996170000000006</v>
      </c>
      <c r="AB725" s="7">
        <v>43.997447000000001</v>
      </c>
      <c r="AC725" s="7">
        <v>50</v>
      </c>
      <c r="AD725" s="4" t="s">
        <v>124</v>
      </c>
      <c r="AE725" s="4" t="s">
        <v>124</v>
      </c>
      <c r="AF725" s="4" t="s">
        <v>124</v>
      </c>
      <c r="AG725" s="4" t="s">
        <v>124</v>
      </c>
      <c r="AH725" s="4" t="s">
        <v>124</v>
      </c>
      <c r="AI725" s="4" t="s">
        <v>124</v>
      </c>
      <c r="AJ725" s="4" t="s">
        <v>124</v>
      </c>
      <c r="AK725" s="7">
        <v>5.83</v>
      </c>
      <c r="AL725" s="7">
        <v>9</v>
      </c>
      <c r="AM725" s="4" t="s">
        <v>124</v>
      </c>
      <c r="AN725" s="7">
        <v>0.79921600000000004</v>
      </c>
      <c r="AO725" s="7">
        <v>79.921644000000001</v>
      </c>
      <c r="AP725" s="7">
        <v>100</v>
      </c>
      <c r="AQ725" s="7">
        <v>0.71775599999999995</v>
      </c>
      <c r="AR725" s="7">
        <v>71.775604999999999</v>
      </c>
      <c r="AS725" s="7">
        <v>100</v>
      </c>
      <c r="AT725" s="4" t="s">
        <v>124</v>
      </c>
      <c r="AU725" s="7">
        <v>0.82314799999999999</v>
      </c>
      <c r="AV725" s="4" t="s">
        <v>124</v>
      </c>
      <c r="AW725" s="4" t="s">
        <v>124</v>
      </c>
      <c r="AX725" s="4" t="s">
        <v>124</v>
      </c>
      <c r="AY725" s="7">
        <v>0.70500600000000002</v>
      </c>
      <c r="AZ725" s="4" t="s">
        <v>124</v>
      </c>
      <c r="BA725" s="4" t="s">
        <v>124</v>
      </c>
      <c r="BB725" s="4" t="s">
        <v>124</v>
      </c>
      <c r="BC725" s="4" t="s">
        <v>124</v>
      </c>
      <c r="BD725" s="4" t="s">
        <v>124</v>
      </c>
      <c r="BE725" s="4" t="s">
        <v>124</v>
      </c>
      <c r="BF725" s="4" t="s">
        <v>124</v>
      </c>
      <c r="BG725" s="4" t="s">
        <v>124</v>
      </c>
      <c r="BH725" s="7">
        <v>0</v>
      </c>
      <c r="BI725" s="7">
        <v>0.99137900000000001</v>
      </c>
      <c r="BJ725" s="7">
        <v>0.97058800000000001</v>
      </c>
      <c r="BK725" s="7">
        <v>1</v>
      </c>
      <c r="BL725" s="7">
        <v>0.99137900000000001</v>
      </c>
      <c r="BM725" s="7">
        <v>0.97058800000000001</v>
      </c>
      <c r="BN725" s="7">
        <v>1</v>
      </c>
      <c r="BO725" s="4" t="s">
        <v>124</v>
      </c>
      <c r="BP725" s="4" t="s">
        <v>124</v>
      </c>
      <c r="BQ725" s="4" t="s">
        <v>124</v>
      </c>
      <c r="BR725" s="7">
        <v>4.2403000000000003E-2</v>
      </c>
      <c r="BS725" s="7">
        <v>50</v>
      </c>
      <c r="BT725" s="7">
        <v>50</v>
      </c>
      <c r="BU725" s="7">
        <v>8.6957000000000007E-2</v>
      </c>
      <c r="BV725" s="7">
        <v>42.608696000000002</v>
      </c>
      <c r="BW725" s="7">
        <v>50</v>
      </c>
      <c r="BX725" s="4" t="s">
        <v>124</v>
      </c>
      <c r="BY725" s="4" t="s">
        <v>124</v>
      </c>
      <c r="BZ725" s="4" t="s">
        <v>124</v>
      </c>
      <c r="CA725" s="4" t="s">
        <v>124</v>
      </c>
      <c r="CB725" s="4" t="s">
        <v>124</v>
      </c>
      <c r="CC725" s="4" t="s">
        <v>124</v>
      </c>
      <c r="CD725" s="4" t="s">
        <v>124</v>
      </c>
      <c r="CE725" s="4" t="s">
        <v>124</v>
      </c>
      <c r="CF725" s="4" t="s">
        <v>124</v>
      </c>
      <c r="CG725" s="4" t="s">
        <v>124</v>
      </c>
      <c r="CH725" s="4" t="s">
        <v>124</v>
      </c>
      <c r="CI725" s="4" t="s">
        <v>124</v>
      </c>
      <c r="CJ725" s="4" t="s">
        <v>124</v>
      </c>
      <c r="CK725" s="4" t="s">
        <v>124</v>
      </c>
      <c r="CL725" s="4" t="s">
        <v>124</v>
      </c>
      <c r="CM725" s="4" t="s">
        <v>124</v>
      </c>
      <c r="CN725" s="4" t="s">
        <v>124</v>
      </c>
      <c r="CO725" s="4" t="s">
        <v>124</v>
      </c>
      <c r="CP725" s="4" t="s">
        <v>124</v>
      </c>
      <c r="CQ725" s="7">
        <v>0.80851099999999998</v>
      </c>
      <c r="CR725" s="7">
        <v>0.87036999999999998</v>
      </c>
      <c r="CS725" s="7">
        <v>25</v>
      </c>
      <c r="CT725" s="7">
        <v>50</v>
      </c>
      <c r="CU725" s="4" t="s">
        <v>124</v>
      </c>
      <c r="CV725" s="4" t="s">
        <v>124</v>
      </c>
      <c r="CW725" s="4" t="s">
        <v>124</v>
      </c>
      <c r="CX725" s="4" t="s">
        <v>124</v>
      </c>
      <c r="CY725" s="4" t="s">
        <v>124</v>
      </c>
      <c r="CZ725" s="4" t="s">
        <v>124</v>
      </c>
      <c r="DA725" s="7">
        <v>15.314097</v>
      </c>
      <c r="DB725" s="7">
        <v>17.400950000000002</v>
      </c>
      <c r="DC725" s="7">
        <v>16.332519999999999</v>
      </c>
      <c r="DD725" s="4" t="s">
        <v>124</v>
      </c>
      <c r="DE725" s="7">
        <v>0</v>
      </c>
      <c r="DF725" s="6"/>
      <c r="DG725" s="6"/>
      <c r="DH725" s="4" t="s">
        <v>331</v>
      </c>
      <c r="DI725" s="4" t="s">
        <v>500</v>
      </c>
      <c r="DJ725" s="7">
        <v>0</v>
      </c>
      <c r="DK725" s="7">
        <v>1</v>
      </c>
      <c r="DL725" s="7">
        <v>0</v>
      </c>
      <c r="DM725" s="7">
        <v>0</v>
      </c>
      <c r="DN725" s="7">
        <v>0</v>
      </c>
      <c r="DO725" s="7">
        <v>0</v>
      </c>
      <c r="DP725" s="6"/>
      <c r="DQ725" s="4" t="s">
        <v>125</v>
      </c>
    </row>
    <row r="726" spans="1:121" ht="20" customHeight="1" x14ac:dyDescent="0.15">
      <c r="A726" s="5">
        <v>2018</v>
      </c>
      <c r="B726" s="3" t="s">
        <v>224</v>
      </c>
      <c r="C726" s="4" t="str">
        <f t="shared" ref="C726:C730" si="234">"0970011"</f>
        <v>0970011</v>
      </c>
      <c r="D726" s="4" t="s">
        <v>882</v>
      </c>
      <c r="E726" s="4" t="str">
        <f>"0970311"</f>
        <v>0970311</v>
      </c>
      <c r="F726" s="4" t="s">
        <v>327</v>
      </c>
      <c r="G726" s="4" t="s">
        <v>338</v>
      </c>
      <c r="H726" s="7">
        <v>4</v>
      </c>
      <c r="I726" s="4" t="s">
        <v>329</v>
      </c>
      <c r="J726" s="4" t="s">
        <v>330</v>
      </c>
      <c r="K726" s="7">
        <v>446.28501799999998</v>
      </c>
      <c r="L726" s="7">
        <v>550</v>
      </c>
      <c r="M726" s="7">
        <v>81.142730999999998</v>
      </c>
      <c r="N726" s="7">
        <v>2</v>
      </c>
      <c r="O726" s="7">
        <v>0</v>
      </c>
      <c r="P726" s="7">
        <v>79.439824999999999</v>
      </c>
      <c r="Q726" s="7">
        <v>50</v>
      </c>
      <c r="R726" s="7">
        <v>50</v>
      </c>
      <c r="S726" s="7">
        <v>68.745171999999997</v>
      </c>
      <c r="T726" s="7">
        <v>75</v>
      </c>
      <c r="U726" s="7">
        <v>45.830114999999999</v>
      </c>
      <c r="V726" s="7">
        <v>50</v>
      </c>
      <c r="W726" s="7">
        <v>76.866461999999999</v>
      </c>
      <c r="X726" s="7">
        <v>50</v>
      </c>
      <c r="Y726" s="7">
        <v>50</v>
      </c>
      <c r="Z726" s="7">
        <v>75</v>
      </c>
      <c r="AA726" s="7">
        <v>66.902569999999997</v>
      </c>
      <c r="AB726" s="7">
        <v>44.601712999999997</v>
      </c>
      <c r="AC726" s="7">
        <v>50</v>
      </c>
      <c r="AD726" s="4" t="s">
        <v>124</v>
      </c>
      <c r="AE726" s="4" t="s">
        <v>124</v>
      </c>
      <c r="AF726" s="4" t="s">
        <v>124</v>
      </c>
      <c r="AG726" s="4" t="s">
        <v>124</v>
      </c>
      <c r="AH726" s="4" t="s">
        <v>124</v>
      </c>
      <c r="AI726" s="4" t="s">
        <v>124</v>
      </c>
      <c r="AJ726" s="4" t="s">
        <v>124</v>
      </c>
      <c r="AK726" s="7">
        <v>6.25</v>
      </c>
      <c r="AL726" s="7">
        <v>8.09</v>
      </c>
      <c r="AM726" s="4" t="s">
        <v>124</v>
      </c>
      <c r="AN726" s="7">
        <v>0.61783699999999997</v>
      </c>
      <c r="AO726" s="7">
        <v>61.783665999999997</v>
      </c>
      <c r="AP726" s="7">
        <v>100</v>
      </c>
      <c r="AQ726" s="7">
        <v>0.60314199999999996</v>
      </c>
      <c r="AR726" s="7">
        <v>60.314250000000001</v>
      </c>
      <c r="AS726" s="7">
        <v>100</v>
      </c>
      <c r="AT726" s="4" t="s">
        <v>124</v>
      </c>
      <c r="AU726" s="7">
        <v>0.61747799999999997</v>
      </c>
      <c r="AV726" s="4" t="s">
        <v>124</v>
      </c>
      <c r="AW726" s="4" t="s">
        <v>124</v>
      </c>
      <c r="AX726" s="4" t="s">
        <v>124</v>
      </c>
      <c r="AY726" s="7">
        <v>0.58649200000000001</v>
      </c>
      <c r="AZ726" s="4" t="s">
        <v>124</v>
      </c>
      <c r="BA726" s="4" t="s">
        <v>124</v>
      </c>
      <c r="BB726" s="4" t="s">
        <v>124</v>
      </c>
      <c r="BC726" s="4" t="s">
        <v>124</v>
      </c>
      <c r="BD726" s="4" t="s">
        <v>124</v>
      </c>
      <c r="BE726" s="4" t="s">
        <v>124</v>
      </c>
      <c r="BF726" s="4" t="s">
        <v>124</v>
      </c>
      <c r="BG726" s="4" t="s">
        <v>124</v>
      </c>
      <c r="BH726" s="7">
        <v>0</v>
      </c>
      <c r="BI726" s="7">
        <v>0.993506</v>
      </c>
      <c r="BJ726" s="7">
        <v>0.97499999999999998</v>
      </c>
      <c r="BK726" s="7">
        <v>1</v>
      </c>
      <c r="BL726" s="7">
        <v>0.993506</v>
      </c>
      <c r="BM726" s="7">
        <v>0.97499999999999998</v>
      </c>
      <c r="BN726" s="7">
        <v>1</v>
      </c>
      <c r="BO726" s="4" t="s">
        <v>124</v>
      </c>
      <c r="BP726" s="4" t="s">
        <v>124</v>
      </c>
      <c r="BQ726" s="4" t="s">
        <v>124</v>
      </c>
      <c r="BR726" s="7">
        <v>2.521E-2</v>
      </c>
      <c r="BS726" s="7">
        <v>50</v>
      </c>
      <c r="BT726" s="7">
        <v>50</v>
      </c>
      <c r="BU726" s="7">
        <v>4.6511999999999998E-2</v>
      </c>
      <c r="BV726" s="7">
        <v>50</v>
      </c>
      <c r="BW726" s="7">
        <v>50</v>
      </c>
      <c r="BX726" s="4" t="s">
        <v>124</v>
      </c>
      <c r="BY726" s="4" t="s">
        <v>124</v>
      </c>
      <c r="BZ726" s="4" t="s">
        <v>124</v>
      </c>
      <c r="CA726" s="4" t="s">
        <v>124</v>
      </c>
      <c r="CB726" s="4" t="s">
        <v>124</v>
      </c>
      <c r="CC726" s="4" t="s">
        <v>124</v>
      </c>
      <c r="CD726" s="4" t="s">
        <v>124</v>
      </c>
      <c r="CE726" s="4" t="s">
        <v>124</v>
      </c>
      <c r="CF726" s="4" t="s">
        <v>124</v>
      </c>
      <c r="CG726" s="4" t="s">
        <v>124</v>
      </c>
      <c r="CH726" s="4" t="s">
        <v>124</v>
      </c>
      <c r="CI726" s="4" t="s">
        <v>124</v>
      </c>
      <c r="CJ726" s="4" t="s">
        <v>124</v>
      </c>
      <c r="CK726" s="4" t="s">
        <v>124</v>
      </c>
      <c r="CL726" s="4" t="s">
        <v>124</v>
      </c>
      <c r="CM726" s="4" t="s">
        <v>124</v>
      </c>
      <c r="CN726" s="4" t="s">
        <v>124</v>
      </c>
      <c r="CO726" s="4" t="s">
        <v>124</v>
      </c>
      <c r="CP726" s="4" t="s">
        <v>124</v>
      </c>
      <c r="CQ726" s="7">
        <v>0.50632900000000003</v>
      </c>
      <c r="CR726" s="7">
        <v>0.94047599999999998</v>
      </c>
      <c r="CS726" s="7">
        <v>33.755274</v>
      </c>
      <c r="CT726" s="7">
        <v>50</v>
      </c>
      <c r="CU726" s="4" t="s">
        <v>124</v>
      </c>
      <c r="CV726" s="4" t="s">
        <v>124</v>
      </c>
      <c r="CW726" s="4" t="s">
        <v>124</v>
      </c>
      <c r="CX726" s="4" t="s">
        <v>124</v>
      </c>
      <c r="CY726" s="4" t="s">
        <v>124</v>
      </c>
      <c r="CZ726" s="4" t="s">
        <v>124</v>
      </c>
      <c r="DA726" s="7">
        <v>15.314097</v>
      </c>
      <c r="DB726" s="7">
        <v>17.400950000000002</v>
      </c>
      <c r="DC726" s="7">
        <v>16.332519999999999</v>
      </c>
      <c r="DD726" s="4" t="s">
        <v>124</v>
      </c>
      <c r="DE726" s="7">
        <v>0</v>
      </c>
      <c r="DF726" s="6"/>
      <c r="DG726" s="6"/>
      <c r="DH726" s="6"/>
      <c r="DI726" s="6"/>
      <c r="DJ726" s="7">
        <v>0</v>
      </c>
      <c r="DK726" s="7">
        <v>0</v>
      </c>
      <c r="DL726" s="7">
        <v>0</v>
      </c>
      <c r="DM726" s="7">
        <v>0</v>
      </c>
      <c r="DN726" s="7">
        <v>0</v>
      </c>
      <c r="DO726" s="7">
        <v>0</v>
      </c>
      <c r="DP726" s="6"/>
      <c r="DQ726" s="4" t="s">
        <v>125</v>
      </c>
    </row>
    <row r="727" spans="1:121" ht="20" customHeight="1" x14ac:dyDescent="0.15">
      <c r="A727" s="5">
        <v>2018</v>
      </c>
      <c r="B727" s="3" t="s">
        <v>224</v>
      </c>
      <c r="C727" s="4" t="str">
        <f t="shared" si="234"/>
        <v>0970011</v>
      </c>
      <c r="D727" s="4" t="s">
        <v>883</v>
      </c>
      <c r="E727" s="4" t="str">
        <f>"0976111"</f>
        <v>0976111</v>
      </c>
      <c r="F727" s="4" t="s">
        <v>327</v>
      </c>
      <c r="G727" s="7">
        <v>9</v>
      </c>
      <c r="H727" s="7">
        <v>12</v>
      </c>
      <c r="I727" s="6"/>
      <c r="J727" s="4" t="s">
        <v>330</v>
      </c>
      <c r="K727" s="7">
        <v>1247.2790809999999</v>
      </c>
      <c r="L727" s="7">
        <v>1450</v>
      </c>
      <c r="M727" s="7">
        <v>86.019246999999993</v>
      </c>
      <c r="N727" s="7">
        <v>2</v>
      </c>
      <c r="O727" s="7">
        <v>1</v>
      </c>
      <c r="P727" s="7">
        <v>67.923867999999999</v>
      </c>
      <c r="Q727" s="7">
        <v>135.847737</v>
      </c>
      <c r="R727" s="7">
        <v>150</v>
      </c>
      <c r="S727" s="7">
        <v>53.335897000000003</v>
      </c>
      <c r="T727" s="7">
        <v>70.712744999999998</v>
      </c>
      <c r="U727" s="7">
        <v>106.671795</v>
      </c>
      <c r="V727" s="7">
        <v>150</v>
      </c>
      <c r="W727" s="7">
        <v>68.952949000000004</v>
      </c>
      <c r="X727" s="7">
        <v>137.90589800000001</v>
      </c>
      <c r="Y727" s="7">
        <v>150</v>
      </c>
      <c r="Z727" s="7">
        <v>71.958332999999996</v>
      </c>
      <c r="AA727" s="7">
        <v>53.232478999999998</v>
      </c>
      <c r="AB727" s="7">
        <v>106.464957</v>
      </c>
      <c r="AC727" s="7">
        <v>150</v>
      </c>
      <c r="AD727" s="7">
        <v>64.474382000000006</v>
      </c>
      <c r="AE727" s="7">
        <v>85.965843000000007</v>
      </c>
      <c r="AF727" s="7">
        <v>100</v>
      </c>
      <c r="AG727" s="7">
        <v>54.862074</v>
      </c>
      <c r="AH727" s="7">
        <v>66.350657999999996</v>
      </c>
      <c r="AI727" s="7">
        <v>73.149432000000004</v>
      </c>
      <c r="AJ727" s="7">
        <v>100</v>
      </c>
      <c r="AK727" s="7">
        <v>17.37</v>
      </c>
      <c r="AL727" s="7">
        <v>18.72</v>
      </c>
      <c r="AM727" s="7">
        <v>11.48</v>
      </c>
      <c r="AN727" s="4" t="s">
        <v>124</v>
      </c>
      <c r="AO727" s="4" t="s">
        <v>124</v>
      </c>
      <c r="AP727" s="4" t="s">
        <v>124</v>
      </c>
      <c r="AQ727" s="4" t="s">
        <v>124</v>
      </c>
      <c r="AR727" s="4" t="s">
        <v>124</v>
      </c>
      <c r="AS727" s="4" t="s">
        <v>124</v>
      </c>
      <c r="AT727" s="4" t="s">
        <v>124</v>
      </c>
      <c r="AU727" s="4" t="s">
        <v>124</v>
      </c>
      <c r="AV727" s="4" t="s">
        <v>124</v>
      </c>
      <c r="AW727" s="4" t="s">
        <v>124</v>
      </c>
      <c r="AX727" s="4" t="s">
        <v>124</v>
      </c>
      <c r="AY727" s="4" t="s">
        <v>124</v>
      </c>
      <c r="AZ727" s="4" t="s">
        <v>124</v>
      </c>
      <c r="BA727" s="4" t="s">
        <v>124</v>
      </c>
      <c r="BB727" s="4" t="s">
        <v>124</v>
      </c>
      <c r="BC727" s="4" t="s">
        <v>124</v>
      </c>
      <c r="BD727" s="4" t="s">
        <v>124</v>
      </c>
      <c r="BE727" s="4" t="s">
        <v>124</v>
      </c>
      <c r="BF727" s="4" t="s">
        <v>124</v>
      </c>
      <c r="BG727" s="4" t="s">
        <v>124</v>
      </c>
      <c r="BH727" s="7">
        <v>1</v>
      </c>
      <c r="BI727" s="7">
        <v>0.96453900000000004</v>
      </c>
      <c r="BJ727" s="7">
        <v>0.93055600000000005</v>
      </c>
      <c r="BK727" s="7">
        <v>0.97150999999999998</v>
      </c>
      <c r="BL727" s="7">
        <v>0.96453900000000004</v>
      </c>
      <c r="BM727" s="7">
        <v>0.93055600000000005</v>
      </c>
      <c r="BN727" s="7">
        <v>0.97150999999999998</v>
      </c>
      <c r="BO727" s="7">
        <v>0.95260699999999998</v>
      </c>
      <c r="BP727" s="7">
        <v>0.94444399999999995</v>
      </c>
      <c r="BQ727" s="7">
        <v>0.95428599999999997</v>
      </c>
      <c r="BR727" s="7">
        <v>5.1315E-2</v>
      </c>
      <c r="BS727" s="7">
        <v>49.737011000000003</v>
      </c>
      <c r="BT727" s="7">
        <v>50</v>
      </c>
      <c r="BU727" s="7">
        <v>0.11262800000000001</v>
      </c>
      <c r="BV727" s="7">
        <v>37.474403000000002</v>
      </c>
      <c r="BW727" s="7">
        <v>50</v>
      </c>
      <c r="BX727" s="7">
        <v>0.96305399999999997</v>
      </c>
      <c r="BY727" s="7">
        <v>50</v>
      </c>
      <c r="BZ727" s="7">
        <v>50</v>
      </c>
      <c r="CA727" s="7">
        <v>0.697044</v>
      </c>
      <c r="CB727" s="7">
        <v>46.469622000000001</v>
      </c>
      <c r="CC727" s="7">
        <v>50</v>
      </c>
      <c r="CD727" s="7">
        <v>0.95890399999999998</v>
      </c>
      <c r="CE727" s="7">
        <v>50</v>
      </c>
      <c r="CF727" s="7">
        <v>50</v>
      </c>
      <c r="CG727" s="7">
        <v>0.97836500000000004</v>
      </c>
      <c r="CH727" s="7">
        <v>100</v>
      </c>
      <c r="CI727" s="7">
        <v>100</v>
      </c>
      <c r="CJ727" s="7">
        <v>0</v>
      </c>
      <c r="CK727" s="7">
        <v>0.93333299999999997</v>
      </c>
      <c r="CL727" s="7">
        <v>99.290779999999998</v>
      </c>
      <c r="CM727" s="7">
        <v>100</v>
      </c>
      <c r="CN727" s="7">
        <v>0.86682800000000004</v>
      </c>
      <c r="CO727" s="7">
        <v>100</v>
      </c>
      <c r="CP727" s="7">
        <v>100</v>
      </c>
      <c r="CQ727" s="7">
        <v>0.62041900000000005</v>
      </c>
      <c r="CR727" s="7">
        <v>1</v>
      </c>
      <c r="CS727" s="7">
        <v>41.361257000000002</v>
      </c>
      <c r="CT727" s="7">
        <v>50</v>
      </c>
      <c r="CU727" s="7">
        <v>0.32328400000000002</v>
      </c>
      <c r="CV727" s="7">
        <v>26.940346000000002</v>
      </c>
      <c r="CW727" s="7">
        <v>50</v>
      </c>
      <c r="CX727" s="7">
        <v>0.93333299999999997</v>
      </c>
      <c r="CY727" s="7">
        <v>0.94</v>
      </c>
      <c r="CZ727" s="7">
        <v>6.6670000000000002E-3</v>
      </c>
      <c r="DA727" s="7">
        <v>15.314097</v>
      </c>
      <c r="DB727" s="7">
        <v>17.400950000000002</v>
      </c>
      <c r="DC727" s="7">
        <v>16.332519999999999</v>
      </c>
      <c r="DD727" s="7">
        <v>7.9891730000000001</v>
      </c>
      <c r="DE727" s="7">
        <v>1</v>
      </c>
      <c r="DF727" s="6"/>
      <c r="DG727" s="6"/>
      <c r="DH727" s="6"/>
      <c r="DI727" s="6"/>
      <c r="DJ727" s="7">
        <v>0</v>
      </c>
      <c r="DK727" s="7">
        <v>0</v>
      </c>
      <c r="DL727" s="7">
        <v>0</v>
      </c>
      <c r="DM727" s="7">
        <v>0</v>
      </c>
      <c r="DN727" s="7">
        <v>0</v>
      </c>
      <c r="DO727" s="7">
        <v>0</v>
      </c>
      <c r="DP727" s="6"/>
      <c r="DQ727" s="4" t="s">
        <v>125</v>
      </c>
    </row>
    <row r="728" spans="1:121" ht="20" customHeight="1" x14ac:dyDescent="0.15">
      <c r="A728" s="5">
        <v>2018</v>
      </c>
      <c r="B728" s="3" t="s">
        <v>224</v>
      </c>
      <c r="C728" s="4" t="str">
        <f t="shared" si="234"/>
        <v>0970011</v>
      </c>
      <c r="D728" s="4" t="s">
        <v>884</v>
      </c>
      <c r="E728" s="4" t="str">
        <f>"0975111"</f>
        <v>0975111</v>
      </c>
      <c r="F728" s="4" t="s">
        <v>327</v>
      </c>
      <c r="G728" s="7">
        <v>7</v>
      </c>
      <c r="H728" s="7">
        <v>8</v>
      </c>
      <c r="I728" s="6"/>
      <c r="J728" s="4" t="s">
        <v>330</v>
      </c>
      <c r="K728" s="7">
        <v>682.69909099999995</v>
      </c>
      <c r="L728" s="7">
        <v>900</v>
      </c>
      <c r="M728" s="7">
        <v>75.855455000000006</v>
      </c>
      <c r="N728" s="7">
        <v>3</v>
      </c>
      <c r="O728" s="7">
        <v>1</v>
      </c>
      <c r="P728" s="7">
        <v>78.003881000000007</v>
      </c>
      <c r="Q728" s="7">
        <v>50</v>
      </c>
      <c r="R728" s="7">
        <v>50</v>
      </c>
      <c r="S728" s="7">
        <v>62.035424999999996</v>
      </c>
      <c r="T728" s="7">
        <v>75</v>
      </c>
      <c r="U728" s="7">
        <v>41.356949999999998</v>
      </c>
      <c r="V728" s="7">
        <v>50</v>
      </c>
      <c r="W728" s="7">
        <v>75.638199</v>
      </c>
      <c r="X728" s="7">
        <v>50</v>
      </c>
      <c r="Y728" s="7">
        <v>50</v>
      </c>
      <c r="Z728" s="7">
        <v>75</v>
      </c>
      <c r="AA728" s="7">
        <v>56.195051999999997</v>
      </c>
      <c r="AB728" s="7">
        <v>37.463368000000003</v>
      </c>
      <c r="AC728" s="7">
        <v>50</v>
      </c>
      <c r="AD728" s="7">
        <v>73.179803000000007</v>
      </c>
      <c r="AE728" s="7">
        <v>48.786535000000001</v>
      </c>
      <c r="AF728" s="7">
        <v>50</v>
      </c>
      <c r="AG728" s="7">
        <v>57.870457000000002</v>
      </c>
      <c r="AH728" s="7">
        <v>75</v>
      </c>
      <c r="AI728" s="7">
        <v>38.580303999999998</v>
      </c>
      <c r="AJ728" s="7">
        <v>50</v>
      </c>
      <c r="AK728" s="7">
        <v>12.96</v>
      </c>
      <c r="AL728" s="7">
        <v>18.8</v>
      </c>
      <c r="AM728" s="7">
        <v>17.12</v>
      </c>
      <c r="AN728" s="7">
        <v>0.65165399999999996</v>
      </c>
      <c r="AO728" s="7">
        <v>65.165407000000002</v>
      </c>
      <c r="AP728" s="7">
        <v>100</v>
      </c>
      <c r="AQ728" s="7">
        <v>0.69154199999999999</v>
      </c>
      <c r="AR728" s="7">
        <v>69.154155000000003</v>
      </c>
      <c r="AS728" s="7">
        <v>100</v>
      </c>
      <c r="AT728" s="7">
        <v>0.54769800000000002</v>
      </c>
      <c r="AU728" s="7">
        <v>0.679118</v>
      </c>
      <c r="AV728" s="7">
        <v>54.769758000000003</v>
      </c>
      <c r="AW728" s="7">
        <v>100</v>
      </c>
      <c r="AX728" s="7">
        <v>0.51961900000000005</v>
      </c>
      <c r="AY728" s="7">
        <v>0.736537</v>
      </c>
      <c r="AZ728" s="7">
        <v>51.961872999999997</v>
      </c>
      <c r="BA728" s="7">
        <v>100</v>
      </c>
      <c r="BB728" s="4" t="s">
        <v>124</v>
      </c>
      <c r="BC728" s="4" t="s">
        <v>124</v>
      </c>
      <c r="BD728" s="4" t="s">
        <v>124</v>
      </c>
      <c r="BE728" s="4" t="s">
        <v>124</v>
      </c>
      <c r="BF728" s="4" t="s">
        <v>124</v>
      </c>
      <c r="BG728" s="4" t="s">
        <v>124</v>
      </c>
      <c r="BH728" s="7">
        <v>1</v>
      </c>
      <c r="BI728" s="7">
        <v>0.98973599999999995</v>
      </c>
      <c r="BJ728" s="7">
        <v>0.96688700000000005</v>
      </c>
      <c r="BK728" s="7">
        <v>0.99623399999999995</v>
      </c>
      <c r="BL728" s="7">
        <v>0.98973599999999995</v>
      </c>
      <c r="BM728" s="7">
        <v>0.96688700000000005</v>
      </c>
      <c r="BN728" s="7">
        <v>0.99623399999999995</v>
      </c>
      <c r="BO728" s="7">
        <v>0.98250700000000002</v>
      </c>
      <c r="BP728" s="7">
        <v>0.93670900000000001</v>
      </c>
      <c r="BQ728" s="7">
        <v>0.99621199999999999</v>
      </c>
      <c r="BR728" s="7">
        <v>4.9779999999999998E-2</v>
      </c>
      <c r="BS728" s="7">
        <v>50</v>
      </c>
      <c r="BT728" s="7">
        <v>50</v>
      </c>
      <c r="BU728" s="7">
        <v>0.112583</v>
      </c>
      <c r="BV728" s="7">
        <v>37.483443999999999</v>
      </c>
      <c r="BW728" s="7">
        <v>50</v>
      </c>
      <c r="BX728" s="4" t="s">
        <v>124</v>
      </c>
      <c r="BY728" s="4" t="s">
        <v>124</v>
      </c>
      <c r="BZ728" s="4" t="s">
        <v>124</v>
      </c>
      <c r="CA728" s="4" t="s">
        <v>124</v>
      </c>
      <c r="CB728" s="4" t="s">
        <v>124</v>
      </c>
      <c r="CC728" s="4" t="s">
        <v>124</v>
      </c>
      <c r="CD728" s="7">
        <v>0.97681200000000001</v>
      </c>
      <c r="CE728" s="7">
        <v>50</v>
      </c>
      <c r="CF728" s="7">
        <v>50</v>
      </c>
      <c r="CG728" s="4" t="s">
        <v>124</v>
      </c>
      <c r="CH728" s="4" t="s">
        <v>124</v>
      </c>
      <c r="CI728" s="4" t="s">
        <v>124</v>
      </c>
      <c r="CJ728" s="4" t="s">
        <v>124</v>
      </c>
      <c r="CK728" s="4" t="s">
        <v>124</v>
      </c>
      <c r="CL728" s="4" t="s">
        <v>124</v>
      </c>
      <c r="CM728" s="4" t="s">
        <v>124</v>
      </c>
      <c r="CN728" s="4" t="s">
        <v>124</v>
      </c>
      <c r="CO728" s="4" t="s">
        <v>124</v>
      </c>
      <c r="CP728" s="4" t="s">
        <v>124</v>
      </c>
      <c r="CQ728" s="7">
        <v>0.56965900000000003</v>
      </c>
      <c r="CR728" s="7">
        <v>0.94169099999999994</v>
      </c>
      <c r="CS728" s="7">
        <v>37.977296000000003</v>
      </c>
      <c r="CT728" s="7">
        <v>50</v>
      </c>
      <c r="CU728" s="4" t="s">
        <v>124</v>
      </c>
      <c r="CV728" s="4" t="s">
        <v>124</v>
      </c>
      <c r="CW728" s="4" t="s">
        <v>124</v>
      </c>
      <c r="CX728" s="4" t="s">
        <v>124</v>
      </c>
      <c r="CY728" s="4" t="s">
        <v>124</v>
      </c>
      <c r="CZ728" s="4" t="s">
        <v>124</v>
      </c>
      <c r="DA728" s="7">
        <v>15.314097</v>
      </c>
      <c r="DB728" s="7">
        <v>17.400950000000002</v>
      </c>
      <c r="DC728" s="7">
        <v>16.332519999999999</v>
      </c>
      <c r="DD728" s="4" t="s">
        <v>124</v>
      </c>
      <c r="DE728" s="7">
        <v>1</v>
      </c>
      <c r="DF728" s="6"/>
      <c r="DG728" s="6"/>
      <c r="DH728" s="6"/>
      <c r="DI728" s="6"/>
      <c r="DJ728" s="7">
        <v>0</v>
      </c>
      <c r="DK728" s="7">
        <v>0</v>
      </c>
      <c r="DL728" s="7">
        <v>0</v>
      </c>
      <c r="DM728" s="7">
        <v>0</v>
      </c>
      <c r="DN728" s="7">
        <v>0</v>
      </c>
      <c r="DO728" s="7">
        <v>0</v>
      </c>
      <c r="DP728" s="6"/>
      <c r="DQ728" s="4" t="s">
        <v>125</v>
      </c>
    </row>
    <row r="729" spans="1:121" ht="20" customHeight="1" x14ac:dyDescent="0.15">
      <c r="A729" s="5">
        <v>2018</v>
      </c>
      <c r="B729" s="3" t="s">
        <v>224</v>
      </c>
      <c r="C729" s="4" t="str">
        <f t="shared" si="234"/>
        <v>0970011</v>
      </c>
      <c r="D729" s="4" t="s">
        <v>885</v>
      </c>
      <c r="E729" s="4" t="str">
        <f>"0970511"</f>
        <v>0970511</v>
      </c>
      <c r="F729" s="4" t="s">
        <v>327</v>
      </c>
      <c r="G729" s="7">
        <v>5</v>
      </c>
      <c r="H729" s="7">
        <v>6</v>
      </c>
      <c r="I729" s="6"/>
      <c r="J729" s="4" t="s">
        <v>330</v>
      </c>
      <c r="K729" s="7">
        <v>668.15441999999996</v>
      </c>
      <c r="L729" s="7">
        <v>850</v>
      </c>
      <c r="M729" s="7">
        <v>78.606402000000003</v>
      </c>
      <c r="N729" s="7">
        <v>3</v>
      </c>
      <c r="O729" s="7">
        <v>1</v>
      </c>
      <c r="P729" s="7">
        <v>76.880791000000002</v>
      </c>
      <c r="Q729" s="7">
        <v>50</v>
      </c>
      <c r="R729" s="7">
        <v>50</v>
      </c>
      <c r="S729" s="7">
        <v>62.426065999999999</v>
      </c>
      <c r="T729" s="7">
        <v>75</v>
      </c>
      <c r="U729" s="7">
        <v>41.617378000000002</v>
      </c>
      <c r="V729" s="7">
        <v>50</v>
      </c>
      <c r="W729" s="7">
        <v>73.157480000000007</v>
      </c>
      <c r="X729" s="7">
        <v>48.771653999999998</v>
      </c>
      <c r="Y729" s="7">
        <v>50</v>
      </c>
      <c r="Z729" s="7">
        <v>75</v>
      </c>
      <c r="AA729" s="7">
        <v>56.540759999999999</v>
      </c>
      <c r="AB729" s="7">
        <v>37.693840000000002</v>
      </c>
      <c r="AC729" s="7">
        <v>50</v>
      </c>
      <c r="AD729" s="7">
        <v>74.126458</v>
      </c>
      <c r="AE729" s="7">
        <v>49.417639000000001</v>
      </c>
      <c r="AF729" s="7">
        <v>50</v>
      </c>
      <c r="AG729" s="7">
        <v>60.135361000000003</v>
      </c>
      <c r="AH729" s="7">
        <v>75</v>
      </c>
      <c r="AI729" s="7">
        <v>40.090240999999999</v>
      </c>
      <c r="AJ729" s="7">
        <v>50</v>
      </c>
      <c r="AK729" s="7">
        <v>12.57</v>
      </c>
      <c r="AL729" s="7">
        <v>18.45</v>
      </c>
      <c r="AM729" s="7">
        <v>14.86</v>
      </c>
      <c r="AN729" s="7">
        <v>0.65964900000000004</v>
      </c>
      <c r="AO729" s="7">
        <v>65.964878999999996</v>
      </c>
      <c r="AP729" s="7">
        <v>100</v>
      </c>
      <c r="AQ729" s="7">
        <v>0.70544399999999996</v>
      </c>
      <c r="AR729" s="7">
        <v>70.544379000000006</v>
      </c>
      <c r="AS729" s="7">
        <v>100</v>
      </c>
      <c r="AT729" s="7">
        <v>0.59492999999999996</v>
      </c>
      <c r="AU729" s="7">
        <v>0.68102799999999997</v>
      </c>
      <c r="AV729" s="7">
        <v>59.493029999999997</v>
      </c>
      <c r="AW729" s="7">
        <v>100</v>
      </c>
      <c r="AX729" s="7">
        <v>0.55882100000000001</v>
      </c>
      <c r="AY729" s="7">
        <v>0.75354900000000002</v>
      </c>
      <c r="AZ729" s="7">
        <v>55.882136000000003</v>
      </c>
      <c r="BA729" s="7">
        <v>100</v>
      </c>
      <c r="BB729" s="4" t="s">
        <v>124</v>
      </c>
      <c r="BC729" s="4" t="s">
        <v>124</v>
      </c>
      <c r="BD729" s="4" t="s">
        <v>124</v>
      </c>
      <c r="BE729" s="4" t="s">
        <v>124</v>
      </c>
      <c r="BF729" s="4" t="s">
        <v>124</v>
      </c>
      <c r="BG729" s="4" t="s">
        <v>124</v>
      </c>
      <c r="BH729" s="7">
        <v>0</v>
      </c>
      <c r="BI729" s="7">
        <v>0.99680999999999997</v>
      </c>
      <c r="BJ729" s="7">
        <v>1</v>
      </c>
      <c r="BK729" s="7">
        <v>0.99568000000000001</v>
      </c>
      <c r="BL729" s="7">
        <v>0.99680999999999997</v>
      </c>
      <c r="BM729" s="7">
        <v>1</v>
      </c>
      <c r="BN729" s="7">
        <v>0.99568000000000001</v>
      </c>
      <c r="BO729" s="7">
        <v>1</v>
      </c>
      <c r="BP729" s="7">
        <v>1</v>
      </c>
      <c r="BQ729" s="7">
        <v>1</v>
      </c>
      <c r="BR729" s="7">
        <v>2.24E-2</v>
      </c>
      <c r="BS729" s="7">
        <v>50</v>
      </c>
      <c r="BT729" s="7">
        <v>50</v>
      </c>
      <c r="BU729" s="7">
        <v>5.6604000000000002E-2</v>
      </c>
      <c r="BV729" s="7">
        <v>48.679245000000002</v>
      </c>
      <c r="BW729" s="7">
        <v>50</v>
      </c>
      <c r="BX729" s="4" t="s">
        <v>124</v>
      </c>
      <c r="BY729" s="4" t="s">
        <v>124</v>
      </c>
      <c r="BZ729" s="4" t="s">
        <v>124</v>
      </c>
      <c r="CA729" s="4" t="s">
        <v>124</v>
      </c>
      <c r="CB729" s="4" t="s">
        <v>124</v>
      </c>
      <c r="CC729" s="4" t="s">
        <v>124</v>
      </c>
      <c r="CD729" s="4" t="s">
        <v>124</v>
      </c>
      <c r="CE729" s="4" t="s">
        <v>124</v>
      </c>
      <c r="CF729" s="4" t="s">
        <v>124</v>
      </c>
      <c r="CG729" s="4" t="s">
        <v>124</v>
      </c>
      <c r="CH729" s="4" t="s">
        <v>124</v>
      </c>
      <c r="CI729" s="4" t="s">
        <v>124</v>
      </c>
      <c r="CJ729" s="4" t="s">
        <v>124</v>
      </c>
      <c r="CK729" s="4" t="s">
        <v>124</v>
      </c>
      <c r="CL729" s="4" t="s">
        <v>124</v>
      </c>
      <c r="CM729" s="4" t="s">
        <v>124</v>
      </c>
      <c r="CN729" s="4" t="s">
        <v>124</v>
      </c>
      <c r="CO729" s="4" t="s">
        <v>124</v>
      </c>
      <c r="CP729" s="4" t="s">
        <v>124</v>
      </c>
      <c r="CQ729" s="7">
        <v>0.836364</v>
      </c>
      <c r="CR729" s="7">
        <v>0.96491199999999999</v>
      </c>
      <c r="CS729" s="7">
        <v>50</v>
      </c>
      <c r="CT729" s="7">
        <v>50</v>
      </c>
      <c r="CU729" s="4" t="s">
        <v>124</v>
      </c>
      <c r="CV729" s="4" t="s">
        <v>124</v>
      </c>
      <c r="CW729" s="4" t="s">
        <v>124</v>
      </c>
      <c r="CX729" s="4" t="s">
        <v>124</v>
      </c>
      <c r="CY729" s="4" t="s">
        <v>124</v>
      </c>
      <c r="CZ729" s="4" t="s">
        <v>124</v>
      </c>
      <c r="DA729" s="7">
        <v>15.314097</v>
      </c>
      <c r="DB729" s="7">
        <v>17.400950000000002</v>
      </c>
      <c r="DC729" s="7">
        <v>16.332519999999999</v>
      </c>
      <c r="DD729" s="4" t="s">
        <v>124</v>
      </c>
      <c r="DE729" s="7">
        <v>1</v>
      </c>
      <c r="DF729" s="6"/>
      <c r="DG729" s="6"/>
      <c r="DH729" s="6"/>
      <c r="DI729" s="6"/>
      <c r="DJ729" s="7">
        <v>0</v>
      </c>
      <c r="DK729" s="7">
        <v>0</v>
      </c>
      <c r="DL729" s="7">
        <v>0</v>
      </c>
      <c r="DM729" s="7">
        <v>0</v>
      </c>
      <c r="DN729" s="7">
        <v>0</v>
      </c>
      <c r="DO729" s="7">
        <v>0</v>
      </c>
      <c r="DP729" s="6"/>
      <c r="DQ729" s="4" t="s">
        <v>125</v>
      </c>
    </row>
    <row r="730" spans="1:121" ht="20" customHeight="1" x14ac:dyDescent="0.15">
      <c r="A730" s="5">
        <v>2018</v>
      </c>
      <c r="B730" s="3" t="s">
        <v>224</v>
      </c>
      <c r="C730" s="4" t="str">
        <f t="shared" si="234"/>
        <v>0970011</v>
      </c>
      <c r="D730" s="4" t="s">
        <v>886</v>
      </c>
      <c r="E730" s="4" t="str">
        <f>"0970211"</f>
        <v>0970211</v>
      </c>
      <c r="F730" s="4" t="s">
        <v>327</v>
      </c>
      <c r="G730" s="4" t="s">
        <v>338</v>
      </c>
      <c r="H730" s="7">
        <v>4</v>
      </c>
      <c r="I730" s="6"/>
      <c r="J730" s="4" t="s">
        <v>330</v>
      </c>
      <c r="K730" s="7">
        <v>453.45594999999997</v>
      </c>
      <c r="L730" s="7">
        <v>550</v>
      </c>
      <c r="M730" s="7">
        <v>82.446535999999995</v>
      </c>
      <c r="N730" s="7">
        <v>2</v>
      </c>
      <c r="O730" s="7">
        <v>0</v>
      </c>
      <c r="P730" s="7">
        <v>79.350250000000003</v>
      </c>
      <c r="Q730" s="7">
        <v>50</v>
      </c>
      <c r="R730" s="7">
        <v>50</v>
      </c>
      <c r="S730" s="7">
        <v>65.213222000000002</v>
      </c>
      <c r="T730" s="7">
        <v>75</v>
      </c>
      <c r="U730" s="7">
        <v>43.475481000000002</v>
      </c>
      <c r="V730" s="7">
        <v>50</v>
      </c>
      <c r="W730" s="7">
        <v>78.092834999999994</v>
      </c>
      <c r="X730" s="7">
        <v>50</v>
      </c>
      <c r="Y730" s="7">
        <v>50</v>
      </c>
      <c r="Z730" s="7">
        <v>75</v>
      </c>
      <c r="AA730" s="7">
        <v>62.591501000000001</v>
      </c>
      <c r="AB730" s="7">
        <v>41.727666999999997</v>
      </c>
      <c r="AC730" s="7">
        <v>50</v>
      </c>
      <c r="AD730" s="4" t="s">
        <v>124</v>
      </c>
      <c r="AE730" s="4" t="s">
        <v>124</v>
      </c>
      <c r="AF730" s="4" t="s">
        <v>124</v>
      </c>
      <c r="AG730" s="4" t="s">
        <v>124</v>
      </c>
      <c r="AH730" s="4" t="s">
        <v>124</v>
      </c>
      <c r="AI730" s="4" t="s">
        <v>124</v>
      </c>
      <c r="AJ730" s="4" t="s">
        <v>124</v>
      </c>
      <c r="AK730" s="7">
        <v>9.7799999999999994</v>
      </c>
      <c r="AL730" s="7">
        <v>12.4</v>
      </c>
      <c r="AM730" s="4" t="s">
        <v>124</v>
      </c>
      <c r="AN730" s="7">
        <v>0.59990699999999997</v>
      </c>
      <c r="AO730" s="7">
        <v>59.990701999999999</v>
      </c>
      <c r="AP730" s="7">
        <v>100</v>
      </c>
      <c r="AQ730" s="7">
        <v>0.71617399999999998</v>
      </c>
      <c r="AR730" s="7">
        <v>71.617362</v>
      </c>
      <c r="AS730" s="7">
        <v>100</v>
      </c>
      <c r="AT730" s="4" t="s">
        <v>124</v>
      </c>
      <c r="AU730" s="7">
        <v>0.57468600000000003</v>
      </c>
      <c r="AV730" s="4" t="s">
        <v>124</v>
      </c>
      <c r="AW730" s="4" t="s">
        <v>124</v>
      </c>
      <c r="AX730" s="4" t="s">
        <v>124</v>
      </c>
      <c r="AY730" s="7">
        <v>0.76349400000000001</v>
      </c>
      <c r="AZ730" s="4" t="s">
        <v>124</v>
      </c>
      <c r="BA730" s="4" t="s">
        <v>124</v>
      </c>
      <c r="BB730" s="4" t="s">
        <v>124</v>
      </c>
      <c r="BC730" s="4" t="s">
        <v>124</v>
      </c>
      <c r="BD730" s="4" t="s">
        <v>124</v>
      </c>
      <c r="BE730" s="4" t="s">
        <v>124</v>
      </c>
      <c r="BF730" s="4" t="s">
        <v>124</v>
      </c>
      <c r="BG730" s="4" t="s">
        <v>124</v>
      </c>
      <c r="BH730" s="7">
        <v>0</v>
      </c>
      <c r="BI730" s="7">
        <v>0.99363100000000004</v>
      </c>
      <c r="BJ730" s="7">
        <v>0.96969700000000003</v>
      </c>
      <c r="BK730" s="7">
        <v>1</v>
      </c>
      <c r="BL730" s="7">
        <v>0.99363100000000004</v>
      </c>
      <c r="BM730" s="7">
        <v>0.96969700000000003</v>
      </c>
      <c r="BN730" s="7">
        <v>1</v>
      </c>
      <c r="BO730" s="4" t="s">
        <v>124</v>
      </c>
      <c r="BP730" s="4" t="s">
        <v>124</v>
      </c>
      <c r="BQ730" s="4" t="s">
        <v>124</v>
      </c>
      <c r="BR730" s="7">
        <v>3.7533999999999998E-2</v>
      </c>
      <c r="BS730" s="7">
        <v>50</v>
      </c>
      <c r="BT730" s="7">
        <v>50</v>
      </c>
      <c r="BU730" s="7">
        <v>7.2916999999999996E-2</v>
      </c>
      <c r="BV730" s="7">
        <v>45.416666999999997</v>
      </c>
      <c r="BW730" s="7">
        <v>50</v>
      </c>
      <c r="BX730" s="4" t="s">
        <v>124</v>
      </c>
      <c r="BY730" s="4" t="s">
        <v>124</v>
      </c>
      <c r="BZ730" s="4" t="s">
        <v>124</v>
      </c>
      <c r="CA730" s="4" t="s">
        <v>124</v>
      </c>
      <c r="CB730" s="4" t="s">
        <v>124</v>
      </c>
      <c r="CC730" s="4" t="s">
        <v>124</v>
      </c>
      <c r="CD730" s="4" t="s">
        <v>124</v>
      </c>
      <c r="CE730" s="4" t="s">
        <v>124</v>
      </c>
      <c r="CF730" s="4" t="s">
        <v>124</v>
      </c>
      <c r="CG730" s="4" t="s">
        <v>124</v>
      </c>
      <c r="CH730" s="4" t="s">
        <v>124</v>
      </c>
      <c r="CI730" s="4" t="s">
        <v>124</v>
      </c>
      <c r="CJ730" s="4" t="s">
        <v>124</v>
      </c>
      <c r="CK730" s="4" t="s">
        <v>124</v>
      </c>
      <c r="CL730" s="4" t="s">
        <v>124</v>
      </c>
      <c r="CM730" s="4" t="s">
        <v>124</v>
      </c>
      <c r="CN730" s="4" t="s">
        <v>124</v>
      </c>
      <c r="CO730" s="4" t="s">
        <v>124</v>
      </c>
      <c r="CP730" s="4" t="s">
        <v>124</v>
      </c>
      <c r="CQ730" s="7">
        <v>0.618421</v>
      </c>
      <c r="CR730" s="7">
        <v>0.98701300000000003</v>
      </c>
      <c r="CS730" s="7">
        <v>41.228070000000002</v>
      </c>
      <c r="CT730" s="7">
        <v>50</v>
      </c>
      <c r="CU730" s="4" t="s">
        <v>124</v>
      </c>
      <c r="CV730" s="4" t="s">
        <v>124</v>
      </c>
      <c r="CW730" s="4" t="s">
        <v>124</v>
      </c>
      <c r="CX730" s="4" t="s">
        <v>124</v>
      </c>
      <c r="CY730" s="4" t="s">
        <v>124</v>
      </c>
      <c r="CZ730" s="4" t="s">
        <v>124</v>
      </c>
      <c r="DA730" s="7">
        <v>15.314097</v>
      </c>
      <c r="DB730" s="7">
        <v>17.400950000000002</v>
      </c>
      <c r="DC730" s="7">
        <v>16.332519999999999</v>
      </c>
      <c r="DD730" s="4" t="s">
        <v>124</v>
      </c>
      <c r="DE730" s="7">
        <v>0</v>
      </c>
      <c r="DF730" s="6"/>
      <c r="DG730" s="6"/>
      <c r="DH730" s="6"/>
      <c r="DI730" s="6"/>
      <c r="DJ730" s="7">
        <v>0</v>
      </c>
      <c r="DK730" s="7">
        <v>0</v>
      </c>
      <c r="DL730" s="7">
        <v>0</v>
      </c>
      <c r="DM730" s="7">
        <v>0</v>
      </c>
      <c r="DN730" s="7">
        <v>0</v>
      </c>
      <c r="DO730" s="7">
        <v>0</v>
      </c>
      <c r="DP730" s="6"/>
      <c r="DQ730" s="4" t="s">
        <v>125</v>
      </c>
    </row>
    <row r="731" spans="1:121" ht="20" customHeight="1" x14ac:dyDescent="0.15">
      <c r="A731" s="5">
        <v>2018</v>
      </c>
      <c r="B731" s="3" t="s">
        <v>172</v>
      </c>
      <c r="C731" s="4" t="str">
        <f t="shared" si="47"/>
        <v>0980011</v>
      </c>
      <c r="D731" s="4" t="s">
        <v>887</v>
      </c>
      <c r="E731" s="4" t="str">
        <f>"0980111"</f>
        <v>0980111</v>
      </c>
      <c r="F731" s="4" t="s">
        <v>327</v>
      </c>
      <c r="G731" s="4" t="s">
        <v>328</v>
      </c>
      <c r="H731" s="7">
        <v>6</v>
      </c>
      <c r="I731" s="4" t="s">
        <v>329</v>
      </c>
      <c r="J731" s="4" t="s">
        <v>330</v>
      </c>
      <c r="K731" s="7">
        <v>380.31780800000001</v>
      </c>
      <c r="L731" s="7">
        <v>550</v>
      </c>
      <c r="M731" s="7">
        <v>69.148691999999997</v>
      </c>
      <c r="N731" s="7">
        <v>3</v>
      </c>
      <c r="O731" s="7">
        <v>0</v>
      </c>
      <c r="P731" s="7">
        <v>73.554938000000007</v>
      </c>
      <c r="Q731" s="7">
        <v>49.036625000000001</v>
      </c>
      <c r="R731" s="7">
        <v>50</v>
      </c>
      <c r="S731" s="7">
        <v>65.635523000000006</v>
      </c>
      <c r="T731" s="7">
        <v>75</v>
      </c>
      <c r="U731" s="7">
        <v>43.757015000000003</v>
      </c>
      <c r="V731" s="7">
        <v>50</v>
      </c>
      <c r="W731" s="7">
        <v>68.644097000000002</v>
      </c>
      <c r="X731" s="7">
        <v>45.762731000000002</v>
      </c>
      <c r="Y731" s="7">
        <v>50</v>
      </c>
      <c r="Z731" s="7">
        <v>73.991933000000003</v>
      </c>
      <c r="AA731" s="7">
        <v>62.182130000000001</v>
      </c>
      <c r="AB731" s="7">
        <v>41.454752999999997</v>
      </c>
      <c r="AC731" s="7">
        <v>50</v>
      </c>
      <c r="AD731" s="4" t="s">
        <v>124</v>
      </c>
      <c r="AE731" s="4" t="s">
        <v>124</v>
      </c>
      <c r="AF731" s="4" t="s">
        <v>124</v>
      </c>
      <c r="AG731" s="4" t="s">
        <v>124</v>
      </c>
      <c r="AH731" s="4" t="s">
        <v>124</v>
      </c>
      <c r="AI731" s="4" t="s">
        <v>124</v>
      </c>
      <c r="AJ731" s="4" t="s">
        <v>124</v>
      </c>
      <c r="AK731" s="7">
        <v>9.36</v>
      </c>
      <c r="AL731" s="7">
        <v>11.8</v>
      </c>
      <c r="AM731" s="4" t="s">
        <v>124</v>
      </c>
      <c r="AN731" s="7">
        <v>0.47083799999999998</v>
      </c>
      <c r="AO731" s="7">
        <v>47.083767999999999</v>
      </c>
      <c r="AP731" s="7">
        <v>100</v>
      </c>
      <c r="AQ731" s="7">
        <v>0.42603799999999997</v>
      </c>
      <c r="AR731" s="7">
        <v>42.603777999999998</v>
      </c>
      <c r="AS731" s="7">
        <v>100</v>
      </c>
      <c r="AT731" s="4" t="s">
        <v>124</v>
      </c>
      <c r="AU731" s="4" t="s">
        <v>124</v>
      </c>
      <c r="AV731" s="4" t="s">
        <v>124</v>
      </c>
      <c r="AW731" s="4" t="s">
        <v>124</v>
      </c>
      <c r="AX731" s="4" t="s">
        <v>124</v>
      </c>
      <c r="AY731" s="4" t="s">
        <v>124</v>
      </c>
      <c r="AZ731" s="4" t="s">
        <v>124</v>
      </c>
      <c r="BA731" s="4" t="s">
        <v>124</v>
      </c>
      <c r="BB731" s="4" t="s">
        <v>124</v>
      </c>
      <c r="BC731" s="4" t="s">
        <v>124</v>
      </c>
      <c r="BD731" s="4" t="s">
        <v>124</v>
      </c>
      <c r="BE731" s="4" t="s">
        <v>124</v>
      </c>
      <c r="BF731" s="4" t="s">
        <v>124</v>
      </c>
      <c r="BG731" s="4" t="s">
        <v>124</v>
      </c>
      <c r="BH731" s="7">
        <v>0</v>
      </c>
      <c r="BI731" s="7">
        <v>1</v>
      </c>
      <c r="BJ731" s="7">
        <v>1</v>
      </c>
      <c r="BK731" s="7">
        <v>1</v>
      </c>
      <c r="BL731" s="7">
        <v>1</v>
      </c>
      <c r="BM731" s="7">
        <v>1</v>
      </c>
      <c r="BN731" s="7">
        <v>1</v>
      </c>
      <c r="BO731" s="4" t="s">
        <v>124</v>
      </c>
      <c r="BP731" s="4" t="s">
        <v>124</v>
      </c>
      <c r="BQ731" s="4" t="s">
        <v>124</v>
      </c>
      <c r="BR731" s="7">
        <v>8.5365999999999997E-2</v>
      </c>
      <c r="BS731" s="7">
        <v>42.926828999999998</v>
      </c>
      <c r="BT731" s="7">
        <v>50</v>
      </c>
      <c r="BU731" s="7">
        <v>0.12820500000000001</v>
      </c>
      <c r="BV731" s="7">
        <v>34.358974000000003</v>
      </c>
      <c r="BW731" s="7">
        <v>50</v>
      </c>
      <c r="BX731" s="4" t="s">
        <v>124</v>
      </c>
      <c r="BY731" s="4" t="s">
        <v>124</v>
      </c>
      <c r="BZ731" s="4" t="s">
        <v>124</v>
      </c>
      <c r="CA731" s="4" t="s">
        <v>124</v>
      </c>
      <c r="CB731" s="4" t="s">
        <v>124</v>
      </c>
      <c r="CC731" s="4" t="s">
        <v>124</v>
      </c>
      <c r="CD731" s="4" t="s">
        <v>124</v>
      </c>
      <c r="CE731" s="4" t="s">
        <v>124</v>
      </c>
      <c r="CF731" s="4" t="s">
        <v>124</v>
      </c>
      <c r="CG731" s="4" t="s">
        <v>124</v>
      </c>
      <c r="CH731" s="4" t="s">
        <v>124</v>
      </c>
      <c r="CI731" s="4" t="s">
        <v>124</v>
      </c>
      <c r="CJ731" s="4" t="s">
        <v>124</v>
      </c>
      <c r="CK731" s="4" t="s">
        <v>124</v>
      </c>
      <c r="CL731" s="4" t="s">
        <v>124</v>
      </c>
      <c r="CM731" s="4" t="s">
        <v>124</v>
      </c>
      <c r="CN731" s="4" t="s">
        <v>124</v>
      </c>
      <c r="CO731" s="4" t="s">
        <v>124</v>
      </c>
      <c r="CP731" s="4" t="s">
        <v>124</v>
      </c>
      <c r="CQ731" s="7">
        <v>0.5</v>
      </c>
      <c r="CR731" s="7">
        <v>0.92307700000000004</v>
      </c>
      <c r="CS731" s="7">
        <v>33.333333000000003</v>
      </c>
      <c r="CT731" s="7">
        <v>50</v>
      </c>
      <c r="CU731" s="4" t="s">
        <v>124</v>
      </c>
      <c r="CV731" s="4" t="s">
        <v>124</v>
      </c>
      <c r="CW731" s="4" t="s">
        <v>124</v>
      </c>
      <c r="CX731" s="4" t="s">
        <v>124</v>
      </c>
      <c r="CY731" s="4" t="s">
        <v>124</v>
      </c>
      <c r="CZ731" s="4" t="s">
        <v>124</v>
      </c>
      <c r="DA731" s="7">
        <v>15.314097</v>
      </c>
      <c r="DB731" s="7">
        <v>17.400950000000002</v>
      </c>
      <c r="DC731" s="7">
        <v>16.332519999999999</v>
      </c>
      <c r="DD731" s="4" t="s">
        <v>124</v>
      </c>
      <c r="DE731" s="7">
        <v>0</v>
      </c>
      <c r="DF731" s="6"/>
      <c r="DG731" s="6"/>
      <c r="DH731" s="6"/>
      <c r="DI731" s="6"/>
      <c r="DJ731" s="7">
        <v>0</v>
      </c>
      <c r="DK731" s="7">
        <v>0</v>
      </c>
      <c r="DL731" s="7">
        <v>0</v>
      </c>
      <c r="DM731" s="7">
        <v>0</v>
      </c>
      <c r="DN731" s="7">
        <v>0</v>
      </c>
      <c r="DO731" s="7">
        <v>0</v>
      </c>
      <c r="DP731" s="6"/>
      <c r="DQ731" s="4" t="s">
        <v>125</v>
      </c>
    </row>
    <row r="732" spans="1:121" ht="20" customHeight="1" x14ac:dyDescent="0.15">
      <c r="A732" s="5">
        <v>2018</v>
      </c>
      <c r="B732" s="3" t="s">
        <v>173</v>
      </c>
      <c r="C732" s="4" t="str">
        <f t="shared" si="48"/>
        <v>0990011</v>
      </c>
      <c r="D732" s="4" t="s">
        <v>888</v>
      </c>
      <c r="E732" s="4" t="str">
        <f>"0990411"</f>
        <v>0990411</v>
      </c>
      <c r="F732" s="4" t="s">
        <v>327</v>
      </c>
      <c r="G732" s="4" t="s">
        <v>328</v>
      </c>
      <c r="H732" s="7">
        <v>2</v>
      </c>
      <c r="I732" s="4" t="s">
        <v>329</v>
      </c>
      <c r="J732" s="4" t="s">
        <v>330</v>
      </c>
      <c r="K732" s="7">
        <v>95.106382999999994</v>
      </c>
      <c r="L732" s="7">
        <v>100</v>
      </c>
      <c r="M732" s="7">
        <v>95.106382999999994</v>
      </c>
      <c r="N732" s="4" t="s">
        <v>124</v>
      </c>
      <c r="O732" s="4" t="s">
        <v>124</v>
      </c>
      <c r="P732" s="4" t="s">
        <v>124</v>
      </c>
      <c r="Q732" s="4" t="s">
        <v>124</v>
      </c>
      <c r="R732" s="4" t="s">
        <v>124</v>
      </c>
      <c r="S732" s="4" t="s">
        <v>124</v>
      </c>
      <c r="T732" s="4" t="s">
        <v>124</v>
      </c>
      <c r="U732" s="4" t="s">
        <v>124</v>
      </c>
      <c r="V732" s="4" t="s">
        <v>124</v>
      </c>
      <c r="W732" s="4" t="s">
        <v>124</v>
      </c>
      <c r="X732" s="4" t="s">
        <v>124</v>
      </c>
      <c r="Y732" s="4" t="s">
        <v>124</v>
      </c>
      <c r="Z732" s="4" t="s">
        <v>124</v>
      </c>
      <c r="AA732" s="4" t="s">
        <v>124</v>
      </c>
      <c r="AB732" s="4" t="s">
        <v>124</v>
      </c>
      <c r="AC732" s="4" t="s">
        <v>124</v>
      </c>
      <c r="AD732" s="4" t="s">
        <v>124</v>
      </c>
      <c r="AE732" s="4" t="s">
        <v>124</v>
      </c>
      <c r="AF732" s="4" t="s">
        <v>124</v>
      </c>
      <c r="AG732" s="4" t="s">
        <v>124</v>
      </c>
      <c r="AH732" s="4" t="s">
        <v>124</v>
      </c>
      <c r="AI732" s="4" t="s">
        <v>124</v>
      </c>
      <c r="AJ732" s="4" t="s">
        <v>124</v>
      </c>
      <c r="AK732" s="4" t="s">
        <v>124</v>
      </c>
      <c r="AL732" s="4" t="s">
        <v>124</v>
      </c>
      <c r="AM732" s="4" t="s">
        <v>124</v>
      </c>
      <c r="AN732" s="4" t="s">
        <v>124</v>
      </c>
      <c r="AO732" s="4" t="s">
        <v>124</v>
      </c>
      <c r="AP732" s="4" t="s">
        <v>124</v>
      </c>
      <c r="AQ732" s="4" t="s">
        <v>124</v>
      </c>
      <c r="AR732" s="4" t="s">
        <v>124</v>
      </c>
      <c r="AS732" s="4" t="s">
        <v>124</v>
      </c>
      <c r="AT732" s="4" t="s">
        <v>124</v>
      </c>
      <c r="AU732" s="4" t="s">
        <v>124</v>
      </c>
      <c r="AV732" s="4" t="s">
        <v>124</v>
      </c>
      <c r="AW732" s="4" t="s">
        <v>124</v>
      </c>
      <c r="AX732" s="4" t="s">
        <v>124</v>
      </c>
      <c r="AY732" s="4" t="s">
        <v>124</v>
      </c>
      <c r="AZ732" s="4" t="s">
        <v>124</v>
      </c>
      <c r="BA732" s="4" t="s">
        <v>124</v>
      </c>
      <c r="BB732" s="4" t="s">
        <v>124</v>
      </c>
      <c r="BC732" s="4" t="s">
        <v>124</v>
      </c>
      <c r="BD732" s="4" t="s">
        <v>124</v>
      </c>
      <c r="BE732" s="4" t="s">
        <v>124</v>
      </c>
      <c r="BF732" s="4" t="s">
        <v>124</v>
      </c>
      <c r="BG732" s="4" t="s">
        <v>124</v>
      </c>
      <c r="BH732" s="4" t="s">
        <v>124</v>
      </c>
      <c r="BI732" s="4" t="s">
        <v>124</v>
      </c>
      <c r="BJ732" s="4" t="s">
        <v>124</v>
      </c>
      <c r="BK732" s="4" t="s">
        <v>124</v>
      </c>
      <c r="BL732" s="4" t="s">
        <v>124</v>
      </c>
      <c r="BM732" s="4" t="s">
        <v>124</v>
      </c>
      <c r="BN732" s="4" t="s">
        <v>124</v>
      </c>
      <c r="BO732" s="4" t="s">
        <v>124</v>
      </c>
      <c r="BP732" s="4" t="s">
        <v>124</v>
      </c>
      <c r="BQ732" s="4" t="s">
        <v>124</v>
      </c>
      <c r="BR732" s="7">
        <v>3.2163999999999998E-2</v>
      </c>
      <c r="BS732" s="7">
        <v>50</v>
      </c>
      <c r="BT732" s="7">
        <v>50</v>
      </c>
      <c r="BU732" s="7">
        <v>7.4468000000000006E-2</v>
      </c>
      <c r="BV732" s="7">
        <v>45.106383000000001</v>
      </c>
      <c r="BW732" s="7">
        <v>50</v>
      </c>
      <c r="BX732" s="4" t="s">
        <v>124</v>
      </c>
      <c r="BY732" s="4" t="s">
        <v>124</v>
      </c>
      <c r="BZ732" s="4" t="s">
        <v>124</v>
      </c>
      <c r="CA732" s="4" t="s">
        <v>124</v>
      </c>
      <c r="CB732" s="4" t="s">
        <v>124</v>
      </c>
      <c r="CC732" s="4" t="s">
        <v>124</v>
      </c>
      <c r="CD732" s="4" t="s">
        <v>124</v>
      </c>
      <c r="CE732" s="4" t="s">
        <v>124</v>
      </c>
      <c r="CF732" s="4" t="s">
        <v>124</v>
      </c>
      <c r="CG732" s="4" t="s">
        <v>124</v>
      </c>
      <c r="CH732" s="4" t="s">
        <v>124</v>
      </c>
      <c r="CI732" s="4" t="s">
        <v>124</v>
      </c>
      <c r="CJ732" s="4" t="s">
        <v>124</v>
      </c>
      <c r="CK732" s="4" t="s">
        <v>124</v>
      </c>
      <c r="CL732" s="4" t="s">
        <v>124</v>
      </c>
      <c r="CM732" s="4" t="s">
        <v>124</v>
      </c>
      <c r="CN732" s="4" t="s">
        <v>124</v>
      </c>
      <c r="CO732" s="4" t="s">
        <v>124</v>
      </c>
      <c r="CP732" s="4" t="s">
        <v>124</v>
      </c>
      <c r="CQ732" s="4" t="s">
        <v>124</v>
      </c>
      <c r="CR732" s="4" t="s">
        <v>124</v>
      </c>
      <c r="CS732" s="4" t="s">
        <v>124</v>
      </c>
      <c r="CT732" s="4" t="s">
        <v>124</v>
      </c>
      <c r="CU732" s="4" t="s">
        <v>124</v>
      </c>
      <c r="CV732" s="4" t="s">
        <v>124</v>
      </c>
      <c r="CW732" s="4" t="s">
        <v>124</v>
      </c>
      <c r="CX732" s="4" t="s">
        <v>124</v>
      </c>
      <c r="CY732" s="4" t="s">
        <v>124</v>
      </c>
      <c r="CZ732" s="4" t="s">
        <v>124</v>
      </c>
      <c r="DA732" s="4" t="s">
        <v>124</v>
      </c>
      <c r="DB732" s="4" t="s">
        <v>124</v>
      </c>
      <c r="DC732" s="4" t="s">
        <v>124</v>
      </c>
      <c r="DD732" s="4" t="s">
        <v>124</v>
      </c>
      <c r="DE732" s="4" t="s">
        <v>124</v>
      </c>
      <c r="DF732" s="6"/>
      <c r="DG732" s="6"/>
      <c r="DH732" s="6"/>
      <c r="DI732" s="6"/>
      <c r="DJ732" s="4" t="s">
        <v>124</v>
      </c>
      <c r="DK732" s="4" t="s">
        <v>124</v>
      </c>
      <c r="DL732" s="4" t="s">
        <v>124</v>
      </c>
      <c r="DM732" s="4" t="s">
        <v>124</v>
      </c>
      <c r="DN732" s="4" t="s">
        <v>124</v>
      </c>
      <c r="DO732" s="4" t="s">
        <v>124</v>
      </c>
      <c r="DP732" s="6"/>
      <c r="DQ732" s="4" t="s">
        <v>125</v>
      </c>
    </row>
    <row r="733" spans="1:121" ht="20" customHeight="1" x14ac:dyDescent="0.15">
      <c r="A733" s="5">
        <v>2018</v>
      </c>
      <c r="B733" s="3" t="s">
        <v>173</v>
      </c>
      <c r="C733" s="4" t="str">
        <f t="shared" ref="C733:C735" si="235">"0990011"</f>
        <v>0990011</v>
      </c>
      <c r="D733" s="4" t="s">
        <v>889</v>
      </c>
      <c r="E733" s="4" t="str">
        <f>"0996111"</f>
        <v>0996111</v>
      </c>
      <c r="F733" s="4" t="s">
        <v>327</v>
      </c>
      <c r="G733" s="7">
        <v>9</v>
      </c>
      <c r="H733" s="7">
        <v>12</v>
      </c>
      <c r="I733" s="6"/>
      <c r="J733" s="4" t="s">
        <v>330</v>
      </c>
      <c r="K733" s="7">
        <v>1153.1924879999999</v>
      </c>
      <c r="L733" s="7">
        <v>1450</v>
      </c>
      <c r="M733" s="7">
        <v>79.530516000000006</v>
      </c>
      <c r="N733" s="7">
        <v>3</v>
      </c>
      <c r="O733" s="7">
        <v>1</v>
      </c>
      <c r="P733" s="7">
        <v>58.294485999999999</v>
      </c>
      <c r="Q733" s="7">
        <v>116.588972</v>
      </c>
      <c r="R733" s="7">
        <v>150</v>
      </c>
      <c r="S733" s="7">
        <v>48.888888999999999</v>
      </c>
      <c r="T733" s="7">
        <v>62.635531</v>
      </c>
      <c r="U733" s="7">
        <v>97.777777999999998</v>
      </c>
      <c r="V733" s="7">
        <v>150</v>
      </c>
      <c r="W733" s="7">
        <v>55.941938</v>
      </c>
      <c r="X733" s="7">
        <v>111.883876</v>
      </c>
      <c r="Y733" s="7">
        <v>150</v>
      </c>
      <c r="Z733" s="7">
        <v>60.5</v>
      </c>
      <c r="AA733" s="7">
        <v>46.066138000000002</v>
      </c>
      <c r="AB733" s="7">
        <v>92.132275000000007</v>
      </c>
      <c r="AC733" s="7">
        <v>150</v>
      </c>
      <c r="AD733" s="7">
        <v>67.983058999999997</v>
      </c>
      <c r="AE733" s="7">
        <v>90.644077999999993</v>
      </c>
      <c r="AF733" s="7">
        <v>100</v>
      </c>
      <c r="AG733" s="7">
        <v>55.853349000000001</v>
      </c>
      <c r="AH733" s="7">
        <v>73.643590000000003</v>
      </c>
      <c r="AI733" s="7">
        <v>74.471131999999997</v>
      </c>
      <c r="AJ733" s="7">
        <v>100</v>
      </c>
      <c r="AK733" s="7">
        <v>13.74</v>
      </c>
      <c r="AL733" s="7">
        <v>14.43</v>
      </c>
      <c r="AM733" s="7">
        <v>17.79</v>
      </c>
      <c r="AN733" s="4" t="s">
        <v>124</v>
      </c>
      <c r="AO733" s="4" t="s">
        <v>124</v>
      </c>
      <c r="AP733" s="4" t="s">
        <v>124</v>
      </c>
      <c r="AQ733" s="4" t="s">
        <v>124</v>
      </c>
      <c r="AR733" s="4" t="s">
        <v>124</v>
      </c>
      <c r="AS733" s="4" t="s">
        <v>124</v>
      </c>
      <c r="AT733" s="4" t="s">
        <v>124</v>
      </c>
      <c r="AU733" s="4" t="s">
        <v>124</v>
      </c>
      <c r="AV733" s="4" t="s">
        <v>124</v>
      </c>
      <c r="AW733" s="4" t="s">
        <v>124</v>
      </c>
      <c r="AX733" s="4" t="s">
        <v>124</v>
      </c>
      <c r="AY733" s="4" t="s">
        <v>124</v>
      </c>
      <c r="AZ733" s="4" t="s">
        <v>124</v>
      </c>
      <c r="BA733" s="4" t="s">
        <v>124</v>
      </c>
      <c r="BB733" s="4" t="s">
        <v>124</v>
      </c>
      <c r="BC733" s="4" t="s">
        <v>124</v>
      </c>
      <c r="BD733" s="4" t="s">
        <v>124</v>
      </c>
      <c r="BE733" s="4" t="s">
        <v>124</v>
      </c>
      <c r="BF733" s="4" t="s">
        <v>124</v>
      </c>
      <c r="BG733" s="4" t="s">
        <v>124</v>
      </c>
      <c r="BH733" s="7">
        <v>0</v>
      </c>
      <c r="BI733" s="7">
        <v>1</v>
      </c>
      <c r="BJ733" s="7">
        <v>1</v>
      </c>
      <c r="BK733" s="7">
        <v>1</v>
      </c>
      <c r="BL733" s="7">
        <v>1</v>
      </c>
      <c r="BM733" s="7">
        <v>1</v>
      </c>
      <c r="BN733" s="7">
        <v>1</v>
      </c>
      <c r="BO733" s="7">
        <v>0.992537</v>
      </c>
      <c r="BP733" s="7">
        <v>1</v>
      </c>
      <c r="BQ733" s="7">
        <v>0.98901099999999997</v>
      </c>
      <c r="BR733" s="7">
        <v>6.6914000000000001E-2</v>
      </c>
      <c r="BS733" s="7">
        <v>46.617100000000001</v>
      </c>
      <c r="BT733" s="7">
        <v>50</v>
      </c>
      <c r="BU733" s="7">
        <v>0.135294</v>
      </c>
      <c r="BV733" s="7">
        <v>32.941175999999999</v>
      </c>
      <c r="BW733" s="7">
        <v>50</v>
      </c>
      <c r="BX733" s="7">
        <v>0.73664099999999999</v>
      </c>
      <c r="BY733" s="7">
        <v>49.109414999999998</v>
      </c>
      <c r="BZ733" s="7">
        <v>50</v>
      </c>
      <c r="CA733" s="7">
        <v>0.43511499999999997</v>
      </c>
      <c r="CB733" s="7">
        <v>29.007633999999999</v>
      </c>
      <c r="CC733" s="7">
        <v>50</v>
      </c>
      <c r="CD733" s="7">
        <v>0.93233100000000002</v>
      </c>
      <c r="CE733" s="7">
        <v>49.592064999999998</v>
      </c>
      <c r="CF733" s="7">
        <v>50</v>
      </c>
      <c r="CG733" s="7">
        <v>0.95301999999999998</v>
      </c>
      <c r="CH733" s="7">
        <v>100</v>
      </c>
      <c r="CI733" s="7">
        <v>100</v>
      </c>
      <c r="CJ733" s="7">
        <v>1</v>
      </c>
      <c r="CK733" s="7">
        <v>0.83673500000000001</v>
      </c>
      <c r="CL733" s="7">
        <v>89.014329000000004</v>
      </c>
      <c r="CM733" s="7">
        <v>100</v>
      </c>
      <c r="CN733" s="7">
        <v>0.86111099999999996</v>
      </c>
      <c r="CO733" s="7">
        <v>100</v>
      </c>
      <c r="CP733" s="7">
        <v>100</v>
      </c>
      <c r="CQ733" s="7">
        <v>0.443662</v>
      </c>
      <c r="CR733" s="7">
        <v>0.99300699999999997</v>
      </c>
      <c r="CS733" s="7">
        <v>29.577465</v>
      </c>
      <c r="CT733" s="7">
        <v>50</v>
      </c>
      <c r="CU733" s="7">
        <v>0.52602199999999999</v>
      </c>
      <c r="CV733" s="7">
        <v>43.835191999999999</v>
      </c>
      <c r="CW733" s="7">
        <v>50</v>
      </c>
      <c r="CX733" s="7">
        <v>0.83673500000000001</v>
      </c>
      <c r="CY733" s="7">
        <v>0.94</v>
      </c>
      <c r="CZ733" s="7">
        <v>0.103265</v>
      </c>
      <c r="DA733" s="7">
        <v>15.314097</v>
      </c>
      <c r="DB733" s="7">
        <v>17.400950000000002</v>
      </c>
      <c r="DC733" s="7">
        <v>16.332519999999999</v>
      </c>
      <c r="DD733" s="7">
        <v>7.9891730000000001</v>
      </c>
      <c r="DE733" s="7">
        <v>1</v>
      </c>
      <c r="DF733" s="6"/>
      <c r="DG733" s="6"/>
      <c r="DH733" s="6"/>
      <c r="DI733" s="6"/>
      <c r="DJ733" s="7">
        <v>0</v>
      </c>
      <c r="DK733" s="7">
        <v>0</v>
      </c>
      <c r="DL733" s="7">
        <v>0</v>
      </c>
      <c r="DM733" s="7">
        <v>0</v>
      </c>
      <c r="DN733" s="7">
        <v>0</v>
      </c>
      <c r="DO733" s="7">
        <v>0</v>
      </c>
      <c r="DP733" s="6"/>
      <c r="DQ733" s="4" t="s">
        <v>125</v>
      </c>
    </row>
    <row r="734" spans="1:121" ht="20" customHeight="1" x14ac:dyDescent="0.15">
      <c r="A734" s="5">
        <v>2018</v>
      </c>
      <c r="B734" s="3" t="s">
        <v>173</v>
      </c>
      <c r="C734" s="4" t="str">
        <f t="shared" si="235"/>
        <v>0990011</v>
      </c>
      <c r="D734" s="4" t="s">
        <v>890</v>
      </c>
      <c r="E734" s="4" t="str">
        <f>"0995111"</f>
        <v>0995111</v>
      </c>
      <c r="F734" s="4" t="s">
        <v>327</v>
      </c>
      <c r="G734" s="7">
        <v>6</v>
      </c>
      <c r="H734" s="7">
        <v>8</v>
      </c>
      <c r="I734" s="4" t="s">
        <v>329</v>
      </c>
      <c r="J734" s="4" t="s">
        <v>330</v>
      </c>
      <c r="K734" s="7">
        <v>628.11192600000004</v>
      </c>
      <c r="L734" s="7">
        <v>900</v>
      </c>
      <c r="M734" s="7">
        <v>69.790214000000006</v>
      </c>
      <c r="N734" s="7">
        <v>3</v>
      </c>
      <c r="O734" s="7">
        <v>0</v>
      </c>
      <c r="P734" s="7">
        <v>65.490840000000006</v>
      </c>
      <c r="Q734" s="7">
        <v>43.660559999999997</v>
      </c>
      <c r="R734" s="7">
        <v>50</v>
      </c>
      <c r="S734" s="7">
        <v>58.825375999999999</v>
      </c>
      <c r="T734" s="7">
        <v>68.912276000000006</v>
      </c>
      <c r="U734" s="7">
        <v>39.216918</v>
      </c>
      <c r="V734" s="7">
        <v>50</v>
      </c>
      <c r="W734" s="7">
        <v>64.492311999999998</v>
      </c>
      <c r="X734" s="7">
        <v>42.994874000000003</v>
      </c>
      <c r="Y734" s="7">
        <v>50</v>
      </c>
      <c r="Z734" s="7">
        <v>69.489367999999999</v>
      </c>
      <c r="AA734" s="7">
        <v>54.684654999999999</v>
      </c>
      <c r="AB734" s="7">
        <v>36.456437000000001</v>
      </c>
      <c r="AC734" s="7">
        <v>50</v>
      </c>
      <c r="AD734" s="7">
        <v>67.357690000000005</v>
      </c>
      <c r="AE734" s="7">
        <v>44.905127</v>
      </c>
      <c r="AF734" s="7">
        <v>50</v>
      </c>
      <c r="AG734" s="7">
        <v>59.173678000000002</v>
      </c>
      <c r="AH734" s="7">
        <v>71.576252999999994</v>
      </c>
      <c r="AI734" s="7">
        <v>39.449119000000003</v>
      </c>
      <c r="AJ734" s="7">
        <v>50</v>
      </c>
      <c r="AK734" s="7">
        <v>10.08</v>
      </c>
      <c r="AL734" s="7">
        <v>14.8</v>
      </c>
      <c r="AM734" s="7">
        <v>12.4</v>
      </c>
      <c r="AN734" s="7">
        <v>0.46130500000000002</v>
      </c>
      <c r="AO734" s="7">
        <v>46.130507000000001</v>
      </c>
      <c r="AP734" s="7">
        <v>100</v>
      </c>
      <c r="AQ734" s="7">
        <v>0.59025300000000003</v>
      </c>
      <c r="AR734" s="7">
        <v>59.025317000000001</v>
      </c>
      <c r="AS734" s="7">
        <v>100</v>
      </c>
      <c r="AT734" s="7">
        <v>0.46932400000000002</v>
      </c>
      <c r="AU734" s="7">
        <v>0.45740199999999998</v>
      </c>
      <c r="AV734" s="7">
        <v>46.932400000000001</v>
      </c>
      <c r="AW734" s="7">
        <v>100</v>
      </c>
      <c r="AX734" s="7">
        <v>0.51137900000000003</v>
      </c>
      <c r="AY734" s="7">
        <v>0.62835099999999999</v>
      </c>
      <c r="AZ734" s="7">
        <v>51.137928000000002</v>
      </c>
      <c r="BA734" s="7">
        <v>100</v>
      </c>
      <c r="BB734" s="4" t="s">
        <v>124</v>
      </c>
      <c r="BC734" s="4" t="s">
        <v>124</v>
      </c>
      <c r="BD734" s="4" t="s">
        <v>124</v>
      </c>
      <c r="BE734" s="4" t="s">
        <v>124</v>
      </c>
      <c r="BF734" s="4" t="s">
        <v>124</v>
      </c>
      <c r="BG734" s="4" t="s">
        <v>124</v>
      </c>
      <c r="BH734" s="7">
        <v>0</v>
      </c>
      <c r="BI734" s="7">
        <v>0.97578699999999996</v>
      </c>
      <c r="BJ734" s="7">
        <v>0.97222200000000003</v>
      </c>
      <c r="BK734" s="7">
        <v>0.97769499999999998</v>
      </c>
      <c r="BL734" s="7">
        <v>0.97336599999999995</v>
      </c>
      <c r="BM734" s="7">
        <v>0.96527799999999997</v>
      </c>
      <c r="BN734" s="7">
        <v>0.97769499999999998</v>
      </c>
      <c r="BO734" s="7">
        <v>1</v>
      </c>
      <c r="BP734" s="7">
        <v>1</v>
      </c>
      <c r="BQ734" s="7">
        <v>1</v>
      </c>
      <c r="BR734" s="7">
        <v>6.5533999999999995E-2</v>
      </c>
      <c r="BS734" s="7">
        <v>46.893203999999997</v>
      </c>
      <c r="BT734" s="7">
        <v>50</v>
      </c>
      <c r="BU734" s="7">
        <v>0.104895</v>
      </c>
      <c r="BV734" s="7">
        <v>39.020978999999997</v>
      </c>
      <c r="BW734" s="7">
        <v>50</v>
      </c>
      <c r="BX734" s="4" t="s">
        <v>124</v>
      </c>
      <c r="BY734" s="4" t="s">
        <v>124</v>
      </c>
      <c r="BZ734" s="4" t="s">
        <v>124</v>
      </c>
      <c r="CA734" s="4" t="s">
        <v>124</v>
      </c>
      <c r="CB734" s="4" t="s">
        <v>124</v>
      </c>
      <c r="CC734" s="4" t="s">
        <v>124</v>
      </c>
      <c r="CD734" s="7">
        <v>0.94736799999999999</v>
      </c>
      <c r="CE734" s="7">
        <v>50</v>
      </c>
      <c r="CF734" s="7">
        <v>50</v>
      </c>
      <c r="CG734" s="4" t="s">
        <v>124</v>
      </c>
      <c r="CH734" s="4" t="s">
        <v>124</v>
      </c>
      <c r="CI734" s="4" t="s">
        <v>124</v>
      </c>
      <c r="CJ734" s="4" t="s">
        <v>124</v>
      </c>
      <c r="CK734" s="4" t="s">
        <v>124</v>
      </c>
      <c r="CL734" s="4" t="s">
        <v>124</v>
      </c>
      <c r="CM734" s="4" t="s">
        <v>124</v>
      </c>
      <c r="CN734" s="4" t="s">
        <v>124</v>
      </c>
      <c r="CO734" s="4" t="s">
        <v>124</v>
      </c>
      <c r="CP734" s="4" t="s">
        <v>124</v>
      </c>
      <c r="CQ734" s="7">
        <v>0.634328</v>
      </c>
      <c r="CR734" s="7">
        <v>0.97454499999999999</v>
      </c>
      <c r="CS734" s="7">
        <v>42.288556999999997</v>
      </c>
      <c r="CT734" s="7">
        <v>50</v>
      </c>
      <c r="CU734" s="4" t="s">
        <v>124</v>
      </c>
      <c r="CV734" s="4" t="s">
        <v>124</v>
      </c>
      <c r="CW734" s="4" t="s">
        <v>124</v>
      </c>
      <c r="CX734" s="4" t="s">
        <v>124</v>
      </c>
      <c r="CY734" s="4" t="s">
        <v>124</v>
      </c>
      <c r="CZ734" s="4" t="s">
        <v>124</v>
      </c>
      <c r="DA734" s="7">
        <v>15.314097</v>
      </c>
      <c r="DB734" s="7">
        <v>17.400950000000002</v>
      </c>
      <c r="DC734" s="7">
        <v>16.332519999999999</v>
      </c>
      <c r="DD734" s="4" t="s">
        <v>124</v>
      </c>
      <c r="DE734" s="7">
        <v>0</v>
      </c>
      <c r="DF734" s="6"/>
      <c r="DG734" s="6"/>
      <c r="DH734" s="6"/>
      <c r="DI734" s="6"/>
      <c r="DJ734" s="7">
        <v>0</v>
      </c>
      <c r="DK734" s="7">
        <v>0</v>
      </c>
      <c r="DL734" s="7">
        <v>0</v>
      </c>
      <c r="DM734" s="7">
        <v>0</v>
      </c>
      <c r="DN734" s="7">
        <v>0</v>
      </c>
      <c r="DO734" s="7">
        <v>0</v>
      </c>
      <c r="DP734" s="6"/>
      <c r="DQ734" s="4" t="s">
        <v>125</v>
      </c>
    </row>
    <row r="735" spans="1:121" ht="20" customHeight="1" x14ac:dyDescent="0.15">
      <c r="A735" s="5">
        <v>2018</v>
      </c>
      <c r="B735" s="3" t="s">
        <v>173</v>
      </c>
      <c r="C735" s="4" t="str">
        <f t="shared" si="235"/>
        <v>0990011</v>
      </c>
      <c r="D735" s="4" t="s">
        <v>891</v>
      </c>
      <c r="E735" s="4" t="str">
        <f>"0990611"</f>
        <v>0990611</v>
      </c>
      <c r="F735" s="4" t="s">
        <v>327</v>
      </c>
      <c r="G735" s="7">
        <v>3</v>
      </c>
      <c r="H735" s="7">
        <v>5</v>
      </c>
      <c r="I735" s="4" t="s">
        <v>329</v>
      </c>
      <c r="J735" s="4" t="s">
        <v>330</v>
      </c>
      <c r="K735" s="7">
        <v>645.209157</v>
      </c>
      <c r="L735" s="7">
        <v>850</v>
      </c>
      <c r="M735" s="7">
        <v>75.906959999999998</v>
      </c>
      <c r="N735" s="7">
        <v>3</v>
      </c>
      <c r="O735" s="7">
        <v>1</v>
      </c>
      <c r="P735" s="7">
        <v>70.279814000000002</v>
      </c>
      <c r="Q735" s="7">
        <v>46.853209999999997</v>
      </c>
      <c r="R735" s="7">
        <v>50</v>
      </c>
      <c r="S735" s="7">
        <v>60.849969999999999</v>
      </c>
      <c r="T735" s="7">
        <v>75</v>
      </c>
      <c r="U735" s="7">
        <v>40.566647000000003</v>
      </c>
      <c r="V735" s="7">
        <v>50</v>
      </c>
      <c r="W735" s="7">
        <v>68.451697999999993</v>
      </c>
      <c r="X735" s="7">
        <v>45.634464999999999</v>
      </c>
      <c r="Y735" s="7">
        <v>50</v>
      </c>
      <c r="Z735" s="7">
        <v>74.386115000000004</v>
      </c>
      <c r="AA735" s="7">
        <v>57.607512</v>
      </c>
      <c r="AB735" s="7">
        <v>38.405008000000002</v>
      </c>
      <c r="AC735" s="7">
        <v>50</v>
      </c>
      <c r="AD735" s="7">
        <v>69.140461999999999</v>
      </c>
      <c r="AE735" s="7">
        <v>46.093642000000003</v>
      </c>
      <c r="AF735" s="7">
        <v>50</v>
      </c>
      <c r="AG735" s="7">
        <v>56.601101</v>
      </c>
      <c r="AH735" s="7">
        <v>75</v>
      </c>
      <c r="AI735" s="7">
        <v>37.734068000000001</v>
      </c>
      <c r="AJ735" s="7">
        <v>50</v>
      </c>
      <c r="AK735" s="7">
        <v>14.15</v>
      </c>
      <c r="AL735" s="7">
        <v>16.77</v>
      </c>
      <c r="AM735" s="7">
        <v>18.39</v>
      </c>
      <c r="AN735" s="7">
        <v>0.58908199999999999</v>
      </c>
      <c r="AO735" s="7">
        <v>58.908211000000001</v>
      </c>
      <c r="AP735" s="7">
        <v>100</v>
      </c>
      <c r="AQ735" s="7">
        <v>0.68885700000000005</v>
      </c>
      <c r="AR735" s="7">
        <v>68.885660999999999</v>
      </c>
      <c r="AS735" s="7">
        <v>100</v>
      </c>
      <c r="AT735" s="7">
        <v>0.50509999999999999</v>
      </c>
      <c r="AU735" s="7">
        <v>0.634413</v>
      </c>
      <c r="AV735" s="7">
        <v>50.509982999999998</v>
      </c>
      <c r="AW735" s="7">
        <v>100</v>
      </c>
      <c r="AX735" s="7">
        <v>0.68351200000000001</v>
      </c>
      <c r="AY735" s="7">
        <v>0.69174199999999997</v>
      </c>
      <c r="AZ735" s="7">
        <v>68.351155000000006</v>
      </c>
      <c r="BA735" s="7">
        <v>100</v>
      </c>
      <c r="BB735" s="4" t="s">
        <v>124</v>
      </c>
      <c r="BC735" s="4" t="s">
        <v>124</v>
      </c>
      <c r="BD735" s="4" t="s">
        <v>124</v>
      </c>
      <c r="BE735" s="4" t="s">
        <v>124</v>
      </c>
      <c r="BF735" s="4" t="s">
        <v>124</v>
      </c>
      <c r="BG735" s="4" t="s">
        <v>124</v>
      </c>
      <c r="BH735" s="7">
        <v>0</v>
      </c>
      <c r="BI735" s="7">
        <v>0.99250000000000005</v>
      </c>
      <c r="BJ735" s="7">
        <v>0.99295800000000001</v>
      </c>
      <c r="BK735" s="7">
        <v>0.99224800000000002</v>
      </c>
      <c r="BL735" s="7">
        <v>0.99250000000000005</v>
      </c>
      <c r="BM735" s="7">
        <v>0.99295800000000001</v>
      </c>
      <c r="BN735" s="7">
        <v>0.99224800000000002</v>
      </c>
      <c r="BO735" s="7">
        <v>0.99218799999999996</v>
      </c>
      <c r="BP735" s="7">
        <v>0.97619</v>
      </c>
      <c r="BQ735" s="7">
        <v>1</v>
      </c>
      <c r="BR735" s="7">
        <v>2.2499999999999999E-2</v>
      </c>
      <c r="BS735" s="7">
        <v>50</v>
      </c>
      <c r="BT735" s="7">
        <v>50</v>
      </c>
      <c r="BU735" s="7">
        <v>4.1667000000000003E-2</v>
      </c>
      <c r="BV735" s="7">
        <v>50</v>
      </c>
      <c r="BW735" s="7">
        <v>50</v>
      </c>
      <c r="BX735" s="4" t="s">
        <v>124</v>
      </c>
      <c r="BY735" s="4" t="s">
        <v>124</v>
      </c>
      <c r="BZ735" s="4" t="s">
        <v>124</v>
      </c>
      <c r="CA735" s="4" t="s">
        <v>124</v>
      </c>
      <c r="CB735" s="4" t="s">
        <v>124</v>
      </c>
      <c r="CC735" s="4" t="s">
        <v>124</v>
      </c>
      <c r="CD735" s="4" t="s">
        <v>124</v>
      </c>
      <c r="CE735" s="4" t="s">
        <v>124</v>
      </c>
      <c r="CF735" s="4" t="s">
        <v>124</v>
      </c>
      <c r="CG735" s="4" t="s">
        <v>124</v>
      </c>
      <c r="CH735" s="4" t="s">
        <v>124</v>
      </c>
      <c r="CI735" s="4" t="s">
        <v>124</v>
      </c>
      <c r="CJ735" s="4" t="s">
        <v>124</v>
      </c>
      <c r="CK735" s="4" t="s">
        <v>124</v>
      </c>
      <c r="CL735" s="4" t="s">
        <v>124</v>
      </c>
      <c r="CM735" s="4" t="s">
        <v>124</v>
      </c>
      <c r="CN735" s="4" t="s">
        <v>124</v>
      </c>
      <c r="CO735" s="4" t="s">
        <v>124</v>
      </c>
      <c r="CP735" s="4" t="s">
        <v>124</v>
      </c>
      <c r="CQ735" s="7">
        <v>0.649007</v>
      </c>
      <c r="CR735" s="7">
        <v>1</v>
      </c>
      <c r="CS735" s="7">
        <v>43.267108</v>
      </c>
      <c r="CT735" s="7">
        <v>50</v>
      </c>
      <c r="CU735" s="4" t="s">
        <v>124</v>
      </c>
      <c r="CV735" s="4" t="s">
        <v>124</v>
      </c>
      <c r="CW735" s="4" t="s">
        <v>124</v>
      </c>
      <c r="CX735" s="4" t="s">
        <v>124</v>
      </c>
      <c r="CY735" s="4" t="s">
        <v>124</v>
      </c>
      <c r="CZ735" s="4" t="s">
        <v>124</v>
      </c>
      <c r="DA735" s="7">
        <v>15.314097</v>
      </c>
      <c r="DB735" s="7">
        <v>17.400950000000002</v>
      </c>
      <c r="DC735" s="7">
        <v>16.332519999999999</v>
      </c>
      <c r="DD735" s="4" t="s">
        <v>124</v>
      </c>
      <c r="DE735" s="7">
        <v>1</v>
      </c>
      <c r="DF735" s="6"/>
      <c r="DG735" s="6"/>
      <c r="DH735" s="6"/>
      <c r="DI735" s="6"/>
      <c r="DJ735" s="7">
        <v>0</v>
      </c>
      <c r="DK735" s="7">
        <v>0</v>
      </c>
      <c r="DL735" s="7">
        <v>0</v>
      </c>
      <c r="DM735" s="7">
        <v>0</v>
      </c>
      <c r="DN735" s="7">
        <v>0</v>
      </c>
      <c r="DO735" s="7">
        <v>0</v>
      </c>
      <c r="DP735" s="6"/>
      <c r="DQ735" s="4" t="s">
        <v>125</v>
      </c>
    </row>
    <row r="736" spans="1:121" ht="20" customHeight="1" x14ac:dyDescent="0.15">
      <c r="A736" s="5">
        <v>2018</v>
      </c>
      <c r="B736" s="3" t="s">
        <v>148</v>
      </c>
      <c r="C736" s="4" t="str">
        <f t="shared" si="23"/>
        <v>1000011</v>
      </c>
      <c r="D736" s="4" t="s">
        <v>892</v>
      </c>
      <c r="E736" s="4" t="str">
        <f>"1000111"</f>
        <v>1000111</v>
      </c>
      <c r="F736" s="4" t="s">
        <v>327</v>
      </c>
      <c r="G736" s="4" t="s">
        <v>328</v>
      </c>
      <c r="H736" s="7">
        <v>8</v>
      </c>
      <c r="I736" s="4" t="s">
        <v>329</v>
      </c>
      <c r="J736" s="4" t="s">
        <v>330</v>
      </c>
      <c r="K736" s="7">
        <v>702.59510699999998</v>
      </c>
      <c r="L736" s="7">
        <v>900</v>
      </c>
      <c r="M736" s="7">
        <v>78.066123000000005</v>
      </c>
      <c r="N736" s="7">
        <v>3</v>
      </c>
      <c r="O736" s="7">
        <v>1</v>
      </c>
      <c r="P736" s="7">
        <v>74.047297</v>
      </c>
      <c r="Q736" s="7">
        <v>49.364865000000002</v>
      </c>
      <c r="R736" s="7">
        <v>50</v>
      </c>
      <c r="S736" s="7">
        <v>68.505018000000007</v>
      </c>
      <c r="T736" s="7">
        <v>75</v>
      </c>
      <c r="U736" s="7">
        <v>45.670012</v>
      </c>
      <c r="V736" s="7">
        <v>50</v>
      </c>
      <c r="W736" s="7">
        <v>64.920935999999998</v>
      </c>
      <c r="X736" s="7">
        <v>43.280624000000003</v>
      </c>
      <c r="Y736" s="7">
        <v>50</v>
      </c>
      <c r="Z736" s="7">
        <v>74.906994999999995</v>
      </c>
      <c r="AA736" s="7">
        <v>57.312508999999999</v>
      </c>
      <c r="AB736" s="7">
        <v>38.208339000000002</v>
      </c>
      <c r="AC736" s="7">
        <v>50</v>
      </c>
      <c r="AD736" s="7">
        <v>71.420689999999993</v>
      </c>
      <c r="AE736" s="7">
        <v>47.613793000000001</v>
      </c>
      <c r="AF736" s="7">
        <v>50</v>
      </c>
      <c r="AG736" s="7">
        <v>65.374707999999998</v>
      </c>
      <c r="AH736" s="7">
        <v>75</v>
      </c>
      <c r="AI736" s="7">
        <v>43.583137999999998</v>
      </c>
      <c r="AJ736" s="7">
        <v>50</v>
      </c>
      <c r="AK736" s="7">
        <v>6.49</v>
      </c>
      <c r="AL736" s="7">
        <v>17.59</v>
      </c>
      <c r="AM736" s="7">
        <v>9.6199999999999992</v>
      </c>
      <c r="AN736" s="7">
        <v>0.67014700000000005</v>
      </c>
      <c r="AO736" s="7">
        <v>67.014723000000004</v>
      </c>
      <c r="AP736" s="7">
        <v>100</v>
      </c>
      <c r="AQ736" s="7">
        <v>0.64557699999999996</v>
      </c>
      <c r="AR736" s="7">
        <v>64.557658000000004</v>
      </c>
      <c r="AS736" s="7">
        <v>100</v>
      </c>
      <c r="AT736" s="7">
        <v>0.685863</v>
      </c>
      <c r="AU736" s="7">
        <v>0.65334800000000004</v>
      </c>
      <c r="AV736" s="7">
        <v>68.586285000000004</v>
      </c>
      <c r="AW736" s="7">
        <v>100</v>
      </c>
      <c r="AX736" s="7">
        <v>0.59117900000000001</v>
      </c>
      <c r="AY736" s="7">
        <v>0.70372599999999996</v>
      </c>
      <c r="AZ736" s="7">
        <v>59.117899000000001</v>
      </c>
      <c r="BA736" s="7">
        <v>100</v>
      </c>
      <c r="BB736" s="4" t="s">
        <v>124</v>
      </c>
      <c r="BC736" s="4" t="s">
        <v>124</v>
      </c>
      <c r="BD736" s="4" t="s">
        <v>124</v>
      </c>
      <c r="BE736" s="4" t="s">
        <v>124</v>
      </c>
      <c r="BF736" s="4" t="s">
        <v>124</v>
      </c>
      <c r="BG736" s="4" t="s">
        <v>124</v>
      </c>
      <c r="BH736" s="7">
        <v>0</v>
      </c>
      <c r="BI736" s="7">
        <v>1</v>
      </c>
      <c r="BJ736" s="7">
        <v>1</v>
      </c>
      <c r="BK736" s="7">
        <v>1</v>
      </c>
      <c r="BL736" s="7">
        <v>0.99337699999999995</v>
      </c>
      <c r="BM736" s="7">
        <v>1</v>
      </c>
      <c r="BN736" s="7">
        <v>0.98461500000000002</v>
      </c>
      <c r="BO736" s="7">
        <v>1</v>
      </c>
      <c r="BP736" s="7">
        <v>1</v>
      </c>
      <c r="BQ736" s="7">
        <v>1</v>
      </c>
      <c r="BR736" s="7">
        <v>4.9586999999999999E-2</v>
      </c>
      <c r="BS736" s="7">
        <v>50</v>
      </c>
      <c r="BT736" s="7">
        <v>50</v>
      </c>
      <c r="BU736" s="7">
        <v>7.8571000000000002E-2</v>
      </c>
      <c r="BV736" s="7">
        <v>44.285713999999999</v>
      </c>
      <c r="BW736" s="7">
        <v>50</v>
      </c>
      <c r="BX736" s="4" t="s">
        <v>124</v>
      </c>
      <c r="BY736" s="4" t="s">
        <v>124</v>
      </c>
      <c r="BZ736" s="4" t="s">
        <v>124</v>
      </c>
      <c r="CA736" s="4" t="s">
        <v>124</v>
      </c>
      <c r="CB736" s="4" t="s">
        <v>124</v>
      </c>
      <c r="CC736" s="4" t="s">
        <v>124</v>
      </c>
      <c r="CD736" s="7">
        <v>0.93333299999999997</v>
      </c>
      <c r="CE736" s="7">
        <v>49.645389999999999</v>
      </c>
      <c r="CF736" s="7">
        <v>50</v>
      </c>
      <c r="CG736" s="4" t="s">
        <v>124</v>
      </c>
      <c r="CH736" s="4" t="s">
        <v>124</v>
      </c>
      <c r="CI736" s="4" t="s">
        <v>124</v>
      </c>
      <c r="CJ736" s="4" t="s">
        <v>124</v>
      </c>
      <c r="CK736" s="4" t="s">
        <v>124</v>
      </c>
      <c r="CL736" s="4" t="s">
        <v>124</v>
      </c>
      <c r="CM736" s="4" t="s">
        <v>124</v>
      </c>
      <c r="CN736" s="4" t="s">
        <v>124</v>
      </c>
      <c r="CO736" s="4" t="s">
        <v>124</v>
      </c>
      <c r="CP736" s="4" t="s">
        <v>124</v>
      </c>
      <c r="CQ736" s="7">
        <v>0.47499999999999998</v>
      </c>
      <c r="CR736" s="7">
        <v>0.97560999999999998</v>
      </c>
      <c r="CS736" s="7">
        <v>31.666667</v>
      </c>
      <c r="CT736" s="7">
        <v>50</v>
      </c>
      <c r="CU736" s="4" t="s">
        <v>124</v>
      </c>
      <c r="CV736" s="4" t="s">
        <v>124</v>
      </c>
      <c r="CW736" s="4" t="s">
        <v>124</v>
      </c>
      <c r="CX736" s="4" t="s">
        <v>124</v>
      </c>
      <c r="CY736" s="4" t="s">
        <v>124</v>
      </c>
      <c r="CZ736" s="4" t="s">
        <v>124</v>
      </c>
      <c r="DA736" s="7">
        <v>15.314097</v>
      </c>
      <c r="DB736" s="7">
        <v>17.400950000000002</v>
      </c>
      <c r="DC736" s="7">
        <v>16.332519999999999</v>
      </c>
      <c r="DD736" s="4" t="s">
        <v>124</v>
      </c>
      <c r="DE736" s="7">
        <v>1</v>
      </c>
      <c r="DF736" s="6"/>
      <c r="DG736" s="6"/>
      <c r="DH736" s="6"/>
      <c r="DI736" s="6"/>
      <c r="DJ736" s="7">
        <v>0</v>
      </c>
      <c r="DK736" s="7">
        <v>0</v>
      </c>
      <c r="DL736" s="7">
        <v>0</v>
      </c>
      <c r="DM736" s="7">
        <v>0</v>
      </c>
      <c r="DN736" s="7">
        <v>0</v>
      </c>
      <c r="DO736" s="7">
        <v>0</v>
      </c>
      <c r="DP736" s="6"/>
      <c r="DQ736" s="4" t="s">
        <v>125</v>
      </c>
    </row>
    <row r="737" spans="1:121" ht="20" customHeight="1" x14ac:dyDescent="0.15">
      <c r="A737" s="5">
        <v>2018</v>
      </c>
      <c r="B737" s="3" t="s">
        <v>149</v>
      </c>
      <c r="C737" s="4" t="str">
        <f t="shared" si="24"/>
        <v>1010011</v>
      </c>
      <c r="D737" s="4" t="s">
        <v>893</v>
      </c>
      <c r="E737" s="4" t="str">
        <f>"1010811"</f>
        <v>1010811</v>
      </c>
      <c r="F737" s="4" t="s">
        <v>327</v>
      </c>
      <c r="G737" s="4" t="s">
        <v>338</v>
      </c>
      <c r="H737" s="7">
        <v>5</v>
      </c>
      <c r="I737" s="4" t="s">
        <v>335</v>
      </c>
      <c r="J737" s="4" t="s">
        <v>330</v>
      </c>
      <c r="K737" s="7">
        <v>655.231945</v>
      </c>
      <c r="L737" s="7">
        <v>800</v>
      </c>
      <c r="M737" s="7">
        <v>81.903993</v>
      </c>
      <c r="N737" s="7">
        <v>2</v>
      </c>
      <c r="O737" s="7">
        <v>0</v>
      </c>
      <c r="P737" s="7">
        <v>74.543986000000004</v>
      </c>
      <c r="Q737" s="7">
        <v>49.695990999999999</v>
      </c>
      <c r="R737" s="7">
        <v>50</v>
      </c>
      <c r="S737" s="7">
        <v>68.153632999999999</v>
      </c>
      <c r="T737" s="7">
        <v>75</v>
      </c>
      <c r="U737" s="7">
        <v>45.435755999999998</v>
      </c>
      <c r="V737" s="7">
        <v>50</v>
      </c>
      <c r="W737" s="7">
        <v>72.994647000000001</v>
      </c>
      <c r="X737" s="7">
        <v>48.663097999999998</v>
      </c>
      <c r="Y737" s="7">
        <v>50</v>
      </c>
      <c r="Z737" s="7">
        <v>74.951430000000002</v>
      </c>
      <c r="AA737" s="7">
        <v>67.525690999999995</v>
      </c>
      <c r="AB737" s="7">
        <v>45.017127000000002</v>
      </c>
      <c r="AC737" s="7">
        <v>50</v>
      </c>
      <c r="AD737" s="7">
        <v>70.788927000000001</v>
      </c>
      <c r="AE737" s="7">
        <v>47.192618000000003</v>
      </c>
      <c r="AF737" s="7">
        <v>50</v>
      </c>
      <c r="AG737" s="4" t="s">
        <v>124</v>
      </c>
      <c r="AH737" s="7">
        <v>74.113338999999996</v>
      </c>
      <c r="AI737" s="4" t="s">
        <v>124</v>
      </c>
      <c r="AJ737" s="4" t="s">
        <v>124</v>
      </c>
      <c r="AK737" s="7">
        <v>6.84</v>
      </c>
      <c r="AL737" s="7">
        <v>7.42</v>
      </c>
      <c r="AM737" s="4" t="s">
        <v>124</v>
      </c>
      <c r="AN737" s="7">
        <v>0.68005099999999996</v>
      </c>
      <c r="AO737" s="7">
        <v>68.005137000000005</v>
      </c>
      <c r="AP737" s="7">
        <v>100</v>
      </c>
      <c r="AQ737" s="7">
        <v>0.90637699999999999</v>
      </c>
      <c r="AR737" s="7">
        <v>90.637692999999999</v>
      </c>
      <c r="AS737" s="7">
        <v>100</v>
      </c>
      <c r="AT737" s="7">
        <v>0.63903100000000002</v>
      </c>
      <c r="AU737" s="7">
        <v>0.69573499999999999</v>
      </c>
      <c r="AV737" s="7">
        <v>63.903136000000003</v>
      </c>
      <c r="AW737" s="7">
        <v>100</v>
      </c>
      <c r="AX737" s="7">
        <v>0.875834</v>
      </c>
      <c r="AY737" s="7">
        <v>0.91805499999999995</v>
      </c>
      <c r="AZ737" s="7">
        <v>87.583402000000007</v>
      </c>
      <c r="BA737" s="7">
        <v>100</v>
      </c>
      <c r="BB737" s="4" t="s">
        <v>124</v>
      </c>
      <c r="BC737" s="4" t="s">
        <v>124</v>
      </c>
      <c r="BD737" s="4" t="s">
        <v>124</v>
      </c>
      <c r="BE737" s="4" t="s">
        <v>124</v>
      </c>
      <c r="BF737" s="4" t="s">
        <v>124</v>
      </c>
      <c r="BG737" s="4" t="s">
        <v>124</v>
      </c>
      <c r="BH737" s="7">
        <v>0</v>
      </c>
      <c r="BI737" s="7">
        <v>1</v>
      </c>
      <c r="BJ737" s="7">
        <v>1</v>
      </c>
      <c r="BK737" s="7">
        <v>1</v>
      </c>
      <c r="BL737" s="7">
        <v>1</v>
      </c>
      <c r="BM737" s="7">
        <v>1</v>
      </c>
      <c r="BN737" s="7">
        <v>1</v>
      </c>
      <c r="BO737" s="7">
        <v>1</v>
      </c>
      <c r="BP737" s="4" t="s">
        <v>124</v>
      </c>
      <c r="BQ737" s="7">
        <v>1</v>
      </c>
      <c r="BR737" s="7">
        <v>8.0597000000000002E-2</v>
      </c>
      <c r="BS737" s="7">
        <v>43.880597000000002</v>
      </c>
      <c r="BT737" s="7">
        <v>50</v>
      </c>
      <c r="BU737" s="7">
        <v>0.13333300000000001</v>
      </c>
      <c r="BV737" s="7">
        <v>33.333333000000003</v>
      </c>
      <c r="BW737" s="7">
        <v>50</v>
      </c>
      <c r="BX737" s="4" t="s">
        <v>124</v>
      </c>
      <c r="BY737" s="4" t="s">
        <v>124</v>
      </c>
      <c r="BZ737" s="4" t="s">
        <v>124</v>
      </c>
      <c r="CA737" s="4" t="s">
        <v>124</v>
      </c>
      <c r="CB737" s="4" t="s">
        <v>124</v>
      </c>
      <c r="CC737" s="4" t="s">
        <v>124</v>
      </c>
      <c r="CD737" s="4" t="s">
        <v>124</v>
      </c>
      <c r="CE737" s="4" t="s">
        <v>124</v>
      </c>
      <c r="CF737" s="4" t="s">
        <v>124</v>
      </c>
      <c r="CG737" s="4" t="s">
        <v>124</v>
      </c>
      <c r="CH737" s="4" t="s">
        <v>124</v>
      </c>
      <c r="CI737" s="4" t="s">
        <v>124</v>
      </c>
      <c r="CJ737" s="4" t="s">
        <v>124</v>
      </c>
      <c r="CK737" s="4" t="s">
        <v>124</v>
      </c>
      <c r="CL737" s="4" t="s">
        <v>124</v>
      </c>
      <c r="CM737" s="4" t="s">
        <v>124</v>
      </c>
      <c r="CN737" s="4" t="s">
        <v>124</v>
      </c>
      <c r="CO737" s="4" t="s">
        <v>124</v>
      </c>
      <c r="CP737" s="4" t="s">
        <v>124</v>
      </c>
      <c r="CQ737" s="7">
        <v>0.47826099999999999</v>
      </c>
      <c r="CR737" s="7">
        <v>0.97872300000000001</v>
      </c>
      <c r="CS737" s="7">
        <v>31.884058</v>
      </c>
      <c r="CT737" s="7">
        <v>50</v>
      </c>
      <c r="CU737" s="4" t="s">
        <v>124</v>
      </c>
      <c r="CV737" s="4" t="s">
        <v>124</v>
      </c>
      <c r="CW737" s="4" t="s">
        <v>124</v>
      </c>
      <c r="CX737" s="4" t="s">
        <v>124</v>
      </c>
      <c r="CY737" s="4" t="s">
        <v>124</v>
      </c>
      <c r="CZ737" s="4" t="s">
        <v>124</v>
      </c>
      <c r="DA737" s="7">
        <v>15.314097</v>
      </c>
      <c r="DB737" s="7">
        <v>17.400950000000002</v>
      </c>
      <c r="DC737" s="7">
        <v>16.332519999999999</v>
      </c>
      <c r="DD737" s="4" t="s">
        <v>124</v>
      </c>
      <c r="DE737" s="7">
        <v>0</v>
      </c>
      <c r="DF737" s="6"/>
      <c r="DG737" s="6"/>
      <c r="DH737" s="4" t="s">
        <v>331</v>
      </c>
      <c r="DI737" s="4" t="s">
        <v>452</v>
      </c>
      <c r="DJ737" s="7">
        <v>0</v>
      </c>
      <c r="DK737" s="7">
        <v>0</v>
      </c>
      <c r="DL737" s="7">
        <v>1</v>
      </c>
      <c r="DM737" s="7">
        <v>0</v>
      </c>
      <c r="DN737" s="7">
        <v>1</v>
      </c>
      <c r="DO737" s="7">
        <v>0</v>
      </c>
      <c r="DP737" s="6"/>
      <c r="DQ737" s="4" t="s">
        <v>125</v>
      </c>
    </row>
    <row r="738" spans="1:121" ht="20" customHeight="1" x14ac:dyDescent="0.15">
      <c r="A738" s="5">
        <v>2018</v>
      </c>
      <c r="B738" s="3" t="s">
        <v>149</v>
      </c>
      <c r="C738" s="4" t="str">
        <f t="shared" ref="C738:C741" si="236">"1010011"</f>
        <v>1010011</v>
      </c>
      <c r="D738" s="4" t="s">
        <v>894</v>
      </c>
      <c r="E738" s="4" t="str">
        <f>"1010711"</f>
        <v>1010711</v>
      </c>
      <c r="F738" s="4" t="s">
        <v>327</v>
      </c>
      <c r="G738" s="4" t="s">
        <v>328</v>
      </c>
      <c r="H738" s="7">
        <v>5</v>
      </c>
      <c r="I738" s="4" t="s">
        <v>335</v>
      </c>
      <c r="J738" s="4" t="s">
        <v>330</v>
      </c>
      <c r="K738" s="7">
        <v>709.61144100000001</v>
      </c>
      <c r="L738" s="7">
        <v>900</v>
      </c>
      <c r="M738" s="7">
        <v>78.845715999999996</v>
      </c>
      <c r="N738" s="7">
        <v>2</v>
      </c>
      <c r="O738" s="7">
        <v>0</v>
      </c>
      <c r="P738" s="7">
        <v>78.937246999999999</v>
      </c>
      <c r="Q738" s="7">
        <v>50</v>
      </c>
      <c r="R738" s="7">
        <v>50</v>
      </c>
      <c r="S738" s="7">
        <v>69.223945999999998</v>
      </c>
      <c r="T738" s="7">
        <v>75</v>
      </c>
      <c r="U738" s="7">
        <v>46.149296999999997</v>
      </c>
      <c r="V738" s="7">
        <v>50</v>
      </c>
      <c r="W738" s="7">
        <v>72.254109</v>
      </c>
      <c r="X738" s="7">
        <v>48.169406000000002</v>
      </c>
      <c r="Y738" s="7">
        <v>50</v>
      </c>
      <c r="Z738" s="7">
        <v>75</v>
      </c>
      <c r="AA738" s="7">
        <v>63.807865</v>
      </c>
      <c r="AB738" s="7">
        <v>42.538576999999997</v>
      </c>
      <c r="AC738" s="7">
        <v>50</v>
      </c>
      <c r="AD738" s="7">
        <v>66</v>
      </c>
      <c r="AE738" s="7">
        <v>44</v>
      </c>
      <c r="AF738" s="7">
        <v>50</v>
      </c>
      <c r="AG738" s="4" t="s">
        <v>124</v>
      </c>
      <c r="AH738" s="7">
        <v>68.639112999999995</v>
      </c>
      <c r="AI738" s="4" t="s">
        <v>124</v>
      </c>
      <c r="AJ738" s="4" t="s">
        <v>124</v>
      </c>
      <c r="AK738" s="7">
        <v>5.77</v>
      </c>
      <c r="AL738" s="7">
        <v>11.19</v>
      </c>
      <c r="AM738" s="4" t="s">
        <v>124</v>
      </c>
      <c r="AN738" s="7">
        <v>0.66443600000000003</v>
      </c>
      <c r="AO738" s="7">
        <v>66.443551999999997</v>
      </c>
      <c r="AP738" s="7">
        <v>100</v>
      </c>
      <c r="AQ738" s="7">
        <v>0.75348700000000002</v>
      </c>
      <c r="AR738" s="7">
        <v>75.348731999999998</v>
      </c>
      <c r="AS738" s="7">
        <v>100</v>
      </c>
      <c r="AT738" s="7">
        <v>0.62639</v>
      </c>
      <c r="AU738" s="7">
        <v>0.67925899999999995</v>
      </c>
      <c r="AV738" s="7">
        <v>62.638970999999998</v>
      </c>
      <c r="AW738" s="7">
        <v>100</v>
      </c>
      <c r="AX738" s="7">
        <v>0.75290500000000005</v>
      </c>
      <c r="AY738" s="7">
        <v>0.753714</v>
      </c>
      <c r="AZ738" s="7">
        <v>75.290541000000005</v>
      </c>
      <c r="BA738" s="7">
        <v>100</v>
      </c>
      <c r="BB738" s="7">
        <v>0.96973100000000001</v>
      </c>
      <c r="BC738" s="7">
        <v>48.486536000000001</v>
      </c>
      <c r="BD738" s="7">
        <v>50</v>
      </c>
      <c r="BE738" s="7">
        <v>0.61833099999999996</v>
      </c>
      <c r="BF738" s="7">
        <v>30.916526999999999</v>
      </c>
      <c r="BG738" s="7">
        <v>50</v>
      </c>
      <c r="BH738" s="7">
        <v>0</v>
      </c>
      <c r="BI738" s="7">
        <v>0.98773</v>
      </c>
      <c r="BJ738" s="7">
        <v>0.97916700000000001</v>
      </c>
      <c r="BK738" s="7">
        <v>0.99130399999999996</v>
      </c>
      <c r="BL738" s="7">
        <v>0.98773</v>
      </c>
      <c r="BM738" s="7">
        <v>0.97916700000000001</v>
      </c>
      <c r="BN738" s="7">
        <v>0.99130399999999996</v>
      </c>
      <c r="BO738" s="7">
        <v>1</v>
      </c>
      <c r="BP738" s="4" t="s">
        <v>124</v>
      </c>
      <c r="BQ738" s="7">
        <v>1</v>
      </c>
      <c r="BR738" s="7">
        <v>4.1419999999999998E-2</v>
      </c>
      <c r="BS738" s="7">
        <v>50</v>
      </c>
      <c r="BT738" s="7">
        <v>50</v>
      </c>
      <c r="BU738" s="7">
        <v>7.2071999999999997E-2</v>
      </c>
      <c r="BV738" s="7">
        <v>45.585585999999999</v>
      </c>
      <c r="BW738" s="7">
        <v>50</v>
      </c>
      <c r="BX738" s="4" t="s">
        <v>124</v>
      </c>
      <c r="BY738" s="4" t="s">
        <v>124</v>
      </c>
      <c r="BZ738" s="4" t="s">
        <v>124</v>
      </c>
      <c r="CA738" s="4" t="s">
        <v>124</v>
      </c>
      <c r="CB738" s="4" t="s">
        <v>124</v>
      </c>
      <c r="CC738" s="4" t="s">
        <v>124</v>
      </c>
      <c r="CD738" s="4" t="s">
        <v>124</v>
      </c>
      <c r="CE738" s="4" t="s">
        <v>124</v>
      </c>
      <c r="CF738" s="4" t="s">
        <v>124</v>
      </c>
      <c r="CG738" s="4" t="s">
        <v>124</v>
      </c>
      <c r="CH738" s="4" t="s">
        <v>124</v>
      </c>
      <c r="CI738" s="4" t="s">
        <v>124</v>
      </c>
      <c r="CJ738" s="4" t="s">
        <v>124</v>
      </c>
      <c r="CK738" s="4" t="s">
        <v>124</v>
      </c>
      <c r="CL738" s="4" t="s">
        <v>124</v>
      </c>
      <c r="CM738" s="4" t="s">
        <v>124</v>
      </c>
      <c r="CN738" s="4" t="s">
        <v>124</v>
      </c>
      <c r="CO738" s="4" t="s">
        <v>124</v>
      </c>
      <c r="CP738" s="4" t="s">
        <v>124</v>
      </c>
      <c r="CQ738" s="7">
        <v>0.36065599999999998</v>
      </c>
      <c r="CR738" s="7">
        <v>0.96825399999999995</v>
      </c>
      <c r="CS738" s="7">
        <v>24.043716</v>
      </c>
      <c r="CT738" s="7">
        <v>50</v>
      </c>
      <c r="CU738" s="4" t="s">
        <v>124</v>
      </c>
      <c r="CV738" s="4" t="s">
        <v>124</v>
      </c>
      <c r="CW738" s="4" t="s">
        <v>124</v>
      </c>
      <c r="CX738" s="4" t="s">
        <v>124</v>
      </c>
      <c r="CY738" s="4" t="s">
        <v>124</v>
      </c>
      <c r="CZ738" s="4" t="s">
        <v>124</v>
      </c>
      <c r="DA738" s="7">
        <v>15.314097</v>
      </c>
      <c r="DB738" s="7">
        <v>17.400950000000002</v>
      </c>
      <c r="DC738" s="7">
        <v>16.332519999999999</v>
      </c>
      <c r="DD738" s="4" t="s">
        <v>124</v>
      </c>
      <c r="DE738" s="7">
        <v>0</v>
      </c>
      <c r="DF738" s="6"/>
      <c r="DG738" s="6"/>
      <c r="DH738" s="6"/>
      <c r="DI738" s="6"/>
      <c r="DJ738" s="7">
        <v>0</v>
      </c>
      <c r="DK738" s="7">
        <v>0</v>
      </c>
      <c r="DL738" s="7">
        <v>0</v>
      </c>
      <c r="DM738" s="7">
        <v>0</v>
      </c>
      <c r="DN738" s="7">
        <v>0</v>
      </c>
      <c r="DO738" s="7">
        <v>0</v>
      </c>
      <c r="DP738" s="6"/>
      <c r="DQ738" s="4" t="s">
        <v>125</v>
      </c>
    </row>
    <row r="739" spans="1:121" ht="20" customHeight="1" x14ac:dyDescent="0.15">
      <c r="A739" s="5">
        <v>2018</v>
      </c>
      <c r="B739" s="3" t="s">
        <v>149</v>
      </c>
      <c r="C739" s="4" t="str">
        <f t="shared" si="236"/>
        <v>1010011</v>
      </c>
      <c r="D739" s="4" t="s">
        <v>895</v>
      </c>
      <c r="E739" s="4" t="str">
        <f>"1010211"</f>
        <v>1010211</v>
      </c>
      <c r="F739" s="4" t="s">
        <v>327</v>
      </c>
      <c r="G739" s="4" t="s">
        <v>338</v>
      </c>
      <c r="H739" s="7">
        <v>5</v>
      </c>
      <c r="I739" s="4" t="s">
        <v>335</v>
      </c>
      <c r="J739" s="4" t="s">
        <v>330</v>
      </c>
      <c r="K739" s="7">
        <v>626.95238199999994</v>
      </c>
      <c r="L739" s="7">
        <v>850</v>
      </c>
      <c r="M739" s="7">
        <v>73.759103999999994</v>
      </c>
      <c r="N739" s="7">
        <v>2</v>
      </c>
      <c r="O739" s="7">
        <v>0</v>
      </c>
      <c r="P739" s="7">
        <v>76.374701999999999</v>
      </c>
      <c r="Q739" s="7">
        <v>50</v>
      </c>
      <c r="R739" s="7">
        <v>50</v>
      </c>
      <c r="S739" s="7">
        <v>67.007772000000003</v>
      </c>
      <c r="T739" s="7">
        <v>75</v>
      </c>
      <c r="U739" s="7">
        <v>44.671847999999997</v>
      </c>
      <c r="V739" s="7">
        <v>50</v>
      </c>
      <c r="W739" s="7">
        <v>77.077888999999999</v>
      </c>
      <c r="X739" s="7">
        <v>50</v>
      </c>
      <c r="Y739" s="7">
        <v>50</v>
      </c>
      <c r="Z739" s="7">
        <v>75</v>
      </c>
      <c r="AA739" s="7">
        <v>68.446073999999996</v>
      </c>
      <c r="AB739" s="7">
        <v>45.630716</v>
      </c>
      <c r="AC739" s="7">
        <v>50</v>
      </c>
      <c r="AD739" s="7">
        <v>73.522581000000002</v>
      </c>
      <c r="AE739" s="7">
        <v>49.015053999999999</v>
      </c>
      <c r="AF739" s="7">
        <v>50</v>
      </c>
      <c r="AG739" s="7">
        <v>67.901934999999995</v>
      </c>
      <c r="AH739" s="7">
        <v>75</v>
      </c>
      <c r="AI739" s="7">
        <v>45.267957000000003</v>
      </c>
      <c r="AJ739" s="7">
        <v>50</v>
      </c>
      <c r="AK739" s="7">
        <v>7.99</v>
      </c>
      <c r="AL739" s="7">
        <v>6.55</v>
      </c>
      <c r="AM739" s="7">
        <v>7.09</v>
      </c>
      <c r="AN739" s="7">
        <v>0.57193000000000005</v>
      </c>
      <c r="AO739" s="7">
        <v>57.192990000000002</v>
      </c>
      <c r="AP739" s="7">
        <v>100</v>
      </c>
      <c r="AQ739" s="7">
        <v>0.65746300000000002</v>
      </c>
      <c r="AR739" s="7">
        <v>65.746335999999999</v>
      </c>
      <c r="AS739" s="7">
        <v>100</v>
      </c>
      <c r="AT739" s="7">
        <v>0.50162200000000001</v>
      </c>
      <c r="AU739" s="7">
        <v>0.60648800000000003</v>
      </c>
      <c r="AV739" s="7">
        <v>50.162177999999997</v>
      </c>
      <c r="AW739" s="7">
        <v>100</v>
      </c>
      <c r="AX739" s="7">
        <v>0.476524</v>
      </c>
      <c r="AY739" s="7">
        <v>0.74639999999999995</v>
      </c>
      <c r="AZ739" s="7">
        <v>47.6524</v>
      </c>
      <c r="BA739" s="7">
        <v>100</v>
      </c>
      <c r="BB739" s="4" t="s">
        <v>124</v>
      </c>
      <c r="BC739" s="4" t="s">
        <v>124</v>
      </c>
      <c r="BD739" s="4" t="s">
        <v>124</v>
      </c>
      <c r="BE739" s="4" t="s">
        <v>124</v>
      </c>
      <c r="BF739" s="4" t="s">
        <v>124</v>
      </c>
      <c r="BG739" s="4" t="s">
        <v>124</v>
      </c>
      <c r="BH739" s="7">
        <v>0</v>
      </c>
      <c r="BI739" s="7">
        <v>0.99236599999999997</v>
      </c>
      <c r="BJ739" s="7">
        <v>0.97777800000000004</v>
      </c>
      <c r="BK739" s="7">
        <v>1</v>
      </c>
      <c r="BL739" s="7">
        <v>0.99236599999999997</v>
      </c>
      <c r="BM739" s="7">
        <v>0.97777800000000004</v>
      </c>
      <c r="BN739" s="7">
        <v>1</v>
      </c>
      <c r="BO739" s="7">
        <v>1</v>
      </c>
      <c r="BP739" s="7">
        <v>1</v>
      </c>
      <c r="BQ739" s="7">
        <v>1</v>
      </c>
      <c r="BR739" s="7">
        <v>4.8148000000000003E-2</v>
      </c>
      <c r="BS739" s="7">
        <v>50</v>
      </c>
      <c r="BT739" s="7">
        <v>50</v>
      </c>
      <c r="BU739" s="7">
        <v>7.5269000000000003E-2</v>
      </c>
      <c r="BV739" s="7">
        <v>44.946237000000004</v>
      </c>
      <c r="BW739" s="7">
        <v>50</v>
      </c>
      <c r="BX739" s="4" t="s">
        <v>124</v>
      </c>
      <c r="BY739" s="4" t="s">
        <v>124</v>
      </c>
      <c r="BZ739" s="4" t="s">
        <v>124</v>
      </c>
      <c r="CA739" s="4" t="s">
        <v>124</v>
      </c>
      <c r="CB739" s="4" t="s">
        <v>124</v>
      </c>
      <c r="CC739" s="4" t="s">
        <v>124</v>
      </c>
      <c r="CD739" s="4" t="s">
        <v>124</v>
      </c>
      <c r="CE739" s="4" t="s">
        <v>124</v>
      </c>
      <c r="CF739" s="4" t="s">
        <v>124</v>
      </c>
      <c r="CG739" s="4" t="s">
        <v>124</v>
      </c>
      <c r="CH739" s="4" t="s">
        <v>124</v>
      </c>
      <c r="CI739" s="4" t="s">
        <v>124</v>
      </c>
      <c r="CJ739" s="4" t="s">
        <v>124</v>
      </c>
      <c r="CK739" s="4" t="s">
        <v>124</v>
      </c>
      <c r="CL739" s="4" t="s">
        <v>124</v>
      </c>
      <c r="CM739" s="4" t="s">
        <v>124</v>
      </c>
      <c r="CN739" s="4" t="s">
        <v>124</v>
      </c>
      <c r="CO739" s="4" t="s">
        <v>124</v>
      </c>
      <c r="CP739" s="4" t="s">
        <v>124</v>
      </c>
      <c r="CQ739" s="7">
        <v>0.4</v>
      </c>
      <c r="CR739" s="7">
        <v>0.94594599999999995</v>
      </c>
      <c r="CS739" s="7">
        <v>26.666667</v>
      </c>
      <c r="CT739" s="7">
        <v>50</v>
      </c>
      <c r="CU739" s="4" t="s">
        <v>124</v>
      </c>
      <c r="CV739" s="4" t="s">
        <v>124</v>
      </c>
      <c r="CW739" s="4" t="s">
        <v>124</v>
      </c>
      <c r="CX739" s="4" t="s">
        <v>124</v>
      </c>
      <c r="CY739" s="4" t="s">
        <v>124</v>
      </c>
      <c r="CZ739" s="4" t="s">
        <v>124</v>
      </c>
      <c r="DA739" s="7">
        <v>15.314097</v>
      </c>
      <c r="DB739" s="7">
        <v>17.400950000000002</v>
      </c>
      <c r="DC739" s="7">
        <v>16.332519999999999</v>
      </c>
      <c r="DD739" s="4" t="s">
        <v>124</v>
      </c>
      <c r="DE739" s="7">
        <v>0</v>
      </c>
      <c r="DF739" s="6"/>
      <c r="DG739" s="6"/>
      <c r="DH739" s="6"/>
      <c r="DI739" s="6"/>
      <c r="DJ739" s="7">
        <v>0</v>
      </c>
      <c r="DK739" s="7">
        <v>0</v>
      </c>
      <c r="DL739" s="7">
        <v>0</v>
      </c>
      <c r="DM739" s="7">
        <v>0</v>
      </c>
      <c r="DN739" s="7">
        <v>0</v>
      </c>
      <c r="DO739" s="7">
        <v>0</v>
      </c>
      <c r="DP739" s="6"/>
      <c r="DQ739" s="4" t="s">
        <v>125</v>
      </c>
    </row>
    <row r="740" spans="1:121" ht="20" customHeight="1" x14ac:dyDescent="0.15">
      <c r="A740" s="5">
        <v>2018</v>
      </c>
      <c r="B740" s="3" t="s">
        <v>149</v>
      </c>
      <c r="C740" s="4" t="str">
        <f t="shared" si="236"/>
        <v>1010011</v>
      </c>
      <c r="D740" s="4" t="s">
        <v>896</v>
      </c>
      <c r="E740" s="4" t="str">
        <f>"1016111"</f>
        <v>1016111</v>
      </c>
      <c r="F740" s="4" t="s">
        <v>327</v>
      </c>
      <c r="G740" s="7">
        <v>9</v>
      </c>
      <c r="H740" s="7">
        <v>12</v>
      </c>
      <c r="I740" s="4" t="s">
        <v>335</v>
      </c>
      <c r="J740" s="4" t="s">
        <v>330</v>
      </c>
      <c r="K740" s="7">
        <v>1108.8960549999999</v>
      </c>
      <c r="L740" s="7">
        <v>1450</v>
      </c>
      <c r="M740" s="7">
        <v>76.475589999999997</v>
      </c>
      <c r="N740" s="7">
        <v>3</v>
      </c>
      <c r="O740" s="7">
        <v>0</v>
      </c>
      <c r="P740" s="7">
        <v>58.191083999999996</v>
      </c>
      <c r="Q740" s="7">
        <v>116.38216799999999</v>
      </c>
      <c r="R740" s="7">
        <v>150</v>
      </c>
      <c r="S740" s="7">
        <v>50.581831999999999</v>
      </c>
      <c r="T740" s="7">
        <v>61.427202999999999</v>
      </c>
      <c r="U740" s="7">
        <v>101.163664</v>
      </c>
      <c r="V740" s="7">
        <v>150</v>
      </c>
      <c r="W740" s="7">
        <v>55.719534000000003</v>
      </c>
      <c r="X740" s="7">
        <v>111.43906800000001</v>
      </c>
      <c r="Y740" s="7">
        <v>150</v>
      </c>
      <c r="Z740" s="7">
        <v>59.330460000000002</v>
      </c>
      <c r="AA740" s="7">
        <v>47.228979000000002</v>
      </c>
      <c r="AB740" s="7">
        <v>94.457958000000005</v>
      </c>
      <c r="AC740" s="7">
        <v>150</v>
      </c>
      <c r="AD740" s="7">
        <v>57.598821000000001</v>
      </c>
      <c r="AE740" s="7">
        <v>76.798428999999999</v>
      </c>
      <c r="AF740" s="7">
        <v>100</v>
      </c>
      <c r="AG740" s="7">
        <v>52.506602999999998</v>
      </c>
      <c r="AH740" s="7">
        <v>59.785311</v>
      </c>
      <c r="AI740" s="7">
        <v>70.008803999999998</v>
      </c>
      <c r="AJ740" s="7">
        <v>100</v>
      </c>
      <c r="AK740" s="7">
        <v>10.84</v>
      </c>
      <c r="AL740" s="7">
        <v>12.1</v>
      </c>
      <c r="AM740" s="7">
        <v>7.27</v>
      </c>
      <c r="AN740" s="4" t="s">
        <v>124</v>
      </c>
      <c r="AO740" s="4" t="s">
        <v>124</v>
      </c>
      <c r="AP740" s="4" t="s">
        <v>124</v>
      </c>
      <c r="AQ740" s="4" t="s">
        <v>124</v>
      </c>
      <c r="AR740" s="4" t="s">
        <v>124</v>
      </c>
      <c r="AS740" s="4" t="s">
        <v>124</v>
      </c>
      <c r="AT740" s="4" t="s">
        <v>124</v>
      </c>
      <c r="AU740" s="4" t="s">
        <v>124</v>
      </c>
      <c r="AV740" s="4" t="s">
        <v>124</v>
      </c>
      <c r="AW740" s="4" t="s">
        <v>124</v>
      </c>
      <c r="AX740" s="4" t="s">
        <v>124</v>
      </c>
      <c r="AY740" s="4" t="s">
        <v>124</v>
      </c>
      <c r="AZ740" s="4" t="s">
        <v>124</v>
      </c>
      <c r="BA740" s="4" t="s">
        <v>124</v>
      </c>
      <c r="BB740" s="4" t="s">
        <v>124</v>
      </c>
      <c r="BC740" s="4" t="s">
        <v>124</v>
      </c>
      <c r="BD740" s="4" t="s">
        <v>124</v>
      </c>
      <c r="BE740" s="4" t="s">
        <v>124</v>
      </c>
      <c r="BF740" s="4" t="s">
        <v>124</v>
      </c>
      <c r="BG740" s="4" t="s">
        <v>124</v>
      </c>
      <c r="BH740" s="7">
        <v>1</v>
      </c>
      <c r="BI740" s="7">
        <v>0.96551699999999996</v>
      </c>
      <c r="BJ740" s="7">
        <v>0.91357999999999995</v>
      </c>
      <c r="BK740" s="7">
        <v>0.98888900000000002</v>
      </c>
      <c r="BL740" s="7">
        <v>0.96551699999999996</v>
      </c>
      <c r="BM740" s="7">
        <v>0.91357999999999995</v>
      </c>
      <c r="BN740" s="7">
        <v>0.98888900000000002</v>
      </c>
      <c r="BO740" s="7">
        <v>0.980769</v>
      </c>
      <c r="BP740" s="7">
        <v>0.96202500000000002</v>
      </c>
      <c r="BQ740" s="7">
        <v>0.98895</v>
      </c>
      <c r="BR740" s="7">
        <v>8.4221000000000004E-2</v>
      </c>
      <c r="BS740" s="7">
        <v>43.155856999999997</v>
      </c>
      <c r="BT740" s="7">
        <v>50</v>
      </c>
      <c r="BU740" s="7">
        <v>0.17607999999999999</v>
      </c>
      <c r="BV740" s="7">
        <v>24.784053</v>
      </c>
      <c r="BW740" s="7">
        <v>50</v>
      </c>
      <c r="BX740" s="7">
        <v>0.55360600000000004</v>
      </c>
      <c r="BY740" s="7">
        <v>36.907083</v>
      </c>
      <c r="BZ740" s="7">
        <v>50</v>
      </c>
      <c r="CA740" s="7">
        <v>0.49512699999999998</v>
      </c>
      <c r="CB740" s="7">
        <v>33.008446999999997</v>
      </c>
      <c r="CC740" s="7">
        <v>50</v>
      </c>
      <c r="CD740" s="7">
        <v>0.953237</v>
      </c>
      <c r="CE740" s="7">
        <v>50</v>
      </c>
      <c r="CF740" s="7">
        <v>50</v>
      </c>
      <c r="CG740" s="7">
        <v>0.95833299999999999</v>
      </c>
      <c r="CH740" s="7">
        <v>100</v>
      </c>
      <c r="CI740" s="7">
        <v>100</v>
      </c>
      <c r="CJ740" s="7">
        <v>0</v>
      </c>
      <c r="CK740" s="7">
        <v>0.875</v>
      </c>
      <c r="CL740" s="7">
        <v>93.085105999999996</v>
      </c>
      <c r="CM740" s="7">
        <v>100</v>
      </c>
      <c r="CN740" s="7">
        <v>0.84745800000000004</v>
      </c>
      <c r="CO740" s="7">
        <v>100</v>
      </c>
      <c r="CP740" s="7">
        <v>100</v>
      </c>
      <c r="CQ740" s="7">
        <v>0.40454499999999999</v>
      </c>
      <c r="CR740" s="7">
        <v>0.90534999999999999</v>
      </c>
      <c r="CS740" s="7">
        <v>26.969697</v>
      </c>
      <c r="CT740" s="7">
        <v>50</v>
      </c>
      <c r="CU740" s="7">
        <v>0.36882900000000002</v>
      </c>
      <c r="CV740" s="7">
        <v>30.735721000000002</v>
      </c>
      <c r="CW740" s="7">
        <v>50</v>
      </c>
      <c r="CX740" s="7">
        <v>0.875</v>
      </c>
      <c r="CY740" s="7">
        <v>0.94</v>
      </c>
      <c r="CZ740" s="7">
        <v>6.5000000000000002E-2</v>
      </c>
      <c r="DA740" s="7">
        <v>15.314097</v>
      </c>
      <c r="DB740" s="7">
        <v>17.400950000000002</v>
      </c>
      <c r="DC740" s="7">
        <v>16.332519999999999</v>
      </c>
      <c r="DD740" s="7">
        <v>7.9891730000000001</v>
      </c>
      <c r="DE740" s="7">
        <v>1</v>
      </c>
      <c r="DF740" s="6"/>
      <c r="DG740" s="6"/>
      <c r="DH740" s="6"/>
      <c r="DI740" s="6"/>
      <c r="DJ740" s="7">
        <v>0</v>
      </c>
      <c r="DK740" s="7">
        <v>0</v>
      </c>
      <c r="DL740" s="7">
        <v>0</v>
      </c>
      <c r="DM740" s="7">
        <v>0</v>
      </c>
      <c r="DN740" s="7">
        <v>0</v>
      </c>
      <c r="DO740" s="7">
        <v>0</v>
      </c>
      <c r="DP740" s="6"/>
      <c r="DQ740" s="4" t="s">
        <v>125</v>
      </c>
    </row>
    <row r="741" spans="1:121" ht="20" customHeight="1" x14ac:dyDescent="0.15">
      <c r="A741" s="5">
        <v>2018</v>
      </c>
      <c r="B741" s="3" t="s">
        <v>149</v>
      </c>
      <c r="C741" s="4" t="str">
        <f t="shared" si="236"/>
        <v>1010011</v>
      </c>
      <c r="D741" s="4" t="s">
        <v>897</v>
      </c>
      <c r="E741" s="4" t="str">
        <f>"1015211"</f>
        <v>1015211</v>
      </c>
      <c r="F741" s="4" t="s">
        <v>327</v>
      </c>
      <c r="G741" s="7">
        <v>6</v>
      </c>
      <c r="H741" s="7">
        <v>8</v>
      </c>
      <c r="I741" s="4" t="s">
        <v>335</v>
      </c>
      <c r="J741" s="4" t="s">
        <v>330</v>
      </c>
      <c r="K741" s="7">
        <v>660.73914300000001</v>
      </c>
      <c r="L741" s="7">
        <v>900</v>
      </c>
      <c r="M741" s="7">
        <v>73.415459999999996</v>
      </c>
      <c r="N741" s="7">
        <v>2</v>
      </c>
      <c r="O741" s="7">
        <v>0</v>
      </c>
      <c r="P741" s="7">
        <v>76.740710000000007</v>
      </c>
      <c r="Q741" s="7">
        <v>50</v>
      </c>
      <c r="R741" s="7">
        <v>50</v>
      </c>
      <c r="S741" s="7">
        <v>63.728144</v>
      </c>
      <c r="T741" s="7">
        <v>75</v>
      </c>
      <c r="U741" s="7">
        <v>42.485429000000003</v>
      </c>
      <c r="V741" s="7">
        <v>50</v>
      </c>
      <c r="W741" s="7">
        <v>71.789154999999994</v>
      </c>
      <c r="X741" s="7">
        <v>47.859436000000002</v>
      </c>
      <c r="Y741" s="7">
        <v>50</v>
      </c>
      <c r="Z741" s="7">
        <v>75</v>
      </c>
      <c r="AA741" s="7">
        <v>60.086965999999997</v>
      </c>
      <c r="AB741" s="7">
        <v>40.057977999999999</v>
      </c>
      <c r="AC741" s="7">
        <v>50</v>
      </c>
      <c r="AD741" s="7">
        <v>66.266750000000002</v>
      </c>
      <c r="AE741" s="7">
        <v>44.177833</v>
      </c>
      <c r="AF741" s="7">
        <v>50</v>
      </c>
      <c r="AG741" s="7">
        <v>59.299962000000001</v>
      </c>
      <c r="AH741" s="7">
        <v>68.962232999999998</v>
      </c>
      <c r="AI741" s="7">
        <v>39.533307999999998</v>
      </c>
      <c r="AJ741" s="7">
        <v>50</v>
      </c>
      <c r="AK741" s="7">
        <v>11.27</v>
      </c>
      <c r="AL741" s="7">
        <v>14.91</v>
      </c>
      <c r="AM741" s="7">
        <v>9.66</v>
      </c>
      <c r="AN741" s="7">
        <v>0.63134999999999997</v>
      </c>
      <c r="AO741" s="7">
        <v>63.135043000000003</v>
      </c>
      <c r="AP741" s="7">
        <v>100</v>
      </c>
      <c r="AQ741" s="7">
        <v>0.66675300000000004</v>
      </c>
      <c r="AR741" s="7">
        <v>66.675279000000003</v>
      </c>
      <c r="AS741" s="7">
        <v>100</v>
      </c>
      <c r="AT741" s="7">
        <v>0.54178300000000001</v>
      </c>
      <c r="AU741" s="7">
        <v>0.66425599999999996</v>
      </c>
      <c r="AV741" s="7">
        <v>54.178311999999998</v>
      </c>
      <c r="AW741" s="7">
        <v>100</v>
      </c>
      <c r="AX741" s="7">
        <v>0.59817600000000004</v>
      </c>
      <c r="AY741" s="7">
        <v>0.69191100000000005</v>
      </c>
      <c r="AZ741" s="7">
        <v>59.817554000000001</v>
      </c>
      <c r="BA741" s="7">
        <v>100</v>
      </c>
      <c r="BB741" s="4" t="s">
        <v>124</v>
      </c>
      <c r="BC741" s="4" t="s">
        <v>124</v>
      </c>
      <c r="BD741" s="4" t="s">
        <v>124</v>
      </c>
      <c r="BE741" s="4" t="s">
        <v>124</v>
      </c>
      <c r="BF741" s="4" t="s">
        <v>124</v>
      </c>
      <c r="BG741" s="4" t="s">
        <v>124</v>
      </c>
      <c r="BH741" s="7">
        <v>0</v>
      </c>
      <c r="BI741" s="7">
        <v>0.98639500000000002</v>
      </c>
      <c r="BJ741" s="7">
        <v>0.96803700000000004</v>
      </c>
      <c r="BK741" s="7">
        <v>0.99418600000000001</v>
      </c>
      <c r="BL741" s="7">
        <v>0.98367300000000002</v>
      </c>
      <c r="BM741" s="7">
        <v>0.96347000000000005</v>
      </c>
      <c r="BN741" s="7">
        <v>0.99224800000000002</v>
      </c>
      <c r="BO741" s="7">
        <v>0.99152499999999999</v>
      </c>
      <c r="BP741" s="7">
        <v>0.97058800000000001</v>
      </c>
      <c r="BQ741" s="7">
        <v>1</v>
      </c>
      <c r="BR741" s="7">
        <v>8.2992999999999997E-2</v>
      </c>
      <c r="BS741" s="7">
        <v>43.401361000000001</v>
      </c>
      <c r="BT741" s="7">
        <v>50</v>
      </c>
      <c r="BU741" s="7">
        <v>0.16744200000000001</v>
      </c>
      <c r="BV741" s="7">
        <v>26.511628000000002</v>
      </c>
      <c r="BW741" s="7">
        <v>50</v>
      </c>
      <c r="BX741" s="4" t="s">
        <v>124</v>
      </c>
      <c r="BY741" s="4" t="s">
        <v>124</v>
      </c>
      <c r="BZ741" s="4" t="s">
        <v>124</v>
      </c>
      <c r="CA741" s="4" t="s">
        <v>124</v>
      </c>
      <c r="CB741" s="4" t="s">
        <v>124</v>
      </c>
      <c r="CC741" s="4" t="s">
        <v>124</v>
      </c>
      <c r="CD741" s="7">
        <v>0.97769499999999998</v>
      </c>
      <c r="CE741" s="7">
        <v>50</v>
      </c>
      <c r="CF741" s="7">
        <v>50</v>
      </c>
      <c r="CG741" s="4" t="s">
        <v>124</v>
      </c>
      <c r="CH741" s="4" t="s">
        <v>124</v>
      </c>
      <c r="CI741" s="4" t="s">
        <v>124</v>
      </c>
      <c r="CJ741" s="4" t="s">
        <v>124</v>
      </c>
      <c r="CK741" s="4" t="s">
        <v>124</v>
      </c>
      <c r="CL741" s="4" t="s">
        <v>124</v>
      </c>
      <c r="CM741" s="4" t="s">
        <v>124</v>
      </c>
      <c r="CN741" s="4" t="s">
        <v>124</v>
      </c>
      <c r="CO741" s="4" t="s">
        <v>124</v>
      </c>
      <c r="CP741" s="4" t="s">
        <v>124</v>
      </c>
      <c r="CQ741" s="7">
        <v>0.49358999999999997</v>
      </c>
      <c r="CR741" s="7">
        <v>0.93975900000000001</v>
      </c>
      <c r="CS741" s="7">
        <v>32.905982999999999</v>
      </c>
      <c r="CT741" s="7">
        <v>50</v>
      </c>
      <c r="CU741" s="4" t="s">
        <v>124</v>
      </c>
      <c r="CV741" s="4" t="s">
        <v>124</v>
      </c>
      <c r="CW741" s="4" t="s">
        <v>124</v>
      </c>
      <c r="CX741" s="4" t="s">
        <v>124</v>
      </c>
      <c r="CY741" s="4" t="s">
        <v>124</v>
      </c>
      <c r="CZ741" s="4" t="s">
        <v>124</v>
      </c>
      <c r="DA741" s="7">
        <v>15.314097</v>
      </c>
      <c r="DB741" s="7">
        <v>17.400950000000002</v>
      </c>
      <c r="DC741" s="7">
        <v>16.332519999999999</v>
      </c>
      <c r="DD741" s="4" t="s">
        <v>124</v>
      </c>
      <c r="DE741" s="7">
        <v>0</v>
      </c>
      <c r="DF741" s="6"/>
      <c r="DG741" s="6"/>
      <c r="DH741" s="6"/>
      <c r="DI741" s="6"/>
      <c r="DJ741" s="7">
        <v>0</v>
      </c>
      <c r="DK741" s="7">
        <v>0</v>
      </c>
      <c r="DL741" s="7">
        <v>0</v>
      </c>
      <c r="DM741" s="7">
        <v>0</v>
      </c>
      <c r="DN741" s="7">
        <v>0</v>
      </c>
      <c r="DO741" s="7">
        <v>0</v>
      </c>
      <c r="DP741" s="6"/>
      <c r="DQ741" s="4" t="s">
        <v>125</v>
      </c>
    </row>
    <row r="742" spans="1:121" ht="20" customHeight="1" x14ac:dyDescent="0.15">
      <c r="A742" s="5">
        <v>2018</v>
      </c>
      <c r="B742" s="3" t="s">
        <v>149</v>
      </c>
      <c r="C742" s="4" t="str">
        <f>"1010011"</f>
        <v>1010011</v>
      </c>
      <c r="D742" s="4" t="s">
        <v>898</v>
      </c>
      <c r="E742" s="4" t="str">
        <f>"1010311"</f>
        <v>1010311</v>
      </c>
      <c r="F742" s="4" t="s">
        <v>327</v>
      </c>
      <c r="G742" s="4" t="s">
        <v>338</v>
      </c>
      <c r="H742" s="7">
        <v>5</v>
      </c>
      <c r="I742" s="6"/>
      <c r="J742" s="4" t="s">
        <v>330</v>
      </c>
      <c r="K742" s="7">
        <v>607.95676900000001</v>
      </c>
      <c r="L742" s="7">
        <v>800</v>
      </c>
      <c r="M742" s="7">
        <v>75.994596000000001</v>
      </c>
      <c r="N742" s="7">
        <v>2</v>
      </c>
      <c r="O742" s="7">
        <v>0</v>
      </c>
      <c r="P742" s="7">
        <v>82.336917999999997</v>
      </c>
      <c r="Q742" s="7">
        <v>50</v>
      </c>
      <c r="R742" s="7">
        <v>50</v>
      </c>
      <c r="S742" s="7">
        <v>71.116902999999994</v>
      </c>
      <c r="T742" s="7">
        <v>75</v>
      </c>
      <c r="U742" s="7">
        <v>47.411268999999997</v>
      </c>
      <c r="V742" s="7">
        <v>50</v>
      </c>
      <c r="W742" s="7">
        <v>77.486323999999996</v>
      </c>
      <c r="X742" s="7">
        <v>50</v>
      </c>
      <c r="Y742" s="7">
        <v>50</v>
      </c>
      <c r="Z742" s="7">
        <v>75</v>
      </c>
      <c r="AA742" s="7">
        <v>67.433485000000005</v>
      </c>
      <c r="AB742" s="7">
        <v>44.955657000000002</v>
      </c>
      <c r="AC742" s="7">
        <v>50</v>
      </c>
      <c r="AD742" s="7">
        <v>71.082543000000001</v>
      </c>
      <c r="AE742" s="7">
        <v>47.388362000000001</v>
      </c>
      <c r="AF742" s="7">
        <v>50</v>
      </c>
      <c r="AG742" s="4" t="s">
        <v>124</v>
      </c>
      <c r="AH742" s="7">
        <v>74.834760000000003</v>
      </c>
      <c r="AI742" s="4" t="s">
        <v>124</v>
      </c>
      <c r="AJ742" s="4" t="s">
        <v>124</v>
      </c>
      <c r="AK742" s="7">
        <v>3.88</v>
      </c>
      <c r="AL742" s="7">
        <v>7.56</v>
      </c>
      <c r="AM742" s="4" t="s">
        <v>124</v>
      </c>
      <c r="AN742" s="7">
        <v>0.74183100000000002</v>
      </c>
      <c r="AO742" s="7">
        <v>74.183093</v>
      </c>
      <c r="AP742" s="7">
        <v>100</v>
      </c>
      <c r="AQ742" s="7">
        <v>0.65493199999999996</v>
      </c>
      <c r="AR742" s="7">
        <v>65.493224999999995</v>
      </c>
      <c r="AS742" s="7">
        <v>100</v>
      </c>
      <c r="AT742" s="7">
        <v>0.53911600000000004</v>
      </c>
      <c r="AU742" s="7">
        <v>0.80692299999999995</v>
      </c>
      <c r="AV742" s="7">
        <v>53.911562000000004</v>
      </c>
      <c r="AW742" s="7">
        <v>100</v>
      </c>
      <c r="AX742" s="7">
        <v>0.52790599999999999</v>
      </c>
      <c r="AY742" s="7">
        <v>0.69572100000000003</v>
      </c>
      <c r="AZ742" s="7">
        <v>52.790556000000002</v>
      </c>
      <c r="BA742" s="7">
        <v>100</v>
      </c>
      <c r="BB742" s="4" t="s">
        <v>124</v>
      </c>
      <c r="BC742" s="4" t="s">
        <v>124</v>
      </c>
      <c r="BD742" s="4" t="s">
        <v>124</v>
      </c>
      <c r="BE742" s="4" t="s">
        <v>124</v>
      </c>
      <c r="BF742" s="4" t="s">
        <v>124</v>
      </c>
      <c r="BG742" s="4" t="s">
        <v>124</v>
      </c>
      <c r="BH742" s="7">
        <v>0</v>
      </c>
      <c r="BI742" s="7">
        <v>0.98181799999999997</v>
      </c>
      <c r="BJ742" s="7">
        <v>0.95384599999999997</v>
      </c>
      <c r="BK742" s="7">
        <v>0.99354799999999999</v>
      </c>
      <c r="BL742" s="7">
        <v>0.97727299999999995</v>
      </c>
      <c r="BM742" s="7">
        <v>0.95384599999999997</v>
      </c>
      <c r="BN742" s="7">
        <v>0.987097</v>
      </c>
      <c r="BO742" s="7">
        <v>0.98571399999999998</v>
      </c>
      <c r="BP742" s="7">
        <v>0.95</v>
      </c>
      <c r="BQ742" s="7">
        <v>1</v>
      </c>
      <c r="BR742" s="7">
        <v>4.1131000000000001E-2</v>
      </c>
      <c r="BS742" s="7">
        <v>50</v>
      </c>
      <c r="BT742" s="7">
        <v>50</v>
      </c>
      <c r="BU742" s="7">
        <v>9.2784000000000005E-2</v>
      </c>
      <c r="BV742" s="7">
        <v>41.443299000000003</v>
      </c>
      <c r="BW742" s="7">
        <v>50</v>
      </c>
      <c r="BX742" s="4" t="s">
        <v>124</v>
      </c>
      <c r="BY742" s="4" t="s">
        <v>124</v>
      </c>
      <c r="BZ742" s="4" t="s">
        <v>124</v>
      </c>
      <c r="CA742" s="4" t="s">
        <v>124</v>
      </c>
      <c r="CB742" s="4" t="s">
        <v>124</v>
      </c>
      <c r="CC742" s="4" t="s">
        <v>124</v>
      </c>
      <c r="CD742" s="4" t="s">
        <v>124</v>
      </c>
      <c r="CE742" s="4" t="s">
        <v>124</v>
      </c>
      <c r="CF742" s="4" t="s">
        <v>124</v>
      </c>
      <c r="CG742" s="4" t="s">
        <v>124</v>
      </c>
      <c r="CH742" s="4" t="s">
        <v>124</v>
      </c>
      <c r="CI742" s="4" t="s">
        <v>124</v>
      </c>
      <c r="CJ742" s="4" t="s">
        <v>124</v>
      </c>
      <c r="CK742" s="4" t="s">
        <v>124</v>
      </c>
      <c r="CL742" s="4" t="s">
        <v>124</v>
      </c>
      <c r="CM742" s="4" t="s">
        <v>124</v>
      </c>
      <c r="CN742" s="4" t="s">
        <v>124</v>
      </c>
      <c r="CO742" s="4" t="s">
        <v>124</v>
      </c>
      <c r="CP742" s="4" t="s">
        <v>124</v>
      </c>
      <c r="CQ742" s="7">
        <v>0.45569599999999999</v>
      </c>
      <c r="CR742" s="7">
        <v>0.97530899999999998</v>
      </c>
      <c r="CS742" s="7">
        <v>30.379746999999998</v>
      </c>
      <c r="CT742" s="7">
        <v>50</v>
      </c>
      <c r="CU742" s="4" t="s">
        <v>124</v>
      </c>
      <c r="CV742" s="4" t="s">
        <v>124</v>
      </c>
      <c r="CW742" s="4" t="s">
        <v>124</v>
      </c>
      <c r="CX742" s="4" t="s">
        <v>124</v>
      </c>
      <c r="CY742" s="4" t="s">
        <v>124</v>
      </c>
      <c r="CZ742" s="4" t="s">
        <v>124</v>
      </c>
      <c r="DA742" s="7">
        <v>15.314097</v>
      </c>
      <c r="DB742" s="7">
        <v>17.400950000000002</v>
      </c>
      <c r="DC742" s="7">
        <v>16.332519999999999</v>
      </c>
      <c r="DD742" s="4" t="s">
        <v>124</v>
      </c>
      <c r="DE742" s="7">
        <v>0</v>
      </c>
      <c r="DF742" s="6"/>
      <c r="DG742" s="6"/>
      <c r="DH742" s="6"/>
      <c r="DI742" s="6"/>
      <c r="DJ742" s="7">
        <v>0</v>
      </c>
      <c r="DK742" s="7">
        <v>0</v>
      </c>
      <c r="DL742" s="7">
        <v>0</v>
      </c>
      <c r="DM742" s="7">
        <v>0</v>
      </c>
      <c r="DN742" s="7">
        <v>0</v>
      </c>
      <c r="DO742" s="7">
        <v>0</v>
      </c>
      <c r="DP742" s="6"/>
      <c r="DQ742" s="4" t="s">
        <v>125</v>
      </c>
    </row>
    <row r="743" spans="1:121" ht="20" customHeight="1" x14ac:dyDescent="0.15">
      <c r="A743" s="5">
        <v>2018</v>
      </c>
      <c r="B743" s="3" t="s">
        <v>133</v>
      </c>
      <c r="C743" s="4" t="str">
        <f t="shared" si="9"/>
        <v>1020011</v>
      </c>
      <c r="D743" s="4" t="s">
        <v>899</v>
      </c>
      <c r="E743" s="4" t="str">
        <f>"1020111"</f>
        <v>1020111</v>
      </c>
      <c r="F743" s="4" t="s">
        <v>327</v>
      </c>
      <c r="G743" s="4" t="s">
        <v>328</v>
      </c>
      <c r="H743" s="7">
        <v>5</v>
      </c>
      <c r="I743" s="6"/>
      <c r="J743" s="4" t="s">
        <v>330</v>
      </c>
      <c r="K743" s="7">
        <v>499.72402199999999</v>
      </c>
      <c r="L743" s="7">
        <v>600</v>
      </c>
      <c r="M743" s="7">
        <v>83.287336999999994</v>
      </c>
      <c r="N743" s="7">
        <v>2</v>
      </c>
      <c r="O743" s="7">
        <v>0</v>
      </c>
      <c r="P743" s="7">
        <v>82.136207999999996</v>
      </c>
      <c r="Q743" s="7">
        <v>50</v>
      </c>
      <c r="R743" s="7">
        <v>50</v>
      </c>
      <c r="S743" s="7">
        <v>68.417524</v>
      </c>
      <c r="T743" s="7">
        <v>75</v>
      </c>
      <c r="U743" s="7">
        <v>45.611682000000002</v>
      </c>
      <c r="V743" s="7">
        <v>50</v>
      </c>
      <c r="W743" s="7">
        <v>86.304895999999999</v>
      </c>
      <c r="X743" s="7">
        <v>50</v>
      </c>
      <c r="Y743" s="7">
        <v>50</v>
      </c>
      <c r="Z743" s="7">
        <v>75</v>
      </c>
      <c r="AA743" s="7">
        <v>72.983395999999999</v>
      </c>
      <c r="AB743" s="7">
        <v>48.655597</v>
      </c>
      <c r="AC743" s="7">
        <v>50</v>
      </c>
      <c r="AD743" s="7">
        <v>82.896152000000001</v>
      </c>
      <c r="AE743" s="7">
        <v>50</v>
      </c>
      <c r="AF743" s="7">
        <v>50</v>
      </c>
      <c r="AG743" s="4" t="s">
        <v>124</v>
      </c>
      <c r="AH743" s="7">
        <v>75</v>
      </c>
      <c r="AI743" s="4" t="s">
        <v>124</v>
      </c>
      <c r="AJ743" s="4" t="s">
        <v>124</v>
      </c>
      <c r="AK743" s="7">
        <v>6.58</v>
      </c>
      <c r="AL743" s="7">
        <v>2.0099999999999998</v>
      </c>
      <c r="AM743" s="4" t="s">
        <v>124</v>
      </c>
      <c r="AN743" s="7">
        <v>0.70984999999999998</v>
      </c>
      <c r="AO743" s="7">
        <v>70.984984999999995</v>
      </c>
      <c r="AP743" s="7">
        <v>100</v>
      </c>
      <c r="AQ743" s="7">
        <v>0.84549799999999997</v>
      </c>
      <c r="AR743" s="7">
        <v>84.549771000000007</v>
      </c>
      <c r="AS743" s="7">
        <v>100</v>
      </c>
      <c r="AT743" s="4" t="s">
        <v>124</v>
      </c>
      <c r="AU743" s="7">
        <v>0.74279799999999996</v>
      </c>
      <c r="AV743" s="4" t="s">
        <v>124</v>
      </c>
      <c r="AW743" s="4" t="s">
        <v>124</v>
      </c>
      <c r="AX743" s="4" t="s">
        <v>124</v>
      </c>
      <c r="AY743" s="7">
        <v>0.86219400000000002</v>
      </c>
      <c r="AZ743" s="4" t="s">
        <v>124</v>
      </c>
      <c r="BA743" s="4" t="s">
        <v>124</v>
      </c>
      <c r="BB743" s="4" t="s">
        <v>124</v>
      </c>
      <c r="BC743" s="4" t="s">
        <v>124</v>
      </c>
      <c r="BD743" s="4" t="s">
        <v>124</v>
      </c>
      <c r="BE743" s="4" t="s">
        <v>124</v>
      </c>
      <c r="BF743" s="4" t="s">
        <v>124</v>
      </c>
      <c r="BG743" s="4" t="s">
        <v>124</v>
      </c>
      <c r="BH743" s="7">
        <v>0</v>
      </c>
      <c r="BI743" s="7">
        <v>0.98870100000000005</v>
      </c>
      <c r="BJ743" s="7">
        <v>1</v>
      </c>
      <c r="BK743" s="7">
        <v>0.98601399999999995</v>
      </c>
      <c r="BL743" s="7">
        <v>0.98870100000000005</v>
      </c>
      <c r="BM743" s="7">
        <v>1</v>
      </c>
      <c r="BN743" s="7">
        <v>0.98601399999999995</v>
      </c>
      <c r="BO743" s="7">
        <v>1</v>
      </c>
      <c r="BP743" s="4" t="s">
        <v>124</v>
      </c>
      <c r="BQ743" s="7">
        <v>1</v>
      </c>
      <c r="BR743" s="7">
        <v>5.9700999999999997E-2</v>
      </c>
      <c r="BS743" s="7">
        <v>48.059700999999997</v>
      </c>
      <c r="BT743" s="7">
        <v>50</v>
      </c>
      <c r="BU743" s="7">
        <v>0.111111</v>
      </c>
      <c r="BV743" s="7">
        <v>37.777777999999998</v>
      </c>
      <c r="BW743" s="7">
        <v>50</v>
      </c>
      <c r="BX743" s="4" t="s">
        <v>124</v>
      </c>
      <c r="BY743" s="4" t="s">
        <v>124</v>
      </c>
      <c r="BZ743" s="4" t="s">
        <v>124</v>
      </c>
      <c r="CA743" s="4" t="s">
        <v>124</v>
      </c>
      <c r="CB743" s="4" t="s">
        <v>124</v>
      </c>
      <c r="CC743" s="4" t="s">
        <v>124</v>
      </c>
      <c r="CD743" s="4" t="s">
        <v>124</v>
      </c>
      <c r="CE743" s="4" t="s">
        <v>124</v>
      </c>
      <c r="CF743" s="4" t="s">
        <v>124</v>
      </c>
      <c r="CG743" s="4" t="s">
        <v>124</v>
      </c>
      <c r="CH743" s="4" t="s">
        <v>124</v>
      </c>
      <c r="CI743" s="4" t="s">
        <v>124</v>
      </c>
      <c r="CJ743" s="4" t="s">
        <v>124</v>
      </c>
      <c r="CK743" s="4" t="s">
        <v>124</v>
      </c>
      <c r="CL743" s="4" t="s">
        <v>124</v>
      </c>
      <c r="CM743" s="4" t="s">
        <v>124</v>
      </c>
      <c r="CN743" s="4" t="s">
        <v>124</v>
      </c>
      <c r="CO743" s="4" t="s">
        <v>124</v>
      </c>
      <c r="CP743" s="4" t="s">
        <v>124</v>
      </c>
      <c r="CQ743" s="7">
        <v>0.21126800000000001</v>
      </c>
      <c r="CR743" s="7">
        <v>1.163934</v>
      </c>
      <c r="CS743" s="7">
        <v>14.084507</v>
      </c>
      <c r="CT743" s="7">
        <v>50</v>
      </c>
      <c r="CU743" s="4" t="s">
        <v>124</v>
      </c>
      <c r="CV743" s="4" t="s">
        <v>124</v>
      </c>
      <c r="CW743" s="4" t="s">
        <v>124</v>
      </c>
      <c r="CX743" s="4" t="s">
        <v>124</v>
      </c>
      <c r="CY743" s="4" t="s">
        <v>124</v>
      </c>
      <c r="CZ743" s="4" t="s">
        <v>124</v>
      </c>
      <c r="DA743" s="7">
        <v>15.314097</v>
      </c>
      <c r="DB743" s="7">
        <v>17.400950000000002</v>
      </c>
      <c r="DC743" s="7">
        <v>16.332519999999999</v>
      </c>
      <c r="DD743" s="4" t="s">
        <v>124</v>
      </c>
      <c r="DE743" s="7">
        <v>0</v>
      </c>
      <c r="DF743" s="6"/>
      <c r="DG743" s="6"/>
      <c r="DH743" s="4" t="s">
        <v>331</v>
      </c>
      <c r="DI743" s="4" t="s">
        <v>590</v>
      </c>
      <c r="DJ743" s="7">
        <v>0</v>
      </c>
      <c r="DK743" s="7">
        <v>0</v>
      </c>
      <c r="DL743" s="7">
        <v>1</v>
      </c>
      <c r="DM743" s="7">
        <v>0</v>
      </c>
      <c r="DN743" s="7">
        <v>0</v>
      </c>
      <c r="DO743" s="7">
        <v>0</v>
      </c>
      <c r="DP743" s="6"/>
      <c r="DQ743" s="4" t="s">
        <v>125</v>
      </c>
    </row>
    <row r="744" spans="1:121" ht="20" customHeight="1" x14ac:dyDescent="0.15">
      <c r="A744" s="5">
        <v>2018</v>
      </c>
      <c r="B744" s="3" t="s">
        <v>133</v>
      </c>
      <c r="C744" s="4" t="str">
        <f>"1020011"</f>
        <v>1020011</v>
      </c>
      <c r="D744" s="4" t="s">
        <v>900</v>
      </c>
      <c r="E744" s="4" t="str">
        <f>"1026111"</f>
        <v>1026111</v>
      </c>
      <c r="F744" s="4" t="s">
        <v>327</v>
      </c>
      <c r="G744" s="7">
        <v>6</v>
      </c>
      <c r="H744" s="7">
        <v>12</v>
      </c>
      <c r="I744" s="4" t="s">
        <v>329</v>
      </c>
      <c r="J744" s="4" t="s">
        <v>330</v>
      </c>
      <c r="K744" s="7">
        <v>916.45101099999999</v>
      </c>
      <c r="L744" s="7">
        <v>1200</v>
      </c>
      <c r="M744" s="7">
        <v>76.370918000000003</v>
      </c>
      <c r="N744" s="7">
        <v>4</v>
      </c>
      <c r="O744" s="7">
        <v>0</v>
      </c>
      <c r="P744" s="7">
        <v>77.484181000000007</v>
      </c>
      <c r="Q744" s="7">
        <v>50</v>
      </c>
      <c r="R744" s="7">
        <v>50</v>
      </c>
      <c r="S744" s="7">
        <v>66.636444999999995</v>
      </c>
      <c r="T744" s="7">
        <v>75</v>
      </c>
      <c r="U744" s="7">
        <v>44.424297000000003</v>
      </c>
      <c r="V744" s="7">
        <v>50</v>
      </c>
      <c r="W744" s="7">
        <v>71.073211000000001</v>
      </c>
      <c r="X744" s="7">
        <v>47.38214</v>
      </c>
      <c r="Y744" s="7">
        <v>50</v>
      </c>
      <c r="Z744" s="7">
        <v>73.663227000000006</v>
      </c>
      <c r="AA744" s="7">
        <v>58.753131000000003</v>
      </c>
      <c r="AB744" s="7">
        <v>39.168754</v>
      </c>
      <c r="AC744" s="7">
        <v>50</v>
      </c>
      <c r="AD744" s="7">
        <v>77.998153000000002</v>
      </c>
      <c r="AE744" s="7">
        <v>50</v>
      </c>
      <c r="AF744" s="7">
        <v>50</v>
      </c>
      <c r="AG744" s="4" t="s">
        <v>124</v>
      </c>
      <c r="AH744" s="7">
        <v>75</v>
      </c>
      <c r="AI744" s="4" t="s">
        <v>124</v>
      </c>
      <c r="AJ744" s="4" t="s">
        <v>124</v>
      </c>
      <c r="AK744" s="7">
        <v>8.36</v>
      </c>
      <c r="AL744" s="7">
        <v>14.91</v>
      </c>
      <c r="AM744" s="4" t="s">
        <v>124</v>
      </c>
      <c r="AN744" s="7">
        <v>0.63844199999999995</v>
      </c>
      <c r="AO744" s="7">
        <v>63.844158999999998</v>
      </c>
      <c r="AP744" s="7">
        <v>100</v>
      </c>
      <c r="AQ744" s="7">
        <v>0.57979599999999998</v>
      </c>
      <c r="AR744" s="7">
        <v>57.979593000000001</v>
      </c>
      <c r="AS744" s="7">
        <v>100</v>
      </c>
      <c r="AT744" s="7">
        <v>0.530111</v>
      </c>
      <c r="AU744" s="7">
        <v>0.65963700000000003</v>
      </c>
      <c r="AV744" s="7">
        <v>53.011136</v>
      </c>
      <c r="AW744" s="7">
        <v>100</v>
      </c>
      <c r="AX744" s="7">
        <v>0.35883900000000002</v>
      </c>
      <c r="AY744" s="7">
        <v>0.623027</v>
      </c>
      <c r="AZ744" s="7">
        <v>35.883949999999999</v>
      </c>
      <c r="BA744" s="7">
        <v>100</v>
      </c>
      <c r="BB744" s="4" t="s">
        <v>124</v>
      </c>
      <c r="BC744" s="4" t="s">
        <v>124</v>
      </c>
      <c r="BD744" s="4" t="s">
        <v>124</v>
      </c>
      <c r="BE744" s="4" t="s">
        <v>124</v>
      </c>
      <c r="BF744" s="4" t="s">
        <v>124</v>
      </c>
      <c r="BG744" s="4" t="s">
        <v>124</v>
      </c>
      <c r="BH744" s="7">
        <v>0</v>
      </c>
      <c r="BI744" s="7">
        <v>0.99078299999999997</v>
      </c>
      <c r="BJ744" s="7">
        <v>1</v>
      </c>
      <c r="BK744" s="7">
        <v>0.98876399999999998</v>
      </c>
      <c r="BL744" s="7">
        <v>0.99078299999999997</v>
      </c>
      <c r="BM744" s="7">
        <v>1</v>
      </c>
      <c r="BN744" s="7">
        <v>0.98876399999999998</v>
      </c>
      <c r="BO744" s="7">
        <v>1</v>
      </c>
      <c r="BP744" s="4" t="s">
        <v>124</v>
      </c>
      <c r="BQ744" s="7">
        <v>1</v>
      </c>
      <c r="BR744" s="7">
        <v>8.2644999999999996E-2</v>
      </c>
      <c r="BS744" s="7">
        <v>43.471074000000002</v>
      </c>
      <c r="BT744" s="7">
        <v>50</v>
      </c>
      <c r="BU744" s="7">
        <v>0.18072299999999999</v>
      </c>
      <c r="BV744" s="7">
        <v>23.855422000000001</v>
      </c>
      <c r="BW744" s="7">
        <v>50</v>
      </c>
      <c r="BX744" s="7">
        <v>0.69892500000000002</v>
      </c>
      <c r="BY744" s="7">
        <v>46.594982000000002</v>
      </c>
      <c r="BZ744" s="7">
        <v>50</v>
      </c>
      <c r="CA744" s="7">
        <v>0.54838699999999996</v>
      </c>
      <c r="CB744" s="7">
        <v>36.559139999999999</v>
      </c>
      <c r="CC744" s="7">
        <v>50</v>
      </c>
      <c r="CD744" s="7">
        <v>0.96521699999999999</v>
      </c>
      <c r="CE744" s="7">
        <v>50</v>
      </c>
      <c r="CF744" s="7">
        <v>50</v>
      </c>
      <c r="CG744" s="7">
        <v>0.93333299999999997</v>
      </c>
      <c r="CH744" s="7">
        <v>99.290779999999998</v>
      </c>
      <c r="CI744" s="7">
        <v>100</v>
      </c>
      <c r="CJ744" s="7">
        <v>0</v>
      </c>
      <c r="CK744" s="4" t="s">
        <v>124</v>
      </c>
      <c r="CL744" s="4" t="s">
        <v>124</v>
      </c>
      <c r="CM744" s="4" t="s">
        <v>124</v>
      </c>
      <c r="CN744" s="7">
        <v>0.68888899999999997</v>
      </c>
      <c r="CO744" s="7">
        <v>91.851851999999994</v>
      </c>
      <c r="CP744" s="7">
        <v>100</v>
      </c>
      <c r="CQ744" s="7">
        <v>0.497006</v>
      </c>
      <c r="CR744" s="7">
        <v>0.97660800000000003</v>
      </c>
      <c r="CS744" s="7">
        <v>33.133732999999999</v>
      </c>
      <c r="CT744" s="7">
        <v>50</v>
      </c>
      <c r="CU744" s="7">
        <v>0.60103600000000001</v>
      </c>
      <c r="CV744" s="7">
        <v>50</v>
      </c>
      <c r="CW744" s="7">
        <v>50</v>
      </c>
      <c r="CX744" s="4" t="s">
        <v>124</v>
      </c>
      <c r="CY744" s="4" t="s">
        <v>124</v>
      </c>
      <c r="CZ744" s="4" t="s">
        <v>124</v>
      </c>
      <c r="DA744" s="7">
        <v>15.314097</v>
      </c>
      <c r="DB744" s="7">
        <v>17.400950000000002</v>
      </c>
      <c r="DC744" s="7">
        <v>16.332519999999999</v>
      </c>
      <c r="DD744" s="7">
        <v>7.9891730000000001</v>
      </c>
      <c r="DE744" s="7">
        <v>0</v>
      </c>
      <c r="DF744" s="4" t="s">
        <v>384</v>
      </c>
      <c r="DG744" s="4" t="s">
        <v>417</v>
      </c>
      <c r="DH744" s="6"/>
      <c r="DI744" s="6"/>
      <c r="DJ744" s="7">
        <v>0</v>
      </c>
      <c r="DK744" s="7">
        <v>0</v>
      </c>
      <c r="DL744" s="7">
        <v>0</v>
      </c>
      <c r="DM744" s="7">
        <v>0</v>
      </c>
      <c r="DN744" s="7">
        <v>0</v>
      </c>
      <c r="DO744" s="7">
        <v>0</v>
      </c>
      <c r="DP744" s="6"/>
      <c r="DQ744" s="4" t="s">
        <v>125</v>
      </c>
    </row>
    <row r="745" spans="1:121" ht="20" customHeight="1" x14ac:dyDescent="0.15">
      <c r="A745" s="5">
        <v>2018</v>
      </c>
      <c r="B745" s="3" t="s">
        <v>159</v>
      </c>
      <c r="C745" s="4" t="str">
        <f t="shared" si="34"/>
        <v>1030011</v>
      </c>
      <c r="D745" s="4" t="s">
        <v>901</v>
      </c>
      <c r="E745" s="4" t="str">
        <f>"1036211"</f>
        <v>1036211</v>
      </c>
      <c r="F745" s="4" t="s">
        <v>327</v>
      </c>
      <c r="G745" s="7">
        <v>9</v>
      </c>
      <c r="H745" s="7">
        <v>12</v>
      </c>
      <c r="I745" s="6"/>
      <c r="J745" s="4" t="s">
        <v>330</v>
      </c>
      <c r="K745" s="7">
        <v>1123.5122080000001</v>
      </c>
      <c r="L745" s="7">
        <v>1550</v>
      </c>
      <c r="M745" s="7">
        <v>72.484658999999994</v>
      </c>
      <c r="N745" s="7">
        <v>3</v>
      </c>
      <c r="O745" s="7">
        <v>0</v>
      </c>
      <c r="P745" s="7">
        <v>52.176974000000001</v>
      </c>
      <c r="Q745" s="7">
        <v>104.353948</v>
      </c>
      <c r="R745" s="7">
        <v>150</v>
      </c>
      <c r="S745" s="7">
        <v>47.898771000000004</v>
      </c>
      <c r="T745" s="7">
        <v>60.266666999999998</v>
      </c>
      <c r="U745" s="7">
        <v>95.797543000000005</v>
      </c>
      <c r="V745" s="7">
        <v>150</v>
      </c>
      <c r="W745" s="7">
        <v>50.284067</v>
      </c>
      <c r="X745" s="7">
        <v>100.568134</v>
      </c>
      <c r="Y745" s="7">
        <v>150</v>
      </c>
      <c r="Z745" s="7">
        <v>57.95</v>
      </c>
      <c r="AA745" s="7">
        <v>46.229968</v>
      </c>
      <c r="AB745" s="7">
        <v>92.459935999999999</v>
      </c>
      <c r="AC745" s="7">
        <v>150</v>
      </c>
      <c r="AD745" s="7">
        <v>43.755589000000001</v>
      </c>
      <c r="AE745" s="7">
        <v>58.340786000000001</v>
      </c>
      <c r="AF745" s="7">
        <v>100</v>
      </c>
      <c r="AG745" s="7">
        <v>41.116087999999998</v>
      </c>
      <c r="AH745" s="7">
        <v>48.912393000000002</v>
      </c>
      <c r="AI745" s="7">
        <v>54.821449999999999</v>
      </c>
      <c r="AJ745" s="7">
        <v>100</v>
      </c>
      <c r="AK745" s="7">
        <v>12.36</v>
      </c>
      <c r="AL745" s="7">
        <v>11.72</v>
      </c>
      <c r="AM745" s="7">
        <v>7.79</v>
      </c>
      <c r="AN745" s="4" t="s">
        <v>124</v>
      </c>
      <c r="AO745" s="4" t="s">
        <v>124</v>
      </c>
      <c r="AP745" s="4" t="s">
        <v>124</v>
      </c>
      <c r="AQ745" s="4" t="s">
        <v>124</v>
      </c>
      <c r="AR745" s="4" t="s">
        <v>124</v>
      </c>
      <c r="AS745" s="4" t="s">
        <v>124</v>
      </c>
      <c r="AT745" s="4" t="s">
        <v>124</v>
      </c>
      <c r="AU745" s="4" t="s">
        <v>124</v>
      </c>
      <c r="AV745" s="4" t="s">
        <v>124</v>
      </c>
      <c r="AW745" s="4" t="s">
        <v>124</v>
      </c>
      <c r="AX745" s="4" t="s">
        <v>124</v>
      </c>
      <c r="AY745" s="4" t="s">
        <v>124</v>
      </c>
      <c r="AZ745" s="4" t="s">
        <v>124</v>
      </c>
      <c r="BA745" s="4" t="s">
        <v>124</v>
      </c>
      <c r="BB745" s="7">
        <v>0.51849599999999996</v>
      </c>
      <c r="BC745" s="7">
        <v>25.924804000000002</v>
      </c>
      <c r="BD745" s="7">
        <v>50</v>
      </c>
      <c r="BE745" s="7">
        <v>0.67498000000000002</v>
      </c>
      <c r="BF745" s="7">
        <v>33.749009000000001</v>
      </c>
      <c r="BG745" s="7">
        <v>50</v>
      </c>
      <c r="BH745" s="7">
        <v>1</v>
      </c>
      <c r="BI745" s="7">
        <v>0.95930199999999999</v>
      </c>
      <c r="BJ745" s="7">
        <v>0.94017099999999998</v>
      </c>
      <c r="BK745" s="7">
        <v>1</v>
      </c>
      <c r="BL745" s="7">
        <v>0.95930199999999999</v>
      </c>
      <c r="BM745" s="7">
        <v>0.94017099999999998</v>
      </c>
      <c r="BN745" s="7">
        <v>1</v>
      </c>
      <c r="BO745" s="7">
        <v>0.96209900000000004</v>
      </c>
      <c r="BP745" s="7">
        <v>0.95258600000000004</v>
      </c>
      <c r="BQ745" s="7">
        <v>0.98198200000000002</v>
      </c>
      <c r="BR745" s="7">
        <v>0.12709699999999999</v>
      </c>
      <c r="BS745" s="7">
        <v>34.580644999999997</v>
      </c>
      <c r="BT745" s="7">
        <v>50</v>
      </c>
      <c r="BU745" s="7">
        <v>0.152896</v>
      </c>
      <c r="BV745" s="7">
        <v>29.420703</v>
      </c>
      <c r="BW745" s="7">
        <v>50</v>
      </c>
      <c r="BX745" s="7">
        <v>0.91776800000000003</v>
      </c>
      <c r="BY745" s="7">
        <v>50</v>
      </c>
      <c r="BZ745" s="7">
        <v>50</v>
      </c>
      <c r="CA745" s="7">
        <v>0.31864900000000002</v>
      </c>
      <c r="CB745" s="7">
        <v>21.243269999999999</v>
      </c>
      <c r="CC745" s="7">
        <v>50</v>
      </c>
      <c r="CD745" s="7">
        <v>0.87036999999999998</v>
      </c>
      <c r="CE745" s="7">
        <v>46.296295999999998</v>
      </c>
      <c r="CF745" s="7">
        <v>50</v>
      </c>
      <c r="CG745" s="7">
        <v>0.95211299999999999</v>
      </c>
      <c r="CH745" s="7">
        <v>100</v>
      </c>
      <c r="CI745" s="7">
        <v>100</v>
      </c>
      <c r="CJ745" s="7">
        <v>0</v>
      </c>
      <c r="CK745" s="7">
        <v>0.95378200000000002</v>
      </c>
      <c r="CL745" s="7">
        <v>100</v>
      </c>
      <c r="CM745" s="7">
        <v>100</v>
      </c>
      <c r="CN745" s="7">
        <v>0.66569800000000001</v>
      </c>
      <c r="CO745" s="7">
        <v>88.759690000000006</v>
      </c>
      <c r="CP745" s="7">
        <v>100</v>
      </c>
      <c r="CQ745" s="7">
        <v>0.55793999999999999</v>
      </c>
      <c r="CR745" s="7">
        <v>1.0615030000000001</v>
      </c>
      <c r="CS745" s="7">
        <v>37.195993999999999</v>
      </c>
      <c r="CT745" s="7">
        <v>50</v>
      </c>
      <c r="CU745" s="7">
        <v>0.67935500000000004</v>
      </c>
      <c r="CV745" s="7">
        <v>50</v>
      </c>
      <c r="CW745" s="7">
        <v>50</v>
      </c>
      <c r="CX745" s="7">
        <v>0.95378200000000002</v>
      </c>
      <c r="CY745" s="7">
        <v>0.94</v>
      </c>
      <c r="CZ745" s="7">
        <v>-1.3782000000000001E-2</v>
      </c>
      <c r="DA745" s="7">
        <v>15.314097</v>
      </c>
      <c r="DB745" s="7">
        <v>17.400950000000002</v>
      </c>
      <c r="DC745" s="7">
        <v>16.332519999999999</v>
      </c>
      <c r="DD745" s="7">
        <v>7.9891730000000001</v>
      </c>
      <c r="DE745" s="7">
        <v>1</v>
      </c>
      <c r="DF745" s="6"/>
      <c r="DG745" s="6"/>
      <c r="DH745" s="6"/>
      <c r="DI745" s="6"/>
      <c r="DJ745" s="7">
        <v>0</v>
      </c>
      <c r="DK745" s="7">
        <v>0</v>
      </c>
      <c r="DL745" s="7">
        <v>0</v>
      </c>
      <c r="DM745" s="7">
        <v>0</v>
      </c>
      <c r="DN745" s="7">
        <v>0</v>
      </c>
      <c r="DO745" s="7">
        <v>0</v>
      </c>
      <c r="DP745" s="6"/>
      <c r="DQ745" s="4" t="s">
        <v>125</v>
      </c>
    </row>
    <row r="746" spans="1:121" ht="20" customHeight="1" x14ac:dyDescent="0.15">
      <c r="A746" s="5">
        <v>2018</v>
      </c>
      <c r="B746" s="3" t="s">
        <v>159</v>
      </c>
      <c r="C746" s="4" t="str">
        <f t="shared" ref="C746:C763" si="237">"1030011"</f>
        <v>1030011</v>
      </c>
      <c r="D746" s="4" t="s">
        <v>902</v>
      </c>
      <c r="E746" s="4" t="str">
        <f>"1030211"</f>
        <v>1030211</v>
      </c>
      <c r="F746" s="4" t="s">
        <v>327</v>
      </c>
      <c r="G746" s="4" t="s">
        <v>328</v>
      </c>
      <c r="H746" s="7">
        <v>5</v>
      </c>
      <c r="I746" s="4" t="s">
        <v>335</v>
      </c>
      <c r="J746" s="4" t="s">
        <v>330</v>
      </c>
      <c r="K746" s="7">
        <v>653.63817400000005</v>
      </c>
      <c r="L746" s="7">
        <v>950</v>
      </c>
      <c r="M746" s="7">
        <v>68.804017999999999</v>
      </c>
      <c r="N746" s="7">
        <v>3</v>
      </c>
      <c r="O746" s="7">
        <v>0</v>
      </c>
      <c r="P746" s="7">
        <v>64.777697000000003</v>
      </c>
      <c r="Q746" s="7">
        <v>43.185130999999998</v>
      </c>
      <c r="R746" s="7">
        <v>50</v>
      </c>
      <c r="S746" s="7">
        <v>61.228700000000003</v>
      </c>
      <c r="T746" s="7">
        <v>75</v>
      </c>
      <c r="U746" s="7">
        <v>40.819133999999998</v>
      </c>
      <c r="V746" s="7">
        <v>50</v>
      </c>
      <c r="W746" s="7">
        <v>63.763267999999997</v>
      </c>
      <c r="X746" s="7">
        <v>42.508845000000001</v>
      </c>
      <c r="Y746" s="7">
        <v>50</v>
      </c>
      <c r="Z746" s="7">
        <v>75</v>
      </c>
      <c r="AA746" s="7">
        <v>60.297125000000001</v>
      </c>
      <c r="AB746" s="7">
        <v>40.198084000000001</v>
      </c>
      <c r="AC746" s="7">
        <v>50</v>
      </c>
      <c r="AD746" s="7">
        <v>64.518027000000004</v>
      </c>
      <c r="AE746" s="7">
        <v>43.012017999999998</v>
      </c>
      <c r="AF746" s="7">
        <v>50</v>
      </c>
      <c r="AG746" s="7">
        <v>61.974415999999998</v>
      </c>
      <c r="AH746" s="4" t="s">
        <v>124</v>
      </c>
      <c r="AI746" s="7">
        <v>41.316276999999999</v>
      </c>
      <c r="AJ746" s="7">
        <v>50</v>
      </c>
      <c r="AK746" s="7">
        <v>13.77</v>
      </c>
      <c r="AL746" s="7">
        <v>14.7</v>
      </c>
      <c r="AM746" s="4" t="s">
        <v>124</v>
      </c>
      <c r="AN746" s="7">
        <v>0.56716200000000005</v>
      </c>
      <c r="AO746" s="7">
        <v>56.716200999999998</v>
      </c>
      <c r="AP746" s="7">
        <v>100</v>
      </c>
      <c r="AQ746" s="7">
        <v>0.557562</v>
      </c>
      <c r="AR746" s="7">
        <v>55.756177999999998</v>
      </c>
      <c r="AS746" s="7">
        <v>100</v>
      </c>
      <c r="AT746" s="7">
        <v>0.58994100000000005</v>
      </c>
      <c r="AU746" s="7">
        <v>0.465534</v>
      </c>
      <c r="AV746" s="7">
        <v>58.994067999999999</v>
      </c>
      <c r="AW746" s="7">
        <v>100</v>
      </c>
      <c r="AX746" s="7">
        <v>0.51957299999999995</v>
      </c>
      <c r="AY746" s="7">
        <v>0.72704999999999997</v>
      </c>
      <c r="AZ746" s="7">
        <v>51.957304999999998</v>
      </c>
      <c r="BA746" s="7">
        <v>100</v>
      </c>
      <c r="BB746" s="7">
        <v>0.62824400000000002</v>
      </c>
      <c r="BC746" s="7">
        <v>31.412182999999999</v>
      </c>
      <c r="BD746" s="7">
        <v>50</v>
      </c>
      <c r="BE746" s="7">
        <v>0.557836</v>
      </c>
      <c r="BF746" s="7">
        <v>27.891798999999999</v>
      </c>
      <c r="BG746" s="7">
        <v>50</v>
      </c>
      <c r="BH746" s="7">
        <v>0</v>
      </c>
      <c r="BI746" s="7">
        <v>1</v>
      </c>
      <c r="BJ746" s="7">
        <v>1</v>
      </c>
      <c r="BK746" s="7">
        <v>1</v>
      </c>
      <c r="BL746" s="7">
        <v>1</v>
      </c>
      <c r="BM746" s="7">
        <v>1</v>
      </c>
      <c r="BN746" s="7">
        <v>1</v>
      </c>
      <c r="BO746" s="7">
        <v>1</v>
      </c>
      <c r="BP746" s="7">
        <v>1</v>
      </c>
      <c r="BQ746" s="4" t="s">
        <v>124</v>
      </c>
      <c r="BR746" s="7">
        <v>6.1425E-2</v>
      </c>
      <c r="BS746" s="7">
        <v>47.714987999999998</v>
      </c>
      <c r="BT746" s="7">
        <v>50</v>
      </c>
      <c r="BU746" s="7">
        <v>6.4219999999999999E-2</v>
      </c>
      <c r="BV746" s="7">
        <v>47.155963</v>
      </c>
      <c r="BW746" s="7">
        <v>50</v>
      </c>
      <c r="BX746" s="4" t="s">
        <v>124</v>
      </c>
      <c r="BY746" s="4" t="s">
        <v>124</v>
      </c>
      <c r="BZ746" s="4" t="s">
        <v>124</v>
      </c>
      <c r="CA746" s="4" t="s">
        <v>124</v>
      </c>
      <c r="CB746" s="4" t="s">
        <v>124</v>
      </c>
      <c r="CC746" s="4" t="s">
        <v>124</v>
      </c>
      <c r="CD746" s="4" t="s">
        <v>124</v>
      </c>
      <c r="CE746" s="4" t="s">
        <v>124</v>
      </c>
      <c r="CF746" s="4" t="s">
        <v>124</v>
      </c>
      <c r="CG746" s="4" t="s">
        <v>124</v>
      </c>
      <c r="CH746" s="4" t="s">
        <v>124</v>
      </c>
      <c r="CI746" s="4" t="s">
        <v>124</v>
      </c>
      <c r="CJ746" s="4" t="s">
        <v>124</v>
      </c>
      <c r="CK746" s="4" t="s">
        <v>124</v>
      </c>
      <c r="CL746" s="4" t="s">
        <v>124</v>
      </c>
      <c r="CM746" s="4" t="s">
        <v>124</v>
      </c>
      <c r="CN746" s="4" t="s">
        <v>124</v>
      </c>
      <c r="CO746" s="4" t="s">
        <v>124</v>
      </c>
      <c r="CP746" s="4" t="s">
        <v>124</v>
      </c>
      <c r="CQ746" s="7">
        <v>0.84375</v>
      </c>
      <c r="CR746" s="7">
        <v>0.79012300000000002</v>
      </c>
      <c r="CS746" s="7">
        <v>25</v>
      </c>
      <c r="CT746" s="7">
        <v>50</v>
      </c>
      <c r="CU746" s="4" t="s">
        <v>124</v>
      </c>
      <c r="CV746" s="4" t="s">
        <v>124</v>
      </c>
      <c r="CW746" s="4" t="s">
        <v>124</v>
      </c>
      <c r="CX746" s="4" t="s">
        <v>124</v>
      </c>
      <c r="CY746" s="4" t="s">
        <v>124</v>
      </c>
      <c r="CZ746" s="4" t="s">
        <v>124</v>
      </c>
      <c r="DA746" s="7">
        <v>15.314097</v>
      </c>
      <c r="DB746" s="7">
        <v>17.400950000000002</v>
      </c>
      <c r="DC746" s="7">
        <v>16.332519999999999</v>
      </c>
      <c r="DD746" s="4" t="s">
        <v>124</v>
      </c>
      <c r="DE746" s="7">
        <v>0</v>
      </c>
      <c r="DF746" s="6"/>
      <c r="DG746" s="6"/>
      <c r="DH746" s="6"/>
      <c r="DI746" s="6"/>
      <c r="DJ746" s="7">
        <v>0</v>
      </c>
      <c r="DK746" s="7">
        <v>0</v>
      </c>
      <c r="DL746" s="7">
        <v>0</v>
      </c>
      <c r="DM746" s="7">
        <v>0</v>
      </c>
      <c r="DN746" s="7">
        <v>0</v>
      </c>
      <c r="DO746" s="7">
        <v>0</v>
      </c>
      <c r="DP746" s="6"/>
      <c r="DQ746" s="4" t="s">
        <v>125</v>
      </c>
    </row>
    <row r="747" spans="1:121" ht="20" customHeight="1" x14ac:dyDescent="0.15">
      <c r="A747" s="5">
        <v>2018</v>
      </c>
      <c r="B747" s="3" t="s">
        <v>159</v>
      </c>
      <c r="C747" s="4" t="str">
        <f>"1030011"</f>
        <v>1030011</v>
      </c>
      <c r="D747" s="4" t="s">
        <v>903</v>
      </c>
      <c r="E747" s="4" t="str">
        <f>"1030511"</f>
        <v>1030511</v>
      </c>
      <c r="F747" s="4" t="s">
        <v>327</v>
      </c>
      <c r="G747" s="7">
        <v>9</v>
      </c>
      <c r="H747" s="7">
        <v>12</v>
      </c>
      <c r="I747" s="6"/>
      <c r="J747" s="4" t="s">
        <v>330</v>
      </c>
      <c r="K747" s="7">
        <v>1121.2402500000001</v>
      </c>
      <c r="L747" s="7">
        <v>1350</v>
      </c>
      <c r="M747" s="7">
        <v>83.054833000000002</v>
      </c>
      <c r="N747" s="7">
        <v>3</v>
      </c>
      <c r="O747" s="7">
        <v>1</v>
      </c>
      <c r="P747" s="7">
        <v>66.977778000000001</v>
      </c>
      <c r="Q747" s="7">
        <v>133.955556</v>
      </c>
      <c r="R747" s="7">
        <v>150</v>
      </c>
      <c r="S747" s="7">
        <v>58.666666999999997</v>
      </c>
      <c r="T747" s="7">
        <v>71.789473999999998</v>
      </c>
      <c r="U747" s="7">
        <v>117.333333</v>
      </c>
      <c r="V747" s="7">
        <v>150</v>
      </c>
      <c r="W747" s="7">
        <v>62.791666999999997</v>
      </c>
      <c r="X747" s="7">
        <v>125.583333</v>
      </c>
      <c r="Y747" s="7">
        <v>150</v>
      </c>
      <c r="Z747" s="7">
        <v>69.521929999999998</v>
      </c>
      <c r="AA747" s="7">
        <v>51.166666999999997</v>
      </c>
      <c r="AB747" s="7">
        <v>102.333333</v>
      </c>
      <c r="AC747" s="7">
        <v>150</v>
      </c>
      <c r="AD747" s="7">
        <v>54.647435999999999</v>
      </c>
      <c r="AE747" s="7">
        <v>72.863247999999999</v>
      </c>
      <c r="AF747" s="7">
        <v>100</v>
      </c>
      <c r="AG747" s="7">
        <v>44.153846000000001</v>
      </c>
      <c r="AH747" s="7">
        <v>60.722672000000003</v>
      </c>
      <c r="AI747" s="7">
        <v>58.871794999999999</v>
      </c>
      <c r="AJ747" s="7">
        <v>100</v>
      </c>
      <c r="AK747" s="7">
        <v>13.12</v>
      </c>
      <c r="AL747" s="7">
        <v>18.350000000000001</v>
      </c>
      <c r="AM747" s="7">
        <v>16.559999999999999</v>
      </c>
      <c r="AN747" s="4" t="s">
        <v>124</v>
      </c>
      <c r="AO747" s="4" t="s">
        <v>124</v>
      </c>
      <c r="AP747" s="4" t="s">
        <v>124</v>
      </c>
      <c r="AQ747" s="4" t="s">
        <v>124</v>
      </c>
      <c r="AR747" s="4" t="s">
        <v>124</v>
      </c>
      <c r="AS747" s="4" t="s">
        <v>124</v>
      </c>
      <c r="AT747" s="4" t="s">
        <v>124</v>
      </c>
      <c r="AU747" s="4" t="s">
        <v>124</v>
      </c>
      <c r="AV747" s="4" t="s">
        <v>124</v>
      </c>
      <c r="AW747" s="4" t="s">
        <v>124</v>
      </c>
      <c r="AX747" s="4" t="s">
        <v>124</v>
      </c>
      <c r="AY747" s="4" t="s">
        <v>124</v>
      </c>
      <c r="AZ747" s="4" t="s">
        <v>124</v>
      </c>
      <c r="BA747" s="4" t="s">
        <v>124</v>
      </c>
      <c r="BB747" s="4" t="s">
        <v>124</v>
      </c>
      <c r="BC747" s="4" t="s">
        <v>124</v>
      </c>
      <c r="BD747" s="4" t="s">
        <v>124</v>
      </c>
      <c r="BE747" s="4" t="s">
        <v>124</v>
      </c>
      <c r="BF747" s="4" t="s">
        <v>124</v>
      </c>
      <c r="BG747" s="4" t="s">
        <v>124</v>
      </c>
      <c r="BH747" s="7">
        <v>0</v>
      </c>
      <c r="BI747" s="7">
        <v>0.98360700000000001</v>
      </c>
      <c r="BJ747" s="7">
        <v>0.95652199999999998</v>
      </c>
      <c r="BK747" s="7">
        <v>1</v>
      </c>
      <c r="BL747" s="7">
        <v>0.98360700000000001</v>
      </c>
      <c r="BM747" s="7">
        <v>0.95652199999999998</v>
      </c>
      <c r="BN747" s="7">
        <v>1</v>
      </c>
      <c r="BO747" s="7">
        <v>0.98360700000000001</v>
      </c>
      <c r="BP747" s="7">
        <v>0.95652199999999998</v>
      </c>
      <c r="BQ747" s="7">
        <v>1</v>
      </c>
      <c r="BR747" s="7">
        <v>5.3956999999999998E-2</v>
      </c>
      <c r="BS747" s="7">
        <v>49.208632999999999</v>
      </c>
      <c r="BT747" s="7">
        <v>50</v>
      </c>
      <c r="BU747" s="7">
        <v>0.14285700000000001</v>
      </c>
      <c r="BV747" s="7">
        <v>31.428571000000002</v>
      </c>
      <c r="BW747" s="7">
        <v>50</v>
      </c>
      <c r="BX747" s="7">
        <v>0.85185200000000005</v>
      </c>
      <c r="BY747" s="7">
        <v>50</v>
      </c>
      <c r="BZ747" s="7">
        <v>50</v>
      </c>
      <c r="CA747" s="7">
        <v>0.6</v>
      </c>
      <c r="CB747" s="7">
        <v>40</v>
      </c>
      <c r="CC747" s="7">
        <v>50</v>
      </c>
      <c r="CD747" s="7">
        <v>0.96103899999999998</v>
      </c>
      <c r="CE747" s="7">
        <v>50</v>
      </c>
      <c r="CF747" s="7">
        <v>50</v>
      </c>
      <c r="CG747" s="7">
        <v>0.97468399999999999</v>
      </c>
      <c r="CH747" s="7">
        <v>100</v>
      </c>
      <c r="CI747" s="7">
        <v>100</v>
      </c>
      <c r="CJ747" s="4" t="s">
        <v>124</v>
      </c>
      <c r="CK747" s="4" t="s">
        <v>124</v>
      </c>
      <c r="CL747" s="4" t="s">
        <v>124</v>
      </c>
      <c r="CM747" s="4" t="s">
        <v>124</v>
      </c>
      <c r="CN747" s="7">
        <v>0.84415600000000002</v>
      </c>
      <c r="CO747" s="7">
        <v>100</v>
      </c>
      <c r="CP747" s="7">
        <v>100</v>
      </c>
      <c r="CQ747" s="7">
        <v>0.59493700000000005</v>
      </c>
      <c r="CR747" s="7">
        <v>1.1969700000000001</v>
      </c>
      <c r="CS747" s="7">
        <v>39.662447</v>
      </c>
      <c r="CT747" s="7">
        <v>50</v>
      </c>
      <c r="CU747" s="7">
        <v>0.65107899999999996</v>
      </c>
      <c r="CV747" s="7">
        <v>50</v>
      </c>
      <c r="CW747" s="7">
        <v>50</v>
      </c>
      <c r="CX747" s="4" t="s">
        <v>124</v>
      </c>
      <c r="CY747" s="4" t="s">
        <v>124</v>
      </c>
      <c r="CZ747" s="4" t="s">
        <v>124</v>
      </c>
      <c r="DA747" s="7">
        <v>15.314097</v>
      </c>
      <c r="DB747" s="7">
        <v>17.400950000000002</v>
      </c>
      <c r="DC747" s="7">
        <v>16.332519999999999</v>
      </c>
      <c r="DD747" s="4" t="s">
        <v>124</v>
      </c>
      <c r="DE747" s="7">
        <v>1</v>
      </c>
      <c r="DF747" s="6"/>
      <c r="DG747" s="6"/>
      <c r="DH747" s="6"/>
      <c r="DI747" s="6"/>
      <c r="DJ747" s="7">
        <v>0</v>
      </c>
      <c r="DK747" s="7">
        <v>0</v>
      </c>
      <c r="DL747" s="7">
        <v>0</v>
      </c>
      <c r="DM747" s="7">
        <v>0</v>
      </c>
      <c r="DN747" s="7">
        <v>0</v>
      </c>
      <c r="DO747" s="7">
        <v>0</v>
      </c>
      <c r="DP747" s="6"/>
      <c r="DQ747" s="4" t="s">
        <v>125</v>
      </c>
    </row>
    <row r="748" spans="1:121" ht="20" customHeight="1" x14ac:dyDescent="0.15">
      <c r="A748" s="5">
        <v>2018</v>
      </c>
      <c r="B748" s="3" t="s">
        <v>159</v>
      </c>
      <c r="C748" s="4" t="str">
        <f t="shared" si="237"/>
        <v>1030011</v>
      </c>
      <c r="D748" s="4" t="s">
        <v>904</v>
      </c>
      <c r="E748" s="4" t="str">
        <f>"1030311"</f>
        <v>1030311</v>
      </c>
      <c r="F748" s="4" t="s">
        <v>327</v>
      </c>
      <c r="G748" s="4" t="s">
        <v>338</v>
      </c>
      <c r="H748" s="7">
        <v>8</v>
      </c>
      <c r="I748" s="6"/>
      <c r="J748" s="4" t="s">
        <v>330</v>
      </c>
      <c r="K748" s="7">
        <v>762.098838</v>
      </c>
      <c r="L748" s="7">
        <v>950</v>
      </c>
      <c r="M748" s="7">
        <v>80.220929999999996</v>
      </c>
      <c r="N748" s="7">
        <v>2</v>
      </c>
      <c r="O748" s="7">
        <v>0</v>
      </c>
      <c r="P748" s="7">
        <v>69.884375000000006</v>
      </c>
      <c r="Q748" s="7">
        <v>46.589582999999998</v>
      </c>
      <c r="R748" s="7">
        <v>50</v>
      </c>
      <c r="S748" s="7">
        <v>63.667287000000002</v>
      </c>
      <c r="T748" s="7">
        <v>75</v>
      </c>
      <c r="U748" s="7">
        <v>42.444858000000004</v>
      </c>
      <c r="V748" s="7">
        <v>50</v>
      </c>
      <c r="W748" s="7">
        <v>65.837097999999997</v>
      </c>
      <c r="X748" s="7">
        <v>43.891398000000002</v>
      </c>
      <c r="Y748" s="7">
        <v>50</v>
      </c>
      <c r="Z748" s="7">
        <v>74.694371000000004</v>
      </c>
      <c r="AA748" s="7">
        <v>60.090012000000002</v>
      </c>
      <c r="AB748" s="7">
        <v>40.060008000000003</v>
      </c>
      <c r="AC748" s="7">
        <v>50</v>
      </c>
      <c r="AD748" s="7">
        <v>69.394623999999993</v>
      </c>
      <c r="AE748" s="7">
        <v>46.263081999999997</v>
      </c>
      <c r="AF748" s="7">
        <v>50</v>
      </c>
      <c r="AG748" s="7">
        <v>66.064515999999998</v>
      </c>
      <c r="AH748" s="7">
        <v>73.464754999999997</v>
      </c>
      <c r="AI748" s="7">
        <v>44.043011</v>
      </c>
      <c r="AJ748" s="7">
        <v>50</v>
      </c>
      <c r="AK748" s="7">
        <v>11.33</v>
      </c>
      <c r="AL748" s="7">
        <v>14.6</v>
      </c>
      <c r="AM748" s="7">
        <v>7.4</v>
      </c>
      <c r="AN748" s="7">
        <v>0.68647100000000005</v>
      </c>
      <c r="AO748" s="7">
        <v>68.647098999999997</v>
      </c>
      <c r="AP748" s="7">
        <v>100</v>
      </c>
      <c r="AQ748" s="7">
        <v>0.72414100000000003</v>
      </c>
      <c r="AR748" s="7">
        <v>72.414079000000001</v>
      </c>
      <c r="AS748" s="7">
        <v>100</v>
      </c>
      <c r="AT748" s="7">
        <v>0.66148799999999996</v>
      </c>
      <c r="AU748" s="7">
        <v>0.71826699999999999</v>
      </c>
      <c r="AV748" s="7">
        <v>66.148813000000004</v>
      </c>
      <c r="AW748" s="7">
        <v>100</v>
      </c>
      <c r="AX748" s="7">
        <v>0.68945599999999996</v>
      </c>
      <c r="AY748" s="7">
        <v>0.768285</v>
      </c>
      <c r="AZ748" s="7">
        <v>68.945614000000006</v>
      </c>
      <c r="BA748" s="7">
        <v>100</v>
      </c>
      <c r="BB748" s="7">
        <v>0.91161199999999998</v>
      </c>
      <c r="BC748" s="7">
        <v>45.580582</v>
      </c>
      <c r="BD748" s="7">
        <v>50</v>
      </c>
      <c r="BE748" s="7">
        <v>0.85351299999999997</v>
      </c>
      <c r="BF748" s="7">
        <v>42.675635999999997</v>
      </c>
      <c r="BG748" s="7">
        <v>50</v>
      </c>
      <c r="BH748" s="7">
        <v>0</v>
      </c>
      <c r="BI748" s="7">
        <v>0.97747700000000004</v>
      </c>
      <c r="BJ748" s="7">
        <v>0.97777800000000004</v>
      </c>
      <c r="BK748" s="7">
        <v>0.97701099999999996</v>
      </c>
      <c r="BL748" s="7">
        <v>0.97747700000000004</v>
      </c>
      <c r="BM748" s="7">
        <v>0.97777800000000004</v>
      </c>
      <c r="BN748" s="7">
        <v>0.97701099999999996</v>
      </c>
      <c r="BO748" s="7">
        <v>0.96825399999999995</v>
      </c>
      <c r="BP748" s="7">
        <v>0.97142899999999999</v>
      </c>
      <c r="BQ748" s="7">
        <v>0.96428599999999998</v>
      </c>
      <c r="BR748" s="7">
        <v>0.04</v>
      </c>
      <c r="BS748" s="7">
        <v>50</v>
      </c>
      <c r="BT748" s="7">
        <v>50</v>
      </c>
      <c r="BU748" s="7">
        <v>5.1020000000000003E-2</v>
      </c>
      <c r="BV748" s="7">
        <v>49.795918</v>
      </c>
      <c r="BW748" s="7">
        <v>50</v>
      </c>
      <c r="BX748" s="4" t="s">
        <v>124</v>
      </c>
      <c r="BY748" s="4" t="s">
        <v>124</v>
      </c>
      <c r="BZ748" s="4" t="s">
        <v>124</v>
      </c>
      <c r="CA748" s="4" t="s">
        <v>124</v>
      </c>
      <c r="CB748" s="4" t="s">
        <v>124</v>
      </c>
      <c r="CC748" s="4" t="s">
        <v>124</v>
      </c>
      <c r="CD748" s="4" t="s">
        <v>124</v>
      </c>
      <c r="CE748" s="4" t="s">
        <v>124</v>
      </c>
      <c r="CF748" s="4" t="s">
        <v>124</v>
      </c>
      <c r="CG748" s="4" t="s">
        <v>124</v>
      </c>
      <c r="CH748" s="4" t="s">
        <v>124</v>
      </c>
      <c r="CI748" s="4" t="s">
        <v>124</v>
      </c>
      <c r="CJ748" s="4" t="s">
        <v>124</v>
      </c>
      <c r="CK748" s="4" t="s">
        <v>124</v>
      </c>
      <c r="CL748" s="4" t="s">
        <v>124</v>
      </c>
      <c r="CM748" s="4" t="s">
        <v>124</v>
      </c>
      <c r="CN748" s="4" t="s">
        <v>124</v>
      </c>
      <c r="CO748" s="4" t="s">
        <v>124</v>
      </c>
      <c r="CP748" s="4" t="s">
        <v>124</v>
      </c>
      <c r="CQ748" s="7">
        <v>0.51898699999999998</v>
      </c>
      <c r="CR748" s="7">
        <v>0.98750000000000004</v>
      </c>
      <c r="CS748" s="7">
        <v>34.599156000000001</v>
      </c>
      <c r="CT748" s="7">
        <v>50</v>
      </c>
      <c r="CU748" s="4" t="s">
        <v>124</v>
      </c>
      <c r="CV748" s="4" t="s">
        <v>124</v>
      </c>
      <c r="CW748" s="4" t="s">
        <v>124</v>
      </c>
      <c r="CX748" s="4" t="s">
        <v>124</v>
      </c>
      <c r="CY748" s="4" t="s">
        <v>124</v>
      </c>
      <c r="CZ748" s="4" t="s">
        <v>124</v>
      </c>
      <c r="DA748" s="7">
        <v>15.314097</v>
      </c>
      <c r="DB748" s="7">
        <v>17.400950000000002</v>
      </c>
      <c r="DC748" s="7">
        <v>16.332519999999999</v>
      </c>
      <c r="DD748" s="4" t="s">
        <v>124</v>
      </c>
      <c r="DE748" s="7">
        <v>0</v>
      </c>
      <c r="DF748" s="6"/>
      <c r="DG748" s="6"/>
      <c r="DH748" s="6"/>
      <c r="DI748" s="6"/>
      <c r="DJ748" s="7">
        <v>0</v>
      </c>
      <c r="DK748" s="7">
        <v>0</v>
      </c>
      <c r="DL748" s="7">
        <v>0</v>
      </c>
      <c r="DM748" s="7">
        <v>0</v>
      </c>
      <c r="DN748" s="7">
        <v>0</v>
      </c>
      <c r="DO748" s="7">
        <v>0</v>
      </c>
      <c r="DP748" s="6"/>
      <c r="DQ748" s="4" t="s">
        <v>125</v>
      </c>
    </row>
    <row r="749" spans="1:121" ht="20" customHeight="1" x14ac:dyDescent="0.15">
      <c r="A749" s="5">
        <v>2018</v>
      </c>
      <c r="B749" s="3" t="s">
        <v>159</v>
      </c>
      <c r="C749" s="4" t="str">
        <f t="shared" si="237"/>
        <v>1030011</v>
      </c>
      <c r="D749" s="4" t="s">
        <v>905</v>
      </c>
      <c r="E749" s="4" t="str">
        <f>"1030411"</f>
        <v>1030411</v>
      </c>
      <c r="F749" s="4" t="s">
        <v>327</v>
      </c>
      <c r="G749" s="4" t="s">
        <v>338</v>
      </c>
      <c r="H749" s="7">
        <v>5</v>
      </c>
      <c r="I749" s="6"/>
      <c r="J749" s="4" t="s">
        <v>330</v>
      </c>
      <c r="K749" s="7">
        <v>734.30060100000003</v>
      </c>
      <c r="L749" s="7">
        <v>950</v>
      </c>
      <c r="M749" s="7">
        <v>77.294799999999995</v>
      </c>
      <c r="N749" s="7">
        <v>3</v>
      </c>
      <c r="O749" s="7">
        <v>1</v>
      </c>
      <c r="P749" s="7">
        <v>72.094716000000005</v>
      </c>
      <c r="Q749" s="7">
        <v>48.063144000000001</v>
      </c>
      <c r="R749" s="7">
        <v>50</v>
      </c>
      <c r="S749" s="7">
        <v>61.634346999999998</v>
      </c>
      <c r="T749" s="7">
        <v>75</v>
      </c>
      <c r="U749" s="7">
        <v>41.089565</v>
      </c>
      <c r="V749" s="7">
        <v>50</v>
      </c>
      <c r="W749" s="7">
        <v>67.035515000000004</v>
      </c>
      <c r="X749" s="7">
        <v>44.690342999999999</v>
      </c>
      <c r="Y749" s="7">
        <v>50</v>
      </c>
      <c r="Z749" s="7">
        <v>75</v>
      </c>
      <c r="AA749" s="7">
        <v>57.312469</v>
      </c>
      <c r="AB749" s="7">
        <v>38.208311999999999</v>
      </c>
      <c r="AC749" s="7">
        <v>50</v>
      </c>
      <c r="AD749" s="7">
        <v>67.889739000000006</v>
      </c>
      <c r="AE749" s="7">
        <v>45.259825999999997</v>
      </c>
      <c r="AF749" s="7">
        <v>50</v>
      </c>
      <c r="AG749" s="7">
        <v>61.238877000000002</v>
      </c>
      <c r="AH749" s="7">
        <v>74.540600999999995</v>
      </c>
      <c r="AI749" s="7">
        <v>40.825918000000001</v>
      </c>
      <c r="AJ749" s="7">
        <v>50</v>
      </c>
      <c r="AK749" s="7">
        <v>13.36</v>
      </c>
      <c r="AL749" s="7">
        <v>17.68</v>
      </c>
      <c r="AM749" s="7">
        <v>13.3</v>
      </c>
      <c r="AN749" s="7">
        <v>0.67003400000000002</v>
      </c>
      <c r="AO749" s="7">
        <v>67.003429999999994</v>
      </c>
      <c r="AP749" s="7">
        <v>100</v>
      </c>
      <c r="AQ749" s="7">
        <v>0.68466499999999997</v>
      </c>
      <c r="AR749" s="7">
        <v>68.466479000000007</v>
      </c>
      <c r="AS749" s="7">
        <v>100</v>
      </c>
      <c r="AT749" s="7">
        <v>0.58893799999999996</v>
      </c>
      <c r="AU749" s="7">
        <v>0.74589899999999998</v>
      </c>
      <c r="AV749" s="7">
        <v>58.893763</v>
      </c>
      <c r="AW749" s="7">
        <v>100</v>
      </c>
      <c r="AX749" s="7">
        <v>0.65688899999999995</v>
      </c>
      <c r="AY749" s="7">
        <v>0.71064899999999998</v>
      </c>
      <c r="AZ749" s="7">
        <v>65.688861000000003</v>
      </c>
      <c r="BA749" s="7">
        <v>100</v>
      </c>
      <c r="BB749" s="7">
        <v>0.91772500000000001</v>
      </c>
      <c r="BC749" s="7">
        <v>45.886251999999999</v>
      </c>
      <c r="BD749" s="7">
        <v>50</v>
      </c>
      <c r="BE749" s="7">
        <v>0.79365600000000003</v>
      </c>
      <c r="BF749" s="7">
        <v>39.682814999999998</v>
      </c>
      <c r="BG749" s="7">
        <v>50</v>
      </c>
      <c r="BH749" s="7">
        <v>0</v>
      </c>
      <c r="BI749" s="7">
        <v>0.99043099999999995</v>
      </c>
      <c r="BJ749" s="7">
        <v>0.98165100000000005</v>
      </c>
      <c r="BK749" s="7">
        <v>1</v>
      </c>
      <c r="BL749" s="7">
        <v>0.99043099999999995</v>
      </c>
      <c r="BM749" s="7">
        <v>0.98165100000000005</v>
      </c>
      <c r="BN749" s="7">
        <v>1</v>
      </c>
      <c r="BO749" s="7">
        <v>1</v>
      </c>
      <c r="BP749" s="7">
        <v>1</v>
      </c>
      <c r="BQ749" s="7">
        <v>1</v>
      </c>
      <c r="BR749" s="7">
        <v>5.7208000000000002E-2</v>
      </c>
      <c r="BS749" s="7">
        <v>48.558351999999999</v>
      </c>
      <c r="BT749" s="7">
        <v>50</v>
      </c>
      <c r="BU749" s="7">
        <v>8.4112000000000006E-2</v>
      </c>
      <c r="BV749" s="7">
        <v>43.177570000000003</v>
      </c>
      <c r="BW749" s="7">
        <v>50</v>
      </c>
      <c r="BX749" s="4" t="s">
        <v>124</v>
      </c>
      <c r="BY749" s="4" t="s">
        <v>124</v>
      </c>
      <c r="BZ749" s="4" t="s">
        <v>124</v>
      </c>
      <c r="CA749" s="4" t="s">
        <v>124</v>
      </c>
      <c r="CB749" s="4" t="s">
        <v>124</v>
      </c>
      <c r="CC749" s="4" t="s">
        <v>124</v>
      </c>
      <c r="CD749" s="4" t="s">
        <v>124</v>
      </c>
      <c r="CE749" s="4" t="s">
        <v>124</v>
      </c>
      <c r="CF749" s="4" t="s">
        <v>124</v>
      </c>
      <c r="CG749" s="4" t="s">
        <v>124</v>
      </c>
      <c r="CH749" s="4" t="s">
        <v>124</v>
      </c>
      <c r="CI749" s="4" t="s">
        <v>124</v>
      </c>
      <c r="CJ749" s="4" t="s">
        <v>124</v>
      </c>
      <c r="CK749" s="4" t="s">
        <v>124</v>
      </c>
      <c r="CL749" s="4" t="s">
        <v>124</v>
      </c>
      <c r="CM749" s="4" t="s">
        <v>124</v>
      </c>
      <c r="CN749" s="4" t="s">
        <v>124</v>
      </c>
      <c r="CO749" s="4" t="s">
        <v>124</v>
      </c>
      <c r="CP749" s="4" t="s">
        <v>124</v>
      </c>
      <c r="CQ749" s="7">
        <v>0.58209</v>
      </c>
      <c r="CR749" s="7">
        <v>0.95714299999999997</v>
      </c>
      <c r="CS749" s="7">
        <v>38.805970000000002</v>
      </c>
      <c r="CT749" s="7">
        <v>50</v>
      </c>
      <c r="CU749" s="4" t="s">
        <v>124</v>
      </c>
      <c r="CV749" s="4" t="s">
        <v>124</v>
      </c>
      <c r="CW749" s="4" t="s">
        <v>124</v>
      </c>
      <c r="CX749" s="4" t="s">
        <v>124</v>
      </c>
      <c r="CY749" s="4" t="s">
        <v>124</v>
      </c>
      <c r="CZ749" s="4" t="s">
        <v>124</v>
      </c>
      <c r="DA749" s="7">
        <v>15.314097</v>
      </c>
      <c r="DB749" s="7">
        <v>17.400950000000002</v>
      </c>
      <c r="DC749" s="7">
        <v>16.332519999999999</v>
      </c>
      <c r="DD749" s="4" t="s">
        <v>124</v>
      </c>
      <c r="DE749" s="7">
        <v>1</v>
      </c>
      <c r="DF749" s="6"/>
      <c r="DG749" s="6"/>
      <c r="DH749" s="6"/>
      <c r="DI749" s="6"/>
      <c r="DJ749" s="7">
        <v>0</v>
      </c>
      <c r="DK749" s="7">
        <v>0</v>
      </c>
      <c r="DL749" s="7">
        <v>0</v>
      </c>
      <c r="DM749" s="7">
        <v>0</v>
      </c>
      <c r="DN749" s="7">
        <v>0</v>
      </c>
      <c r="DO749" s="7">
        <v>0</v>
      </c>
      <c r="DP749" s="6"/>
      <c r="DQ749" s="4" t="s">
        <v>125</v>
      </c>
    </row>
    <row r="750" spans="1:121" ht="20" customHeight="1" x14ac:dyDescent="0.15">
      <c r="A750" s="5">
        <v>2018</v>
      </c>
      <c r="B750" s="3" t="s">
        <v>159</v>
      </c>
      <c r="C750" s="4" t="str">
        <f t="shared" si="237"/>
        <v>1030011</v>
      </c>
      <c r="D750" s="4" t="s">
        <v>906</v>
      </c>
      <c r="E750" s="4" t="str">
        <f>"1032011"</f>
        <v>1032011</v>
      </c>
      <c r="F750" s="4" t="s">
        <v>327</v>
      </c>
      <c r="G750" s="4" t="s">
        <v>328</v>
      </c>
      <c r="H750" s="7">
        <v>5</v>
      </c>
      <c r="I750" s="6"/>
      <c r="J750" s="4" t="s">
        <v>330</v>
      </c>
      <c r="K750" s="7">
        <v>608.76608699999997</v>
      </c>
      <c r="L750" s="7">
        <v>950</v>
      </c>
      <c r="M750" s="7">
        <v>64.080641</v>
      </c>
      <c r="N750" s="7">
        <v>3</v>
      </c>
      <c r="O750" s="7">
        <v>1</v>
      </c>
      <c r="P750" s="7">
        <v>63.966659</v>
      </c>
      <c r="Q750" s="7">
        <v>42.644438999999998</v>
      </c>
      <c r="R750" s="7">
        <v>50</v>
      </c>
      <c r="S750" s="7">
        <v>57.936</v>
      </c>
      <c r="T750" s="7">
        <v>74.049166</v>
      </c>
      <c r="U750" s="7">
        <v>38.624000000000002</v>
      </c>
      <c r="V750" s="7">
        <v>50</v>
      </c>
      <c r="W750" s="7">
        <v>59.308681999999997</v>
      </c>
      <c r="X750" s="7">
        <v>39.539121999999999</v>
      </c>
      <c r="Y750" s="7">
        <v>50</v>
      </c>
      <c r="Z750" s="7">
        <v>69.703939000000005</v>
      </c>
      <c r="AA750" s="7">
        <v>53.090958999999998</v>
      </c>
      <c r="AB750" s="7">
        <v>35.393973000000003</v>
      </c>
      <c r="AC750" s="7">
        <v>50</v>
      </c>
      <c r="AD750" s="7">
        <v>60.389113000000002</v>
      </c>
      <c r="AE750" s="7">
        <v>40.259408999999998</v>
      </c>
      <c r="AF750" s="7">
        <v>50</v>
      </c>
      <c r="AG750" s="7">
        <v>53.43871</v>
      </c>
      <c r="AH750" s="7">
        <v>71.973117999999999</v>
      </c>
      <c r="AI750" s="7">
        <v>35.625805999999997</v>
      </c>
      <c r="AJ750" s="7">
        <v>50</v>
      </c>
      <c r="AK750" s="7">
        <v>16.11</v>
      </c>
      <c r="AL750" s="7">
        <v>16.61</v>
      </c>
      <c r="AM750" s="7">
        <v>18.53</v>
      </c>
      <c r="AN750" s="7">
        <v>0.486155</v>
      </c>
      <c r="AO750" s="7">
        <v>48.615468999999997</v>
      </c>
      <c r="AP750" s="7">
        <v>100</v>
      </c>
      <c r="AQ750" s="7">
        <v>0.44193300000000002</v>
      </c>
      <c r="AR750" s="7">
        <v>44.193264999999997</v>
      </c>
      <c r="AS750" s="7">
        <v>100</v>
      </c>
      <c r="AT750" s="7">
        <v>0.45618900000000001</v>
      </c>
      <c r="AU750" s="7">
        <v>0.53269699999999998</v>
      </c>
      <c r="AV750" s="7">
        <v>45.618904000000001</v>
      </c>
      <c r="AW750" s="7">
        <v>100</v>
      </c>
      <c r="AX750" s="7">
        <v>0.42916300000000002</v>
      </c>
      <c r="AY750" s="7">
        <v>0.46176600000000001</v>
      </c>
      <c r="AZ750" s="7">
        <v>42.916305000000001</v>
      </c>
      <c r="BA750" s="7">
        <v>100</v>
      </c>
      <c r="BB750" s="7">
        <v>0.58842799999999995</v>
      </c>
      <c r="BC750" s="7">
        <v>29.421385000000001</v>
      </c>
      <c r="BD750" s="7">
        <v>50</v>
      </c>
      <c r="BE750" s="7">
        <v>0.32340799999999997</v>
      </c>
      <c r="BF750" s="7">
        <v>16.170421000000001</v>
      </c>
      <c r="BG750" s="7">
        <v>50</v>
      </c>
      <c r="BH750" s="7">
        <v>0</v>
      </c>
      <c r="BI750" s="7">
        <v>0.98324</v>
      </c>
      <c r="BJ750" s="7">
        <v>0.97368399999999999</v>
      </c>
      <c r="BK750" s="7">
        <v>1</v>
      </c>
      <c r="BL750" s="7">
        <v>0.98324</v>
      </c>
      <c r="BM750" s="7">
        <v>0.97368399999999999</v>
      </c>
      <c r="BN750" s="7">
        <v>1</v>
      </c>
      <c r="BO750" s="7">
        <v>1</v>
      </c>
      <c r="BP750" s="7">
        <v>1</v>
      </c>
      <c r="BQ750" s="7">
        <v>1</v>
      </c>
      <c r="BR750" s="7">
        <v>4.3928000000000002E-2</v>
      </c>
      <c r="BS750" s="7">
        <v>50</v>
      </c>
      <c r="BT750" s="7">
        <v>50</v>
      </c>
      <c r="BU750" s="7">
        <v>5.1282000000000001E-2</v>
      </c>
      <c r="BV750" s="7">
        <v>49.743589999999998</v>
      </c>
      <c r="BW750" s="7">
        <v>50</v>
      </c>
      <c r="BX750" s="4" t="s">
        <v>124</v>
      </c>
      <c r="BY750" s="4" t="s">
        <v>124</v>
      </c>
      <c r="BZ750" s="4" t="s">
        <v>124</v>
      </c>
      <c r="CA750" s="4" t="s">
        <v>124</v>
      </c>
      <c r="CB750" s="4" t="s">
        <v>124</v>
      </c>
      <c r="CC750" s="4" t="s">
        <v>124</v>
      </c>
      <c r="CD750" s="4" t="s">
        <v>124</v>
      </c>
      <c r="CE750" s="4" t="s">
        <v>124</v>
      </c>
      <c r="CF750" s="4" t="s">
        <v>124</v>
      </c>
      <c r="CG750" s="4" t="s">
        <v>124</v>
      </c>
      <c r="CH750" s="4" t="s">
        <v>124</v>
      </c>
      <c r="CI750" s="4" t="s">
        <v>124</v>
      </c>
      <c r="CJ750" s="4" t="s">
        <v>124</v>
      </c>
      <c r="CK750" s="4" t="s">
        <v>124</v>
      </c>
      <c r="CL750" s="4" t="s">
        <v>124</v>
      </c>
      <c r="CM750" s="4" t="s">
        <v>124</v>
      </c>
      <c r="CN750" s="4" t="s">
        <v>124</v>
      </c>
      <c r="CO750" s="4" t="s">
        <v>124</v>
      </c>
      <c r="CP750" s="4" t="s">
        <v>124</v>
      </c>
      <c r="CQ750" s="7">
        <v>0.81355900000000003</v>
      </c>
      <c r="CR750" s="7">
        <v>0.93650800000000001</v>
      </c>
      <c r="CS750" s="7">
        <v>50</v>
      </c>
      <c r="CT750" s="7">
        <v>50</v>
      </c>
      <c r="CU750" s="4" t="s">
        <v>124</v>
      </c>
      <c r="CV750" s="4" t="s">
        <v>124</v>
      </c>
      <c r="CW750" s="4" t="s">
        <v>124</v>
      </c>
      <c r="CX750" s="4" t="s">
        <v>124</v>
      </c>
      <c r="CY750" s="4" t="s">
        <v>124</v>
      </c>
      <c r="CZ750" s="4" t="s">
        <v>124</v>
      </c>
      <c r="DA750" s="7">
        <v>15.314097</v>
      </c>
      <c r="DB750" s="7">
        <v>17.400950000000002</v>
      </c>
      <c r="DC750" s="7">
        <v>16.332519999999999</v>
      </c>
      <c r="DD750" s="4" t="s">
        <v>124</v>
      </c>
      <c r="DE750" s="7">
        <v>1</v>
      </c>
      <c r="DF750" s="6"/>
      <c r="DG750" s="6"/>
      <c r="DH750" s="6"/>
      <c r="DI750" s="6"/>
      <c r="DJ750" s="7">
        <v>0</v>
      </c>
      <c r="DK750" s="7">
        <v>0</v>
      </c>
      <c r="DL750" s="7">
        <v>0</v>
      </c>
      <c r="DM750" s="7">
        <v>0</v>
      </c>
      <c r="DN750" s="7">
        <v>0</v>
      </c>
      <c r="DO750" s="7">
        <v>0</v>
      </c>
      <c r="DP750" s="6"/>
      <c r="DQ750" s="4" t="s">
        <v>125</v>
      </c>
    </row>
    <row r="751" spans="1:121" ht="20" customHeight="1" x14ac:dyDescent="0.15">
      <c r="A751" s="5">
        <v>2018</v>
      </c>
      <c r="B751" s="3" t="s">
        <v>159</v>
      </c>
      <c r="C751" s="4" t="str">
        <f t="shared" si="237"/>
        <v>1030011</v>
      </c>
      <c r="D751" s="4" t="s">
        <v>801</v>
      </c>
      <c r="E751" s="4" t="str">
        <f>"1030711"</f>
        <v>1030711</v>
      </c>
      <c r="F751" s="4" t="s">
        <v>327</v>
      </c>
      <c r="G751" s="4" t="s">
        <v>338</v>
      </c>
      <c r="H751" s="7">
        <v>5</v>
      </c>
      <c r="I751" s="4" t="s">
        <v>335</v>
      </c>
      <c r="J751" s="4" t="s">
        <v>330</v>
      </c>
      <c r="K751" s="7">
        <v>708.64072399999998</v>
      </c>
      <c r="L751" s="7">
        <v>950</v>
      </c>
      <c r="M751" s="7">
        <v>74.593760000000003</v>
      </c>
      <c r="N751" s="7">
        <v>2</v>
      </c>
      <c r="O751" s="7">
        <v>0</v>
      </c>
      <c r="P751" s="7">
        <v>67.872078000000002</v>
      </c>
      <c r="Q751" s="7">
        <v>45.248052000000001</v>
      </c>
      <c r="R751" s="7">
        <v>50</v>
      </c>
      <c r="S751" s="7">
        <v>65.416775999999999</v>
      </c>
      <c r="T751" s="7">
        <v>75</v>
      </c>
      <c r="U751" s="7">
        <v>43.611184000000002</v>
      </c>
      <c r="V751" s="7">
        <v>50</v>
      </c>
      <c r="W751" s="7">
        <v>65.066322999999997</v>
      </c>
      <c r="X751" s="7">
        <v>43.377549000000002</v>
      </c>
      <c r="Y751" s="7">
        <v>50</v>
      </c>
      <c r="Z751" s="7">
        <v>75</v>
      </c>
      <c r="AA751" s="7">
        <v>62.11054</v>
      </c>
      <c r="AB751" s="7">
        <v>41.407026999999999</v>
      </c>
      <c r="AC751" s="7">
        <v>50</v>
      </c>
      <c r="AD751" s="7">
        <v>61.068100000000001</v>
      </c>
      <c r="AE751" s="7">
        <v>40.712066999999998</v>
      </c>
      <c r="AF751" s="7">
        <v>50</v>
      </c>
      <c r="AG751" s="7">
        <v>60.008167</v>
      </c>
      <c r="AH751" s="7">
        <v>65.254839000000004</v>
      </c>
      <c r="AI751" s="7">
        <v>40.005443999999997</v>
      </c>
      <c r="AJ751" s="7">
        <v>50</v>
      </c>
      <c r="AK751" s="7">
        <v>9.58</v>
      </c>
      <c r="AL751" s="7">
        <v>12.88</v>
      </c>
      <c r="AM751" s="7">
        <v>5.24</v>
      </c>
      <c r="AN751" s="7">
        <v>0.59389000000000003</v>
      </c>
      <c r="AO751" s="7">
        <v>59.388953000000001</v>
      </c>
      <c r="AP751" s="7">
        <v>100</v>
      </c>
      <c r="AQ751" s="7">
        <v>0.67473000000000005</v>
      </c>
      <c r="AR751" s="7">
        <v>67.473027000000002</v>
      </c>
      <c r="AS751" s="7">
        <v>100</v>
      </c>
      <c r="AT751" s="7">
        <v>0.55846300000000004</v>
      </c>
      <c r="AU751" s="7">
        <v>0.69187900000000002</v>
      </c>
      <c r="AV751" s="7">
        <v>55.846257000000001</v>
      </c>
      <c r="AW751" s="7">
        <v>100</v>
      </c>
      <c r="AX751" s="7">
        <v>0.64759</v>
      </c>
      <c r="AY751" s="7">
        <v>0.74979899999999999</v>
      </c>
      <c r="AZ751" s="7">
        <v>64.758993000000004</v>
      </c>
      <c r="BA751" s="7">
        <v>100</v>
      </c>
      <c r="BB751" s="7">
        <v>0.86261600000000005</v>
      </c>
      <c r="BC751" s="7">
        <v>43.130822000000002</v>
      </c>
      <c r="BD751" s="7">
        <v>50</v>
      </c>
      <c r="BE751" s="7">
        <v>0.62859600000000004</v>
      </c>
      <c r="BF751" s="7">
        <v>31.429811000000001</v>
      </c>
      <c r="BG751" s="7">
        <v>50</v>
      </c>
      <c r="BH751" s="7">
        <v>0</v>
      </c>
      <c r="BI751" s="7">
        <v>0.99657499999999999</v>
      </c>
      <c r="BJ751" s="7">
        <v>0.995726</v>
      </c>
      <c r="BK751" s="7">
        <v>1</v>
      </c>
      <c r="BL751" s="7">
        <v>0.99657499999999999</v>
      </c>
      <c r="BM751" s="7">
        <v>0.995726</v>
      </c>
      <c r="BN751" s="7">
        <v>1</v>
      </c>
      <c r="BO751" s="7">
        <v>1</v>
      </c>
      <c r="BP751" s="7">
        <v>1</v>
      </c>
      <c r="BQ751" s="7">
        <v>1</v>
      </c>
      <c r="BR751" s="7">
        <v>8.5066000000000003E-2</v>
      </c>
      <c r="BS751" s="7">
        <v>42.986767</v>
      </c>
      <c r="BT751" s="7">
        <v>50</v>
      </c>
      <c r="BU751" s="7">
        <v>8.6651000000000006E-2</v>
      </c>
      <c r="BV751" s="7">
        <v>42.669789000000002</v>
      </c>
      <c r="BW751" s="7">
        <v>50</v>
      </c>
      <c r="BX751" s="4" t="s">
        <v>124</v>
      </c>
      <c r="BY751" s="4" t="s">
        <v>124</v>
      </c>
      <c r="BZ751" s="4" t="s">
        <v>124</v>
      </c>
      <c r="CA751" s="4" t="s">
        <v>124</v>
      </c>
      <c r="CB751" s="4" t="s">
        <v>124</v>
      </c>
      <c r="CC751" s="4" t="s">
        <v>124</v>
      </c>
      <c r="CD751" s="4" t="s">
        <v>124</v>
      </c>
      <c r="CE751" s="4" t="s">
        <v>124</v>
      </c>
      <c r="CF751" s="4" t="s">
        <v>124</v>
      </c>
      <c r="CG751" s="4" t="s">
        <v>124</v>
      </c>
      <c r="CH751" s="4" t="s">
        <v>124</v>
      </c>
      <c r="CI751" s="4" t="s">
        <v>124</v>
      </c>
      <c r="CJ751" s="4" t="s">
        <v>124</v>
      </c>
      <c r="CK751" s="4" t="s">
        <v>124</v>
      </c>
      <c r="CL751" s="4" t="s">
        <v>124</v>
      </c>
      <c r="CM751" s="4" t="s">
        <v>124</v>
      </c>
      <c r="CN751" s="4" t="s">
        <v>124</v>
      </c>
      <c r="CO751" s="4" t="s">
        <v>124</v>
      </c>
      <c r="CP751" s="4" t="s">
        <v>124</v>
      </c>
      <c r="CQ751" s="7">
        <v>0.69892500000000002</v>
      </c>
      <c r="CR751" s="7">
        <v>0.96875</v>
      </c>
      <c r="CS751" s="7">
        <v>46.594982000000002</v>
      </c>
      <c r="CT751" s="7">
        <v>50</v>
      </c>
      <c r="CU751" s="4" t="s">
        <v>124</v>
      </c>
      <c r="CV751" s="4" t="s">
        <v>124</v>
      </c>
      <c r="CW751" s="4" t="s">
        <v>124</v>
      </c>
      <c r="CX751" s="4" t="s">
        <v>124</v>
      </c>
      <c r="CY751" s="4" t="s">
        <v>124</v>
      </c>
      <c r="CZ751" s="4" t="s">
        <v>124</v>
      </c>
      <c r="DA751" s="7">
        <v>15.314097</v>
      </c>
      <c r="DB751" s="7">
        <v>17.400950000000002</v>
      </c>
      <c r="DC751" s="7">
        <v>16.332519999999999</v>
      </c>
      <c r="DD751" s="4" t="s">
        <v>124</v>
      </c>
      <c r="DE751" s="7">
        <v>0</v>
      </c>
      <c r="DF751" s="6"/>
      <c r="DG751" s="6"/>
      <c r="DH751" s="6"/>
      <c r="DI751" s="6"/>
      <c r="DJ751" s="7">
        <v>0</v>
      </c>
      <c r="DK751" s="7">
        <v>0</v>
      </c>
      <c r="DL751" s="7">
        <v>0</v>
      </c>
      <c r="DM751" s="7">
        <v>0</v>
      </c>
      <c r="DN751" s="7">
        <v>0</v>
      </c>
      <c r="DO751" s="7">
        <v>0</v>
      </c>
      <c r="DP751" s="6"/>
      <c r="DQ751" s="4" t="s">
        <v>125</v>
      </c>
    </row>
    <row r="752" spans="1:121" ht="20" customHeight="1" x14ac:dyDescent="0.15">
      <c r="A752" s="5">
        <v>2018</v>
      </c>
      <c r="B752" s="3" t="s">
        <v>159</v>
      </c>
      <c r="C752" s="4" t="str">
        <f t="shared" si="237"/>
        <v>1030011</v>
      </c>
      <c r="D752" s="4" t="s">
        <v>907</v>
      </c>
      <c r="E752" s="4" t="str">
        <f>"1030811"</f>
        <v>1030811</v>
      </c>
      <c r="F752" s="4" t="s">
        <v>327</v>
      </c>
      <c r="G752" s="4" t="s">
        <v>338</v>
      </c>
      <c r="H752" s="7">
        <v>5</v>
      </c>
      <c r="I752" s="4" t="s">
        <v>335</v>
      </c>
      <c r="J752" s="4" t="s">
        <v>330</v>
      </c>
      <c r="K752" s="7">
        <v>712.33841199999995</v>
      </c>
      <c r="L752" s="7">
        <v>950</v>
      </c>
      <c r="M752" s="7">
        <v>74.982990999999998</v>
      </c>
      <c r="N752" s="7">
        <v>2</v>
      </c>
      <c r="O752" s="7">
        <v>0</v>
      </c>
      <c r="P752" s="7">
        <v>65.264429000000007</v>
      </c>
      <c r="Q752" s="7">
        <v>43.509619000000001</v>
      </c>
      <c r="R752" s="7">
        <v>50</v>
      </c>
      <c r="S752" s="7">
        <v>63.619894000000002</v>
      </c>
      <c r="T752" s="7">
        <v>72.865835000000004</v>
      </c>
      <c r="U752" s="7">
        <v>42.413262000000003</v>
      </c>
      <c r="V752" s="7">
        <v>50</v>
      </c>
      <c r="W752" s="7">
        <v>62.769973999999998</v>
      </c>
      <c r="X752" s="7">
        <v>41.846649999999997</v>
      </c>
      <c r="Y752" s="7">
        <v>50</v>
      </c>
      <c r="Z752" s="7">
        <v>69.605605999999995</v>
      </c>
      <c r="AA752" s="7">
        <v>61.291111999999998</v>
      </c>
      <c r="AB752" s="7">
        <v>40.860740999999997</v>
      </c>
      <c r="AC752" s="7">
        <v>50</v>
      </c>
      <c r="AD752" s="7">
        <v>63.127893999999998</v>
      </c>
      <c r="AE752" s="7">
        <v>42.085262</v>
      </c>
      <c r="AF752" s="7">
        <v>50</v>
      </c>
      <c r="AG752" s="7">
        <v>61.42765</v>
      </c>
      <c r="AH752" s="4" t="s">
        <v>124</v>
      </c>
      <c r="AI752" s="7">
        <v>40.951766999999997</v>
      </c>
      <c r="AJ752" s="7">
        <v>50</v>
      </c>
      <c r="AK752" s="7">
        <v>9.24</v>
      </c>
      <c r="AL752" s="7">
        <v>8.31</v>
      </c>
      <c r="AM752" s="4" t="s">
        <v>124</v>
      </c>
      <c r="AN752" s="7">
        <v>0.64826099999999998</v>
      </c>
      <c r="AO752" s="7">
        <v>64.826087000000001</v>
      </c>
      <c r="AP752" s="7">
        <v>100</v>
      </c>
      <c r="AQ752" s="7">
        <v>0.70147599999999999</v>
      </c>
      <c r="AR752" s="7">
        <v>70.147576000000001</v>
      </c>
      <c r="AS752" s="7">
        <v>100</v>
      </c>
      <c r="AT752" s="7">
        <v>0.63341800000000004</v>
      </c>
      <c r="AU752" s="7">
        <v>0.70943100000000003</v>
      </c>
      <c r="AV752" s="7">
        <v>63.341818000000004</v>
      </c>
      <c r="AW752" s="7">
        <v>100</v>
      </c>
      <c r="AX752" s="7">
        <v>0.69931399999999999</v>
      </c>
      <c r="AY752" s="7">
        <v>0.71038599999999996</v>
      </c>
      <c r="AZ752" s="7">
        <v>69.931363000000005</v>
      </c>
      <c r="BA752" s="7">
        <v>100</v>
      </c>
      <c r="BB752" s="7">
        <v>0.66799799999999998</v>
      </c>
      <c r="BC752" s="7">
        <v>33.399887</v>
      </c>
      <c r="BD752" s="7">
        <v>50</v>
      </c>
      <c r="BE752" s="7">
        <v>0.51689600000000002</v>
      </c>
      <c r="BF752" s="7">
        <v>25.844795999999999</v>
      </c>
      <c r="BG752" s="7">
        <v>50</v>
      </c>
      <c r="BH752" s="7">
        <v>0</v>
      </c>
      <c r="BI752" s="7">
        <v>1</v>
      </c>
      <c r="BJ752" s="7">
        <v>1</v>
      </c>
      <c r="BK752" s="7">
        <v>1</v>
      </c>
      <c r="BL752" s="7">
        <v>1</v>
      </c>
      <c r="BM752" s="7">
        <v>1</v>
      </c>
      <c r="BN752" s="7">
        <v>1</v>
      </c>
      <c r="BO752" s="7">
        <v>1</v>
      </c>
      <c r="BP752" s="7">
        <v>1</v>
      </c>
      <c r="BQ752" s="4" t="s">
        <v>124</v>
      </c>
      <c r="BR752" s="7">
        <v>7.2289000000000006E-2</v>
      </c>
      <c r="BS752" s="7">
        <v>45.542169000000001</v>
      </c>
      <c r="BT752" s="7">
        <v>50</v>
      </c>
      <c r="BU752" s="7">
        <v>7.6371999999999995E-2</v>
      </c>
      <c r="BV752" s="7">
        <v>44.725537000000003</v>
      </c>
      <c r="BW752" s="7">
        <v>50</v>
      </c>
      <c r="BX752" s="4" t="s">
        <v>124</v>
      </c>
      <c r="BY752" s="4" t="s">
        <v>124</v>
      </c>
      <c r="BZ752" s="4" t="s">
        <v>124</v>
      </c>
      <c r="CA752" s="4" t="s">
        <v>124</v>
      </c>
      <c r="CB752" s="4" t="s">
        <v>124</v>
      </c>
      <c r="CC752" s="4" t="s">
        <v>124</v>
      </c>
      <c r="CD752" s="4" t="s">
        <v>124</v>
      </c>
      <c r="CE752" s="4" t="s">
        <v>124</v>
      </c>
      <c r="CF752" s="4" t="s">
        <v>124</v>
      </c>
      <c r="CG752" s="4" t="s">
        <v>124</v>
      </c>
      <c r="CH752" s="4" t="s">
        <v>124</v>
      </c>
      <c r="CI752" s="4" t="s">
        <v>124</v>
      </c>
      <c r="CJ752" s="4" t="s">
        <v>124</v>
      </c>
      <c r="CK752" s="4" t="s">
        <v>124</v>
      </c>
      <c r="CL752" s="4" t="s">
        <v>124</v>
      </c>
      <c r="CM752" s="4" t="s">
        <v>124</v>
      </c>
      <c r="CN752" s="4" t="s">
        <v>124</v>
      </c>
      <c r="CO752" s="4" t="s">
        <v>124</v>
      </c>
      <c r="CP752" s="4" t="s">
        <v>124</v>
      </c>
      <c r="CQ752" s="7">
        <v>0.64367799999999997</v>
      </c>
      <c r="CR752" s="7">
        <v>1</v>
      </c>
      <c r="CS752" s="7">
        <v>42.911876999999997</v>
      </c>
      <c r="CT752" s="7">
        <v>50</v>
      </c>
      <c r="CU752" s="4" t="s">
        <v>124</v>
      </c>
      <c r="CV752" s="4" t="s">
        <v>124</v>
      </c>
      <c r="CW752" s="4" t="s">
        <v>124</v>
      </c>
      <c r="CX752" s="4" t="s">
        <v>124</v>
      </c>
      <c r="CY752" s="4" t="s">
        <v>124</v>
      </c>
      <c r="CZ752" s="4" t="s">
        <v>124</v>
      </c>
      <c r="DA752" s="7">
        <v>15.314097</v>
      </c>
      <c r="DB752" s="7">
        <v>17.400950000000002</v>
      </c>
      <c r="DC752" s="7">
        <v>16.332519999999999</v>
      </c>
      <c r="DD752" s="4" t="s">
        <v>124</v>
      </c>
      <c r="DE752" s="7">
        <v>0</v>
      </c>
      <c r="DF752" s="6"/>
      <c r="DG752" s="6"/>
      <c r="DH752" s="6"/>
      <c r="DI752" s="6"/>
      <c r="DJ752" s="7">
        <v>0</v>
      </c>
      <c r="DK752" s="7">
        <v>0</v>
      </c>
      <c r="DL752" s="7">
        <v>0</v>
      </c>
      <c r="DM752" s="7">
        <v>0</v>
      </c>
      <c r="DN752" s="7">
        <v>0</v>
      </c>
      <c r="DO752" s="7">
        <v>0</v>
      </c>
      <c r="DP752" s="6"/>
      <c r="DQ752" s="4" t="s">
        <v>125</v>
      </c>
    </row>
    <row r="753" spans="1:121" ht="20" customHeight="1" x14ac:dyDescent="0.15">
      <c r="A753" s="5">
        <v>2018</v>
      </c>
      <c r="B753" s="3" t="s">
        <v>159</v>
      </c>
      <c r="C753" s="4" t="str">
        <f>"1030011"</f>
        <v>1030011</v>
      </c>
      <c r="D753" s="4" t="s">
        <v>908</v>
      </c>
      <c r="E753" s="4" t="str">
        <f>"1032211"</f>
        <v>1032211</v>
      </c>
      <c r="F753" s="4" t="s">
        <v>327</v>
      </c>
      <c r="G753" s="4" t="s">
        <v>338</v>
      </c>
      <c r="H753" s="7">
        <v>5</v>
      </c>
      <c r="I753" s="4" t="s">
        <v>335</v>
      </c>
      <c r="J753" s="4" t="s">
        <v>330</v>
      </c>
      <c r="K753" s="7">
        <v>791.63428899999997</v>
      </c>
      <c r="L753" s="7">
        <v>950</v>
      </c>
      <c r="M753" s="7">
        <v>83.329925000000003</v>
      </c>
      <c r="N753" s="7">
        <v>2</v>
      </c>
      <c r="O753" s="7">
        <v>0</v>
      </c>
      <c r="P753" s="7">
        <v>70.683888999999994</v>
      </c>
      <c r="Q753" s="7">
        <v>47.122593000000002</v>
      </c>
      <c r="R753" s="7">
        <v>50</v>
      </c>
      <c r="S753" s="7">
        <v>66.023588000000004</v>
      </c>
      <c r="T753" s="7">
        <v>75</v>
      </c>
      <c r="U753" s="7">
        <v>44.015725000000003</v>
      </c>
      <c r="V753" s="7">
        <v>50</v>
      </c>
      <c r="W753" s="7">
        <v>68.414838000000003</v>
      </c>
      <c r="X753" s="7">
        <v>45.609892000000002</v>
      </c>
      <c r="Y753" s="7">
        <v>50</v>
      </c>
      <c r="Z753" s="7">
        <v>74.730163000000005</v>
      </c>
      <c r="AA753" s="7">
        <v>64.933949999999996</v>
      </c>
      <c r="AB753" s="7">
        <v>43.289299999999997</v>
      </c>
      <c r="AC753" s="7">
        <v>50</v>
      </c>
      <c r="AD753" s="7">
        <v>70.052029000000005</v>
      </c>
      <c r="AE753" s="7">
        <v>46.701352999999997</v>
      </c>
      <c r="AF753" s="7">
        <v>50</v>
      </c>
      <c r="AG753" s="7">
        <v>62.388993999999997</v>
      </c>
      <c r="AH753" s="7">
        <v>75</v>
      </c>
      <c r="AI753" s="7">
        <v>41.592663000000002</v>
      </c>
      <c r="AJ753" s="7">
        <v>50</v>
      </c>
      <c r="AK753" s="7">
        <v>8.9700000000000006</v>
      </c>
      <c r="AL753" s="7">
        <v>9.7899999999999991</v>
      </c>
      <c r="AM753" s="7">
        <v>12.61</v>
      </c>
      <c r="AN753" s="7">
        <v>0.678616</v>
      </c>
      <c r="AO753" s="7">
        <v>67.861585000000005</v>
      </c>
      <c r="AP753" s="7">
        <v>100</v>
      </c>
      <c r="AQ753" s="7">
        <v>0.85511400000000004</v>
      </c>
      <c r="AR753" s="7">
        <v>85.511393999999996</v>
      </c>
      <c r="AS753" s="7">
        <v>100</v>
      </c>
      <c r="AT753" s="7">
        <v>0.68703199999999998</v>
      </c>
      <c r="AU753" s="7">
        <v>0.66554100000000005</v>
      </c>
      <c r="AV753" s="7">
        <v>68.703171999999995</v>
      </c>
      <c r="AW753" s="7">
        <v>100</v>
      </c>
      <c r="AX753" s="7">
        <v>0.89432699999999998</v>
      </c>
      <c r="AY753" s="7">
        <v>0.79419399999999996</v>
      </c>
      <c r="AZ753" s="7">
        <v>89.432698000000002</v>
      </c>
      <c r="BA753" s="7">
        <v>100</v>
      </c>
      <c r="BB753" s="7">
        <v>0.722549</v>
      </c>
      <c r="BC753" s="7">
        <v>36.127470000000002</v>
      </c>
      <c r="BD753" s="7">
        <v>50</v>
      </c>
      <c r="BE753" s="7">
        <v>0.53175899999999998</v>
      </c>
      <c r="BF753" s="7">
        <v>26.587945999999999</v>
      </c>
      <c r="BG753" s="7">
        <v>50</v>
      </c>
      <c r="BH753" s="7">
        <v>0</v>
      </c>
      <c r="BI753" s="7">
        <v>1</v>
      </c>
      <c r="BJ753" s="7">
        <v>1</v>
      </c>
      <c r="BK753" s="7">
        <v>1</v>
      </c>
      <c r="BL753" s="7">
        <v>1</v>
      </c>
      <c r="BM753" s="7">
        <v>1</v>
      </c>
      <c r="BN753" s="7">
        <v>1</v>
      </c>
      <c r="BO753" s="7">
        <v>1</v>
      </c>
      <c r="BP753" s="7">
        <v>1</v>
      </c>
      <c r="BQ753" s="7">
        <v>1</v>
      </c>
      <c r="BR753" s="7">
        <v>4.8951000000000001E-2</v>
      </c>
      <c r="BS753" s="7">
        <v>50</v>
      </c>
      <c r="BT753" s="7">
        <v>50</v>
      </c>
      <c r="BU753" s="7">
        <v>5.4607999999999997E-2</v>
      </c>
      <c r="BV753" s="7">
        <v>49.078498000000003</v>
      </c>
      <c r="BW753" s="7">
        <v>50</v>
      </c>
      <c r="BX753" s="4" t="s">
        <v>124</v>
      </c>
      <c r="BY753" s="4" t="s">
        <v>124</v>
      </c>
      <c r="BZ753" s="4" t="s">
        <v>124</v>
      </c>
      <c r="CA753" s="4" t="s">
        <v>124</v>
      </c>
      <c r="CB753" s="4" t="s">
        <v>124</v>
      </c>
      <c r="CC753" s="4" t="s">
        <v>124</v>
      </c>
      <c r="CD753" s="4" t="s">
        <v>124</v>
      </c>
      <c r="CE753" s="4" t="s">
        <v>124</v>
      </c>
      <c r="CF753" s="4" t="s">
        <v>124</v>
      </c>
      <c r="CG753" s="4" t="s">
        <v>124</v>
      </c>
      <c r="CH753" s="4" t="s">
        <v>124</v>
      </c>
      <c r="CI753" s="4" t="s">
        <v>124</v>
      </c>
      <c r="CJ753" s="4" t="s">
        <v>124</v>
      </c>
      <c r="CK753" s="4" t="s">
        <v>124</v>
      </c>
      <c r="CL753" s="4" t="s">
        <v>124</v>
      </c>
      <c r="CM753" s="4" t="s">
        <v>124</v>
      </c>
      <c r="CN753" s="4" t="s">
        <v>124</v>
      </c>
      <c r="CO753" s="4" t="s">
        <v>124</v>
      </c>
      <c r="CP753" s="4" t="s">
        <v>124</v>
      </c>
      <c r="CQ753" s="7">
        <v>0.84337300000000004</v>
      </c>
      <c r="CR753" s="7">
        <v>1</v>
      </c>
      <c r="CS753" s="7">
        <v>50</v>
      </c>
      <c r="CT753" s="7">
        <v>50</v>
      </c>
      <c r="CU753" s="4" t="s">
        <v>124</v>
      </c>
      <c r="CV753" s="4" t="s">
        <v>124</v>
      </c>
      <c r="CW753" s="4" t="s">
        <v>124</v>
      </c>
      <c r="CX753" s="4" t="s">
        <v>124</v>
      </c>
      <c r="CY753" s="4" t="s">
        <v>124</v>
      </c>
      <c r="CZ753" s="4" t="s">
        <v>124</v>
      </c>
      <c r="DA753" s="7">
        <v>15.314097</v>
      </c>
      <c r="DB753" s="7">
        <v>17.400950000000002</v>
      </c>
      <c r="DC753" s="7">
        <v>16.332519999999999</v>
      </c>
      <c r="DD753" s="4" t="s">
        <v>124</v>
      </c>
      <c r="DE753" s="7">
        <v>0</v>
      </c>
      <c r="DF753" s="6"/>
      <c r="DG753" s="6"/>
      <c r="DH753" s="4" t="s">
        <v>331</v>
      </c>
      <c r="DI753" s="4" t="s">
        <v>452</v>
      </c>
      <c r="DJ753" s="7">
        <v>0</v>
      </c>
      <c r="DK753" s="7">
        <v>0</v>
      </c>
      <c r="DL753" s="7">
        <v>1</v>
      </c>
      <c r="DM753" s="7">
        <v>0</v>
      </c>
      <c r="DN753" s="7">
        <v>1</v>
      </c>
      <c r="DO753" s="7">
        <v>0</v>
      </c>
      <c r="DP753" s="6"/>
      <c r="DQ753" s="4" t="s">
        <v>125</v>
      </c>
    </row>
    <row r="754" spans="1:121" ht="20" customHeight="1" x14ac:dyDescent="0.15">
      <c r="A754" s="5">
        <v>2018</v>
      </c>
      <c r="B754" s="3" t="s">
        <v>159</v>
      </c>
      <c r="C754" s="4" t="str">
        <f t="shared" si="237"/>
        <v>1030011</v>
      </c>
      <c r="D754" s="4" t="s">
        <v>909</v>
      </c>
      <c r="E754" s="4" t="str">
        <f>"1032111"</f>
        <v>1032111</v>
      </c>
      <c r="F754" s="4" t="s">
        <v>327</v>
      </c>
      <c r="G754" s="4" t="s">
        <v>328</v>
      </c>
      <c r="H754" s="7">
        <v>5</v>
      </c>
      <c r="I754" s="6"/>
      <c r="J754" s="4" t="s">
        <v>330</v>
      </c>
      <c r="K754" s="7">
        <v>702.06001700000002</v>
      </c>
      <c r="L754" s="7">
        <v>950</v>
      </c>
      <c r="M754" s="7">
        <v>73.901054000000002</v>
      </c>
      <c r="N754" s="7">
        <v>2</v>
      </c>
      <c r="O754" s="7">
        <v>0</v>
      </c>
      <c r="P754" s="7">
        <v>71.047585999999995</v>
      </c>
      <c r="Q754" s="7">
        <v>47.365057</v>
      </c>
      <c r="R754" s="7">
        <v>50</v>
      </c>
      <c r="S754" s="7">
        <v>63.986078999999997</v>
      </c>
      <c r="T754" s="7">
        <v>75</v>
      </c>
      <c r="U754" s="7">
        <v>42.657386000000002</v>
      </c>
      <c r="V754" s="7">
        <v>50</v>
      </c>
      <c r="W754" s="7">
        <v>66.748904999999993</v>
      </c>
      <c r="X754" s="7">
        <v>44.499270000000003</v>
      </c>
      <c r="Y754" s="7">
        <v>50</v>
      </c>
      <c r="Z754" s="7">
        <v>75</v>
      </c>
      <c r="AA754" s="7">
        <v>61.142741000000001</v>
      </c>
      <c r="AB754" s="7">
        <v>40.761826999999997</v>
      </c>
      <c r="AC754" s="7">
        <v>50</v>
      </c>
      <c r="AD754" s="7">
        <v>68.420507000000001</v>
      </c>
      <c r="AE754" s="7">
        <v>45.613670999999997</v>
      </c>
      <c r="AF754" s="7">
        <v>50</v>
      </c>
      <c r="AG754" s="7">
        <v>62.582343000000002</v>
      </c>
      <c r="AH754" s="4" t="s">
        <v>124</v>
      </c>
      <c r="AI754" s="7">
        <v>41.721561999999999</v>
      </c>
      <c r="AJ754" s="7">
        <v>50</v>
      </c>
      <c r="AK754" s="7">
        <v>11.01</v>
      </c>
      <c r="AL754" s="7">
        <v>13.85</v>
      </c>
      <c r="AM754" s="4" t="s">
        <v>124</v>
      </c>
      <c r="AN754" s="7">
        <v>0.57404500000000003</v>
      </c>
      <c r="AO754" s="7">
        <v>57.404510999999999</v>
      </c>
      <c r="AP754" s="7">
        <v>100</v>
      </c>
      <c r="AQ754" s="7">
        <v>0.59448699999999999</v>
      </c>
      <c r="AR754" s="7">
        <v>59.448740000000001</v>
      </c>
      <c r="AS754" s="7">
        <v>100</v>
      </c>
      <c r="AT754" s="7">
        <v>0.51884699999999995</v>
      </c>
      <c r="AU754" s="7">
        <v>0.66005100000000005</v>
      </c>
      <c r="AV754" s="7">
        <v>51.884737999999999</v>
      </c>
      <c r="AW754" s="7">
        <v>100</v>
      </c>
      <c r="AX754" s="7">
        <v>0.54349099999999995</v>
      </c>
      <c r="AY754" s="7">
        <v>0.67394699999999996</v>
      </c>
      <c r="AZ754" s="7">
        <v>54.349063000000001</v>
      </c>
      <c r="BA754" s="7">
        <v>100</v>
      </c>
      <c r="BB754" s="7">
        <v>0.98470800000000003</v>
      </c>
      <c r="BC754" s="7">
        <v>49.235385999999998</v>
      </c>
      <c r="BD754" s="7">
        <v>50</v>
      </c>
      <c r="BE754" s="7">
        <v>0.65181699999999998</v>
      </c>
      <c r="BF754" s="7">
        <v>32.590873000000002</v>
      </c>
      <c r="BG754" s="7">
        <v>50</v>
      </c>
      <c r="BH754" s="7">
        <v>0</v>
      </c>
      <c r="BI754" s="7">
        <v>0.99465199999999998</v>
      </c>
      <c r="BJ754" s="7">
        <v>1</v>
      </c>
      <c r="BK754" s="7">
        <v>0.98550700000000002</v>
      </c>
      <c r="BL754" s="7">
        <v>0.99468100000000004</v>
      </c>
      <c r="BM754" s="7">
        <v>1</v>
      </c>
      <c r="BN754" s="7">
        <v>0.98550700000000002</v>
      </c>
      <c r="BO754" s="7">
        <v>1</v>
      </c>
      <c r="BP754" s="7">
        <v>1</v>
      </c>
      <c r="BQ754" s="4" t="s">
        <v>124</v>
      </c>
      <c r="BR754" s="7">
        <v>6.7416000000000004E-2</v>
      </c>
      <c r="BS754" s="7">
        <v>46.516854000000002</v>
      </c>
      <c r="BT754" s="7">
        <v>50</v>
      </c>
      <c r="BU754" s="7">
        <v>7.3058999999999999E-2</v>
      </c>
      <c r="BV754" s="7">
        <v>45.388128000000002</v>
      </c>
      <c r="BW754" s="7">
        <v>50</v>
      </c>
      <c r="BX754" s="4" t="s">
        <v>124</v>
      </c>
      <c r="BY754" s="4" t="s">
        <v>124</v>
      </c>
      <c r="BZ754" s="4" t="s">
        <v>124</v>
      </c>
      <c r="CA754" s="4" t="s">
        <v>124</v>
      </c>
      <c r="CB754" s="4" t="s">
        <v>124</v>
      </c>
      <c r="CC754" s="4" t="s">
        <v>124</v>
      </c>
      <c r="CD754" s="4" t="s">
        <v>124</v>
      </c>
      <c r="CE754" s="4" t="s">
        <v>124</v>
      </c>
      <c r="CF754" s="4" t="s">
        <v>124</v>
      </c>
      <c r="CG754" s="4" t="s">
        <v>124</v>
      </c>
      <c r="CH754" s="4" t="s">
        <v>124</v>
      </c>
      <c r="CI754" s="4" t="s">
        <v>124</v>
      </c>
      <c r="CJ754" s="4" t="s">
        <v>124</v>
      </c>
      <c r="CK754" s="4" t="s">
        <v>124</v>
      </c>
      <c r="CL754" s="4" t="s">
        <v>124</v>
      </c>
      <c r="CM754" s="4" t="s">
        <v>124</v>
      </c>
      <c r="CN754" s="4" t="s">
        <v>124</v>
      </c>
      <c r="CO754" s="4" t="s">
        <v>124</v>
      </c>
      <c r="CP754" s="4" t="s">
        <v>124</v>
      </c>
      <c r="CQ754" s="7">
        <v>0.63934400000000002</v>
      </c>
      <c r="CR754" s="7">
        <v>1</v>
      </c>
      <c r="CS754" s="7">
        <v>42.622951</v>
      </c>
      <c r="CT754" s="7">
        <v>50</v>
      </c>
      <c r="CU754" s="4" t="s">
        <v>124</v>
      </c>
      <c r="CV754" s="4" t="s">
        <v>124</v>
      </c>
      <c r="CW754" s="4" t="s">
        <v>124</v>
      </c>
      <c r="CX754" s="4" t="s">
        <v>124</v>
      </c>
      <c r="CY754" s="4" t="s">
        <v>124</v>
      </c>
      <c r="CZ754" s="4" t="s">
        <v>124</v>
      </c>
      <c r="DA754" s="7">
        <v>15.314097</v>
      </c>
      <c r="DB754" s="7">
        <v>17.400950000000002</v>
      </c>
      <c r="DC754" s="7">
        <v>16.332519999999999</v>
      </c>
      <c r="DD754" s="4" t="s">
        <v>124</v>
      </c>
      <c r="DE754" s="7">
        <v>0</v>
      </c>
      <c r="DF754" s="6"/>
      <c r="DG754" s="6"/>
      <c r="DH754" s="6"/>
      <c r="DI754" s="6"/>
      <c r="DJ754" s="7">
        <v>0</v>
      </c>
      <c r="DK754" s="7">
        <v>0</v>
      </c>
      <c r="DL754" s="7">
        <v>0</v>
      </c>
      <c r="DM754" s="7">
        <v>0</v>
      </c>
      <c r="DN754" s="7">
        <v>0</v>
      </c>
      <c r="DO754" s="7">
        <v>0</v>
      </c>
      <c r="DP754" s="6"/>
      <c r="DQ754" s="4" t="s">
        <v>125</v>
      </c>
    </row>
    <row r="755" spans="1:121" ht="20" customHeight="1" x14ac:dyDescent="0.15">
      <c r="A755" s="5">
        <v>2018</v>
      </c>
      <c r="B755" s="3" t="s">
        <v>159</v>
      </c>
      <c r="C755" s="4" t="str">
        <f t="shared" si="237"/>
        <v>1030011</v>
      </c>
      <c r="D755" s="4" t="s">
        <v>910</v>
      </c>
      <c r="E755" s="4" t="str">
        <f>"1035211"</f>
        <v>1035211</v>
      </c>
      <c r="F755" s="4" t="s">
        <v>327</v>
      </c>
      <c r="G755" s="7">
        <v>6</v>
      </c>
      <c r="H755" s="7">
        <v>8</v>
      </c>
      <c r="I755" s="6"/>
      <c r="J755" s="4" t="s">
        <v>330</v>
      </c>
      <c r="K755" s="7">
        <v>642.665344</v>
      </c>
      <c r="L755" s="7">
        <v>1000</v>
      </c>
      <c r="M755" s="7">
        <v>64.266533999999993</v>
      </c>
      <c r="N755" s="7">
        <v>3</v>
      </c>
      <c r="O755" s="7">
        <v>1</v>
      </c>
      <c r="P755" s="7">
        <v>64.182543999999993</v>
      </c>
      <c r="Q755" s="7">
        <v>42.788362999999997</v>
      </c>
      <c r="R755" s="7">
        <v>50</v>
      </c>
      <c r="S755" s="7">
        <v>58.298380999999999</v>
      </c>
      <c r="T755" s="7">
        <v>74.372844000000001</v>
      </c>
      <c r="U755" s="7">
        <v>38.865586999999998</v>
      </c>
      <c r="V755" s="7">
        <v>50</v>
      </c>
      <c r="W755" s="7">
        <v>57.826433000000002</v>
      </c>
      <c r="X755" s="7">
        <v>38.550955000000002</v>
      </c>
      <c r="Y755" s="7">
        <v>50</v>
      </c>
      <c r="Z755" s="7">
        <v>68.808897999999999</v>
      </c>
      <c r="AA755" s="7">
        <v>51.484851999999997</v>
      </c>
      <c r="AB755" s="7">
        <v>34.323233999999999</v>
      </c>
      <c r="AC755" s="7">
        <v>50</v>
      </c>
      <c r="AD755" s="7">
        <v>58.222738</v>
      </c>
      <c r="AE755" s="7">
        <v>38.815159000000001</v>
      </c>
      <c r="AF755" s="7">
        <v>50</v>
      </c>
      <c r="AG755" s="7">
        <v>53.227663</v>
      </c>
      <c r="AH755" s="7">
        <v>66.727866000000006</v>
      </c>
      <c r="AI755" s="7">
        <v>35.485109000000001</v>
      </c>
      <c r="AJ755" s="7">
        <v>50</v>
      </c>
      <c r="AK755" s="7">
        <v>16.07</v>
      </c>
      <c r="AL755" s="7">
        <v>17.32</v>
      </c>
      <c r="AM755" s="7">
        <v>13.5</v>
      </c>
      <c r="AN755" s="7">
        <v>0.58565599999999995</v>
      </c>
      <c r="AO755" s="7">
        <v>58.565615000000001</v>
      </c>
      <c r="AP755" s="7">
        <v>100</v>
      </c>
      <c r="AQ755" s="7">
        <v>0.50376600000000005</v>
      </c>
      <c r="AR755" s="7">
        <v>50.376648000000003</v>
      </c>
      <c r="AS755" s="7">
        <v>100</v>
      </c>
      <c r="AT755" s="7">
        <v>0.58401499999999995</v>
      </c>
      <c r="AU755" s="7">
        <v>0.58842099999999997</v>
      </c>
      <c r="AV755" s="7">
        <v>58.401471999999998</v>
      </c>
      <c r="AW755" s="7">
        <v>100</v>
      </c>
      <c r="AX755" s="7">
        <v>0.47371099999999999</v>
      </c>
      <c r="AY755" s="7">
        <v>0.55440100000000003</v>
      </c>
      <c r="AZ755" s="7">
        <v>47.371085999999998</v>
      </c>
      <c r="BA755" s="7">
        <v>100</v>
      </c>
      <c r="BB755" s="7">
        <v>0.77302499999999996</v>
      </c>
      <c r="BC755" s="7">
        <v>38.651266</v>
      </c>
      <c r="BD755" s="7">
        <v>50</v>
      </c>
      <c r="BE755" s="7">
        <v>0.69955299999999998</v>
      </c>
      <c r="BF755" s="7">
        <v>34.977668999999999</v>
      </c>
      <c r="BG755" s="7">
        <v>50</v>
      </c>
      <c r="BH755" s="7">
        <v>0</v>
      </c>
      <c r="BI755" s="7">
        <v>0.98480199999999996</v>
      </c>
      <c r="BJ755" s="7">
        <v>0.99069799999999997</v>
      </c>
      <c r="BK755" s="7">
        <v>0.97368399999999999</v>
      </c>
      <c r="BL755" s="7">
        <v>0.98480199999999996</v>
      </c>
      <c r="BM755" s="7">
        <v>0.99069799999999997</v>
      </c>
      <c r="BN755" s="7">
        <v>0.97368399999999999</v>
      </c>
      <c r="BO755" s="7">
        <v>0.99086799999999997</v>
      </c>
      <c r="BP755" s="7">
        <v>0.98620699999999994</v>
      </c>
      <c r="BQ755" s="7">
        <v>1</v>
      </c>
      <c r="BR755" s="7">
        <v>0.13939399999999999</v>
      </c>
      <c r="BS755" s="7">
        <v>32.121212</v>
      </c>
      <c r="BT755" s="7">
        <v>50</v>
      </c>
      <c r="BU755" s="7">
        <v>0.17757000000000001</v>
      </c>
      <c r="BV755" s="7">
        <v>24.485980999999999</v>
      </c>
      <c r="BW755" s="7">
        <v>50</v>
      </c>
      <c r="BX755" s="4" t="s">
        <v>124</v>
      </c>
      <c r="BY755" s="4" t="s">
        <v>124</v>
      </c>
      <c r="BZ755" s="4" t="s">
        <v>124</v>
      </c>
      <c r="CA755" s="4" t="s">
        <v>124</v>
      </c>
      <c r="CB755" s="4" t="s">
        <v>124</v>
      </c>
      <c r="CC755" s="4" t="s">
        <v>124</v>
      </c>
      <c r="CD755" s="7">
        <v>0.96521699999999999</v>
      </c>
      <c r="CE755" s="7">
        <v>50</v>
      </c>
      <c r="CF755" s="7">
        <v>50</v>
      </c>
      <c r="CG755" s="4" t="s">
        <v>124</v>
      </c>
      <c r="CH755" s="4" t="s">
        <v>124</v>
      </c>
      <c r="CI755" s="4" t="s">
        <v>124</v>
      </c>
      <c r="CJ755" s="4" t="s">
        <v>124</v>
      </c>
      <c r="CK755" s="4" t="s">
        <v>124</v>
      </c>
      <c r="CL755" s="4" t="s">
        <v>124</v>
      </c>
      <c r="CM755" s="4" t="s">
        <v>124</v>
      </c>
      <c r="CN755" s="4" t="s">
        <v>124</v>
      </c>
      <c r="CO755" s="4" t="s">
        <v>124</v>
      </c>
      <c r="CP755" s="4" t="s">
        <v>124</v>
      </c>
      <c r="CQ755" s="7">
        <v>0.56657999999999997</v>
      </c>
      <c r="CR755" s="7">
        <v>0.88046000000000002</v>
      </c>
      <c r="CS755" s="7">
        <v>18.885988000000001</v>
      </c>
      <c r="CT755" s="7">
        <v>50</v>
      </c>
      <c r="CU755" s="4" t="s">
        <v>124</v>
      </c>
      <c r="CV755" s="4" t="s">
        <v>124</v>
      </c>
      <c r="CW755" s="4" t="s">
        <v>124</v>
      </c>
      <c r="CX755" s="4" t="s">
        <v>124</v>
      </c>
      <c r="CY755" s="4" t="s">
        <v>124</v>
      </c>
      <c r="CZ755" s="4" t="s">
        <v>124</v>
      </c>
      <c r="DA755" s="7">
        <v>15.314097</v>
      </c>
      <c r="DB755" s="7">
        <v>17.400950000000002</v>
      </c>
      <c r="DC755" s="7">
        <v>16.332519999999999</v>
      </c>
      <c r="DD755" s="4" t="s">
        <v>124</v>
      </c>
      <c r="DE755" s="7">
        <v>1</v>
      </c>
      <c r="DF755" s="6"/>
      <c r="DG755" s="6"/>
      <c r="DH755" s="6"/>
      <c r="DI755" s="6"/>
      <c r="DJ755" s="7">
        <v>0</v>
      </c>
      <c r="DK755" s="7">
        <v>0</v>
      </c>
      <c r="DL755" s="7">
        <v>0</v>
      </c>
      <c r="DM755" s="7">
        <v>0</v>
      </c>
      <c r="DN755" s="7">
        <v>0</v>
      </c>
      <c r="DO755" s="7">
        <v>0</v>
      </c>
      <c r="DP755" s="6"/>
      <c r="DQ755" s="4" t="s">
        <v>125</v>
      </c>
    </row>
    <row r="756" spans="1:121" ht="20" customHeight="1" x14ac:dyDescent="0.15">
      <c r="A756" s="5">
        <v>2018</v>
      </c>
      <c r="B756" s="3" t="s">
        <v>159</v>
      </c>
      <c r="C756" s="4" t="str">
        <f t="shared" si="237"/>
        <v>1030011</v>
      </c>
      <c r="D756" s="4" t="s">
        <v>911</v>
      </c>
      <c r="E756" s="4" t="str">
        <f>"1036111"</f>
        <v>1036111</v>
      </c>
      <c r="F756" s="4" t="s">
        <v>327</v>
      </c>
      <c r="G756" s="7">
        <v>9</v>
      </c>
      <c r="H756" s="7">
        <v>12</v>
      </c>
      <c r="I756" s="6"/>
      <c r="J756" s="4" t="s">
        <v>330</v>
      </c>
      <c r="K756" s="7">
        <v>1089.067219</v>
      </c>
      <c r="L756" s="7">
        <v>1550</v>
      </c>
      <c r="M756" s="7">
        <v>70.262400999999997</v>
      </c>
      <c r="N756" s="7">
        <v>3</v>
      </c>
      <c r="O756" s="7">
        <v>1</v>
      </c>
      <c r="P756" s="7">
        <v>53.350693999999997</v>
      </c>
      <c r="Q756" s="7">
        <v>106.70138900000001</v>
      </c>
      <c r="R756" s="7">
        <v>150</v>
      </c>
      <c r="S756" s="7">
        <v>45.548575</v>
      </c>
      <c r="T756" s="7">
        <v>62.606625000000001</v>
      </c>
      <c r="U756" s="7">
        <v>91.097149999999999</v>
      </c>
      <c r="V756" s="7">
        <v>150</v>
      </c>
      <c r="W756" s="7">
        <v>50.569443999999997</v>
      </c>
      <c r="X756" s="7">
        <v>101.13888900000001</v>
      </c>
      <c r="Y756" s="7">
        <v>150</v>
      </c>
      <c r="Z756" s="7">
        <v>60.010351999999997</v>
      </c>
      <c r="AA756" s="7">
        <v>42.611401999999998</v>
      </c>
      <c r="AB756" s="7">
        <v>85.222803999999996</v>
      </c>
      <c r="AC756" s="7">
        <v>150</v>
      </c>
      <c r="AD756" s="7">
        <v>50.558830999999998</v>
      </c>
      <c r="AE756" s="7">
        <v>67.411773999999994</v>
      </c>
      <c r="AF756" s="7">
        <v>100</v>
      </c>
      <c r="AG756" s="7">
        <v>45.266933999999999</v>
      </c>
      <c r="AH756" s="7">
        <v>56.902532000000001</v>
      </c>
      <c r="AI756" s="7">
        <v>60.355911999999996</v>
      </c>
      <c r="AJ756" s="7">
        <v>100</v>
      </c>
      <c r="AK756" s="7">
        <v>17.05</v>
      </c>
      <c r="AL756" s="7">
        <v>17.39</v>
      </c>
      <c r="AM756" s="7">
        <v>11.63</v>
      </c>
      <c r="AN756" s="4" t="s">
        <v>124</v>
      </c>
      <c r="AO756" s="4" t="s">
        <v>124</v>
      </c>
      <c r="AP756" s="4" t="s">
        <v>124</v>
      </c>
      <c r="AQ756" s="4" t="s">
        <v>124</v>
      </c>
      <c r="AR756" s="4" t="s">
        <v>124</v>
      </c>
      <c r="AS756" s="4" t="s">
        <v>124</v>
      </c>
      <c r="AT756" s="4" t="s">
        <v>124</v>
      </c>
      <c r="AU756" s="4" t="s">
        <v>124</v>
      </c>
      <c r="AV756" s="4" t="s">
        <v>124</v>
      </c>
      <c r="AW756" s="4" t="s">
        <v>124</v>
      </c>
      <c r="AX756" s="4" t="s">
        <v>124</v>
      </c>
      <c r="AY756" s="4" t="s">
        <v>124</v>
      </c>
      <c r="AZ756" s="4" t="s">
        <v>124</v>
      </c>
      <c r="BA756" s="4" t="s">
        <v>124</v>
      </c>
      <c r="BB756" s="7">
        <v>0.56666300000000003</v>
      </c>
      <c r="BC756" s="7">
        <v>28.333134000000001</v>
      </c>
      <c r="BD756" s="7">
        <v>50</v>
      </c>
      <c r="BE756" s="7">
        <v>0.64891399999999999</v>
      </c>
      <c r="BF756" s="7">
        <v>32.445683000000002</v>
      </c>
      <c r="BG756" s="7">
        <v>50</v>
      </c>
      <c r="BH756" s="7">
        <v>0</v>
      </c>
      <c r="BI756" s="7">
        <v>0.98930499999999999</v>
      </c>
      <c r="BJ756" s="7">
        <v>0.981043</v>
      </c>
      <c r="BK756" s="7">
        <v>1</v>
      </c>
      <c r="BL756" s="7">
        <v>0.98930499999999999</v>
      </c>
      <c r="BM756" s="7">
        <v>0.981043</v>
      </c>
      <c r="BN756" s="7">
        <v>1</v>
      </c>
      <c r="BO756" s="7">
        <v>0.98395699999999997</v>
      </c>
      <c r="BP756" s="7">
        <v>0.97156399999999998</v>
      </c>
      <c r="BQ756" s="7">
        <v>1</v>
      </c>
      <c r="BR756" s="7">
        <v>0.17694499999999999</v>
      </c>
      <c r="BS756" s="7">
        <v>24.610951</v>
      </c>
      <c r="BT756" s="7">
        <v>50</v>
      </c>
      <c r="BU756" s="7">
        <v>0.22731599999999999</v>
      </c>
      <c r="BV756" s="7">
        <v>14.536771999999999</v>
      </c>
      <c r="BW756" s="7">
        <v>50</v>
      </c>
      <c r="BX756" s="7">
        <v>0.85958000000000001</v>
      </c>
      <c r="BY756" s="7">
        <v>50</v>
      </c>
      <c r="BZ756" s="7">
        <v>50</v>
      </c>
      <c r="CA756" s="7">
        <v>0.39370100000000002</v>
      </c>
      <c r="CB756" s="7">
        <v>26.246718999999999</v>
      </c>
      <c r="CC756" s="7">
        <v>50</v>
      </c>
      <c r="CD756" s="7">
        <v>0.89245300000000005</v>
      </c>
      <c r="CE756" s="7">
        <v>47.470894999999999</v>
      </c>
      <c r="CF756" s="7">
        <v>50</v>
      </c>
      <c r="CG756" s="7">
        <v>0.92493899999999996</v>
      </c>
      <c r="CH756" s="7">
        <v>98.397816000000006</v>
      </c>
      <c r="CI756" s="7">
        <v>100</v>
      </c>
      <c r="CJ756" s="7">
        <v>0</v>
      </c>
      <c r="CK756" s="7">
        <v>0.91428600000000004</v>
      </c>
      <c r="CL756" s="7">
        <v>97.264437999999998</v>
      </c>
      <c r="CM756" s="7">
        <v>100</v>
      </c>
      <c r="CN756" s="7">
        <v>0.65641000000000005</v>
      </c>
      <c r="CO756" s="7">
        <v>87.521367999999995</v>
      </c>
      <c r="CP756" s="7">
        <v>100</v>
      </c>
      <c r="CQ756" s="7">
        <v>0.30467300000000003</v>
      </c>
      <c r="CR756" s="7">
        <v>2.3672569999999999</v>
      </c>
      <c r="CS756" s="7">
        <v>20.311526000000001</v>
      </c>
      <c r="CT756" s="7">
        <v>50</v>
      </c>
      <c r="CU756" s="7">
        <v>0.62824199999999997</v>
      </c>
      <c r="CV756" s="7">
        <v>50</v>
      </c>
      <c r="CW756" s="7">
        <v>50</v>
      </c>
      <c r="CX756" s="7">
        <v>0.91428600000000004</v>
      </c>
      <c r="CY756" s="7">
        <v>0.94</v>
      </c>
      <c r="CZ756" s="7">
        <v>2.5714000000000001E-2</v>
      </c>
      <c r="DA756" s="7">
        <v>15.314097</v>
      </c>
      <c r="DB756" s="7">
        <v>17.400950000000002</v>
      </c>
      <c r="DC756" s="7">
        <v>16.332519999999999</v>
      </c>
      <c r="DD756" s="7">
        <v>7.9891730000000001</v>
      </c>
      <c r="DE756" s="7">
        <v>1</v>
      </c>
      <c r="DF756" s="6"/>
      <c r="DG756" s="6"/>
      <c r="DH756" s="6"/>
      <c r="DI756" s="6"/>
      <c r="DJ756" s="7">
        <v>0</v>
      </c>
      <c r="DK756" s="7">
        <v>0</v>
      </c>
      <c r="DL756" s="7">
        <v>0</v>
      </c>
      <c r="DM756" s="7">
        <v>0</v>
      </c>
      <c r="DN756" s="7">
        <v>0</v>
      </c>
      <c r="DO756" s="7">
        <v>0</v>
      </c>
      <c r="DP756" s="6"/>
      <c r="DQ756" s="4" t="s">
        <v>125</v>
      </c>
    </row>
    <row r="757" spans="1:121" ht="20" customHeight="1" x14ac:dyDescent="0.15">
      <c r="A757" s="5">
        <v>2018</v>
      </c>
      <c r="B757" s="3" t="s">
        <v>159</v>
      </c>
      <c r="C757" s="4" t="str">
        <f t="shared" si="237"/>
        <v>1030011</v>
      </c>
      <c r="D757" s="4" t="s">
        <v>912</v>
      </c>
      <c r="E757" s="4" t="str">
        <f>"1035311"</f>
        <v>1035311</v>
      </c>
      <c r="F757" s="4" t="s">
        <v>327</v>
      </c>
      <c r="G757" s="7">
        <v>6</v>
      </c>
      <c r="H757" s="7">
        <v>8</v>
      </c>
      <c r="I757" s="4" t="s">
        <v>335</v>
      </c>
      <c r="J757" s="4" t="s">
        <v>330</v>
      </c>
      <c r="K757" s="7">
        <v>644.41283299999998</v>
      </c>
      <c r="L757" s="7">
        <v>1000</v>
      </c>
      <c r="M757" s="7">
        <v>64.441282999999999</v>
      </c>
      <c r="N757" s="7">
        <v>3</v>
      </c>
      <c r="O757" s="7">
        <v>1</v>
      </c>
      <c r="P757" s="7">
        <v>61.111322999999999</v>
      </c>
      <c r="Q757" s="7">
        <v>40.740881999999999</v>
      </c>
      <c r="R757" s="7">
        <v>50</v>
      </c>
      <c r="S757" s="7">
        <v>56.812621</v>
      </c>
      <c r="T757" s="7">
        <v>75</v>
      </c>
      <c r="U757" s="7">
        <v>37.875081000000002</v>
      </c>
      <c r="V757" s="7">
        <v>50</v>
      </c>
      <c r="W757" s="7">
        <v>52.666448000000003</v>
      </c>
      <c r="X757" s="7">
        <v>35.110965</v>
      </c>
      <c r="Y757" s="7">
        <v>50</v>
      </c>
      <c r="Z757" s="7">
        <v>67.535852000000006</v>
      </c>
      <c r="AA757" s="7">
        <v>48.184427999999997</v>
      </c>
      <c r="AB757" s="7">
        <v>32.122951999999998</v>
      </c>
      <c r="AC757" s="7">
        <v>50</v>
      </c>
      <c r="AD757" s="7">
        <v>50.898045000000003</v>
      </c>
      <c r="AE757" s="7">
        <v>33.932029999999997</v>
      </c>
      <c r="AF757" s="7">
        <v>50</v>
      </c>
      <c r="AG757" s="7">
        <v>46.408284999999999</v>
      </c>
      <c r="AH757" s="7">
        <v>64.682395999999997</v>
      </c>
      <c r="AI757" s="7">
        <v>30.938856999999999</v>
      </c>
      <c r="AJ757" s="7">
        <v>50</v>
      </c>
      <c r="AK757" s="7">
        <v>18.18</v>
      </c>
      <c r="AL757" s="7">
        <v>19.350000000000001</v>
      </c>
      <c r="AM757" s="7">
        <v>18.27</v>
      </c>
      <c r="AN757" s="7">
        <v>0.606819</v>
      </c>
      <c r="AO757" s="7">
        <v>60.681882000000002</v>
      </c>
      <c r="AP757" s="7">
        <v>100</v>
      </c>
      <c r="AQ757" s="7">
        <v>0.520069</v>
      </c>
      <c r="AR757" s="7">
        <v>52.006950000000003</v>
      </c>
      <c r="AS757" s="7">
        <v>100</v>
      </c>
      <c r="AT757" s="7">
        <v>0.58664099999999997</v>
      </c>
      <c r="AU757" s="7">
        <v>0.66683400000000004</v>
      </c>
      <c r="AV757" s="7">
        <v>58.664116</v>
      </c>
      <c r="AW757" s="7">
        <v>100</v>
      </c>
      <c r="AX757" s="7">
        <v>0.48731799999999997</v>
      </c>
      <c r="AY757" s="7">
        <v>0.61706399999999995</v>
      </c>
      <c r="AZ757" s="7">
        <v>48.731799000000002</v>
      </c>
      <c r="BA757" s="7">
        <v>100</v>
      </c>
      <c r="BB757" s="7">
        <v>0.57493499999999997</v>
      </c>
      <c r="BC757" s="7">
        <v>28.746728000000001</v>
      </c>
      <c r="BD757" s="7">
        <v>50</v>
      </c>
      <c r="BE757" s="7">
        <v>0.57985799999999998</v>
      </c>
      <c r="BF757" s="7">
        <v>28.992909999999998</v>
      </c>
      <c r="BG757" s="7">
        <v>50</v>
      </c>
      <c r="BH757" s="7">
        <v>0</v>
      </c>
      <c r="BI757" s="7">
        <v>0.99417800000000001</v>
      </c>
      <c r="BJ757" s="7">
        <v>0.99442399999999997</v>
      </c>
      <c r="BK757" s="7">
        <v>0.99328899999999998</v>
      </c>
      <c r="BL757" s="7">
        <v>0.99126599999999998</v>
      </c>
      <c r="BM757" s="7">
        <v>0.99070599999999998</v>
      </c>
      <c r="BN757" s="7">
        <v>0.99328899999999998</v>
      </c>
      <c r="BO757" s="7">
        <v>0.97942399999999996</v>
      </c>
      <c r="BP757" s="7">
        <v>0.97837799999999997</v>
      </c>
      <c r="BQ757" s="7">
        <v>0.98275900000000005</v>
      </c>
      <c r="BR757" s="7">
        <v>0.114993</v>
      </c>
      <c r="BS757" s="7">
        <v>37.001455999999997</v>
      </c>
      <c r="BT757" s="7">
        <v>50</v>
      </c>
      <c r="BU757" s="7">
        <v>0.135849</v>
      </c>
      <c r="BV757" s="7">
        <v>32.830188999999997</v>
      </c>
      <c r="BW757" s="7">
        <v>50</v>
      </c>
      <c r="BX757" s="4" t="s">
        <v>124</v>
      </c>
      <c r="BY757" s="4" t="s">
        <v>124</v>
      </c>
      <c r="BZ757" s="4" t="s">
        <v>124</v>
      </c>
      <c r="CA757" s="4" t="s">
        <v>124</v>
      </c>
      <c r="CB757" s="4" t="s">
        <v>124</v>
      </c>
      <c r="CC757" s="4" t="s">
        <v>124</v>
      </c>
      <c r="CD757" s="7">
        <v>0.94711500000000004</v>
      </c>
      <c r="CE757" s="7">
        <v>50</v>
      </c>
      <c r="CF757" s="7">
        <v>50</v>
      </c>
      <c r="CG757" s="4" t="s">
        <v>124</v>
      </c>
      <c r="CH757" s="4" t="s">
        <v>124</v>
      </c>
      <c r="CI757" s="4" t="s">
        <v>124</v>
      </c>
      <c r="CJ757" s="4" t="s">
        <v>124</v>
      </c>
      <c r="CK757" s="4" t="s">
        <v>124</v>
      </c>
      <c r="CL757" s="4" t="s">
        <v>124</v>
      </c>
      <c r="CM757" s="4" t="s">
        <v>124</v>
      </c>
      <c r="CN757" s="4" t="s">
        <v>124</v>
      </c>
      <c r="CO757" s="4" t="s">
        <v>124</v>
      </c>
      <c r="CP757" s="4" t="s">
        <v>124</v>
      </c>
      <c r="CQ757" s="7">
        <v>0.54054100000000005</v>
      </c>
      <c r="CR757" s="7">
        <v>0.98230099999999998</v>
      </c>
      <c r="CS757" s="7">
        <v>36.036036000000003</v>
      </c>
      <c r="CT757" s="7">
        <v>50</v>
      </c>
      <c r="CU757" s="4" t="s">
        <v>124</v>
      </c>
      <c r="CV757" s="4" t="s">
        <v>124</v>
      </c>
      <c r="CW757" s="4" t="s">
        <v>124</v>
      </c>
      <c r="CX757" s="4" t="s">
        <v>124</v>
      </c>
      <c r="CY757" s="4" t="s">
        <v>124</v>
      </c>
      <c r="CZ757" s="4" t="s">
        <v>124</v>
      </c>
      <c r="DA757" s="7">
        <v>15.314097</v>
      </c>
      <c r="DB757" s="7">
        <v>17.400950000000002</v>
      </c>
      <c r="DC757" s="7">
        <v>16.332519999999999</v>
      </c>
      <c r="DD757" s="4" t="s">
        <v>124</v>
      </c>
      <c r="DE757" s="7">
        <v>1</v>
      </c>
      <c r="DF757" s="6"/>
      <c r="DG757" s="6"/>
      <c r="DH757" s="6"/>
      <c r="DI757" s="6"/>
      <c r="DJ757" s="7">
        <v>0</v>
      </c>
      <c r="DK757" s="7">
        <v>0</v>
      </c>
      <c r="DL757" s="7">
        <v>0</v>
      </c>
      <c r="DM757" s="7">
        <v>0</v>
      </c>
      <c r="DN757" s="7">
        <v>0</v>
      </c>
      <c r="DO757" s="7">
        <v>0</v>
      </c>
      <c r="DP757" s="6"/>
      <c r="DQ757" s="4" t="s">
        <v>125</v>
      </c>
    </row>
    <row r="758" spans="1:121" ht="20" customHeight="1" x14ac:dyDescent="0.15">
      <c r="A758" s="5">
        <v>2018</v>
      </c>
      <c r="B758" s="3" t="s">
        <v>159</v>
      </c>
      <c r="C758" s="4" t="str">
        <f t="shared" si="237"/>
        <v>1030011</v>
      </c>
      <c r="D758" s="4" t="s">
        <v>913</v>
      </c>
      <c r="E758" s="4" t="str">
        <f>"1035511"</f>
        <v>1035511</v>
      </c>
      <c r="F758" s="4" t="s">
        <v>327</v>
      </c>
      <c r="G758" s="7">
        <v>6</v>
      </c>
      <c r="H758" s="7">
        <v>8</v>
      </c>
      <c r="I758" s="6"/>
      <c r="J758" s="4" t="s">
        <v>330</v>
      </c>
      <c r="K758" s="7">
        <v>699.03039999999999</v>
      </c>
      <c r="L758" s="7">
        <v>1000</v>
      </c>
      <c r="M758" s="7">
        <v>69.903040000000004</v>
      </c>
      <c r="N758" s="7">
        <v>3</v>
      </c>
      <c r="O758" s="7">
        <v>1</v>
      </c>
      <c r="P758" s="7">
        <v>68.217296000000005</v>
      </c>
      <c r="Q758" s="7">
        <v>45.478197000000002</v>
      </c>
      <c r="R758" s="7">
        <v>50</v>
      </c>
      <c r="S758" s="7">
        <v>60.110753000000003</v>
      </c>
      <c r="T758" s="7">
        <v>75</v>
      </c>
      <c r="U758" s="7">
        <v>40.073835000000003</v>
      </c>
      <c r="V758" s="7">
        <v>50</v>
      </c>
      <c r="W758" s="7">
        <v>65.004458</v>
      </c>
      <c r="X758" s="7">
        <v>43.336305000000003</v>
      </c>
      <c r="Y758" s="7">
        <v>50</v>
      </c>
      <c r="Z758" s="7">
        <v>75</v>
      </c>
      <c r="AA758" s="7">
        <v>55.843760000000003</v>
      </c>
      <c r="AB758" s="7">
        <v>37.229173000000003</v>
      </c>
      <c r="AC758" s="7">
        <v>50</v>
      </c>
      <c r="AD758" s="7">
        <v>67.134484999999998</v>
      </c>
      <c r="AE758" s="7">
        <v>44.756323000000002</v>
      </c>
      <c r="AF758" s="7">
        <v>50</v>
      </c>
      <c r="AG758" s="7">
        <v>59.686210000000003</v>
      </c>
      <c r="AH758" s="7">
        <v>75</v>
      </c>
      <c r="AI758" s="7">
        <v>39.790807000000001</v>
      </c>
      <c r="AJ758" s="7">
        <v>50</v>
      </c>
      <c r="AK758" s="7">
        <v>14.88</v>
      </c>
      <c r="AL758" s="7">
        <v>19.149999999999999</v>
      </c>
      <c r="AM758" s="7">
        <v>15.31</v>
      </c>
      <c r="AN758" s="7">
        <v>0.55922799999999995</v>
      </c>
      <c r="AO758" s="7">
        <v>55.922817999999999</v>
      </c>
      <c r="AP758" s="7">
        <v>100</v>
      </c>
      <c r="AQ758" s="7">
        <v>0.61501499999999998</v>
      </c>
      <c r="AR758" s="7">
        <v>61.501460999999999</v>
      </c>
      <c r="AS758" s="7">
        <v>100</v>
      </c>
      <c r="AT758" s="7">
        <v>0.50155700000000003</v>
      </c>
      <c r="AU758" s="7">
        <v>0.64939499999999994</v>
      </c>
      <c r="AV758" s="7">
        <v>50.155656999999998</v>
      </c>
      <c r="AW758" s="7">
        <v>100</v>
      </c>
      <c r="AX758" s="7">
        <v>0.54235500000000003</v>
      </c>
      <c r="AY758" s="7">
        <v>0.72861500000000001</v>
      </c>
      <c r="AZ758" s="7">
        <v>54.235484</v>
      </c>
      <c r="BA758" s="7">
        <v>100</v>
      </c>
      <c r="BB758" s="7">
        <v>0.50339299999999998</v>
      </c>
      <c r="BC758" s="7">
        <v>25.169643000000001</v>
      </c>
      <c r="BD758" s="7">
        <v>50</v>
      </c>
      <c r="BE758" s="7">
        <v>0.46929100000000001</v>
      </c>
      <c r="BF758" s="7">
        <v>23.464525999999999</v>
      </c>
      <c r="BG758" s="7">
        <v>50</v>
      </c>
      <c r="BH758" s="7">
        <v>0</v>
      </c>
      <c r="BI758" s="7">
        <v>0.99634400000000001</v>
      </c>
      <c r="BJ758" s="7">
        <v>1</v>
      </c>
      <c r="BK758" s="7">
        <v>0.99029100000000003</v>
      </c>
      <c r="BL758" s="7">
        <v>0.99634400000000001</v>
      </c>
      <c r="BM758" s="7">
        <v>1</v>
      </c>
      <c r="BN758" s="7">
        <v>0.99029100000000003</v>
      </c>
      <c r="BO758" s="7">
        <v>1</v>
      </c>
      <c r="BP758" s="7">
        <v>1</v>
      </c>
      <c r="BQ758" s="7">
        <v>1</v>
      </c>
      <c r="BR758" s="7">
        <v>7.1298E-2</v>
      </c>
      <c r="BS758" s="7">
        <v>45.740402000000003</v>
      </c>
      <c r="BT758" s="7">
        <v>50</v>
      </c>
      <c r="BU758" s="7">
        <v>9.1716000000000006E-2</v>
      </c>
      <c r="BV758" s="7">
        <v>41.656804999999999</v>
      </c>
      <c r="BW758" s="7">
        <v>50</v>
      </c>
      <c r="BX758" s="4" t="s">
        <v>124</v>
      </c>
      <c r="BY758" s="4" t="s">
        <v>124</v>
      </c>
      <c r="BZ758" s="4" t="s">
        <v>124</v>
      </c>
      <c r="CA758" s="4" t="s">
        <v>124</v>
      </c>
      <c r="CB758" s="4" t="s">
        <v>124</v>
      </c>
      <c r="CC758" s="4" t="s">
        <v>124</v>
      </c>
      <c r="CD758" s="7">
        <v>0.94444399999999995</v>
      </c>
      <c r="CE758" s="7">
        <v>50</v>
      </c>
      <c r="CF758" s="7">
        <v>50</v>
      </c>
      <c r="CG758" s="4" t="s">
        <v>124</v>
      </c>
      <c r="CH758" s="4" t="s">
        <v>124</v>
      </c>
      <c r="CI758" s="4" t="s">
        <v>124</v>
      </c>
      <c r="CJ758" s="4" t="s">
        <v>124</v>
      </c>
      <c r="CK758" s="4" t="s">
        <v>124</v>
      </c>
      <c r="CL758" s="4" t="s">
        <v>124</v>
      </c>
      <c r="CM758" s="4" t="s">
        <v>124</v>
      </c>
      <c r="CN758" s="4" t="s">
        <v>124</v>
      </c>
      <c r="CO758" s="4" t="s">
        <v>124</v>
      </c>
      <c r="CP758" s="4" t="s">
        <v>124</v>
      </c>
      <c r="CQ758" s="7">
        <v>0.60778399999999999</v>
      </c>
      <c r="CR758" s="7">
        <v>0.97092999999999996</v>
      </c>
      <c r="CS758" s="7">
        <v>40.518962000000002</v>
      </c>
      <c r="CT758" s="7">
        <v>50</v>
      </c>
      <c r="CU758" s="4" t="s">
        <v>124</v>
      </c>
      <c r="CV758" s="4" t="s">
        <v>124</v>
      </c>
      <c r="CW758" s="4" t="s">
        <v>124</v>
      </c>
      <c r="CX758" s="4" t="s">
        <v>124</v>
      </c>
      <c r="CY758" s="4" t="s">
        <v>124</v>
      </c>
      <c r="CZ758" s="4" t="s">
        <v>124</v>
      </c>
      <c r="DA758" s="7">
        <v>15.314097</v>
      </c>
      <c r="DB758" s="7">
        <v>17.400950000000002</v>
      </c>
      <c r="DC758" s="7">
        <v>16.332519999999999</v>
      </c>
      <c r="DD758" s="4" t="s">
        <v>124</v>
      </c>
      <c r="DE758" s="7">
        <v>1</v>
      </c>
      <c r="DF758" s="6"/>
      <c r="DG758" s="6"/>
      <c r="DH758" s="6"/>
      <c r="DI758" s="6"/>
      <c r="DJ758" s="7">
        <v>0</v>
      </c>
      <c r="DK758" s="7">
        <v>0</v>
      </c>
      <c r="DL758" s="7">
        <v>0</v>
      </c>
      <c r="DM758" s="7">
        <v>0</v>
      </c>
      <c r="DN758" s="7">
        <v>0</v>
      </c>
      <c r="DO758" s="7">
        <v>0</v>
      </c>
      <c r="DP758" s="6"/>
      <c r="DQ758" s="4" t="s">
        <v>125</v>
      </c>
    </row>
    <row r="759" spans="1:121" ht="20" customHeight="1" x14ac:dyDescent="0.15">
      <c r="A759" s="5">
        <v>2018</v>
      </c>
      <c r="B759" s="3" t="s">
        <v>159</v>
      </c>
      <c r="C759" s="4" t="str">
        <f t="shared" si="237"/>
        <v>1030011</v>
      </c>
      <c r="D759" s="4" t="s">
        <v>914</v>
      </c>
      <c r="E759" s="4" t="str">
        <f>"1031311"</f>
        <v>1031311</v>
      </c>
      <c r="F759" s="4" t="s">
        <v>327</v>
      </c>
      <c r="G759" s="4" t="s">
        <v>338</v>
      </c>
      <c r="H759" s="7">
        <v>5</v>
      </c>
      <c r="I759" s="6"/>
      <c r="J759" s="4" t="s">
        <v>330</v>
      </c>
      <c r="K759" s="7">
        <v>766.64322400000003</v>
      </c>
      <c r="L759" s="7">
        <v>950</v>
      </c>
      <c r="M759" s="7">
        <v>80.699286999999998</v>
      </c>
      <c r="N759" s="7">
        <v>2</v>
      </c>
      <c r="O759" s="7">
        <v>0</v>
      </c>
      <c r="P759" s="7">
        <v>76.090914999999995</v>
      </c>
      <c r="Q759" s="7">
        <v>50</v>
      </c>
      <c r="R759" s="7">
        <v>50</v>
      </c>
      <c r="S759" s="7">
        <v>63.901823</v>
      </c>
      <c r="T759" s="7">
        <v>75</v>
      </c>
      <c r="U759" s="7">
        <v>42.601215000000003</v>
      </c>
      <c r="V759" s="7">
        <v>50</v>
      </c>
      <c r="W759" s="7">
        <v>72.080490999999995</v>
      </c>
      <c r="X759" s="7">
        <v>48.053660999999998</v>
      </c>
      <c r="Y759" s="7">
        <v>50</v>
      </c>
      <c r="Z759" s="7">
        <v>75</v>
      </c>
      <c r="AA759" s="7">
        <v>59.671864999999997</v>
      </c>
      <c r="AB759" s="7">
        <v>39.781243000000003</v>
      </c>
      <c r="AC759" s="7">
        <v>50</v>
      </c>
      <c r="AD759" s="7">
        <v>73.612336999999997</v>
      </c>
      <c r="AE759" s="7">
        <v>49.074891999999998</v>
      </c>
      <c r="AF759" s="7">
        <v>50</v>
      </c>
      <c r="AG759" s="7">
        <v>61.234490999999998</v>
      </c>
      <c r="AH759" s="7">
        <v>75</v>
      </c>
      <c r="AI759" s="7">
        <v>40.822994000000001</v>
      </c>
      <c r="AJ759" s="7">
        <v>50</v>
      </c>
      <c r="AK759" s="7">
        <v>11.09</v>
      </c>
      <c r="AL759" s="7">
        <v>15.32</v>
      </c>
      <c r="AM759" s="7">
        <v>13.76</v>
      </c>
      <c r="AN759" s="7">
        <v>0.71688499999999999</v>
      </c>
      <c r="AO759" s="7">
        <v>71.688483000000005</v>
      </c>
      <c r="AP759" s="7">
        <v>100</v>
      </c>
      <c r="AQ759" s="7">
        <v>0.75268100000000004</v>
      </c>
      <c r="AR759" s="7">
        <v>75.268130999999997</v>
      </c>
      <c r="AS759" s="7">
        <v>100</v>
      </c>
      <c r="AT759" s="7">
        <v>0.60869300000000004</v>
      </c>
      <c r="AU759" s="7">
        <v>0.818712</v>
      </c>
      <c r="AV759" s="7">
        <v>60.869309000000001</v>
      </c>
      <c r="AW759" s="7">
        <v>100</v>
      </c>
      <c r="AX759" s="7">
        <v>0.71022099999999999</v>
      </c>
      <c r="AY759" s="7">
        <v>0.79264400000000002</v>
      </c>
      <c r="AZ759" s="7">
        <v>71.022069999999999</v>
      </c>
      <c r="BA759" s="7">
        <v>100</v>
      </c>
      <c r="BB759" s="7">
        <v>0.994861</v>
      </c>
      <c r="BC759" s="7">
        <v>49.743057</v>
      </c>
      <c r="BD759" s="7">
        <v>50</v>
      </c>
      <c r="BE759" s="7">
        <v>0.77879500000000002</v>
      </c>
      <c r="BF759" s="7">
        <v>38.939739000000003</v>
      </c>
      <c r="BG759" s="7">
        <v>50</v>
      </c>
      <c r="BH759" s="7">
        <v>0</v>
      </c>
      <c r="BI759" s="7">
        <v>0.98706899999999997</v>
      </c>
      <c r="BJ759" s="7">
        <v>0.97345099999999996</v>
      </c>
      <c r="BK759" s="7">
        <v>1</v>
      </c>
      <c r="BL759" s="7">
        <v>0.98706899999999997</v>
      </c>
      <c r="BM759" s="7">
        <v>0.97345099999999996</v>
      </c>
      <c r="BN759" s="7">
        <v>1</v>
      </c>
      <c r="BO759" s="7">
        <v>1</v>
      </c>
      <c r="BP759" s="7">
        <v>1</v>
      </c>
      <c r="BQ759" s="7">
        <v>1</v>
      </c>
      <c r="BR759" s="7">
        <v>6.5978999999999996E-2</v>
      </c>
      <c r="BS759" s="7">
        <v>46.804124000000002</v>
      </c>
      <c r="BT759" s="7">
        <v>50</v>
      </c>
      <c r="BU759" s="7">
        <v>8.6207000000000006E-2</v>
      </c>
      <c r="BV759" s="7">
        <v>42.758620999999998</v>
      </c>
      <c r="BW759" s="7">
        <v>50</v>
      </c>
      <c r="BX759" s="4" t="s">
        <v>124</v>
      </c>
      <c r="BY759" s="4" t="s">
        <v>124</v>
      </c>
      <c r="BZ759" s="4" t="s">
        <v>124</v>
      </c>
      <c r="CA759" s="4" t="s">
        <v>124</v>
      </c>
      <c r="CB759" s="4" t="s">
        <v>124</v>
      </c>
      <c r="CC759" s="4" t="s">
        <v>124</v>
      </c>
      <c r="CD759" s="4" t="s">
        <v>124</v>
      </c>
      <c r="CE759" s="4" t="s">
        <v>124</v>
      </c>
      <c r="CF759" s="4" t="s">
        <v>124</v>
      </c>
      <c r="CG759" s="4" t="s">
        <v>124</v>
      </c>
      <c r="CH759" s="4" t="s">
        <v>124</v>
      </c>
      <c r="CI759" s="4" t="s">
        <v>124</v>
      </c>
      <c r="CJ759" s="4" t="s">
        <v>124</v>
      </c>
      <c r="CK759" s="4" t="s">
        <v>124</v>
      </c>
      <c r="CL759" s="4" t="s">
        <v>124</v>
      </c>
      <c r="CM759" s="4" t="s">
        <v>124</v>
      </c>
      <c r="CN759" s="4" t="s">
        <v>124</v>
      </c>
      <c r="CO759" s="4" t="s">
        <v>124</v>
      </c>
      <c r="CP759" s="4" t="s">
        <v>124</v>
      </c>
      <c r="CQ759" s="7">
        <v>0.58823499999999995</v>
      </c>
      <c r="CR759" s="7">
        <v>0.95505600000000002</v>
      </c>
      <c r="CS759" s="7">
        <v>39.215685999999998</v>
      </c>
      <c r="CT759" s="7">
        <v>50</v>
      </c>
      <c r="CU759" s="4" t="s">
        <v>124</v>
      </c>
      <c r="CV759" s="4" t="s">
        <v>124</v>
      </c>
      <c r="CW759" s="4" t="s">
        <v>124</v>
      </c>
      <c r="CX759" s="4" t="s">
        <v>124</v>
      </c>
      <c r="CY759" s="4" t="s">
        <v>124</v>
      </c>
      <c r="CZ759" s="4" t="s">
        <v>124</v>
      </c>
      <c r="DA759" s="7">
        <v>15.314097</v>
      </c>
      <c r="DB759" s="7">
        <v>17.400950000000002</v>
      </c>
      <c r="DC759" s="7">
        <v>16.332519999999999</v>
      </c>
      <c r="DD759" s="4" t="s">
        <v>124</v>
      </c>
      <c r="DE759" s="7">
        <v>0</v>
      </c>
      <c r="DF759" s="6"/>
      <c r="DG759" s="6"/>
      <c r="DH759" s="6"/>
      <c r="DI759" s="6"/>
      <c r="DJ759" s="7">
        <v>0</v>
      </c>
      <c r="DK759" s="7">
        <v>0</v>
      </c>
      <c r="DL759" s="7">
        <v>0</v>
      </c>
      <c r="DM759" s="7">
        <v>0</v>
      </c>
      <c r="DN759" s="7">
        <v>0</v>
      </c>
      <c r="DO759" s="7">
        <v>0</v>
      </c>
      <c r="DP759" s="6"/>
      <c r="DQ759" s="4" t="s">
        <v>125</v>
      </c>
    </row>
    <row r="760" spans="1:121" ht="20" customHeight="1" x14ac:dyDescent="0.15">
      <c r="A760" s="5">
        <v>2018</v>
      </c>
      <c r="B760" s="3" t="s">
        <v>159</v>
      </c>
      <c r="C760" s="4" t="str">
        <f t="shared" si="237"/>
        <v>1030011</v>
      </c>
      <c r="D760" s="4" t="s">
        <v>915</v>
      </c>
      <c r="E760" s="4" t="str">
        <f>"1032311"</f>
        <v>1032311</v>
      </c>
      <c r="F760" s="4" t="s">
        <v>327</v>
      </c>
      <c r="G760" s="4" t="s">
        <v>338</v>
      </c>
      <c r="H760" s="7">
        <v>5</v>
      </c>
      <c r="I760" s="4" t="s">
        <v>335</v>
      </c>
      <c r="J760" s="4" t="s">
        <v>330</v>
      </c>
      <c r="K760" s="7">
        <v>626.74770000000001</v>
      </c>
      <c r="L760" s="7">
        <v>950</v>
      </c>
      <c r="M760" s="7">
        <v>65.973442000000006</v>
      </c>
      <c r="N760" s="7">
        <v>3</v>
      </c>
      <c r="O760" s="7">
        <v>0</v>
      </c>
      <c r="P760" s="7">
        <v>66.087400000000002</v>
      </c>
      <c r="Q760" s="7">
        <v>44.058267000000001</v>
      </c>
      <c r="R760" s="7">
        <v>50</v>
      </c>
      <c r="S760" s="7">
        <v>62.083556000000002</v>
      </c>
      <c r="T760" s="7">
        <v>75</v>
      </c>
      <c r="U760" s="7">
        <v>41.389037000000002</v>
      </c>
      <c r="V760" s="7">
        <v>50</v>
      </c>
      <c r="W760" s="7">
        <v>62.614117</v>
      </c>
      <c r="X760" s="7">
        <v>41.742744999999999</v>
      </c>
      <c r="Y760" s="7">
        <v>50</v>
      </c>
      <c r="Z760" s="7">
        <v>75</v>
      </c>
      <c r="AA760" s="7">
        <v>58.370179</v>
      </c>
      <c r="AB760" s="7">
        <v>38.913452999999997</v>
      </c>
      <c r="AC760" s="7">
        <v>50</v>
      </c>
      <c r="AD760" s="7">
        <v>59.715620000000001</v>
      </c>
      <c r="AE760" s="7">
        <v>39.810412999999997</v>
      </c>
      <c r="AF760" s="7">
        <v>50</v>
      </c>
      <c r="AG760" s="7">
        <v>56.244942999999999</v>
      </c>
      <c r="AH760" s="4" t="s">
        <v>124</v>
      </c>
      <c r="AI760" s="7">
        <v>37.496628000000001</v>
      </c>
      <c r="AJ760" s="7">
        <v>50</v>
      </c>
      <c r="AK760" s="7">
        <v>12.91</v>
      </c>
      <c r="AL760" s="7">
        <v>16.62</v>
      </c>
      <c r="AM760" s="4" t="s">
        <v>124</v>
      </c>
      <c r="AN760" s="7">
        <v>0.57961700000000005</v>
      </c>
      <c r="AO760" s="7">
        <v>57.961725999999999</v>
      </c>
      <c r="AP760" s="7">
        <v>100</v>
      </c>
      <c r="AQ760" s="7">
        <v>0.55850699999999998</v>
      </c>
      <c r="AR760" s="7">
        <v>55.850698000000001</v>
      </c>
      <c r="AS760" s="7">
        <v>100</v>
      </c>
      <c r="AT760" s="7">
        <v>0.53687700000000005</v>
      </c>
      <c r="AU760" s="7">
        <v>0.73633199999999999</v>
      </c>
      <c r="AV760" s="7">
        <v>53.687693000000003</v>
      </c>
      <c r="AW760" s="7">
        <v>100</v>
      </c>
      <c r="AX760" s="7">
        <v>0.51991799999999999</v>
      </c>
      <c r="AY760" s="7">
        <v>0.7</v>
      </c>
      <c r="AZ760" s="7">
        <v>51.991796000000001</v>
      </c>
      <c r="BA760" s="7">
        <v>100</v>
      </c>
      <c r="BB760" s="7">
        <v>0.61038000000000003</v>
      </c>
      <c r="BC760" s="7">
        <v>30.518999999999998</v>
      </c>
      <c r="BD760" s="7">
        <v>50</v>
      </c>
      <c r="BE760" s="7">
        <v>0.54541200000000001</v>
      </c>
      <c r="BF760" s="7">
        <v>27.270593000000002</v>
      </c>
      <c r="BG760" s="7">
        <v>50</v>
      </c>
      <c r="BH760" s="7">
        <v>0</v>
      </c>
      <c r="BI760" s="7">
        <v>0.98775500000000005</v>
      </c>
      <c r="BJ760" s="7">
        <v>0.98461500000000002</v>
      </c>
      <c r="BK760" s="7">
        <v>1</v>
      </c>
      <c r="BL760" s="7">
        <v>0.98775500000000005</v>
      </c>
      <c r="BM760" s="7">
        <v>0.98461500000000002</v>
      </c>
      <c r="BN760" s="7">
        <v>1</v>
      </c>
      <c r="BO760" s="7">
        <v>0.98765400000000003</v>
      </c>
      <c r="BP760" s="7">
        <v>0.98387100000000005</v>
      </c>
      <c r="BQ760" s="4" t="s">
        <v>124</v>
      </c>
      <c r="BR760" s="7">
        <v>8.0482999999999999E-2</v>
      </c>
      <c r="BS760" s="7">
        <v>43.903421000000002</v>
      </c>
      <c r="BT760" s="7">
        <v>50</v>
      </c>
      <c r="BU760" s="7">
        <v>8.9238999999999999E-2</v>
      </c>
      <c r="BV760" s="7">
        <v>42.152231</v>
      </c>
      <c r="BW760" s="7">
        <v>50</v>
      </c>
      <c r="BX760" s="4" t="s">
        <v>124</v>
      </c>
      <c r="BY760" s="4" t="s">
        <v>124</v>
      </c>
      <c r="BZ760" s="4" t="s">
        <v>124</v>
      </c>
      <c r="CA760" s="4" t="s">
        <v>124</v>
      </c>
      <c r="CB760" s="4" t="s">
        <v>124</v>
      </c>
      <c r="CC760" s="4" t="s">
        <v>124</v>
      </c>
      <c r="CD760" s="4" t="s">
        <v>124</v>
      </c>
      <c r="CE760" s="4" t="s">
        <v>124</v>
      </c>
      <c r="CF760" s="4" t="s">
        <v>124</v>
      </c>
      <c r="CG760" s="4" t="s">
        <v>124</v>
      </c>
      <c r="CH760" s="4" t="s">
        <v>124</v>
      </c>
      <c r="CI760" s="4" t="s">
        <v>124</v>
      </c>
      <c r="CJ760" s="4" t="s">
        <v>124</v>
      </c>
      <c r="CK760" s="4" t="s">
        <v>124</v>
      </c>
      <c r="CL760" s="4" t="s">
        <v>124</v>
      </c>
      <c r="CM760" s="4" t="s">
        <v>124</v>
      </c>
      <c r="CN760" s="4" t="s">
        <v>124</v>
      </c>
      <c r="CO760" s="4" t="s">
        <v>124</v>
      </c>
      <c r="CP760" s="4" t="s">
        <v>124</v>
      </c>
      <c r="CQ760" s="7">
        <v>0.3</v>
      </c>
      <c r="CR760" s="7">
        <v>0.97826100000000005</v>
      </c>
      <c r="CS760" s="7">
        <v>20</v>
      </c>
      <c r="CT760" s="7">
        <v>50</v>
      </c>
      <c r="CU760" s="4" t="s">
        <v>124</v>
      </c>
      <c r="CV760" s="4" t="s">
        <v>124</v>
      </c>
      <c r="CW760" s="4" t="s">
        <v>124</v>
      </c>
      <c r="CX760" s="4" t="s">
        <v>124</v>
      </c>
      <c r="CY760" s="4" t="s">
        <v>124</v>
      </c>
      <c r="CZ760" s="4" t="s">
        <v>124</v>
      </c>
      <c r="DA760" s="7">
        <v>15.314097</v>
      </c>
      <c r="DB760" s="7">
        <v>17.400950000000002</v>
      </c>
      <c r="DC760" s="7">
        <v>16.332519999999999</v>
      </c>
      <c r="DD760" s="4" t="s">
        <v>124</v>
      </c>
      <c r="DE760" s="7">
        <v>0</v>
      </c>
      <c r="DF760" s="6"/>
      <c r="DG760" s="6"/>
      <c r="DH760" s="6"/>
      <c r="DI760" s="6"/>
      <c r="DJ760" s="7">
        <v>0</v>
      </c>
      <c r="DK760" s="7">
        <v>0</v>
      </c>
      <c r="DL760" s="7">
        <v>0</v>
      </c>
      <c r="DM760" s="7">
        <v>0</v>
      </c>
      <c r="DN760" s="7">
        <v>0</v>
      </c>
      <c r="DO760" s="7">
        <v>0</v>
      </c>
      <c r="DP760" s="6"/>
      <c r="DQ760" s="4" t="s">
        <v>125</v>
      </c>
    </row>
    <row r="761" spans="1:121" ht="20" customHeight="1" x14ac:dyDescent="0.15">
      <c r="A761" s="5">
        <v>2018</v>
      </c>
      <c r="B761" s="3" t="s">
        <v>159</v>
      </c>
      <c r="C761" s="4" t="str">
        <f t="shared" si="237"/>
        <v>1030011</v>
      </c>
      <c r="D761" s="4" t="s">
        <v>916</v>
      </c>
      <c r="E761" s="4" t="str">
        <f>"1031411"</f>
        <v>1031411</v>
      </c>
      <c r="F761" s="4" t="s">
        <v>327</v>
      </c>
      <c r="G761" s="4" t="s">
        <v>328</v>
      </c>
      <c r="H761" s="7">
        <v>5</v>
      </c>
      <c r="I761" s="4" t="s">
        <v>335</v>
      </c>
      <c r="J761" s="4" t="s">
        <v>330</v>
      </c>
      <c r="K761" s="7">
        <v>742.302639</v>
      </c>
      <c r="L761" s="7">
        <v>950</v>
      </c>
      <c r="M761" s="7">
        <v>78.137119999999996</v>
      </c>
      <c r="N761" s="7">
        <v>2</v>
      </c>
      <c r="O761" s="7">
        <v>0</v>
      </c>
      <c r="P761" s="7">
        <v>67.751096000000004</v>
      </c>
      <c r="Q761" s="7">
        <v>45.167397000000001</v>
      </c>
      <c r="R761" s="7">
        <v>50</v>
      </c>
      <c r="S761" s="7">
        <v>64.677578999999994</v>
      </c>
      <c r="T761" s="7">
        <v>75</v>
      </c>
      <c r="U761" s="7">
        <v>43.118386000000001</v>
      </c>
      <c r="V761" s="7">
        <v>50</v>
      </c>
      <c r="W761" s="7">
        <v>62.882241</v>
      </c>
      <c r="X761" s="7">
        <v>41.921494000000003</v>
      </c>
      <c r="Y761" s="7">
        <v>50</v>
      </c>
      <c r="Z761" s="7">
        <v>73.294538000000003</v>
      </c>
      <c r="AA761" s="7">
        <v>60.583421999999999</v>
      </c>
      <c r="AB761" s="7">
        <v>40.388947999999999</v>
      </c>
      <c r="AC761" s="7">
        <v>50</v>
      </c>
      <c r="AD761" s="7">
        <v>64.389985999999993</v>
      </c>
      <c r="AE761" s="7">
        <v>42.926656999999999</v>
      </c>
      <c r="AF761" s="7">
        <v>50</v>
      </c>
      <c r="AG761" s="7">
        <v>60.186104</v>
      </c>
      <c r="AH761" s="4" t="s">
        <v>124</v>
      </c>
      <c r="AI761" s="7">
        <v>40.124068999999999</v>
      </c>
      <c r="AJ761" s="7">
        <v>50</v>
      </c>
      <c r="AK761" s="7">
        <v>10.32</v>
      </c>
      <c r="AL761" s="7">
        <v>12.71</v>
      </c>
      <c r="AM761" s="4" t="s">
        <v>124</v>
      </c>
      <c r="AN761" s="7">
        <v>0.65707400000000005</v>
      </c>
      <c r="AO761" s="7">
        <v>65.707425999999998</v>
      </c>
      <c r="AP761" s="7">
        <v>100</v>
      </c>
      <c r="AQ761" s="7">
        <v>0.83226299999999998</v>
      </c>
      <c r="AR761" s="7">
        <v>83.226275000000001</v>
      </c>
      <c r="AS761" s="7">
        <v>100</v>
      </c>
      <c r="AT761" s="7">
        <v>0.62346800000000002</v>
      </c>
      <c r="AU761" s="7">
        <v>0.817106</v>
      </c>
      <c r="AV761" s="7">
        <v>62.346761000000001</v>
      </c>
      <c r="AW761" s="7">
        <v>100</v>
      </c>
      <c r="AX761" s="7">
        <v>0.819218</v>
      </c>
      <c r="AY761" s="7">
        <v>0.89438200000000001</v>
      </c>
      <c r="AZ761" s="7">
        <v>81.921777000000006</v>
      </c>
      <c r="BA761" s="7">
        <v>100</v>
      </c>
      <c r="BB761" s="7">
        <v>0.75148000000000004</v>
      </c>
      <c r="BC761" s="7">
        <v>37.573996999999999</v>
      </c>
      <c r="BD761" s="7">
        <v>50</v>
      </c>
      <c r="BE761" s="7">
        <v>0.45209100000000002</v>
      </c>
      <c r="BF761" s="7">
        <v>22.604562000000001</v>
      </c>
      <c r="BG761" s="7">
        <v>50</v>
      </c>
      <c r="BH761" s="7">
        <v>0</v>
      </c>
      <c r="BI761" s="7">
        <v>0.99038499999999996</v>
      </c>
      <c r="BJ761" s="7">
        <v>0.98843899999999996</v>
      </c>
      <c r="BK761" s="7">
        <v>1</v>
      </c>
      <c r="BL761" s="7">
        <v>0.99038499999999996</v>
      </c>
      <c r="BM761" s="7">
        <v>0.98843899999999996</v>
      </c>
      <c r="BN761" s="7">
        <v>1</v>
      </c>
      <c r="BO761" s="7">
        <v>1</v>
      </c>
      <c r="BP761" s="7">
        <v>1</v>
      </c>
      <c r="BQ761" s="4" t="s">
        <v>124</v>
      </c>
      <c r="BR761" s="7">
        <v>8.6538000000000004E-2</v>
      </c>
      <c r="BS761" s="7">
        <v>42.692307999999997</v>
      </c>
      <c r="BT761" s="7">
        <v>50</v>
      </c>
      <c r="BU761" s="7">
        <v>8.7086999999999998E-2</v>
      </c>
      <c r="BV761" s="7">
        <v>42.582583</v>
      </c>
      <c r="BW761" s="7">
        <v>50</v>
      </c>
      <c r="BX761" s="4" t="s">
        <v>124</v>
      </c>
      <c r="BY761" s="4" t="s">
        <v>124</v>
      </c>
      <c r="BZ761" s="4" t="s">
        <v>124</v>
      </c>
      <c r="CA761" s="4" t="s">
        <v>124</v>
      </c>
      <c r="CB761" s="4" t="s">
        <v>124</v>
      </c>
      <c r="CC761" s="4" t="s">
        <v>124</v>
      </c>
      <c r="CD761" s="4" t="s">
        <v>124</v>
      </c>
      <c r="CE761" s="4" t="s">
        <v>124</v>
      </c>
      <c r="CF761" s="4" t="s">
        <v>124</v>
      </c>
      <c r="CG761" s="4" t="s">
        <v>124</v>
      </c>
      <c r="CH761" s="4" t="s">
        <v>124</v>
      </c>
      <c r="CI761" s="4" t="s">
        <v>124</v>
      </c>
      <c r="CJ761" s="4" t="s">
        <v>124</v>
      </c>
      <c r="CK761" s="4" t="s">
        <v>124</v>
      </c>
      <c r="CL761" s="4" t="s">
        <v>124</v>
      </c>
      <c r="CM761" s="4" t="s">
        <v>124</v>
      </c>
      <c r="CN761" s="4" t="s">
        <v>124</v>
      </c>
      <c r="CO761" s="4" t="s">
        <v>124</v>
      </c>
      <c r="CP761" s="4" t="s">
        <v>124</v>
      </c>
      <c r="CQ761" s="7">
        <v>0.83870999999999996</v>
      </c>
      <c r="CR761" s="7">
        <v>0.96875</v>
      </c>
      <c r="CS761" s="7">
        <v>50</v>
      </c>
      <c r="CT761" s="7">
        <v>50</v>
      </c>
      <c r="CU761" s="4" t="s">
        <v>124</v>
      </c>
      <c r="CV761" s="4" t="s">
        <v>124</v>
      </c>
      <c r="CW761" s="4" t="s">
        <v>124</v>
      </c>
      <c r="CX761" s="4" t="s">
        <v>124</v>
      </c>
      <c r="CY761" s="4" t="s">
        <v>124</v>
      </c>
      <c r="CZ761" s="4" t="s">
        <v>124</v>
      </c>
      <c r="DA761" s="7">
        <v>15.314097</v>
      </c>
      <c r="DB761" s="7">
        <v>17.400950000000002</v>
      </c>
      <c r="DC761" s="7">
        <v>16.332519999999999</v>
      </c>
      <c r="DD761" s="4" t="s">
        <v>124</v>
      </c>
      <c r="DE761" s="7">
        <v>0</v>
      </c>
      <c r="DF761" s="6"/>
      <c r="DG761" s="6"/>
      <c r="DH761" s="4" t="s">
        <v>331</v>
      </c>
      <c r="DI761" s="4" t="s">
        <v>431</v>
      </c>
      <c r="DJ761" s="7">
        <v>0</v>
      </c>
      <c r="DK761" s="7">
        <v>0</v>
      </c>
      <c r="DL761" s="7">
        <v>0</v>
      </c>
      <c r="DM761" s="7">
        <v>0</v>
      </c>
      <c r="DN761" s="7">
        <v>1</v>
      </c>
      <c r="DO761" s="7">
        <v>0</v>
      </c>
      <c r="DP761" s="6"/>
      <c r="DQ761" s="4" t="s">
        <v>125</v>
      </c>
    </row>
    <row r="762" spans="1:121" ht="20" customHeight="1" x14ac:dyDescent="0.15">
      <c r="A762" s="5">
        <v>2018</v>
      </c>
      <c r="B762" s="3" t="s">
        <v>159</v>
      </c>
      <c r="C762" s="4" t="str">
        <f t="shared" si="237"/>
        <v>1030011</v>
      </c>
      <c r="D762" s="4" t="s">
        <v>917</v>
      </c>
      <c r="E762" s="4" t="str">
        <f>"1035411"</f>
        <v>1035411</v>
      </c>
      <c r="F762" s="4" t="s">
        <v>327</v>
      </c>
      <c r="G762" s="7">
        <v>6</v>
      </c>
      <c r="H762" s="7">
        <v>8</v>
      </c>
      <c r="I762" s="4" t="s">
        <v>335</v>
      </c>
      <c r="J762" s="4" t="s">
        <v>330</v>
      </c>
      <c r="K762" s="7">
        <v>708.44603700000005</v>
      </c>
      <c r="L762" s="7">
        <v>1000</v>
      </c>
      <c r="M762" s="7">
        <v>70.844604000000004</v>
      </c>
      <c r="N762" s="7">
        <v>3</v>
      </c>
      <c r="O762" s="7">
        <v>1</v>
      </c>
      <c r="P762" s="7">
        <v>67.193882000000002</v>
      </c>
      <c r="Q762" s="7">
        <v>44.795921</v>
      </c>
      <c r="R762" s="7">
        <v>50</v>
      </c>
      <c r="S762" s="7">
        <v>59.813395999999997</v>
      </c>
      <c r="T762" s="7">
        <v>75</v>
      </c>
      <c r="U762" s="7">
        <v>39.875596999999999</v>
      </c>
      <c r="V762" s="7">
        <v>50</v>
      </c>
      <c r="W762" s="7">
        <v>62.829948000000002</v>
      </c>
      <c r="X762" s="7">
        <v>41.886631999999999</v>
      </c>
      <c r="Y762" s="7">
        <v>50</v>
      </c>
      <c r="Z762" s="7">
        <v>75</v>
      </c>
      <c r="AA762" s="7">
        <v>55.708260000000003</v>
      </c>
      <c r="AB762" s="7">
        <v>37.138840000000002</v>
      </c>
      <c r="AC762" s="7">
        <v>50</v>
      </c>
      <c r="AD762" s="7">
        <v>64.095654999999994</v>
      </c>
      <c r="AE762" s="7">
        <v>42.730437000000002</v>
      </c>
      <c r="AF762" s="7">
        <v>50</v>
      </c>
      <c r="AG762" s="7">
        <v>57.007641999999997</v>
      </c>
      <c r="AH762" s="7">
        <v>75</v>
      </c>
      <c r="AI762" s="7">
        <v>38.005094999999997</v>
      </c>
      <c r="AJ762" s="7">
        <v>50</v>
      </c>
      <c r="AK762" s="7">
        <v>15.18</v>
      </c>
      <c r="AL762" s="7">
        <v>19.29</v>
      </c>
      <c r="AM762" s="7">
        <v>17.989999999999998</v>
      </c>
      <c r="AN762" s="7">
        <v>0.60811400000000004</v>
      </c>
      <c r="AO762" s="7">
        <v>60.811360999999998</v>
      </c>
      <c r="AP762" s="7">
        <v>100</v>
      </c>
      <c r="AQ762" s="7">
        <v>0.64217000000000002</v>
      </c>
      <c r="AR762" s="7">
        <v>64.217015000000004</v>
      </c>
      <c r="AS762" s="7">
        <v>100</v>
      </c>
      <c r="AT762" s="7">
        <v>0.55473300000000003</v>
      </c>
      <c r="AU762" s="7">
        <v>0.71072900000000006</v>
      </c>
      <c r="AV762" s="7">
        <v>55.473292999999998</v>
      </c>
      <c r="AW762" s="7">
        <v>100</v>
      </c>
      <c r="AX762" s="7">
        <v>0.57572900000000005</v>
      </c>
      <c r="AY762" s="7">
        <v>0.77083900000000005</v>
      </c>
      <c r="AZ762" s="7">
        <v>57.572895000000003</v>
      </c>
      <c r="BA762" s="7">
        <v>100</v>
      </c>
      <c r="BB762" s="7">
        <v>0.69482299999999997</v>
      </c>
      <c r="BC762" s="7">
        <v>34.741154999999999</v>
      </c>
      <c r="BD762" s="7">
        <v>50</v>
      </c>
      <c r="BE762" s="7">
        <v>0.725105</v>
      </c>
      <c r="BF762" s="7">
        <v>36.255268000000001</v>
      </c>
      <c r="BG762" s="7">
        <v>50</v>
      </c>
      <c r="BH762" s="7">
        <v>0</v>
      </c>
      <c r="BI762" s="7">
        <v>0.97781099999999999</v>
      </c>
      <c r="BJ762" s="7">
        <v>0.98687100000000005</v>
      </c>
      <c r="BK762" s="7">
        <v>0.95890399999999998</v>
      </c>
      <c r="BL762" s="7">
        <v>0.97781099999999999</v>
      </c>
      <c r="BM762" s="7">
        <v>0.98905900000000002</v>
      </c>
      <c r="BN762" s="7">
        <v>0.95433800000000002</v>
      </c>
      <c r="BO762" s="7">
        <v>0.97706400000000004</v>
      </c>
      <c r="BP762" s="7">
        <v>0.980132</v>
      </c>
      <c r="BQ762" s="7">
        <v>0.97014900000000004</v>
      </c>
      <c r="BR762" s="7">
        <v>0.10222199999999999</v>
      </c>
      <c r="BS762" s="7">
        <v>39.555556000000003</v>
      </c>
      <c r="BT762" s="7">
        <v>50</v>
      </c>
      <c r="BU762" s="7">
        <v>0.13111100000000001</v>
      </c>
      <c r="BV762" s="7">
        <v>33.777777999999998</v>
      </c>
      <c r="BW762" s="7">
        <v>50</v>
      </c>
      <c r="BX762" s="4" t="s">
        <v>124</v>
      </c>
      <c r="BY762" s="4" t="s">
        <v>124</v>
      </c>
      <c r="BZ762" s="4" t="s">
        <v>124</v>
      </c>
      <c r="CA762" s="4" t="s">
        <v>124</v>
      </c>
      <c r="CB762" s="4" t="s">
        <v>124</v>
      </c>
      <c r="CC762" s="4" t="s">
        <v>124</v>
      </c>
      <c r="CD762" s="7">
        <v>0.96137300000000003</v>
      </c>
      <c r="CE762" s="7">
        <v>50</v>
      </c>
      <c r="CF762" s="7">
        <v>50</v>
      </c>
      <c r="CG762" s="4" t="s">
        <v>124</v>
      </c>
      <c r="CH762" s="4" t="s">
        <v>124</v>
      </c>
      <c r="CI762" s="4" t="s">
        <v>124</v>
      </c>
      <c r="CJ762" s="4" t="s">
        <v>124</v>
      </c>
      <c r="CK762" s="4" t="s">
        <v>124</v>
      </c>
      <c r="CL762" s="4" t="s">
        <v>124</v>
      </c>
      <c r="CM762" s="4" t="s">
        <v>124</v>
      </c>
      <c r="CN762" s="4" t="s">
        <v>124</v>
      </c>
      <c r="CO762" s="4" t="s">
        <v>124</v>
      </c>
      <c r="CP762" s="4" t="s">
        <v>124</v>
      </c>
      <c r="CQ762" s="7">
        <v>0.474138</v>
      </c>
      <c r="CR762" s="7">
        <v>0.99357600000000001</v>
      </c>
      <c r="CS762" s="7">
        <v>31.609195</v>
      </c>
      <c r="CT762" s="7">
        <v>50</v>
      </c>
      <c r="CU762" s="4" t="s">
        <v>124</v>
      </c>
      <c r="CV762" s="4" t="s">
        <v>124</v>
      </c>
      <c r="CW762" s="4" t="s">
        <v>124</v>
      </c>
      <c r="CX762" s="4" t="s">
        <v>124</v>
      </c>
      <c r="CY762" s="4" t="s">
        <v>124</v>
      </c>
      <c r="CZ762" s="4" t="s">
        <v>124</v>
      </c>
      <c r="DA762" s="7">
        <v>15.314097</v>
      </c>
      <c r="DB762" s="7">
        <v>17.400950000000002</v>
      </c>
      <c r="DC762" s="7">
        <v>16.332519999999999</v>
      </c>
      <c r="DD762" s="4" t="s">
        <v>124</v>
      </c>
      <c r="DE762" s="7">
        <v>1</v>
      </c>
      <c r="DF762" s="6"/>
      <c r="DG762" s="6"/>
      <c r="DH762" s="6"/>
      <c r="DI762" s="6"/>
      <c r="DJ762" s="7">
        <v>0</v>
      </c>
      <c r="DK762" s="7">
        <v>0</v>
      </c>
      <c r="DL762" s="7">
        <v>0</v>
      </c>
      <c r="DM762" s="7">
        <v>0</v>
      </c>
      <c r="DN762" s="7">
        <v>0</v>
      </c>
      <c r="DO762" s="7">
        <v>0</v>
      </c>
      <c r="DP762" s="6"/>
      <c r="DQ762" s="4" t="s">
        <v>125</v>
      </c>
    </row>
    <row r="763" spans="1:121" ht="20" customHeight="1" x14ac:dyDescent="0.15">
      <c r="A763" s="5">
        <v>2018</v>
      </c>
      <c r="B763" s="3" t="s">
        <v>159</v>
      </c>
      <c r="C763" s="4" t="str">
        <f t="shared" si="237"/>
        <v>1030011</v>
      </c>
      <c r="D763" s="4" t="s">
        <v>918</v>
      </c>
      <c r="E763" s="4" t="str">
        <f>"1032411"</f>
        <v>1032411</v>
      </c>
      <c r="F763" s="4" t="s">
        <v>327</v>
      </c>
      <c r="G763" s="4" t="s">
        <v>338</v>
      </c>
      <c r="H763" s="7">
        <v>5</v>
      </c>
      <c r="I763" s="6"/>
      <c r="J763" s="4" t="s">
        <v>330</v>
      </c>
      <c r="K763" s="7">
        <v>710.59860600000002</v>
      </c>
      <c r="L763" s="7">
        <v>950</v>
      </c>
      <c r="M763" s="7">
        <v>74.799852999999999</v>
      </c>
      <c r="N763" s="7">
        <v>2</v>
      </c>
      <c r="O763" s="7">
        <v>0</v>
      </c>
      <c r="P763" s="7">
        <v>72.808284</v>
      </c>
      <c r="Q763" s="7">
        <v>48.538856000000003</v>
      </c>
      <c r="R763" s="7">
        <v>50</v>
      </c>
      <c r="S763" s="7">
        <v>68.291927000000001</v>
      </c>
      <c r="T763" s="7">
        <v>75</v>
      </c>
      <c r="U763" s="7">
        <v>45.527951999999999</v>
      </c>
      <c r="V763" s="7">
        <v>50</v>
      </c>
      <c r="W763" s="7">
        <v>69.713596999999993</v>
      </c>
      <c r="X763" s="7">
        <v>46.475731000000003</v>
      </c>
      <c r="Y763" s="7">
        <v>50</v>
      </c>
      <c r="Z763" s="7">
        <v>75</v>
      </c>
      <c r="AA763" s="7">
        <v>63.959800999999999</v>
      </c>
      <c r="AB763" s="7">
        <v>42.639867000000002</v>
      </c>
      <c r="AC763" s="7">
        <v>50</v>
      </c>
      <c r="AD763" s="7">
        <v>65.163594000000003</v>
      </c>
      <c r="AE763" s="7">
        <v>43.442396000000002</v>
      </c>
      <c r="AF763" s="7">
        <v>50</v>
      </c>
      <c r="AG763" s="7">
        <v>62.144725000000001</v>
      </c>
      <c r="AH763" s="4" t="s">
        <v>124</v>
      </c>
      <c r="AI763" s="7">
        <v>41.429817</v>
      </c>
      <c r="AJ763" s="7">
        <v>50</v>
      </c>
      <c r="AK763" s="7">
        <v>6.7</v>
      </c>
      <c r="AL763" s="7">
        <v>11.04</v>
      </c>
      <c r="AM763" s="4" t="s">
        <v>124</v>
      </c>
      <c r="AN763" s="7">
        <v>0.60835399999999995</v>
      </c>
      <c r="AO763" s="7">
        <v>60.835442</v>
      </c>
      <c r="AP763" s="7">
        <v>100</v>
      </c>
      <c r="AQ763" s="7">
        <v>0.65449999999999997</v>
      </c>
      <c r="AR763" s="7">
        <v>65.449980999999994</v>
      </c>
      <c r="AS763" s="7">
        <v>100</v>
      </c>
      <c r="AT763" s="7">
        <v>0.59301199999999998</v>
      </c>
      <c r="AU763" s="7">
        <v>0.63782799999999995</v>
      </c>
      <c r="AV763" s="7">
        <v>59.301192999999998</v>
      </c>
      <c r="AW763" s="7">
        <v>100</v>
      </c>
      <c r="AX763" s="7">
        <v>0.64780599999999999</v>
      </c>
      <c r="AY763" s="7">
        <v>0.66735900000000004</v>
      </c>
      <c r="AZ763" s="7">
        <v>64.780589000000006</v>
      </c>
      <c r="BA763" s="7">
        <v>100</v>
      </c>
      <c r="BB763" s="7">
        <v>0.82689900000000005</v>
      </c>
      <c r="BC763" s="7">
        <v>41.344971000000001</v>
      </c>
      <c r="BD763" s="7">
        <v>50</v>
      </c>
      <c r="BE763" s="7">
        <v>0.54282300000000006</v>
      </c>
      <c r="BF763" s="7">
        <v>27.141127999999998</v>
      </c>
      <c r="BG763" s="7">
        <v>50</v>
      </c>
      <c r="BH763" s="7">
        <v>0</v>
      </c>
      <c r="BI763" s="7">
        <v>0.99354799999999999</v>
      </c>
      <c r="BJ763" s="7">
        <v>1</v>
      </c>
      <c r="BK763" s="7">
        <v>0.98181799999999997</v>
      </c>
      <c r="BL763" s="7">
        <v>0.99354799999999999</v>
      </c>
      <c r="BM763" s="7">
        <v>1</v>
      </c>
      <c r="BN763" s="7">
        <v>0.98181799999999997</v>
      </c>
      <c r="BO763" s="7">
        <v>0.98305100000000001</v>
      </c>
      <c r="BP763" s="7">
        <v>1</v>
      </c>
      <c r="BQ763" s="7">
        <v>0.95</v>
      </c>
      <c r="BR763" s="7">
        <v>9.9678000000000003E-2</v>
      </c>
      <c r="BS763" s="7">
        <v>40.064309000000002</v>
      </c>
      <c r="BT763" s="7">
        <v>50</v>
      </c>
      <c r="BU763" s="7">
        <v>0.13186800000000001</v>
      </c>
      <c r="BV763" s="7">
        <v>33.626373999999998</v>
      </c>
      <c r="BW763" s="7">
        <v>50</v>
      </c>
      <c r="BX763" s="4" t="s">
        <v>124</v>
      </c>
      <c r="BY763" s="4" t="s">
        <v>124</v>
      </c>
      <c r="BZ763" s="4" t="s">
        <v>124</v>
      </c>
      <c r="CA763" s="4" t="s">
        <v>124</v>
      </c>
      <c r="CB763" s="4" t="s">
        <v>124</v>
      </c>
      <c r="CC763" s="4" t="s">
        <v>124</v>
      </c>
      <c r="CD763" s="4" t="s">
        <v>124</v>
      </c>
      <c r="CE763" s="4" t="s">
        <v>124</v>
      </c>
      <c r="CF763" s="4" t="s">
        <v>124</v>
      </c>
      <c r="CG763" s="4" t="s">
        <v>124</v>
      </c>
      <c r="CH763" s="4" t="s">
        <v>124</v>
      </c>
      <c r="CI763" s="4" t="s">
        <v>124</v>
      </c>
      <c r="CJ763" s="4" t="s">
        <v>124</v>
      </c>
      <c r="CK763" s="4" t="s">
        <v>124</v>
      </c>
      <c r="CL763" s="4" t="s">
        <v>124</v>
      </c>
      <c r="CM763" s="4" t="s">
        <v>124</v>
      </c>
      <c r="CN763" s="4" t="s">
        <v>124</v>
      </c>
      <c r="CO763" s="4" t="s">
        <v>124</v>
      </c>
      <c r="CP763" s="4" t="s">
        <v>124</v>
      </c>
      <c r="CQ763" s="7">
        <v>0.89090899999999995</v>
      </c>
      <c r="CR763" s="7">
        <v>0.96491199999999999</v>
      </c>
      <c r="CS763" s="7">
        <v>50</v>
      </c>
      <c r="CT763" s="7">
        <v>50</v>
      </c>
      <c r="CU763" s="4" t="s">
        <v>124</v>
      </c>
      <c r="CV763" s="4" t="s">
        <v>124</v>
      </c>
      <c r="CW763" s="4" t="s">
        <v>124</v>
      </c>
      <c r="CX763" s="4" t="s">
        <v>124</v>
      </c>
      <c r="CY763" s="4" t="s">
        <v>124</v>
      </c>
      <c r="CZ763" s="4" t="s">
        <v>124</v>
      </c>
      <c r="DA763" s="7">
        <v>15.314097</v>
      </c>
      <c r="DB763" s="7">
        <v>17.400950000000002</v>
      </c>
      <c r="DC763" s="7">
        <v>16.332519999999999</v>
      </c>
      <c r="DD763" s="4" t="s">
        <v>124</v>
      </c>
      <c r="DE763" s="7">
        <v>0</v>
      </c>
      <c r="DF763" s="6"/>
      <c r="DG763" s="6"/>
      <c r="DH763" s="6"/>
      <c r="DI763" s="6"/>
      <c r="DJ763" s="7">
        <v>0</v>
      </c>
      <c r="DK763" s="7">
        <v>0</v>
      </c>
      <c r="DL763" s="7">
        <v>0</v>
      </c>
      <c r="DM763" s="7">
        <v>0</v>
      </c>
      <c r="DN763" s="7">
        <v>0</v>
      </c>
      <c r="DO763" s="7">
        <v>0</v>
      </c>
      <c r="DP763" s="6"/>
      <c r="DQ763" s="4" t="s">
        <v>125</v>
      </c>
    </row>
    <row r="764" spans="1:121" ht="20" customHeight="1" x14ac:dyDescent="0.15">
      <c r="A764" s="5">
        <v>2018</v>
      </c>
      <c r="B764" s="3" t="s">
        <v>240</v>
      </c>
      <c r="C764" s="4" t="str">
        <f t="shared" si="115"/>
        <v>1040011</v>
      </c>
      <c r="D764" s="4" t="s">
        <v>919</v>
      </c>
      <c r="E764" s="4" t="str">
        <f>"1041411"</f>
        <v>1041411</v>
      </c>
      <c r="F764" s="4" t="s">
        <v>327</v>
      </c>
      <c r="G764" s="4" t="s">
        <v>338</v>
      </c>
      <c r="H764" s="7">
        <v>5</v>
      </c>
      <c r="I764" s="4" t="s">
        <v>335</v>
      </c>
      <c r="J764" s="4" t="s">
        <v>330</v>
      </c>
      <c r="K764" s="7">
        <v>639.66992600000003</v>
      </c>
      <c r="L764" s="7">
        <v>950</v>
      </c>
      <c r="M764" s="7">
        <v>67.333675999999997</v>
      </c>
      <c r="N764" s="7">
        <v>3</v>
      </c>
      <c r="O764" s="7">
        <v>0</v>
      </c>
      <c r="P764" s="7">
        <v>59.362963999999998</v>
      </c>
      <c r="Q764" s="7">
        <v>39.575308999999997</v>
      </c>
      <c r="R764" s="7">
        <v>50</v>
      </c>
      <c r="S764" s="7">
        <v>56.791359999999997</v>
      </c>
      <c r="T764" s="4" t="s">
        <v>124</v>
      </c>
      <c r="U764" s="7">
        <v>37.860906</v>
      </c>
      <c r="V764" s="7">
        <v>50</v>
      </c>
      <c r="W764" s="7">
        <v>54.629832999999998</v>
      </c>
      <c r="X764" s="7">
        <v>36.419888</v>
      </c>
      <c r="Y764" s="7">
        <v>50</v>
      </c>
      <c r="Z764" s="4" t="s">
        <v>124</v>
      </c>
      <c r="AA764" s="7">
        <v>51.875629000000004</v>
      </c>
      <c r="AB764" s="7">
        <v>34.583751999999997</v>
      </c>
      <c r="AC764" s="7">
        <v>50</v>
      </c>
      <c r="AD764" s="7">
        <v>57.909677000000002</v>
      </c>
      <c r="AE764" s="7">
        <v>38.606451999999997</v>
      </c>
      <c r="AF764" s="7">
        <v>50</v>
      </c>
      <c r="AG764" s="7">
        <v>55.180531999999999</v>
      </c>
      <c r="AH764" s="4" t="s">
        <v>124</v>
      </c>
      <c r="AI764" s="7">
        <v>36.787021000000003</v>
      </c>
      <c r="AJ764" s="7">
        <v>50</v>
      </c>
      <c r="AK764" s="4" t="s">
        <v>124</v>
      </c>
      <c r="AL764" s="4" t="s">
        <v>124</v>
      </c>
      <c r="AM764" s="4" t="s">
        <v>124</v>
      </c>
      <c r="AN764" s="7">
        <v>0.53141899999999997</v>
      </c>
      <c r="AO764" s="7">
        <v>53.141945</v>
      </c>
      <c r="AP764" s="7">
        <v>100</v>
      </c>
      <c r="AQ764" s="7">
        <v>0.531366</v>
      </c>
      <c r="AR764" s="7">
        <v>53.136636000000003</v>
      </c>
      <c r="AS764" s="7">
        <v>100</v>
      </c>
      <c r="AT764" s="7">
        <v>0.54371899999999995</v>
      </c>
      <c r="AU764" s="4" t="s">
        <v>124</v>
      </c>
      <c r="AV764" s="7">
        <v>54.371884999999999</v>
      </c>
      <c r="AW764" s="7">
        <v>100</v>
      </c>
      <c r="AX764" s="7">
        <v>0.49564999999999998</v>
      </c>
      <c r="AY764" s="4" t="s">
        <v>124</v>
      </c>
      <c r="AZ764" s="7">
        <v>49.564976000000001</v>
      </c>
      <c r="BA764" s="7">
        <v>100</v>
      </c>
      <c r="BB764" s="7">
        <v>0.68430400000000002</v>
      </c>
      <c r="BC764" s="7">
        <v>34.215190999999997</v>
      </c>
      <c r="BD764" s="7">
        <v>50</v>
      </c>
      <c r="BE764" s="7">
        <v>0.58763500000000002</v>
      </c>
      <c r="BF764" s="7">
        <v>29.381747000000001</v>
      </c>
      <c r="BG764" s="7">
        <v>50</v>
      </c>
      <c r="BH764" s="7">
        <v>0</v>
      </c>
      <c r="BI764" s="7">
        <v>0.981707</v>
      </c>
      <c r="BJ764" s="7">
        <v>0.97902100000000003</v>
      </c>
      <c r="BK764" s="7">
        <v>1</v>
      </c>
      <c r="BL764" s="7">
        <v>0.98787899999999995</v>
      </c>
      <c r="BM764" s="7">
        <v>0.98611099999999996</v>
      </c>
      <c r="BN764" s="7">
        <v>1</v>
      </c>
      <c r="BO764" s="7">
        <v>0.98591499999999999</v>
      </c>
      <c r="BP764" s="7">
        <v>0.98412699999999997</v>
      </c>
      <c r="BQ764" s="4" t="s">
        <v>124</v>
      </c>
      <c r="BR764" s="7">
        <v>5.3892000000000002E-2</v>
      </c>
      <c r="BS764" s="7">
        <v>49.221556999999997</v>
      </c>
      <c r="BT764" s="7">
        <v>50</v>
      </c>
      <c r="BU764" s="7">
        <v>6.2937000000000007E-2</v>
      </c>
      <c r="BV764" s="7">
        <v>47.412587000000002</v>
      </c>
      <c r="BW764" s="7">
        <v>50</v>
      </c>
      <c r="BX764" s="4" t="s">
        <v>124</v>
      </c>
      <c r="BY764" s="4" t="s">
        <v>124</v>
      </c>
      <c r="BZ764" s="4" t="s">
        <v>124</v>
      </c>
      <c r="CA764" s="4" t="s">
        <v>124</v>
      </c>
      <c r="CB764" s="4" t="s">
        <v>124</v>
      </c>
      <c r="CC764" s="4" t="s">
        <v>124</v>
      </c>
      <c r="CD764" s="4" t="s">
        <v>124</v>
      </c>
      <c r="CE764" s="4" t="s">
        <v>124</v>
      </c>
      <c r="CF764" s="4" t="s">
        <v>124</v>
      </c>
      <c r="CG764" s="4" t="s">
        <v>124</v>
      </c>
      <c r="CH764" s="4" t="s">
        <v>124</v>
      </c>
      <c r="CI764" s="4" t="s">
        <v>124</v>
      </c>
      <c r="CJ764" s="4" t="s">
        <v>124</v>
      </c>
      <c r="CK764" s="4" t="s">
        <v>124</v>
      </c>
      <c r="CL764" s="4" t="s">
        <v>124</v>
      </c>
      <c r="CM764" s="4" t="s">
        <v>124</v>
      </c>
      <c r="CN764" s="4" t="s">
        <v>124</v>
      </c>
      <c r="CO764" s="4" t="s">
        <v>124</v>
      </c>
      <c r="CP764" s="4" t="s">
        <v>124</v>
      </c>
      <c r="CQ764" s="7">
        <v>0.68085099999999998</v>
      </c>
      <c r="CR764" s="7">
        <v>1.021739</v>
      </c>
      <c r="CS764" s="7">
        <v>45.390070999999999</v>
      </c>
      <c r="CT764" s="7">
        <v>50</v>
      </c>
      <c r="CU764" s="4" t="s">
        <v>124</v>
      </c>
      <c r="CV764" s="4" t="s">
        <v>124</v>
      </c>
      <c r="CW764" s="4" t="s">
        <v>124</v>
      </c>
      <c r="CX764" s="4" t="s">
        <v>124</v>
      </c>
      <c r="CY764" s="4" t="s">
        <v>124</v>
      </c>
      <c r="CZ764" s="4" t="s">
        <v>124</v>
      </c>
      <c r="DA764" s="7">
        <v>15.314097</v>
      </c>
      <c r="DB764" s="7">
        <v>17.400950000000002</v>
      </c>
      <c r="DC764" s="7">
        <v>16.332519999999999</v>
      </c>
      <c r="DD764" s="4" t="s">
        <v>124</v>
      </c>
      <c r="DE764" s="7">
        <v>0</v>
      </c>
      <c r="DF764" s="6"/>
      <c r="DG764" s="6"/>
      <c r="DH764" s="6"/>
      <c r="DI764" s="6"/>
      <c r="DJ764" s="7">
        <v>0</v>
      </c>
      <c r="DK764" s="7">
        <v>0</v>
      </c>
      <c r="DL764" s="7">
        <v>0</v>
      </c>
      <c r="DM764" s="7">
        <v>0</v>
      </c>
      <c r="DN764" s="7">
        <v>0</v>
      </c>
      <c r="DO764" s="7">
        <v>0</v>
      </c>
      <c r="DP764" s="6"/>
      <c r="DQ764" s="4" t="s">
        <v>125</v>
      </c>
    </row>
    <row r="765" spans="1:121" ht="20" customHeight="1" x14ac:dyDescent="0.15">
      <c r="A765" s="5">
        <v>2018</v>
      </c>
      <c r="B765" s="3" t="s">
        <v>240</v>
      </c>
      <c r="C765" s="4" t="str">
        <f t="shared" ref="C765:C772" si="238">"1040011"</f>
        <v>1040011</v>
      </c>
      <c r="D765" s="4" t="s">
        <v>920</v>
      </c>
      <c r="E765" s="4" t="str">
        <f>"1045111"</f>
        <v>1045111</v>
      </c>
      <c r="F765" s="4" t="s">
        <v>327</v>
      </c>
      <c r="G765" s="7">
        <v>6</v>
      </c>
      <c r="H765" s="7">
        <v>8</v>
      </c>
      <c r="I765" s="4" t="s">
        <v>335</v>
      </c>
      <c r="J765" s="4" t="s">
        <v>330</v>
      </c>
      <c r="K765" s="7">
        <v>564.70976599999995</v>
      </c>
      <c r="L765" s="7">
        <v>1000</v>
      </c>
      <c r="M765" s="7">
        <v>56.470976999999998</v>
      </c>
      <c r="N765" s="7">
        <v>3</v>
      </c>
      <c r="O765" s="7">
        <v>0</v>
      </c>
      <c r="P765" s="7">
        <v>54.649925000000003</v>
      </c>
      <c r="Q765" s="7">
        <v>36.433283000000003</v>
      </c>
      <c r="R765" s="7">
        <v>50</v>
      </c>
      <c r="S765" s="7">
        <v>51.188267000000003</v>
      </c>
      <c r="T765" s="7">
        <v>64.465256999999994</v>
      </c>
      <c r="U765" s="7">
        <v>34.125511000000003</v>
      </c>
      <c r="V765" s="7">
        <v>50</v>
      </c>
      <c r="W765" s="7">
        <v>49.130648999999998</v>
      </c>
      <c r="X765" s="7">
        <v>32.753765999999999</v>
      </c>
      <c r="Y765" s="7">
        <v>50</v>
      </c>
      <c r="Z765" s="7">
        <v>58.650855999999997</v>
      </c>
      <c r="AA765" s="7">
        <v>45.765563999999998</v>
      </c>
      <c r="AB765" s="7">
        <v>30.510376000000001</v>
      </c>
      <c r="AC765" s="7">
        <v>50</v>
      </c>
      <c r="AD765" s="7">
        <v>51.863394999999997</v>
      </c>
      <c r="AE765" s="7">
        <v>34.575597000000002</v>
      </c>
      <c r="AF765" s="7">
        <v>50</v>
      </c>
      <c r="AG765" s="7">
        <v>49.412466999999999</v>
      </c>
      <c r="AH765" s="7">
        <v>59.216180000000001</v>
      </c>
      <c r="AI765" s="7">
        <v>32.941645000000001</v>
      </c>
      <c r="AJ765" s="7">
        <v>50</v>
      </c>
      <c r="AK765" s="7">
        <v>13.27</v>
      </c>
      <c r="AL765" s="7">
        <v>12.88</v>
      </c>
      <c r="AM765" s="7">
        <v>9.8000000000000007</v>
      </c>
      <c r="AN765" s="7">
        <v>0.45945000000000003</v>
      </c>
      <c r="AO765" s="7">
        <v>45.945044000000003</v>
      </c>
      <c r="AP765" s="7">
        <v>100</v>
      </c>
      <c r="AQ765" s="7">
        <v>0.48263899999999998</v>
      </c>
      <c r="AR765" s="7">
        <v>48.263933000000002</v>
      </c>
      <c r="AS765" s="7">
        <v>100</v>
      </c>
      <c r="AT765" s="7">
        <v>0.47266200000000003</v>
      </c>
      <c r="AU765" s="7">
        <v>0.425431</v>
      </c>
      <c r="AV765" s="7">
        <v>47.266247</v>
      </c>
      <c r="AW765" s="7">
        <v>100</v>
      </c>
      <c r="AX765" s="7">
        <v>0.47828599999999999</v>
      </c>
      <c r="AY765" s="7">
        <v>0.49382300000000001</v>
      </c>
      <c r="AZ765" s="7">
        <v>47.828578999999998</v>
      </c>
      <c r="BA765" s="7">
        <v>100</v>
      </c>
      <c r="BB765" s="7">
        <v>0.45577499999999999</v>
      </c>
      <c r="BC765" s="7">
        <v>22.788748999999999</v>
      </c>
      <c r="BD765" s="7">
        <v>50</v>
      </c>
      <c r="BE765" s="7">
        <v>0.541238</v>
      </c>
      <c r="BF765" s="7">
        <v>27.061904999999999</v>
      </c>
      <c r="BG765" s="7">
        <v>50</v>
      </c>
      <c r="BH765" s="7">
        <v>0</v>
      </c>
      <c r="BI765" s="7">
        <v>0.99221199999999998</v>
      </c>
      <c r="BJ765" s="7">
        <v>0.99578900000000004</v>
      </c>
      <c r="BK765" s="7">
        <v>0.98203600000000002</v>
      </c>
      <c r="BL765" s="7">
        <v>0.98911400000000005</v>
      </c>
      <c r="BM765" s="7">
        <v>0.99159699999999995</v>
      </c>
      <c r="BN765" s="7">
        <v>0.98203600000000002</v>
      </c>
      <c r="BO765" s="7">
        <v>0.99099099999999996</v>
      </c>
      <c r="BP765" s="7">
        <v>0.99401200000000001</v>
      </c>
      <c r="BQ765" s="7">
        <v>0.98181799999999997</v>
      </c>
      <c r="BR765" s="7">
        <v>0.151563</v>
      </c>
      <c r="BS765" s="7">
        <v>29.6875</v>
      </c>
      <c r="BT765" s="7">
        <v>50</v>
      </c>
      <c r="BU765" s="7">
        <v>0.18221300000000001</v>
      </c>
      <c r="BV765" s="7">
        <v>23.557483999999999</v>
      </c>
      <c r="BW765" s="7">
        <v>50</v>
      </c>
      <c r="BX765" s="4" t="s">
        <v>124</v>
      </c>
      <c r="BY765" s="4" t="s">
        <v>124</v>
      </c>
      <c r="BZ765" s="4" t="s">
        <v>124</v>
      </c>
      <c r="CA765" s="4" t="s">
        <v>124</v>
      </c>
      <c r="CB765" s="4" t="s">
        <v>124</v>
      </c>
      <c r="CC765" s="4" t="s">
        <v>124</v>
      </c>
      <c r="CD765" s="7">
        <v>0.84782599999999997</v>
      </c>
      <c r="CE765" s="7">
        <v>45.097132000000002</v>
      </c>
      <c r="CF765" s="7">
        <v>50</v>
      </c>
      <c r="CG765" s="4" t="s">
        <v>124</v>
      </c>
      <c r="CH765" s="4" t="s">
        <v>124</v>
      </c>
      <c r="CI765" s="4" t="s">
        <v>124</v>
      </c>
      <c r="CJ765" s="4" t="s">
        <v>124</v>
      </c>
      <c r="CK765" s="4" t="s">
        <v>124</v>
      </c>
      <c r="CL765" s="4" t="s">
        <v>124</v>
      </c>
      <c r="CM765" s="4" t="s">
        <v>124</v>
      </c>
      <c r="CN765" s="4" t="s">
        <v>124</v>
      </c>
      <c r="CO765" s="4" t="s">
        <v>124</v>
      </c>
      <c r="CP765" s="4" t="s">
        <v>124</v>
      </c>
      <c r="CQ765" s="7">
        <v>0.38809500000000002</v>
      </c>
      <c r="CR765" s="7">
        <v>0.9375</v>
      </c>
      <c r="CS765" s="7">
        <v>25.873016</v>
      </c>
      <c r="CT765" s="7">
        <v>50</v>
      </c>
      <c r="CU765" s="4" t="s">
        <v>124</v>
      </c>
      <c r="CV765" s="4" t="s">
        <v>124</v>
      </c>
      <c r="CW765" s="4" t="s">
        <v>124</v>
      </c>
      <c r="CX765" s="4" t="s">
        <v>124</v>
      </c>
      <c r="CY765" s="4" t="s">
        <v>124</v>
      </c>
      <c r="CZ765" s="4" t="s">
        <v>124</v>
      </c>
      <c r="DA765" s="7">
        <v>15.314097</v>
      </c>
      <c r="DB765" s="7">
        <v>17.400950000000002</v>
      </c>
      <c r="DC765" s="7">
        <v>16.332519999999999</v>
      </c>
      <c r="DD765" s="4" t="s">
        <v>124</v>
      </c>
      <c r="DE765" s="7">
        <v>0</v>
      </c>
      <c r="DF765" s="6"/>
      <c r="DG765" s="6"/>
      <c r="DH765" s="6"/>
      <c r="DI765" s="6"/>
      <c r="DJ765" s="7">
        <v>0</v>
      </c>
      <c r="DK765" s="7">
        <v>0</v>
      </c>
      <c r="DL765" s="7">
        <v>0</v>
      </c>
      <c r="DM765" s="7">
        <v>0</v>
      </c>
      <c r="DN765" s="7">
        <v>0</v>
      </c>
      <c r="DO765" s="7">
        <v>0</v>
      </c>
      <c r="DP765" s="6"/>
      <c r="DQ765" s="4" t="s">
        <v>125</v>
      </c>
    </row>
    <row r="766" spans="1:121" ht="20" customHeight="1" x14ac:dyDescent="0.15">
      <c r="A766" s="5">
        <v>2018</v>
      </c>
      <c r="B766" s="3" t="s">
        <v>240</v>
      </c>
      <c r="C766" s="4" t="str">
        <f t="shared" si="238"/>
        <v>1040011</v>
      </c>
      <c r="D766" s="4" t="s">
        <v>921</v>
      </c>
      <c r="E766" s="4" t="str">
        <f>"1042011"</f>
        <v>1042011</v>
      </c>
      <c r="F766" s="4" t="s">
        <v>327</v>
      </c>
      <c r="G766" s="4" t="s">
        <v>338</v>
      </c>
      <c r="H766" s="7">
        <v>5</v>
      </c>
      <c r="I766" s="4" t="s">
        <v>335</v>
      </c>
      <c r="J766" s="4" t="s">
        <v>330</v>
      </c>
      <c r="K766" s="7">
        <v>626.60509000000002</v>
      </c>
      <c r="L766" s="7">
        <v>950</v>
      </c>
      <c r="M766" s="7">
        <v>65.958431000000004</v>
      </c>
      <c r="N766" s="7">
        <v>3</v>
      </c>
      <c r="O766" s="7">
        <v>0</v>
      </c>
      <c r="P766" s="7">
        <v>63.019979999999997</v>
      </c>
      <c r="Q766" s="7">
        <v>42.01332</v>
      </c>
      <c r="R766" s="7">
        <v>50</v>
      </c>
      <c r="S766" s="7">
        <v>60.620356000000001</v>
      </c>
      <c r="T766" s="7">
        <v>71.818601999999998</v>
      </c>
      <c r="U766" s="7">
        <v>40.413570999999997</v>
      </c>
      <c r="V766" s="7">
        <v>50</v>
      </c>
      <c r="W766" s="7">
        <v>58.278126</v>
      </c>
      <c r="X766" s="7">
        <v>38.852083999999998</v>
      </c>
      <c r="Y766" s="7">
        <v>50</v>
      </c>
      <c r="Z766" s="7">
        <v>66.134401999999994</v>
      </c>
      <c r="AA766" s="7">
        <v>56.122441000000002</v>
      </c>
      <c r="AB766" s="7">
        <v>37.414960000000001</v>
      </c>
      <c r="AC766" s="7">
        <v>50</v>
      </c>
      <c r="AD766" s="7">
        <v>59.931342999999998</v>
      </c>
      <c r="AE766" s="7">
        <v>39.954228000000001</v>
      </c>
      <c r="AF766" s="7">
        <v>50</v>
      </c>
      <c r="AG766" s="7">
        <v>58.113171999999999</v>
      </c>
      <c r="AH766" s="4" t="s">
        <v>124</v>
      </c>
      <c r="AI766" s="7">
        <v>38.742114999999998</v>
      </c>
      <c r="AJ766" s="7">
        <v>50</v>
      </c>
      <c r="AK766" s="7">
        <v>11.19</v>
      </c>
      <c r="AL766" s="7">
        <v>10.01</v>
      </c>
      <c r="AM766" s="4" t="s">
        <v>124</v>
      </c>
      <c r="AN766" s="7">
        <v>0.56744499999999998</v>
      </c>
      <c r="AO766" s="7">
        <v>56.744475999999999</v>
      </c>
      <c r="AP766" s="7">
        <v>100</v>
      </c>
      <c r="AQ766" s="7">
        <v>0.52756700000000001</v>
      </c>
      <c r="AR766" s="7">
        <v>52.756661000000001</v>
      </c>
      <c r="AS766" s="7">
        <v>100</v>
      </c>
      <c r="AT766" s="7">
        <v>0.59557499999999997</v>
      </c>
      <c r="AU766" s="7">
        <v>0.46523900000000001</v>
      </c>
      <c r="AV766" s="7">
        <v>59.557479000000001</v>
      </c>
      <c r="AW766" s="7">
        <v>100</v>
      </c>
      <c r="AX766" s="7">
        <v>0.54248399999999997</v>
      </c>
      <c r="AY766" s="7">
        <v>0.47336600000000001</v>
      </c>
      <c r="AZ766" s="7">
        <v>54.248429000000002</v>
      </c>
      <c r="BA766" s="7">
        <v>100</v>
      </c>
      <c r="BB766" s="7">
        <v>0.67333699999999996</v>
      </c>
      <c r="BC766" s="7">
        <v>33.666857999999998</v>
      </c>
      <c r="BD766" s="7">
        <v>50</v>
      </c>
      <c r="BE766" s="7">
        <v>0.52227299999999999</v>
      </c>
      <c r="BF766" s="7">
        <v>26.113636</v>
      </c>
      <c r="BG766" s="7">
        <v>50</v>
      </c>
      <c r="BH766" s="7">
        <v>0</v>
      </c>
      <c r="BI766" s="7">
        <v>0.99553599999999998</v>
      </c>
      <c r="BJ766" s="7">
        <v>0.994286</v>
      </c>
      <c r="BK766" s="7">
        <v>1</v>
      </c>
      <c r="BL766" s="7">
        <v>0.99551599999999996</v>
      </c>
      <c r="BM766" s="7">
        <v>0.99425300000000005</v>
      </c>
      <c r="BN766" s="7">
        <v>1</v>
      </c>
      <c r="BO766" s="7">
        <v>1</v>
      </c>
      <c r="BP766" s="7">
        <v>1</v>
      </c>
      <c r="BQ766" s="4" t="s">
        <v>124</v>
      </c>
      <c r="BR766" s="7">
        <v>8.9371999999999993E-2</v>
      </c>
      <c r="BS766" s="7">
        <v>42.125604000000003</v>
      </c>
      <c r="BT766" s="7">
        <v>50</v>
      </c>
      <c r="BU766" s="7">
        <v>9.8413E-2</v>
      </c>
      <c r="BV766" s="7">
        <v>40.317459999999997</v>
      </c>
      <c r="BW766" s="7">
        <v>50</v>
      </c>
      <c r="BX766" s="4" t="s">
        <v>124</v>
      </c>
      <c r="BY766" s="4" t="s">
        <v>124</v>
      </c>
      <c r="BZ766" s="4" t="s">
        <v>124</v>
      </c>
      <c r="CA766" s="4" t="s">
        <v>124</v>
      </c>
      <c r="CB766" s="4" t="s">
        <v>124</v>
      </c>
      <c r="CC766" s="4" t="s">
        <v>124</v>
      </c>
      <c r="CD766" s="4" t="s">
        <v>124</v>
      </c>
      <c r="CE766" s="4" t="s">
        <v>124</v>
      </c>
      <c r="CF766" s="4" t="s">
        <v>124</v>
      </c>
      <c r="CG766" s="4" t="s">
        <v>124</v>
      </c>
      <c r="CH766" s="4" t="s">
        <v>124</v>
      </c>
      <c r="CI766" s="4" t="s">
        <v>124</v>
      </c>
      <c r="CJ766" s="4" t="s">
        <v>124</v>
      </c>
      <c r="CK766" s="4" t="s">
        <v>124</v>
      </c>
      <c r="CL766" s="4" t="s">
        <v>124</v>
      </c>
      <c r="CM766" s="4" t="s">
        <v>124</v>
      </c>
      <c r="CN766" s="4" t="s">
        <v>124</v>
      </c>
      <c r="CO766" s="4" t="s">
        <v>124</v>
      </c>
      <c r="CP766" s="4" t="s">
        <v>124</v>
      </c>
      <c r="CQ766" s="7">
        <v>0.355263</v>
      </c>
      <c r="CR766" s="7">
        <v>1.013333</v>
      </c>
      <c r="CS766" s="7">
        <v>23.684211000000001</v>
      </c>
      <c r="CT766" s="7">
        <v>50</v>
      </c>
      <c r="CU766" s="4" t="s">
        <v>124</v>
      </c>
      <c r="CV766" s="4" t="s">
        <v>124</v>
      </c>
      <c r="CW766" s="4" t="s">
        <v>124</v>
      </c>
      <c r="CX766" s="4" t="s">
        <v>124</v>
      </c>
      <c r="CY766" s="4" t="s">
        <v>124</v>
      </c>
      <c r="CZ766" s="4" t="s">
        <v>124</v>
      </c>
      <c r="DA766" s="7">
        <v>15.314097</v>
      </c>
      <c r="DB766" s="7">
        <v>17.400950000000002</v>
      </c>
      <c r="DC766" s="7">
        <v>16.332519999999999</v>
      </c>
      <c r="DD766" s="4" t="s">
        <v>124</v>
      </c>
      <c r="DE766" s="7">
        <v>0</v>
      </c>
      <c r="DF766" s="6"/>
      <c r="DG766" s="6"/>
      <c r="DH766" s="6"/>
      <c r="DI766" s="6"/>
      <c r="DJ766" s="7">
        <v>0</v>
      </c>
      <c r="DK766" s="7">
        <v>0</v>
      </c>
      <c r="DL766" s="7">
        <v>0</v>
      </c>
      <c r="DM766" s="7">
        <v>0</v>
      </c>
      <c r="DN766" s="7">
        <v>0</v>
      </c>
      <c r="DO766" s="7">
        <v>0</v>
      </c>
      <c r="DP766" s="6"/>
      <c r="DQ766" s="4" t="s">
        <v>125</v>
      </c>
    </row>
    <row r="767" spans="1:121" ht="20" customHeight="1" x14ac:dyDescent="0.15">
      <c r="A767" s="5">
        <v>2018</v>
      </c>
      <c r="B767" s="3" t="s">
        <v>240</v>
      </c>
      <c r="C767" s="4" t="str">
        <f>"1040011"</f>
        <v>1040011</v>
      </c>
      <c r="D767" s="4" t="s">
        <v>922</v>
      </c>
      <c r="E767" s="4" t="str">
        <f>"1040811"</f>
        <v>1040811</v>
      </c>
      <c r="F767" s="4" t="s">
        <v>327</v>
      </c>
      <c r="G767" s="4" t="s">
        <v>338</v>
      </c>
      <c r="H767" s="7">
        <v>5</v>
      </c>
      <c r="I767" s="4" t="s">
        <v>335</v>
      </c>
      <c r="J767" s="4" t="s">
        <v>330</v>
      </c>
      <c r="K767" s="7">
        <v>578.96479399999998</v>
      </c>
      <c r="L767" s="7">
        <v>950</v>
      </c>
      <c r="M767" s="7">
        <v>60.943663000000001</v>
      </c>
      <c r="N767" s="7">
        <v>3</v>
      </c>
      <c r="O767" s="7">
        <v>0</v>
      </c>
      <c r="P767" s="7">
        <v>65.895362000000006</v>
      </c>
      <c r="Q767" s="7">
        <v>43.930242</v>
      </c>
      <c r="R767" s="7">
        <v>50</v>
      </c>
      <c r="S767" s="7">
        <v>61.888108000000003</v>
      </c>
      <c r="T767" s="7">
        <v>75</v>
      </c>
      <c r="U767" s="7">
        <v>41.258738000000001</v>
      </c>
      <c r="V767" s="7">
        <v>50</v>
      </c>
      <c r="W767" s="7">
        <v>60.840356999999997</v>
      </c>
      <c r="X767" s="7">
        <v>40.560237999999998</v>
      </c>
      <c r="Y767" s="7">
        <v>50</v>
      </c>
      <c r="Z767" s="7">
        <v>70.361619000000005</v>
      </c>
      <c r="AA767" s="7">
        <v>57.096955000000001</v>
      </c>
      <c r="AB767" s="7">
        <v>38.064636999999998</v>
      </c>
      <c r="AC767" s="7">
        <v>50</v>
      </c>
      <c r="AD767" s="7">
        <v>59.988615000000003</v>
      </c>
      <c r="AE767" s="7">
        <v>39.99241</v>
      </c>
      <c r="AF767" s="7">
        <v>50</v>
      </c>
      <c r="AG767" s="7">
        <v>53.777777999999998</v>
      </c>
      <c r="AH767" s="4" t="s">
        <v>124</v>
      </c>
      <c r="AI767" s="7">
        <v>35.851852000000001</v>
      </c>
      <c r="AJ767" s="7">
        <v>50</v>
      </c>
      <c r="AK767" s="7">
        <v>13.11</v>
      </c>
      <c r="AL767" s="7">
        <v>13.26</v>
      </c>
      <c r="AM767" s="4" t="s">
        <v>124</v>
      </c>
      <c r="AN767" s="7">
        <v>0.42984499999999998</v>
      </c>
      <c r="AO767" s="7">
        <v>42.984543000000002</v>
      </c>
      <c r="AP767" s="7">
        <v>100</v>
      </c>
      <c r="AQ767" s="7">
        <v>0.37709300000000001</v>
      </c>
      <c r="AR767" s="7">
        <v>37.709285000000001</v>
      </c>
      <c r="AS767" s="7">
        <v>100</v>
      </c>
      <c r="AT767" s="7">
        <v>0.416325</v>
      </c>
      <c r="AU767" s="7">
        <v>0.46237899999999998</v>
      </c>
      <c r="AV767" s="7">
        <v>41.632483000000001</v>
      </c>
      <c r="AW767" s="7">
        <v>100</v>
      </c>
      <c r="AX767" s="7">
        <v>0.41526999999999997</v>
      </c>
      <c r="AY767" s="7">
        <v>0.28522999999999998</v>
      </c>
      <c r="AZ767" s="7">
        <v>41.526961</v>
      </c>
      <c r="BA767" s="7">
        <v>100</v>
      </c>
      <c r="BB767" s="7">
        <v>0.79725999999999997</v>
      </c>
      <c r="BC767" s="7">
        <v>39.863017999999997</v>
      </c>
      <c r="BD767" s="7">
        <v>50</v>
      </c>
      <c r="BE767" s="7">
        <v>0.54706299999999997</v>
      </c>
      <c r="BF767" s="7">
        <v>27.353148000000001</v>
      </c>
      <c r="BG767" s="7">
        <v>50</v>
      </c>
      <c r="BH767" s="7">
        <v>0</v>
      </c>
      <c r="BI767" s="7">
        <v>0.98924699999999999</v>
      </c>
      <c r="BJ767" s="7">
        <v>0.99280599999999997</v>
      </c>
      <c r="BK767" s="7">
        <v>0.97872300000000001</v>
      </c>
      <c r="BL767" s="7">
        <v>0.98912999999999995</v>
      </c>
      <c r="BM767" s="7">
        <v>0.99270099999999994</v>
      </c>
      <c r="BN767" s="7">
        <v>0.97872300000000001</v>
      </c>
      <c r="BO767" s="7">
        <v>0.98214299999999999</v>
      </c>
      <c r="BP767" s="7">
        <v>1</v>
      </c>
      <c r="BQ767" s="4" t="s">
        <v>124</v>
      </c>
      <c r="BR767" s="7">
        <v>9.2391000000000001E-2</v>
      </c>
      <c r="BS767" s="7">
        <v>41.521738999999997</v>
      </c>
      <c r="BT767" s="7">
        <v>50</v>
      </c>
      <c r="BU767" s="7">
        <v>0.11070099999999999</v>
      </c>
      <c r="BV767" s="7">
        <v>37.859779000000003</v>
      </c>
      <c r="BW767" s="7">
        <v>50</v>
      </c>
      <c r="BX767" s="4" t="s">
        <v>124</v>
      </c>
      <c r="BY767" s="4" t="s">
        <v>124</v>
      </c>
      <c r="BZ767" s="4" t="s">
        <v>124</v>
      </c>
      <c r="CA767" s="4" t="s">
        <v>124</v>
      </c>
      <c r="CB767" s="4" t="s">
        <v>124</v>
      </c>
      <c r="CC767" s="4" t="s">
        <v>124</v>
      </c>
      <c r="CD767" s="4" t="s">
        <v>124</v>
      </c>
      <c r="CE767" s="4" t="s">
        <v>124</v>
      </c>
      <c r="CF767" s="4" t="s">
        <v>124</v>
      </c>
      <c r="CG767" s="4" t="s">
        <v>124</v>
      </c>
      <c r="CH767" s="4" t="s">
        <v>124</v>
      </c>
      <c r="CI767" s="4" t="s">
        <v>124</v>
      </c>
      <c r="CJ767" s="4" t="s">
        <v>124</v>
      </c>
      <c r="CK767" s="4" t="s">
        <v>124</v>
      </c>
      <c r="CL767" s="4" t="s">
        <v>124</v>
      </c>
      <c r="CM767" s="4" t="s">
        <v>124</v>
      </c>
      <c r="CN767" s="4" t="s">
        <v>124</v>
      </c>
      <c r="CO767" s="4" t="s">
        <v>124</v>
      </c>
      <c r="CP767" s="4" t="s">
        <v>124</v>
      </c>
      <c r="CQ767" s="7">
        <v>0.432836</v>
      </c>
      <c r="CR767" s="7">
        <v>1.0151520000000001</v>
      </c>
      <c r="CS767" s="7">
        <v>28.855720999999999</v>
      </c>
      <c r="CT767" s="7">
        <v>50</v>
      </c>
      <c r="CU767" s="4" t="s">
        <v>124</v>
      </c>
      <c r="CV767" s="4" t="s">
        <v>124</v>
      </c>
      <c r="CW767" s="4" t="s">
        <v>124</v>
      </c>
      <c r="CX767" s="4" t="s">
        <v>124</v>
      </c>
      <c r="CY767" s="4" t="s">
        <v>124</v>
      </c>
      <c r="CZ767" s="4" t="s">
        <v>124</v>
      </c>
      <c r="DA767" s="7">
        <v>15.314097</v>
      </c>
      <c r="DB767" s="7">
        <v>17.400950000000002</v>
      </c>
      <c r="DC767" s="7">
        <v>16.332519999999999</v>
      </c>
      <c r="DD767" s="4" t="s">
        <v>124</v>
      </c>
      <c r="DE767" s="7">
        <v>0</v>
      </c>
      <c r="DF767" s="6"/>
      <c r="DG767" s="6"/>
      <c r="DH767" s="6"/>
      <c r="DI767" s="6"/>
      <c r="DJ767" s="7">
        <v>0</v>
      </c>
      <c r="DK767" s="7">
        <v>0</v>
      </c>
      <c r="DL767" s="7">
        <v>0</v>
      </c>
      <c r="DM767" s="7">
        <v>0</v>
      </c>
      <c r="DN767" s="7">
        <v>0</v>
      </c>
      <c r="DO767" s="7">
        <v>0</v>
      </c>
      <c r="DP767" s="6"/>
      <c r="DQ767" s="4" t="s">
        <v>125</v>
      </c>
    </row>
    <row r="768" spans="1:121" ht="20" customHeight="1" x14ac:dyDescent="0.15">
      <c r="A768" s="5">
        <v>2018</v>
      </c>
      <c r="B768" s="3" t="s">
        <v>240</v>
      </c>
      <c r="C768" s="4" t="str">
        <f t="shared" si="238"/>
        <v>1040011</v>
      </c>
      <c r="D768" s="4" t="s">
        <v>923</v>
      </c>
      <c r="E768" s="4" t="str">
        <f>"1045211"</f>
        <v>1045211</v>
      </c>
      <c r="F768" s="4" t="s">
        <v>327</v>
      </c>
      <c r="G768" s="7">
        <v>6</v>
      </c>
      <c r="H768" s="7">
        <v>8</v>
      </c>
      <c r="I768" s="4" t="s">
        <v>335</v>
      </c>
      <c r="J768" s="4" t="s">
        <v>330</v>
      </c>
      <c r="K768" s="7">
        <v>456.17722900000001</v>
      </c>
      <c r="L768" s="7">
        <v>950</v>
      </c>
      <c r="M768" s="7">
        <v>48.018656</v>
      </c>
      <c r="N768" s="7">
        <v>3</v>
      </c>
      <c r="O768" s="7">
        <v>1</v>
      </c>
      <c r="P768" s="7">
        <v>49.068866999999997</v>
      </c>
      <c r="Q768" s="7">
        <v>32.712578000000001</v>
      </c>
      <c r="R768" s="7">
        <v>50</v>
      </c>
      <c r="S768" s="7">
        <v>45.339886999999997</v>
      </c>
      <c r="T768" s="7">
        <v>66.449707000000004</v>
      </c>
      <c r="U768" s="7">
        <v>30.226592</v>
      </c>
      <c r="V768" s="7">
        <v>50</v>
      </c>
      <c r="W768" s="7">
        <v>41.388694999999998</v>
      </c>
      <c r="X768" s="7">
        <v>27.592462999999999</v>
      </c>
      <c r="Y768" s="7">
        <v>50</v>
      </c>
      <c r="Z768" s="7">
        <v>59.341234</v>
      </c>
      <c r="AA768" s="7">
        <v>37.537058999999999</v>
      </c>
      <c r="AB768" s="7">
        <v>25.024705999999998</v>
      </c>
      <c r="AC768" s="7">
        <v>50</v>
      </c>
      <c r="AD768" s="7">
        <v>48.969175999999997</v>
      </c>
      <c r="AE768" s="7">
        <v>32.646116999999997</v>
      </c>
      <c r="AF768" s="7">
        <v>50</v>
      </c>
      <c r="AG768" s="7">
        <v>45.112143000000003</v>
      </c>
      <c r="AH768" s="7">
        <v>64.975862000000006</v>
      </c>
      <c r="AI768" s="7">
        <v>30.074762</v>
      </c>
      <c r="AJ768" s="7">
        <v>50</v>
      </c>
      <c r="AK768" s="7">
        <v>21.1</v>
      </c>
      <c r="AL768" s="7">
        <v>21.8</v>
      </c>
      <c r="AM768" s="7">
        <v>19.86</v>
      </c>
      <c r="AN768" s="7">
        <v>0.39297700000000002</v>
      </c>
      <c r="AO768" s="7">
        <v>39.297682000000002</v>
      </c>
      <c r="AP768" s="7">
        <v>100</v>
      </c>
      <c r="AQ768" s="7">
        <v>0.35707800000000001</v>
      </c>
      <c r="AR768" s="7">
        <v>35.707825999999997</v>
      </c>
      <c r="AS768" s="7">
        <v>100</v>
      </c>
      <c r="AT768" s="7">
        <v>0.37023699999999998</v>
      </c>
      <c r="AU768" s="7">
        <v>0.48429899999999998</v>
      </c>
      <c r="AV768" s="7">
        <v>37.023657999999998</v>
      </c>
      <c r="AW768" s="7">
        <v>100</v>
      </c>
      <c r="AX768" s="7">
        <v>0.35898400000000003</v>
      </c>
      <c r="AY768" s="7">
        <v>0.34948699999999999</v>
      </c>
      <c r="AZ768" s="7">
        <v>35.898364000000001</v>
      </c>
      <c r="BA768" s="7">
        <v>100</v>
      </c>
      <c r="BB768" s="7">
        <v>0.54083999999999999</v>
      </c>
      <c r="BC768" s="7">
        <v>27.042013000000001</v>
      </c>
      <c r="BD768" s="7">
        <v>50</v>
      </c>
      <c r="BE768" s="7">
        <v>0.40429700000000002</v>
      </c>
      <c r="BF768" s="7">
        <v>20.214866000000001</v>
      </c>
      <c r="BG768" s="7">
        <v>50</v>
      </c>
      <c r="BH768" s="7">
        <v>0</v>
      </c>
      <c r="BI768" s="7">
        <v>0.98969099999999999</v>
      </c>
      <c r="BJ768" s="7">
        <v>0.98765400000000003</v>
      </c>
      <c r="BK768" s="7">
        <v>1</v>
      </c>
      <c r="BL768" s="7">
        <v>0.98453599999999997</v>
      </c>
      <c r="BM768" s="7">
        <v>0.98148100000000005</v>
      </c>
      <c r="BN768" s="7">
        <v>1</v>
      </c>
      <c r="BO768" s="7">
        <v>0.99199999999999999</v>
      </c>
      <c r="BP768" s="7">
        <v>0.99009899999999995</v>
      </c>
      <c r="BQ768" s="7">
        <v>1</v>
      </c>
      <c r="BR768" s="7">
        <v>0.142487</v>
      </c>
      <c r="BS768" s="7">
        <v>31.502590999999999</v>
      </c>
      <c r="BT768" s="7">
        <v>50</v>
      </c>
      <c r="BU768" s="7">
        <v>0.16190499999999999</v>
      </c>
      <c r="BV768" s="7">
        <v>27.619047999999999</v>
      </c>
      <c r="BW768" s="7">
        <v>50</v>
      </c>
      <c r="BX768" s="4" t="s">
        <v>124</v>
      </c>
      <c r="BY768" s="4" t="s">
        <v>124</v>
      </c>
      <c r="BZ768" s="4" t="s">
        <v>124</v>
      </c>
      <c r="CA768" s="4" t="s">
        <v>124</v>
      </c>
      <c r="CB768" s="4" t="s">
        <v>124</v>
      </c>
      <c r="CC768" s="4" t="s">
        <v>124</v>
      </c>
      <c r="CD768" s="4" t="s">
        <v>124</v>
      </c>
      <c r="CE768" s="4" t="s">
        <v>124</v>
      </c>
      <c r="CF768" s="4" t="s">
        <v>124</v>
      </c>
      <c r="CG768" s="4" t="s">
        <v>124</v>
      </c>
      <c r="CH768" s="4" t="s">
        <v>124</v>
      </c>
      <c r="CI768" s="4" t="s">
        <v>124</v>
      </c>
      <c r="CJ768" s="4" t="s">
        <v>124</v>
      </c>
      <c r="CK768" s="4" t="s">
        <v>124</v>
      </c>
      <c r="CL768" s="4" t="s">
        <v>124</v>
      </c>
      <c r="CM768" s="4" t="s">
        <v>124</v>
      </c>
      <c r="CN768" s="4" t="s">
        <v>124</v>
      </c>
      <c r="CO768" s="4" t="s">
        <v>124</v>
      </c>
      <c r="CP768" s="4" t="s">
        <v>124</v>
      </c>
      <c r="CQ768" s="7">
        <v>0.35390899999999997</v>
      </c>
      <c r="CR768" s="7">
        <v>0.95294100000000004</v>
      </c>
      <c r="CS768" s="7">
        <v>23.593964</v>
      </c>
      <c r="CT768" s="7">
        <v>50</v>
      </c>
      <c r="CU768" s="4" t="s">
        <v>124</v>
      </c>
      <c r="CV768" s="4" t="s">
        <v>124</v>
      </c>
      <c r="CW768" s="4" t="s">
        <v>124</v>
      </c>
      <c r="CX768" s="4" t="s">
        <v>124</v>
      </c>
      <c r="CY768" s="4" t="s">
        <v>124</v>
      </c>
      <c r="CZ768" s="4" t="s">
        <v>124</v>
      </c>
      <c r="DA768" s="7">
        <v>15.314097</v>
      </c>
      <c r="DB768" s="7">
        <v>17.400950000000002</v>
      </c>
      <c r="DC768" s="7">
        <v>16.332519999999999</v>
      </c>
      <c r="DD768" s="4" t="s">
        <v>124</v>
      </c>
      <c r="DE768" s="7">
        <v>1</v>
      </c>
      <c r="DF768" s="6"/>
      <c r="DG768" s="6"/>
      <c r="DH768" s="6"/>
      <c r="DI768" s="6"/>
      <c r="DJ768" s="7">
        <v>0</v>
      </c>
      <c r="DK768" s="7">
        <v>0</v>
      </c>
      <c r="DL768" s="7">
        <v>0</v>
      </c>
      <c r="DM768" s="7">
        <v>0</v>
      </c>
      <c r="DN768" s="7">
        <v>0</v>
      </c>
      <c r="DO768" s="7">
        <v>0</v>
      </c>
      <c r="DP768" s="6"/>
      <c r="DQ768" s="4" t="s">
        <v>125</v>
      </c>
    </row>
    <row r="769" spans="1:121" ht="20" customHeight="1" x14ac:dyDescent="0.15">
      <c r="A769" s="5">
        <v>2018</v>
      </c>
      <c r="B769" s="3" t="s">
        <v>240</v>
      </c>
      <c r="C769" s="4" t="str">
        <f t="shared" si="238"/>
        <v>1040011</v>
      </c>
      <c r="D769" s="4" t="s">
        <v>924</v>
      </c>
      <c r="E769" s="4" t="str">
        <f>"1041711"</f>
        <v>1041711</v>
      </c>
      <c r="F769" s="4" t="s">
        <v>327</v>
      </c>
      <c r="G769" s="4" t="s">
        <v>328</v>
      </c>
      <c r="H769" s="7">
        <v>5</v>
      </c>
      <c r="I769" s="4" t="s">
        <v>335</v>
      </c>
      <c r="J769" s="4" t="s">
        <v>330</v>
      </c>
      <c r="K769" s="7">
        <v>790.35037199999999</v>
      </c>
      <c r="L769" s="7">
        <v>950</v>
      </c>
      <c r="M769" s="7">
        <v>83.194776000000005</v>
      </c>
      <c r="N769" s="7">
        <v>2</v>
      </c>
      <c r="O769" s="7">
        <v>0</v>
      </c>
      <c r="P769" s="7">
        <v>80.481558000000007</v>
      </c>
      <c r="Q769" s="7">
        <v>50</v>
      </c>
      <c r="R769" s="7">
        <v>50</v>
      </c>
      <c r="S769" s="7">
        <v>77.724343000000005</v>
      </c>
      <c r="T769" s="7">
        <v>75</v>
      </c>
      <c r="U769" s="7">
        <v>50</v>
      </c>
      <c r="V769" s="7">
        <v>50</v>
      </c>
      <c r="W769" s="7">
        <v>73.061954999999998</v>
      </c>
      <c r="X769" s="7">
        <v>48.707970000000003</v>
      </c>
      <c r="Y769" s="7">
        <v>50</v>
      </c>
      <c r="Z769" s="7">
        <v>75</v>
      </c>
      <c r="AA769" s="7">
        <v>71.735491999999994</v>
      </c>
      <c r="AB769" s="7">
        <v>47.823661999999999</v>
      </c>
      <c r="AC769" s="7">
        <v>50</v>
      </c>
      <c r="AD769" s="7">
        <v>69.480644999999996</v>
      </c>
      <c r="AE769" s="7">
        <v>46.320430000000002</v>
      </c>
      <c r="AF769" s="7">
        <v>50</v>
      </c>
      <c r="AG769" s="7">
        <v>66.059552999999994</v>
      </c>
      <c r="AH769" s="4" t="s">
        <v>124</v>
      </c>
      <c r="AI769" s="7">
        <v>44.039701999999998</v>
      </c>
      <c r="AJ769" s="7">
        <v>50</v>
      </c>
      <c r="AK769" s="7">
        <v>-2.72</v>
      </c>
      <c r="AL769" s="7">
        <v>3.26</v>
      </c>
      <c r="AM769" s="4" t="s">
        <v>124</v>
      </c>
      <c r="AN769" s="7">
        <v>0.79772200000000004</v>
      </c>
      <c r="AO769" s="7">
        <v>79.772204000000002</v>
      </c>
      <c r="AP769" s="7">
        <v>100</v>
      </c>
      <c r="AQ769" s="7">
        <v>0.70570600000000006</v>
      </c>
      <c r="AR769" s="7">
        <v>70.570564000000005</v>
      </c>
      <c r="AS769" s="7">
        <v>100</v>
      </c>
      <c r="AT769" s="7">
        <v>0.75656599999999996</v>
      </c>
      <c r="AU769" s="7">
        <v>0.85651600000000006</v>
      </c>
      <c r="AV769" s="7">
        <v>75.656647000000007</v>
      </c>
      <c r="AW769" s="7">
        <v>100</v>
      </c>
      <c r="AX769" s="7">
        <v>0.76282000000000005</v>
      </c>
      <c r="AY769" s="7">
        <v>0.62411399999999995</v>
      </c>
      <c r="AZ769" s="7">
        <v>76.281987000000001</v>
      </c>
      <c r="BA769" s="7">
        <v>100</v>
      </c>
      <c r="BB769" s="7">
        <v>0.52676900000000004</v>
      </c>
      <c r="BC769" s="7">
        <v>26.338443000000002</v>
      </c>
      <c r="BD769" s="7">
        <v>50</v>
      </c>
      <c r="BE769" s="7">
        <v>0.774146</v>
      </c>
      <c r="BF769" s="7">
        <v>38.707298999999999</v>
      </c>
      <c r="BG769" s="7">
        <v>50</v>
      </c>
      <c r="BH769" s="7">
        <v>0</v>
      </c>
      <c r="BI769" s="7">
        <v>0.98275900000000005</v>
      </c>
      <c r="BJ769" s="7">
        <v>0.97619</v>
      </c>
      <c r="BK769" s="7">
        <v>1</v>
      </c>
      <c r="BL769" s="7">
        <v>0.98275900000000005</v>
      </c>
      <c r="BM769" s="7">
        <v>0.97619</v>
      </c>
      <c r="BN769" s="7">
        <v>1</v>
      </c>
      <c r="BO769" s="7">
        <v>0.97727299999999995</v>
      </c>
      <c r="BP769" s="7">
        <v>0.96666700000000005</v>
      </c>
      <c r="BQ769" s="4" t="s">
        <v>124</v>
      </c>
      <c r="BR769" s="7">
        <v>8.1545000000000006E-2</v>
      </c>
      <c r="BS769" s="7">
        <v>43.690987</v>
      </c>
      <c r="BT769" s="7">
        <v>50</v>
      </c>
      <c r="BU769" s="7">
        <v>7.7381000000000005E-2</v>
      </c>
      <c r="BV769" s="7">
        <v>44.523809999999997</v>
      </c>
      <c r="BW769" s="7">
        <v>50</v>
      </c>
      <c r="BX769" s="4" t="s">
        <v>124</v>
      </c>
      <c r="BY769" s="4" t="s">
        <v>124</v>
      </c>
      <c r="BZ769" s="4" t="s">
        <v>124</v>
      </c>
      <c r="CA769" s="4" t="s">
        <v>124</v>
      </c>
      <c r="CB769" s="4" t="s">
        <v>124</v>
      </c>
      <c r="CC769" s="4" t="s">
        <v>124</v>
      </c>
      <c r="CD769" s="4" t="s">
        <v>124</v>
      </c>
      <c r="CE769" s="4" t="s">
        <v>124</v>
      </c>
      <c r="CF769" s="4" t="s">
        <v>124</v>
      </c>
      <c r="CG769" s="4" t="s">
        <v>124</v>
      </c>
      <c r="CH769" s="4" t="s">
        <v>124</v>
      </c>
      <c r="CI769" s="4" t="s">
        <v>124</v>
      </c>
      <c r="CJ769" s="4" t="s">
        <v>124</v>
      </c>
      <c r="CK769" s="4" t="s">
        <v>124</v>
      </c>
      <c r="CL769" s="4" t="s">
        <v>124</v>
      </c>
      <c r="CM769" s="4" t="s">
        <v>124</v>
      </c>
      <c r="CN769" s="4" t="s">
        <v>124</v>
      </c>
      <c r="CO769" s="4" t="s">
        <v>124</v>
      </c>
      <c r="CP769" s="4" t="s">
        <v>124</v>
      </c>
      <c r="CQ769" s="7">
        <v>0.71875</v>
      </c>
      <c r="CR769" s="7">
        <v>0.94117600000000001</v>
      </c>
      <c r="CS769" s="7">
        <v>47.916666999999997</v>
      </c>
      <c r="CT769" s="7">
        <v>50</v>
      </c>
      <c r="CU769" s="4" t="s">
        <v>124</v>
      </c>
      <c r="CV769" s="4" t="s">
        <v>124</v>
      </c>
      <c r="CW769" s="4" t="s">
        <v>124</v>
      </c>
      <c r="CX769" s="4" t="s">
        <v>124</v>
      </c>
      <c r="CY769" s="4" t="s">
        <v>124</v>
      </c>
      <c r="CZ769" s="4" t="s">
        <v>124</v>
      </c>
      <c r="DA769" s="7">
        <v>15.314097</v>
      </c>
      <c r="DB769" s="7">
        <v>17.400950000000002</v>
      </c>
      <c r="DC769" s="7">
        <v>16.332519999999999</v>
      </c>
      <c r="DD769" s="4" t="s">
        <v>124</v>
      </c>
      <c r="DE769" s="7">
        <v>0</v>
      </c>
      <c r="DF769" s="6"/>
      <c r="DG769" s="6"/>
      <c r="DH769" s="4" t="s">
        <v>331</v>
      </c>
      <c r="DI769" s="4" t="s">
        <v>528</v>
      </c>
      <c r="DJ769" s="7">
        <v>0</v>
      </c>
      <c r="DK769" s="7">
        <v>1</v>
      </c>
      <c r="DL769" s="7">
        <v>0</v>
      </c>
      <c r="DM769" s="7">
        <v>1</v>
      </c>
      <c r="DN769" s="7">
        <v>0</v>
      </c>
      <c r="DO769" s="7">
        <v>0</v>
      </c>
      <c r="DP769" s="6"/>
      <c r="DQ769" s="4" t="s">
        <v>125</v>
      </c>
    </row>
    <row r="770" spans="1:121" ht="20" customHeight="1" x14ac:dyDescent="0.15">
      <c r="A770" s="5">
        <v>2018</v>
      </c>
      <c r="B770" s="3" t="s">
        <v>240</v>
      </c>
      <c r="C770" s="4" t="str">
        <f t="shared" si="238"/>
        <v>1040011</v>
      </c>
      <c r="D770" s="4" t="s">
        <v>925</v>
      </c>
      <c r="E770" s="4" t="str">
        <f>"1041911"</f>
        <v>1041911</v>
      </c>
      <c r="F770" s="4" t="s">
        <v>327</v>
      </c>
      <c r="G770" s="4" t="s">
        <v>338</v>
      </c>
      <c r="H770" s="7">
        <v>5</v>
      </c>
      <c r="I770" s="4" t="s">
        <v>335</v>
      </c>
      <c r="J770" s="4" t="s">
        <v>330</v>
      </c>
      <c r="K770" s="7">
        <v>588.84229000000005</v>
      </c>
      <c r="L770" s="7">
        <v>950</v>
      </c>
      <c r="M770" s="7">
        <v>61.983398999999999</v>
      </c>
      <c r="N770" s="7">
        <v>3</v>
      </c>
      <c r="O770" s="7">
        <v>0</v>
      </c>
      <c r="P770" s="7">
        <v>57.576222000000001</v>
      </c>
      <c r="Q770" s="7">
        <v>38.384148000000003</v>
      </c>
      <c r="R770" s="7">
        <v>50</v>
      </c>
      <c r="S770" s="7">
        <v>56.015996000000001</v>
      </c>
      <c r="T770" s="4" t="s">
        <v>124</v>
      </c>
      <c r="U770" s="7">
        <v>37.343997000000002</v>
      </c>
      <c r="V770" s="7">
        <v>50</v>
      </c>
      <c r="W770" s="7">
        <v>58.567172999999997</v>
      </c>
      <c r="X770" s="7">
        <v>39.044781999999998</v>
      </c>
      <c r="Y770" s="7">
        <v>50</v>
      </c>
      <c r="Z770" s="4" t="s">
        <v>124</v>
      </c>
      <c r="AA770" s="7">
        <v>57.118003000000002</v>
      </c>
      <c r="AB770" s="7">
        <v>38.078668999999998</v>
      </c>
      <c r="AC770" s="7">
        <v>50</v>
      </c>
      <c r="AD770" s="7">
        <v>51.211238000000002</v>
      </c>
      <c r="AE770" s="7">
        <v>34.140825999999997</v>
      </c>
      <c r="AF770" s="7">
        <v>50</v>
      </c>
      <c r="AG770" s="7">
        <v>49.848720999999998</v>
      </c>
      <c r="AH770" s="4" t="s">
        <v>124</v>
      </c>
      <c r="AI770" s="7">
        <v>33.232481</v>
      </c>
      <c r="AJ770" s="7">
        <v>50</v>
      </c>
      <c r="AK770" s="4" t="s">
        <v>124</v>
      </c>
      <c r="AL770" s="4" t="s">
        <v>124</v>
      </c>
      <c r="AM770" s="4" t="s">
        <v>124</v>
      </c>
      <c r="AN770" s="7">
        <v>0.32935500000000001</v>
      </c>
      <c r="AO770" s="7">
        <v>32.935541999999998</v>
      </c>
      <c r="AP770" s="7">
        <v>100</v>
      </c>
      <c r="AQ770" s="7">
        <v>0.57647899999999996</v>
      </c>
      <c r="AR770" s="7">
        <v>57.647888999999999</v>
      </c>
      <c r="AS770" s="7">
        <v>100</v>
      </c>
      <c r="AT770" s="7">
        <v>0.318216</v>
      </c>
      <c r="AU770" s="4" t="s">
        <v>124</v>
      </c>
      <c r="AV770" s="7">
        <v>31.821584000000001</v>
      </c>
      <c r="AW770" s="7">
        <v>100</v>
      </c>
      <c r="AX770" s="7">
        <v>0.58241200000000004</v>
      </c>
      <c r="AY770" s="4" t="s">
        <v>124</v>
      </c>
      <c r="AZ770" s="7">
        <v>58.241177999999998</v>
      </c>
      <c r="BA770" s="7">
        <v>100</v>
      </c>
      <c r="BB770" s="7">
        <v>0.59593200000000002</v>
      </c>
      <c r="BC770" s="7">
        <v>29.796607000000002</v>
      </c>
      <c r="BD770" s="7">
        <v>50</v>
      </c>
      <c r="BE770" s="7">
        <v>0.56134099999999998</v>
      </c>
      <c r="BF770" s="7">
        <v>28.067060000000001</v>
      </c>
      <c r="BG770" s="7">
        <v>50</v>
      </c>
      <c r="BH770" s="7">
        <v>0</v>
      </c>
      <c r="BI770" s="7">
        <v>1</v>
      </c>
      <c r="BJ770" s="7">
        <v>1</v>
      </c>
      <c r="BK770" s="4" t="s">
        <v>124</v>
      </c>
      <c r="BL770" s="7">
        <v>1</v>
      </c>
      <c r="BM770" s="7">
        <v>1</v>
      </c>
      <c r="BN770" s="4" t="s">
        <v>124</v>
      </c>
      <c r="BO770" s="7">
        <v>1</v>
      </c>
      <c r="BP770" s="7">
        <v>1</v>
      </c>
      <c r="BQ770" s="4" t="s">
        <v>124</v>
      </c>
      <c r="BR770" s="7">
        <v>4.1825000000000001E-2</v>
      </c>
      <c r="BS770" s="7">
        <v>50</v>
      </c>
      <c r="BT770" s="7">
        <v>50</v>
      </c>
      <c r="BU770" s="7">
        <v>4.2553000000000001E-2</v>
      </c>
      <c r="BV770" s="7">
        <v>50</v>
      </c>
      <c r="BW770" s="7">
        <v>50</v>
      </c>
      <c r="BX770" s="4" t="s">
        <v>124</v>
      </c>
      <c r="BY770" s="4" t="s">
        <v>124</v>
      </c>
      <c r="BZ770" s="4" t="s">
        <v>124</v>
      </c>
      <c r="CA770" s="4" t="s">
        <v>124</v>
      </c>
      <c r="CB770" s="4" t="s">
        <v>124</v>
      </c>
      <c r="CC770" s="4" t="s">
        <v>124</v>
      </c>
      <c r="CD770" s="4" t="s">
        <v>124</v>
      </c>
      <c r="CE770" s="4" t="s">
        <v>124</v>
      </c>
      <c r="CF770" s="4" t="s">
        <v>124</v>
      </c>
      <c r="CG770" s="4" t="s">
        <v>124</v>
      </c>
      <c r="CH770" s="4" t="s">
        <v>124</v>
      </c>
      <c r="CI770" s="4" t="s">
        <v>124</v>
      </c>
      <c r="CJ770" s="4" t="s">
        <v>124</v>
      </c>
      <c r="CK770" s="4" t="s">
        <v>124</v>
      </c>
      <c r="CL770" s="4" t="s">
        <v>124</v>
      </c>
      <c r="CM770" s="4" t="s">
        <v>124</v>
      </c>
      <c r="CN770" s="4" t="s">
        <v>124</v>
      </c>
      <c r="CO770" s="4" t="s">
        <v>124</v>
      </c>
      <c r="CP770" s="4" t="s">
        <v>124</v>
      </c>
      <c r="CQ770" s="7">
        <v>0.45161299999999999</v>
      </c>
      <c r="CR770" s="7">
        <v>1.0333330000000001</v>
      </c>
      <c r="CS770" s="7">
        <v>30.107527000000001</v>
      </c>
      <c r="CT770" s="7">
        <v>50</v>
      </c>
      <c r="CU770" s="4" t="s">
        <v>124</v>
      </c>
      <c r="CV770" s="4" t="s">
        <v>124</v>
      </c>
      <c r="CW770" s="4" t="s">
        <v>124</v>
      </c>
      <c r="CX770" s="4" t="s">
        <v>124</v>
      </c>
      <c r="CY770" s="4" t="s">
        <v>124</v>
      </c>
      <c r="CZ770" s="4" t="s">
        <v>124</v>
      </c>
      <c r="DA770" s="7">
        <v>15.314097</v>
      </c>
      <c r="DB770" s="7">
        <v>17.400950000000002</v>
      </c>
      <c r="DC770" s="7">
        <v>16.332519999999999</v>
      </c>
      <c r="DD770" s="4" t="s">
        <v>124</v>
      </c>
      <c r="DE770" s="7">
        <v>0</v>
      </c>
      <c r="DF770" s="6"/>
      <c r="DG770" s="6"/>
      <c r="DH770" s="6"/>
      <c r="DI770" s="6"/>
      <c r="DJ770" s="7">
        <v>0</v>
      </c>
      <c r="DK770" s="7">
        <v>0</v>
      </c>
      <c r="DL770" s="7">
        <v>0</v>
      </c>
      <c r="DM770" s="7">
        <v>0</v>
      </c>
      <c r="DN770" s="7">
        <v>0</v>
      </c>
      <c r="DO770" s="7">
        <v>0</v>
      </c>
      <c r="DP770" s="6"/>
      <c r="DQ770" s="4" t="s">
        <v>125</v>
      </c>
    </row>
    <row r="771" spans="1:121" ht="20" customHeight="1" x14ac:dyDescent="0.15">
      <c r="A771" s="5">
        <v>2018</v>
      </c>
      <c r="B771" s="3" t="s">
        <v>240</v>
      </c>
      <c r="C771" s="4" t="str">
        <f t="shared" si="238"/>
        <v>1040011</v>
      </c>
      <c r="D771" s="4" t="s">
        <v>926</v>
      </c>
      <c r="E771" s="4" t="str">
        <f>"1041811"</f>
        <v>1041811</v>
      </c>
      <c r="F771" s="4" t="s">
        <v>327</v>
      </c>
      <c r="G771" s="4" t="s">
        <v>338</v>
      </c>
      <c r="H771" s="7">
        <v>5</v>
      </c>
      <c r="I771" s="4" t="s">
        <v>335</v>
      </c>
      <c r="J771" s="4" t="s">
        <v>330</v>
      </c>
      <c r="K771" s="7">
        <v>646.20574299999998</v>
      </c>
      <c r="L771" s="7">
        <v>950</v>
      </c>
      <c r="M771" s="7">
        <v>68.021657000000005</v>
      </c>
      <c r="N771" s="7">
        <v>3</v>
      </c>
      <c r="O771" s="7">
        <v>0</v>
      </c>
      <c r="P771" s="7">
        <v>65.616686999999999</v>
      </c>
      <c r="Q771" s="7">
        <v>43.744458000000002</v>
      </c>
      <c r="R771" s="7">
        <v>50</v>
      </c>
      <c r="S771" s="7">
        <v>64.554247000000004</v>
      </c>
      <c r="T771" s="4" t="s">
        <v>124</v>
      </c>
      <c r="U771" s="7">
        <v>43.036163999999999</v>
      </c>
      <c r="V771" s="7">
        <v>50</v>
      </c>
      <c r="W771" s="7">
        <v>62.728923999999999</v>
      </c>
      <c r="X771" s="7">
        <v>41.819282999999999</v>
      </c>
      <c r="Y771" s="7">
        <v>50</v>
      </c>
      <c r="Z771" s="4" t="s">
        <v>124</v>
      </c>
      <c r="AA771" s="7">
        <v>61.733977000000003</v>
      </c>
      <c r="AB771" s="7">
        <v>41.155985000000001</v>
      </c>
      <c r="AC771" s="7">
        <v>50</v>
      </c>
      <c r="AD771" s="7">
        <v>63.818182</v>
      </c>
      <c r="AE771" s="7">
        <v>42.545454999999997</v>
      </c>
      <c r="AF771" s="7">
        <v>50</v>
      </c>
      <c r="AG771" s="7">
        <v>62.595925000000001</v>
      </c>
      <c r="AH771" s="4" t="s">
        <v>124</v>
      </c>
      <c r="AI771" s="7">
        <v>41.730617000000002</v>
      </c>
      <c r="AJ771" s="7">
        <v>50</v>
      </c>
      <c r="AK771" s="4" t="s">
        <v>124</v>
      </c>
      <c r="AL771" s="4" t="s">
        <v>124</v>
      </c>
      <c r="AM771" s="4" t="s">
        <v>124</v>
      </c>
      <c r="AN771" s="7">
        <v>0.64855799999999997</v>
      </c>
      <c r="AO771" s="7">
        <v>64.855762999999996</v>
      </c>
      <c r="AP771" s="7">
        <v>100</v>
      </c>
      <c r="AQ771" s="7">
        <v>0.54918599999999995</v>
      </c>
      <c r="AR771" s="7">
        <v>54.918607000000002</v>
      </c>
      <c r="AS771" s="7">
        <v>100</v>
      </c>
      <c r="AT771" s="7">
        <v>0.622166</v>
      </c>
      <c r="AU771" s="4" t="s">
        <v>124</v>
      </c>
      <c r="AV771" s="7">
        <v>62.216619999999999</v>
      </c>
      <c r="AW771" s="7">
        <v>100</v>
      </c>
      <c r="AX771" s="7">
        <v>0.56545400000000001</v>
      </c>
      <c r="AY771" s="4" t="s">
        <v>124</v>
      </c>
      <c r="AZ771" s="7">
        <v>56.545364999999997</v>
      </c>
      <c r="BA771" s="7">
        <v>100</v>
      </c>
      <c r="BB771" s="7">
        <v>0.58984199999999998</v>
      </c>
      <c r="BC771" s="7">
        <v>29.492083999999998</v>
      </c>
      <c r="BD771" s="7">
        <v>50</v>
      </c>
      <c r="BE771" s="7">
        <v>0.54006200000000004</v>
      </c>
      <c r="BF771" s="7">
        <v>27.003108999999998</v>
      </c>
      <c r="BG771" s="7">
        <v>50</v>
      </c>
      <c r="BH771" s="7">
        <v>0</v>
      </c>
      <c r="BI771" s="7">
        <v>1</v>
      </c>
      <c r="BJ771" s="7">
        <v>1</v>
      </c>
      <c r="BK771" s="4" t="s">
        <v>124</v>
      </c>
      <c r="BL771" s="7">
        <v>0.993506</v>
      </c>
      <c r="BM771" s="7">
        <v>0.99264699999999995</v>
      </c>
      <c r="BN771" s="4" t="s">
        <v>124</v>
      </c>
      <c r="BO771" s="7">
        <v>1</v>
      </c>
      <c r="BP771" s="7">
        <v>1</v>
      </c>
      <c r="BQ771" s="4" t="s">
        <v>124</v>
      </c>
      <c r="BR771" s="7">
        <v>0.136213</v>
      </c>
      <c r="BS771" s="7">
        <v>32.757474999999999</v>
      </c>
      <c r="BT771" s="7">
        <v>50</v>
      </c>
      <c r="BU771" s="7">
        <v>0.148289</v>
      </c>
      <c r="BV771" s="7">
        <v>30.342205</v>
      </c>
      <c r="BW771" s="7">
        <v>50</v>
      </c>
      <c r="BX771" s="4" t="s">
        <v>124</v>
      </c>
      <c r="BY771" s="4" t="s">
        <v>124</v>
      </c>
      <c r="BZ771" s="4" t="s">
        <v>124</v>
      </c>
      <c r="CA771" s="4" t="s">
        <v>124</v>
      </c>
      <c r="CB771" s="4" t="s">
        <v>124</v>
      </c>
      <c r="CC771" s="4" t="s">
        <v>124</v>
      </c>
      <c r="CD771" s="4" t="s">
        <v>124</v>
      </c>
      <c r="CE771" s="4" t="s">
        <v>124</v>
      </c>
      <c r="CF771" s="4" t="s">
        <v>124</v>
      </c>
      <c r="CG771" s="4" t="s">
        <v>124</v>
      </c>
      <c r="CH771" s="4" t="s">
        <v>124</v>
      </c>
      <c r="CI771" s="4" t="s">
        <v>124</v>
      </c>
      <c r="CJ771" s="4" t="s">
        <v>124</v>
      </c>
      <c r="CK771" s="4" t="s">
        <v>124</v>
      </c>
      <c r="CL771" s="4" t="s">
        <v>124</v>
      </c>
      <c r="CM771" s="4" t="s">
        <v>124</v>
      </c>
      <c r="CN771" s="4" t="s">
        <v>124</v>
      </c>
      <c r="CO771" s="4" t="s">
        <v>124</v>
      </c>
      <c r="CP771" s="4" t="s">
        <v>124</v>
      </c>
      <c r="CQ771" s="7">
        <v>0.51063800000000004</v>
      </c>
      <c r="CR771" s="7">
        <v>0.94</v>
      </c>
      <c r="CS771" s="7">
        <v>34.042552999999998</v>
      </c>
      <c r="CT771" s="7">
        <v>50</v>
      </c>
      <c r="CU771" s="4" t="s">
        <v>124</v>
      </c>
      <c r="CV771" s="4" t="s">
        <v>124</v>
      </c>
      <c r="CW771" s="4" t="s">
        <v>124</v>
      </c>
      <c r="CX771" s="4" t="s">
        <v>124</v>
      </c>
      <c r="CY771" s="4" t="s">
        <v>124</v>
      </c>
      <c r="CZ771" s="4" t="s">
        <v>124</v>
      </c>
      <c r="DA771" s="7">
        <v>15.314097</v>
      </c>
      <c r="DB771" s="7">
        <v>17.400950000000002</v>
      </c>
      <c r="DC771" s="7">
        <v>16.332519999999999</v>
      </c>
      <c r="DD771" s="4" t="s">
        <v>124</v>
      </c>
      <c r="DE771" s="7">
        <v>0</v>
      </c>
      <c r="DF771" s="6"/>
      <c r="DG771" s="6"/>
      <c r="DH771" s="6"/>
      <c r="DI771" s="6"/>
      <c r="DJ771" s="7">
        <v>0</v>
      </c>
      <c r="DK771" s="7">
        <v>0</v>
      </c>
      <c r="DL771" s="7">
        <v>0</v>
      </c>
      <c r="DM771" s="7">
        <v>0</v>
      </c>
      <c r="DN771" s="7">
        <v>0</v>
      </c>
      <c r="DO771" s="7">
        <v>0</v>
      </c>
      <c r="DP771" s="6"/>
      <c r="DQ771" s="4" t="s">
        <v>125</v>
      </c>
    </row>
    <row r="772" spans="1:121" ht="20" customHeight="1" x14ac:dyDescent="0.15">
      <c r="A772" s="5">
        <v>2018</v>
      </c>
      <c r="B772" s="3" t="s">
        <v>240</v>
      </c>
      <c r="C772" s="4" t="str">
        <f t="shared" si="238"/>
        <v>1040011</v>
      </c>
      <c r="D772" s="4" t="s">
        <v>927</v>
      </c>
      <c r="E772" s="4" t="str">
        <f>"1041511"</f>
        <v>1041511</v>
      </c>
      <c r="F772" s="4" t="s">
        <v>327</v>
      </c>
      <c r="G772" s="4" t="s">
        <v>338</v>
      </c>
      <c r="H772" s="7">
        <v>5</v>
      </c>
      <c r="I772" s="4" t="s">
        <v>335</v>
      </c>
      <c r="J772" s="4" t="s">
        <v>330</v>
      </c>
      <c r="K772" s="7">
        <v>667.88756100000001</v>
      </c>
      <c r="L772" s="7">
        <v>950</v>
      </c>
      <c r="M772" s="7">
        <v>70.303954000000004</v>
      </c>
      <c r="N772" s="7">
        <v>2</v>
      </c>
      <c r="O772" s="7">
        <v>0</v>
      </c>
      <c r="P772" s="7">
        <v>66.142678000000004</v>
      </c>
      <c r="Q772" s="7">
        <v>44.095118999999997</v>
      </c>
      <c r="R772" s="7">
        <v>50</v>
      </c>
      <c r="S772" s="7">
        <v>63.275350000000003</v>
      </c>
      <c r="T772" s="7">
        <v>75</v>
      </c>
      <c r="U772" s="7">
        <v>42.183566999999996</v>
      </c>
      <c r="V772" s="7">
        <v>50</v>
      </c>
      <c r="W772" s="7">
        <v>61.605100999999998</v>
      </c>
      <c r="X772" s="7">
        <v>41.070067000000002</v>
      </c>
      <c r="Y772" s="7">
        <v>50</v>
      </c>
      <c r="Z772" s="7">
        <v>74.197883000000004</v>
      </c>
      <c r="AA772" s="7">
        <v>58.488075000000002</v>
      </c>
      <c r="AB772" s="7">
        <v>38.992049999999999</v>
      </c>
      <c r="AC772" s="7">
        <v>50</v>
      </c>
      <c r="AD772" s="7">
        <v>63.974823000000001</v>
      </c>
      <c r="AE772" s="7">
        <v>42.649881999999998</v>
      </c>
      <c r="AF772" s="7">
        <v>50</v>
      </c>
      <c r="AG772" s="7">
        <v>61.867173000000001</v>
      </c>
      <c r="AH772" s="4" t="s">
        <v>124</v>
      </c>
      <c r="AI772" s="7">
        <v>41.244782000000001</v>
      </c>
      <c r="AJ772" s="7">
        <v>50</v>
      </c>
      <c r="AK772" s="7">
        <v>11.72</v>
      </c>
      <c r="AL772" s="7">
        <v>15.7</v>
      </c>
      <c r="AM772" s="4" t="s">
        <v>124</v>
      </c>
      <c r="AN772" s="7">
        <v>0.51932999999999996</v>
      </c>
      <c r="AO772" s="7">
        <v>51.933041000000003</v>
      </c>
      <c r="AP772" s="7">
        <v>100</v>
      </c>
      <c r="AQ772" s="7">
        <v>0.53231899999999999</v>
      </c>
      <c r="AR772" s="7">
        <v>53.231856999999998</v>
      </c>
      <c r="AS772" s="7">
        <v>100</v>
      </c>
      <c r="AT772" s="7">
        <v>0.516289</v>
      </c>
      <c r="AU772" s="4" t="s">
        <v>124</v>
      </c>
      <c r="AV772" s="7">
        <v>51.628886999999999</v>
      </c>
      <c r="AW772" s="7">
        <v>100</v>
      </c>
      <c r="AX772" s="7">
        <v>0.51588000000000001</v>
      </c>
      <c r="AY772" s="4" t="s">
        <v>124</v>
      </c>
      <c r="AZ772" s="7">
        <v>51.587986999999998</v>
      </c>
      <c r="BA772" s="7">
        <v>100</v>
      </c>
      <c r="BB772" s="7">
        <v>0.76183299999999998</v>
      </c>
      <c r="BC772" s="7">
        <v>38.091655000000003</v>
      </c>
      <c r="BD772" s="7">
        <v>50</v>
      </c>
      <c r="BE772" s="7">
        <v>0.56246200000000002</v>
      </c>
      <c r="BF772" s="7">
        <v>28.123113</v>
      </c>
      <c r="BG772" s="7">
        <v>50</v>
      </c>
      <c r="BH772" s="7">
        <v>0</v>
      </c>
      <c r="BI772" s="7">
        <v>0.99295800000000001</v>
      </c>
      <c r="BJ772" s="7">
        <v>0.99145300000000003</v>
      </c>
      <c r="BK772" s="7">
        <v>1</v>
      </c>
      <c r="BL772" s="7">
        <v>0.99295800000000001</v>
      </c>
      <c r="BM772" s="7">
        <v>0.99145300000000003</v>
      </c>
      <c r="BN772" s="7">
        <v>1</v>
      </c>
      <c r="BO772" s="7">
        <v>1</v>
      </c>
      <c r="BP772" s="7">
        <v>1</v>
      </c>
      <c r="BQ772" s="4" t="s">
        <v>124</v>
      </c>
      <c r="BR772" s="7">
        <v>4.8327000000000002E-2</v>
      </c>
      <c r="BS772" s="7">
        <v>50</v>
      </c>
      <c r="BT772" s="7">
        <v>50</v>
      </c>
      <c r="BU772" s="7">
        <v>4.9773999999999999E-2</v>
      </c>
      <c r="BV772" s="7">
        <v>50</v>
      </c>
      <c r="BW772" s="7">
        <v>50</v>
      </c>
      <c r="BX772" s="4" t="s">
        <v>124</v>
      </c>
      <c r="BY772" s="4" t="s">
        <v>124</v>
      </c>
      <c r="BZ772" s="4" t="s">
        <v>124</v>
      </c>
      <c r="CA772" s="4" t="s">
        <v>124</v>
      </c>
      <c r="CB772" s="4" t="s">
        <v>124</v>
      </c>
      <c r="CC772" s="4" t="s">
        <v>124</v>
      </c>
      <c r="CD772" s="4" t="s">
        <v>124</v>
      </c>
      <c r="CE772" s="4" t="s">
        <v>124</v>
      </c>
      <c r="CF772" s="4" t="s">
        <v>124</v>
      </c>
      <c r="CG772" s="4" t="s">
        <v>124</v>
      </c>
      <c r="CH772" s="4" t="s">
        <v>124</v>
      </c>
      <c r="CI772" s="4" t="s">
        <v>124</v>
      </c>
      <c r="CJ772" s="4" t="s">
        <v>124</v>
      </c>
      <c r="CK772" s="4" t="s">
        <v>124</v>
      </c>
      <c r="CL772" s="4" t="s">
        <v>124</v>
      </c>
      <c r="CM772" s="4" t="s">
        <v>124</v>
      </c>
      <c r="CN772" s="4" t="s">
        <v>124</v>
      </c>
      <c r="CO772" s="4" t="s">
        <v>124</v>
      </c>
      <c r="CP772" s="4" t="s">
        <v>124</v>
      </c>
      <c r="CQ772" s="7">
        <v>0.64583299999999999</v>
      </c>
      <c r="CR772" s="7">
        <v>0.97959200000000002</v>
      </c>
      <c r="CS772" s="7">
        <v>43.055556000000003</v>
      </c>
      <c r="CT772" s="7">
        <v>50</v>
      </c>
      <c r="CU772" s="4" t="s">
        <v>124</v>
      </c>
      <c r="CV772" s="4" t="s">
        <v>124</v>
      </c>
      <c r="CW772" s="4" t="s">
        <v>124</v>
      </c>
      <c r="CX772" s="4" t="s">
        <v>124</v>
      </c>
      <c r="CY772" s="4" t="s">
        <v>124</v>
      </c>
      <c r="CZ772" s="4" t="s">
        <v>124</v>
      </c>
      <c r="DA772" s="7">
        <v>15.314097</v>
      </c>
      <c r="DB772" s="7">
        <v>17.400950000000002</v>
      </c>
      <c r="DC772" s="7">
        <v>16.332519999999999</v>
      </c>
      <c r="DD772" s="4" t="s">
        <v>124</v>
      </c>
      <c r="DE772" s="7">
        <v>0</v>
      </c>
      <c r="DF772" s="6"/>
      <c r="DG772" s="6"/>
      <c r="DH772" s="6"/>
      <c r="DI772" s="6"/>
      <c r="DJ772" s="7">
        <v>0</v>
      </c>
      <c r="DK772" s="7">
        <v>0</v>
      </c>
      <c r="DL772" s="7">
        <v>0</v>
      </c>
      <c r="DM772" s="7">
        <v>0</v>
      </c>
      <c r="DN772" s="7">
        <v>0</v>
      </c>
      <c r="DO772" s="7">
        <v>0</v>
      </c>
      <c r="DP772" s="6"/>
      <c r="DQ772" s="4" t="s">
        <v>125</v>
      </c>
    </row>
    <row r="773" spans="1:121" ht="20" customHeight="1" x14ac:dyDescent="0.15">
      <c r="A773" s="5">
        <v>2018</v>
      </c>
      <c r="B773" s="3" t="s">
        <v>176</v>
      </c>
      <c r="C773" s="4" t="str">
        <f t="shared" si="51"/>
        <v>1060011</v>
      </c>
      <c r="D773" s="4" t="s">
        <v>928</v>
      </c>
      <c r="E773" s="4" t="str">
        <f>"1060211"</f>
        <v>1060211</v>
      </c>
      <c r="F773" s="4" t="s">
        <v>327</v>
      </c>
      <c r="G773" s="4" t="s">
        <v>328</v>
      </c>
      <c r="H773" s="7">
        <v>3</v>
      </c>
      <c r="I773" s="4" t="s">
        <v>329</v>
      </c>
      <c r="J773" s="4" t="s">
        <v>330</v>
      </c>
      <c r="K773" s="7">
        <v>439.721315</v>
      </c>
      <c r="L773" s="7">
        <v>500</v>
      </c>
      <c r="M773" s="7">
        <v>87.944263000000007</v>
      </c>
      <c r="N773" s="7">
        <v>1</v>
      </c>
      <c r="O773" s="7">
        <v>0</v>
      </c>
      <c r="P773" s="7">
        <v>71.789841999999993</v>
      </c>
      <c r="Q773" s="7">
        <v>95.719789000000006</v>
      </c>
      <c r="R773" s="7">
        <v>100</v>
      </c>
      <c r="S773" s="7">
        <v>66.144073000000006</v>
      </c>
      <c r="T773" s="7">
        <v>75</v>
      </c>
      <c r="U773" s="7">
        <v>88.192098000000001</v>
      </c>
      <c r="V773" s="7">
        <v>100</v>
      </c>
      <c r="W773" s="7">
        <v>67.757693000000003</v>
      </c>
      <c r="X773" s="7">
        <v>90.343591000000004</v>
      </c>
      <c r="Y773" s="7">
        <v>100</v>
      </c>
      <c r="Z773" s="7">
        <v>73.092105000000004</v>
      </c>
      <c r="AA773" s="7">
        <v>61.000771999999998</v>
      </c>
      <c r="AB773" s="7">
        <v>81.334361999999999</v>
      </c>
      <c r="AC773" s="7">
        <v>100</v>
      </c>
      <c r="AD773" s="4" t="s">
        <v>124</v>
      </c>
      <c r="AE773" s="4" t="s">
        <v>124</v>
      </c>
      <c r="AF773" s="4" t="s">
        <v>124</v>
      </c>
      <c r="AG773" s="4" t="s">
        <v>124</v>
      </c>
      <c r="AH773" s="4" t="s">
        <v>124</v>
      </c>
      <c r="AI773" s="4" t="s">
        <v>124</v>
      </c>
      <c r="AJ773" s="4" t="s">
        <v>124</v>
      </c>
      <c r="AK773" s="7">
        <v>8.85</v>
      </c>
      <c r="AL773" s="7">
        <v>12.09</v>
      </c>
      <c r="AM773" s="4" t="s">
        <v>124</v>
      </c>
      <c r="AN773" s="4" t="s">
        <v>124</v>
      </c>
      <c r="AO773" s="4" t="s">
        <v>124</v>
      </c>
      <c r="AP773" s="4" t="s">
        <v>124</v>
      </c>
      <c r="AQ773" s="4" t="s">
        <v>124</v>
      </c>
      <c r="AR773" s="4" t="s">
        <v>124</v>
      </c>
      <c r="AS773" s="4" t="s">
        <v>124</v>
      </c>
      <c r="AT773" s="4" t="s">
        <v>124</v>
      </c>
      <c r="AU773" s="4" t="s">
        <v>124</v>
      </c>
      <c r="AV773" s="4" t="s">
        <v>124</v>
      </c>
      <c r="AW773" s="4" t="s">
        <v>124</v>
      </c>
      <c r="AX773" s="4" t="s">
        <v>124</v>
      </c>
      <c r="AY773" s="4" t="s">
        <v>124</v>
      </c>
      <c r="AZ773" s="4" t="s">
        <v>124</v>
      </c>
      <c r="BA773" s="4" t="s">
        <v>124</v>
      </c>
      <c r="BB773" s="4" t="s">
        <v>124</v>
      </c>
      <c r="BC773" s="4" t="s">
        <v>124</v>
      </c>
      <c r="BD773" s="4" t="s">
        <v>124</v>
      </c>
      <c r="BE773" s="4" t="s">
        <v>124</v>
      </c>
      <c r="BF773" s="4" t="s">
        <v>124</v>
      </c>
      <c r="BG773" s="4" t="s">
        <v>124</v>
      </c>
      <c r="BH773" s="7">
        <v>0</v>
      </c>
      <c r="BI773" s="7">
        <v>0.98591499999999999</v>
      </c>
      <c r="BJ773" s="7">
        <v>1</v>
      </c>
      <c r="BK773" s="7">
        <v>0.97435899999999998</v>
      </c>
      <c r="BL773" s="7">
        <v>0.98591499999999999</v>
      </c>
      <c r="BM773" s="7">
        <v>1</v>
      </c>
      <c r="BN773" s="7">
        <v>0.97435899999999998</v>
      </c>
      <c r="BO773" s="4" t="s">
        <v>124</v>
      </c>
      <c r="BP773" s="4" t="s">
        <v>124</v>
      </c>
      <c r="BQ773" s="4" t="s">
        <v>124</v>
      </c>
      <c r="BR773" s="7">
        <v>7.7491000000000004E-2</v>
      </c>
      <c r="BS773" s="7">
        <v>44.501845000000003</v>
      </c>
      <c r="BT773" s="7">
        <v>50</v>
      </c>
      <c r="BU773" s="7">
        <v>0.101852</v>
      </c>
      <c r="BV773" s="7">
        <v>39.629629999999999</v>
      </c>
      <c r="BW773" s="7">
        <v>50</v>
      </c>
      <c r="BX773" s="4" t="s">
        <v>124</v>
      </c>
      <c r="BY773" s="4" t="s">
        <v>124</v>
      </c>
      <c r="BZ773" s="4" t="s">
        <v>124</v>
      </c>
      <c r="CA773" s="4" t="s">
        <v>124</v>
      </c>
      <c r="CB773" s="4" t="s">
        <v>124</v>
      </c>
      <c r="CC773" s="4" t="s">
        <v>124</v>
      </c>
      <c r="CD773" s="4" t="s">
        <v>124</v>
      </c>
      <c r="CE773" s="4" t="s">
        <v>124</v>
      </c>
      <c r="CF773" s="4" t="s">
        <v>124</v>
      </c>
      <c r="CG773" s="4" t="s">
        <v>124</v>
      </c>
      <c r="CH773" s="4" t="s">
        <v>124</v>
      </c>
      <c r="CI773" s="4" t="s">
        <v>124</v>
      </c>
      <c r="CJ773" s="4" t="s">
        <v>124</v>
      </c>
      <c r="CK773" s="4" t="s">
        <v>124</v>
      </c>
      <c r="CL773" s="4" t="s">
        <v>124</v>
      </c>
      <c r="CM773" s="4" t="s">
        <v>124</v>
      </c>
      <c r="CN773" s="4" t="s">
        <v>124</v>
      </c>
      <c r="CO773" s="4" t="s">
        <v>124</v>
      </c>
      <c r="CP773" s="4" t="s">
        <v>124</v>
      </c>
      <c r="CQ773" s="4" t="s">
        <v>124</v>
      </c>
      <c r="CR773" s="4" t="s">
        <v>124</v>
      </c>
      <c r="CS773" s="4" t="s">
        <v>124</v>
      </c>
      <c r="CT773" s="4" t="s">
        <v>124</v>
      </c>
      <c r="CU773" s="4" t="s">
        <v>124</v>
      </c>
      <c r="CV773" s="4" t="s">
        <v>124</v>
      </c>
      <c r="CW773" s="4" t="s">
        <v>124</v>
      </c>
      <c r="CX773" s="4" t="s">
        <v>124</v>
      </c>
      <c r="CY773" s="4" t="s">
        <v>124</v>
      </c>
      <c r="CZ773" s="4" t="s">
        <v>124</v>
      </c>
      <c r="DA773" s="7">
        <v>15.314097</v>
      </c>
      <c r="DB773" s="7">
        <v>17.400950000000002</v>
      </c>
      <c r="DC773" s="7">
        <v>16.332519999999999</v>
      </c>
      <c r="DD773" s="4" t="s">
        <v>124</v>
      </c>
      <c r="DE773" s="7">
        <v>0</v>
      </c>
      <c r="DF773" s="6"/>
      <c r="DG773" s="6"/>
      <c r="DH773" s="4" t="s">
        <v>331</v>
      </c>
      <c r="DI773" s="4" t="s">
        <v>332</v>
      </c>
      <c r="DJ773" s="7">
        <v>1</v>
      </c>
      <c r="DK773" s="7">
        <v>0</v>
      </c>
      <c r="DL773" s="7">
        <v>0</v>
      </c>
      <c r="DM773" s="7">
        <v>0</v>
      </c>
      <c r="DN773" s="7">
        <v>0</v>
      </c>
      <c r="DO773" s="7">
        <v>0</v>
      </c>
      <c r="DP773" s="6"/>
      <c r="DQ773" s="4" t="s">
        <v>125</v>
      </c>
    </row>
    <row r="774" spans="1:121" ht="20" customHeight="1" x14ac:dyDescent="0.15">
      <c r="A774" s="5">
        <v>2018</v>
      </c>
      <c r="B774" s="3" t="s">
        <v>176</v>
      </c>
      <c r="C774" s="4" t="str">
        <f t="shared" ref="C774:C775" si="239">"1060011"</f>
        <v>1060011</v>
      </c>
      <c r="D774" s="4" t="s">
        <v>929</v>
      </c>
      <c r="E774" s="4" t="str">
        <f>"1065211"</f>
        <v>1065211</v>
      </c>
      <c r="F774" s="4" t="s">
        <v>327</v>
      </c>
      <c r="G774" s="7">
        <v>4</v>
      </c>
      <c r="H774" s="7">
        <v>8</v>
      </c>
      <c r="I774" s="6"/>
      <c r="J774" s="4" t="s">
        <v>330</v>
      </c>
      <c r="K774" s="7">
        <v>773.58590100000004</v>
      </c>
      <c r="L774" s="7">
        <v>900</v>
      </c>
      <c r="M774" s="7">
        <v>85.953989000000007</v>
      </c>
      <c r="N774" s="7">
        <v>1</v>
      </c>
      <c r="O774" s="7">
        <v>0</v>
      </c>
      <c r="P774" s="7">
        <v>78.639972</v>
      </c>
      <c r="Q774" s="7">
        <v>50</v>
      </c>
      <c r="R774" s="7">
        <v>50</v>
      </c>
      <c r="S774" s="7">
        <v>69.279251000000002</v>
      </c>
      <c r="T774" s="7">
        <v>75</v>
      </c>
      <c r="U774" s="7">
        <v>46.186168000000002</v>
      </c>
      <c r="V774" s="7">
        <v>50</v>
      </c>
      <c r="W774" s="7">
        <v>74.474635000000006</v>
      </c>
      <c r="X774" s="7">
        <v>49.649755999999996</v>
      </c>
      <c r="Y774" s="7">
        <v>50</v>
      </c>
      <c r="Z774" s="7">
        <v>75</v>
      </c>
      <c r="AA774" s="7">
        <v>64.818448000000004</v>
      </c>
      <c r="AB774" s="7">
        <v>43.212299000000002</v>
      </c>
      <c r="AC774" s="7">
        <v>50</v>
      </c>
      <c r="AD774" s="7">
        <v>76.908044000000004</v>
      </c>
      <c r="AE774" s="7">
        <v>50</v>
      </c>
      <c r="AF774" s="7">
        <v>50</v>
      </c>
      <c r="AG774" s="7">
        <v>65.810631999999998</v>
      </c>
      <c r="AH774" s="7">
        <v>75</v>
      </c>
      <c r="AI774" s="7">
        <v>43.873755000000003</v>
      </c>
      <c r="AJ774" s="7">
        <v>50</v>
      </c>
      <c r="AK774" s="7">
        <v>5.72</v>
      </c>
      <c r="AL774" s="7">
        <v>10.18</v>
      </c>
      <c r="AM774" s="7">
        <v>9.18</v>
      </c>
      <c r="AN774" s="7">
        <v>0.78573599999999999</v>
      </c>
      <c r="AO774" s="7">
        <v>78.573566</v>
      </c>
      <c r="AP774" s="7">
        <v>100</v>
      </c>
      <c r="AQ774" s="7">
        <v>0.80858300000000005</v>
      </c>
      <c r="AR774" s="7">
        <v>80.858277999999999</v>
      </c>
      <c r="AS774" s="7">
        <v>100</v>
      </c>
      <c r="AT774" s="7">
        <v>0.764351</v>
      </c>
      <c r="AU774" s="7">
        <v>0.798566</v>
      </c>
      <c r="AV774" s="7">
        <v>76.435109999999995</v>
      </c>
      <c r="AW774" s="7">
        <v>100</v>
      </c>
      <c r="AX774" s="7">
        <v>0.77885499999999996</v>
      </c>
      <c r="AY774" s="7">
        <v>0.82655299999999998</v>
      </c>
      <c r="AZ774" s="7">
        <v>77.885452999999998</v>
      </c>
      <c r="BA774" s="7">
        <v>100</v>
      </c>
      <c r="BB774" s="4" t="s">
        <v>124</v>
      </c>
      <c r="BC774" s="4" t="s">
        <v>124</v>
      </c>
      <c r="BD774" s="4" t="s">
        <v>124</v>
      </c>
      <c r="BE774" s="4" t="s">
        <v>124</v>
      </c>
      <c r="BF774" s="4" t="s">
        <v>124</v>
      </c>
      <c r="BG774" s="4" t="s">
        <v>124</v>
      </c>
      <c r="BH774" s="7">
        <v>0</v>
      </c>
      <c r="BI774" s="7">
        <v>0.98051900000000003</v>
      </c>
      <c r="BJ774" s="7">
        <v>0.98295500000000002</v>
      </c>
      <c r="BK774" s="7">
        <v>0.97902100000000003</v>
      </c>
      <c r="BL774" s="7">
        <v>0.98051900000000003</v>
      </c>
      <c r="BM774" s="7">
        <v>0.98863599999999996</v>
      </c>
      <c r="BN774" s="7">
        <v>0.97552399999999995</v>
      </c>
      <c r="BO774" s="7">
        <v>0.982456</v>
      </c>
      <c r="BP774" s="7">
        <v>0.98412699999999997</v>
      </c>
      <c r="BQ774" s="7">
        <v>0.98148100000000005</v>
      </c>
      <c r="BR774" s="7">
        <v>3.8961000000000003E-2</v>
      </c>
      <c r="BS774" s="7">
        <v>50</v>
      </c>
      <c r="BT774" s="7">
        <v>50</v>
      </c>
      <c r="BU774" s="7">
        <v>7.7381000000000005E-2</v>
      </c>
      <c r="BV774" s="7">
        <v>44.523809999999997</v>
      </c>
      <c r="BW774" s="7">
        <v>50</v>
      </c>
      <c r="BX774" s="4" t="s">
        <v>124</v>
      </c>
      <c r="BY774" s="4" t="s">
        <v>124</v>
      </c>
      <c r="BZ774" s="4" t="s">
        <v>124</v>
      </c>
      <c r="CA774" s="4" t="s">
        <v>124</v>
      </c>
      <c r="CB774" s="4" t="s">
        <v>124</v>
      </c>
      <c r="CC774" s="4" t="s">
        <v>124</v>
      </c>
      <c r="CD774" s="7">
        <v>0.98936199999999996</v>
      </c>
      <c r="CE774" s="7">
        <v>50</v>
      </c>
      <c r="CF774" s="7">
        <v>50</v>
      </c>
      <c r="CG774" s="4" t="s">
        <v>124</v>
      </c>
      <c r="CH774" s="4" t="s">
        <v>124</v>
      </c>
      <c r="CI774" s="4" t="s">
        <v>124</v>
      </c>
      <c r="CJ774" s="4" t="s">
        <v>124</v>
      </c>
      <c r="CK774" s="4" t="s">
        <v>124</v>
      </c>
      <c r="CL774" s="4" t="s">
        <v>124</v>
      </c>
      <c r="CM774" s="4" t="s">
        <v>124</v>
      </c>
      <c r="CN774" s="4" t="s">
        <v>124</v>
      </c>
      <c r="CO774" s="4" t="s">
        <v>124</v>
      </c>
      <c r="CP774" s="4" t="s">
        <v>124</v>
      </c>
      <c r="CQ774" s="7">
        <v>0.48581600000000003</v>
      </c>
      <c r="CR774" s="7">
        <v>0.98947399999999996</v>
      </c>
      <c r="CS774" s="7">
        <v>32.387706999999999</v>
      </c>
      <c r="CT774" s="7">
        <v>50</v>
      </c>
      <c r="CU774" s="4" t="s">
        <v>124</v>
      </c>
      <c r="CV774" s="4" t="s">
        <v>124</v>
      </c>
      <c r="CW774" s="4" t="s">
        <v>124</v>
      </c>
      <c r="CX774" s="4" t="s">
        <v>124</v>
      </c>
      <c r="CY774" s="4" t="s">
        <v>124</v>
      </c>
      <c r="CZ774" s="4" t="s">
        <v>124</v>
      </c>
      <c r="DA774" s="7">
        <v>15.314097</v>
      </c>
      <c r="DB774" s="7">
        <v>17.400950000000002</v>
      </c>
      <c r="DC774" s="7">
        <v>16.332519999999999</v>
      </c>
      <c r="DD774" s="4" t="s">
        <v>124</v>
      </c>
      <c r="DE774" s="7">
        <v>0</v>
      </c>
      <c r="DF774" s="6"/>
      <c r="DG774" s="6"/>
      <c r="DH774" s="4" t="s">
        <v>331</v>
      </c>
      <c r="DI774" s="4" t="s">
        <v>528</v>
      </c>
      <c r="DJ774" s="7">
        <v>0</v>
      </c>
      <c r="DK774" s="7">
        <v>1</v>
      </c>
      <c r="DL774" s="7">
        <v>0</v>
      </c>
      <c r="DM774" s="7">
        <v>1</v>
      </c>
      <c r="DN774" s="7">
        <v>0</v>
      </c>
      <c r="DO774" s="7">
        <v>0</v>
      </c>
      <c r="DP774" s="6"/>
      <c r="DQ774" s="4" t="s">
        <v>125</v>
      </c>
    </row>
    <row r="775" spans="1:121" ht="20" customHeight="1" x14ac:dyDescent="0.15">
      <c r="A775" s="5">
        <v>2018</v>
      </c>
      <c r="B775" s="3" t="s">
        <v>176</v>
      </c>
      <c r="C775" s="4" t="str">
        <f t="shared" si="239"/>
        <v>1060011</v>
      </c>
      <c r="D775" s="4" t="s">
        <v>930</v>
      </c>
      <c r="E775" s="4" t="str">
        <f>"1066111"</f>
        <v>1066111</v>
      </c>
      <c r="F775" s="4" t="s">
        <v>327</v>
      </c>
      <c r="G775" s="7">
        <v>9</v>
      </c>
      <c r="H775" s="7">
        <v>12</v>
      </c>
      <c r="I775" s="6"/>
      <c r="J775" s="4" t="s">
        <v>330</v>
      </c>
      <c r="K775" s="7">
        <v>1157.3266630000001</v>
      </c>
      <c r="L775" s="7">
        <v>1450</v>
      </c>
      <c r="M775" s="7">
        <v>79.815631999999994</v>
      </c>
      <c r="N775" s="7">
        <v>3</v>
      </c>
      <c r="O775" s="7">
        <v>0</v>
      </c>
      <c r="P775" s="7">
        <v>60.702019999999997</v>
      </c>
      <c r="Q775" s="7">
        <v>121.40403999999999</v>
      </c>
      <c r="R775" s="7">
        <v>150</v>
      </c>
      <c r="S775" s="7">
        <v>53.792327999999998</v>
      </c>
      <c r="T775" s="7">
        <v>64.375527000000005</v>
      </c>
      <c r="U775" s="7">
        <v>107.584656</v>
      </c>
      <c r="V775" s="7">
        <v>150</v>
      </c>
      <c r="W775" s="7">
        <v>60.121212</v>
      </c>
      <c r="X775" s="7">
        <v>120.242424</v>
      </c>
      <c r="Y775" s="7">
        <v>150</v>
      </c>
      <c r="Z775" s="7">
        <v>65.327004000000002</v>
      </c>
      <c r="AA775" s="7">
        <v>50.329365000000003</v>
      </c>
      <c r="AB775" s="7">
        <v>100.65873000000001</v>
      </c>
      <c r="AC775" s="7">
        <v>150</v>
      </c>
      <c r="AD775" s="7">
        <v>61.172161000000003</v>
      </c>
      <c r="AE775" s="7">
        <v>81.562882000000002</v>
      </c>
      <c r="AF775" s="7">
        <v>100</v>
      </c>
      <c r="AG775" s="7">
        <v>49.932558</v>
      </c>
      <c r="AH775" s="7">
        <v>66.200405000000003</v>
      </c>
      <c r="AI775" s="7">
        <v>66.576744000000005</v>
      </c>
      <c r="AJ775" s="7">
        <v>100</v>
      </c>
      <c r="AK775" s="7">
        <v>10.58</v>
      </c>
      <c r="AL775" s="7">
        <v>14.99</v>
      </c>
      <c r="AM775" s="7">
        <v>16.260000000000002</v>
      </c>
      <c r="AN775" s="4" t="s">
        <v>124</v>
      </c>
      <c r="AO775" s="4" t="s">
        <v>124</v>
      </c>
      <c r="AP775" s="4" t="s">
        <v>124</v>
      </c>
      <c r="AQ775" s="4" t="s">
        <v>124</v>
      </c>
      <c r="AR775" s="4" t="s">
        <v>124</v>
      </c>
      <c r="AS775" s="4" t="s">
        <v>124</v>
      </c>
      <c r="AT775" s="4" t="s">
        <v>124</v>
      </c>
      <c r="AU775" s="4" t="s">
        <v>124</v>
      </c>
      <c r="AV775" s="4" t="s">
        <v>124</v>
      </c>
      <c r="AW775" s="4" t="s">
        <v>124</v>
      </c>
      <c r="AX775" s="4" t="s">
        <v>124</v>
      </c>
      <c r="AY775" s="4" t="s">
        <v>124</v>
      </c>
      <c r="AZ775" s="4" t="s">
        <v>124</v>
      </c>
      <c r="BA775" s="4" t="s">
        <v>124</v>
      </c>
      <c r="BB775" s="4" t="s">
        <v>124</v>
      </c>
      <c r="BC775" s="4" t="s">
        <v>124</v>
      </c>
      <c r="BD775" s="4" t="s">
        <v>124</v>
      </c>
      <c r="BE775" s="4" t="s">
        <v>124</v>
      </c>
      <c r="BF775" s="4" t="s">
        <v>124</v>
      </c>
      <c r="BG775" s="4" t="s">
        <v>124</v>
      </c>
      <c r="BH775" s="7">
        <v>1</v>
      </c>
      <c r="BI775" s="7">
        <v>0.953125</v>
      </c>
      <c r="BJ775" s="7">
        <v>0.89583299999999999</v>
      </c>
      <c r="BK775" s="7">
        <v>0.98750000000000004</v>
      </c>
      <c r="BL775" s="7">
        <v>0.953125</v>
      </c>
      <c r="BM775" s="7">
        <v>0.89583299999999999</v>
      </c>
      <c r="BN775" s="7">
        <v>0.98750000000000004</v>
      </c>
      <c r="BO775" s="7">
        <v>0.86718799999999996</v>
      </c>
      <c r="BP775" s="7">
        <v>0.72916700000000001</v>
      </c>
      <c r="BQ775" s="7">
        <v>0.95</v>
      </c>
      <c r="BR775" s="7">
        <v>0.12212000000000001</v>
      </c>
      <c r="BS775" s="7">
        <v>35.576036999999999</v>
      </c>
      <c r="BT775" s="7">
        <v>50</v>
      </c>
      <c r="BU775" s="7">
        <v>0.22981399999999999</v>
      </c>
      <c r="BV775" s="7">
        <v>14.037267</v>
      </c>
      <c r="BW775" s="7">
        <v>50</v>
      </c>
      <c r="BX775" s="7">
        <v>0.83898300000000003</v>
      </c>
      <c r="BY775" s="7">
        <v>50</v>
      </c>
      <c r="BZ775" s="7">
        <v>50</v>
      </c>
      <c r="CA775" s="7">
        <v>0.63135600000000003</v>
      </c>
      <c r="CB775" s="7">
        <v>42.090395000000001</v>
      </c>
      <c r="CC775" s="7">
        <v>50</v>
      </c>
      <c r="CD775" s="7">
        <v>0.97894700000000001</v>
      </c>
      <c r="CE775" s="7">
        <v>50</v>
      </c>
      <c r="CF775" s="7">
        <v>50</v>
      </c>
      <c r="CG775" s="7">
        <v>0.96363600000000005</v>
      </c>
      <c r="CH775" s="7">
        <v>100</v>
      </c>
      <c r="CI775" s="7">
        <v>100</v>
      </c>
      <c r="CJ775" s="7">
        <v>0</v>
      </c>
      <c r="CK775" s="7">
        <v>0.91666700000000001</v>
      </c>
      <c r="CL775" s="7">
        <v>97.51773</v>
      </c>
      <c r="CM775" s="7">
        <v>100</v>
      </c>
      <c r="CN775" s="7">
        <v>0.85321100000000005</v>
      </c>
      <c r="CO775" s="7">
        <v>100</v>
      </c>
      <c r="CP775" s="7">
        <v>100</v>
      </c>
      <c r="CQ775" s="7">
        <v>0.60227299999999995</v>
      </c>
      <c r="CR775" s="7">
        <v>0.85436900000000005</v>
      </c>
      <c r="CS775" s="7">
        <v>20.075758</v>
      </c>
      <c r="CT775" s="7">
        <v>50</v>
      </c>
      <c r="CU775" s="7">
        <v>0.76958499999999996</v>
      </c>
      <c r="CV775" s="7">
        <v>50</v>
      </c>
      <c r="CW775" s="7">
        <v>50</v>
      </c>
      <c r="CX775" s="7">
        <v>0.91666700000000001</v>
      </c>
      <c r="CY775" s="7">
        <v>0.94</v>
      </c>
      <c r="CZ775" s="7">
        <v>2.3333E-2</v>
      </c>
      <c r="DA775" s="7">
        <v>15.314097</v>
      </c>
      <c r="DB775" s="7">
        <v>17.400950000000002</v>
      </c>
      <c r="DC775" s="7">
        <v>16.332519999999999</v>
      </c>
      <c r="DD775" s="7">
        <v>7.9891730000000001</v>
      </c>
      <c r="DE775" s="7">
        <v>1</v>
      </c>
      <c r="DF775" s="6"/>
      <c r="DG775" s="6"/>
      <c r="DH775" s="6"/>
      <c r="DI775" s="6"/>
      <c r="DJ775" s="7">
        <v>0</v>
      </c>
      <c r="DK775" s="7">
        <v>0</v>
      </c>
      <c r="DL775" s="7">
        <v>0</v>
      </c>
      <c r="DM775" s="7">
        <v>0</v>
      </c>
      <c r="DN775" s="7">
        <v>0</v>
      </c>
      <c r="DO775" s="7">
        <v>0</v>
      </c>
      <c r="DP775" s="6"/>
      <c r="DQ775" s="4" t="s">
        <v>125</v>
      </c>
    </row>
    <row r="776" spans="1:121" ht="20" customHeight="1" x14ac:dyDescent="0.15">
      <c r="A776" s="5">
        <v>2018</v>
      </c>
      <c r="B776" s="3" t="s">
        <v>153</v>
      </c>
      <c r="C776" s="4" t="str">
        <f t="shared" si="28"/>
        <v>1070011</v>
      </c>
      <c r="D776" s="4" t="s">
        <v>931</v>
      </c>
      <c r="E776" s="4" t="str">
        <f>"1070211"</f>
        <v>1070211</v>
      </c>
      <c r="F776" s="4" t="s">
        <v>327</v>
      </c>
      <c r="G776" s="4" t="s">
        <v>328</v>
      </c>
      <c r="H776" s="4" t="s">
        <v>338</v>
      </c>
      <c r="I776" s="4" t="s">
        <v>329</v>
      </c>
      <c r="J776" s="4" t="s">
        <v>330</v>
      </c>
      <c r="K776" s="7">
        <v>54.971159999999998</v>
      </c>
      <c r="L776" s="7">
        <v>100</v>
      </c>
      <c r="M776" s="7">
        <v>54.971159999999998</v>
      </c>
      <c r="N776" s="4" t="s">
        <v>124</v>
      </c>
      <c r="O776" s="4" t="s">
        <v>124</v>
      </c>
      <c r="P776" s="4" t="s">
        <v>124</v>
      </c>
      <c r="Q776" s="4" t="s">
        <v>124</v>
      </c>
      <c r="R776" s="4" t="s">
        <v>124</v>
      </c>
      <c r="S776" s="4" t="s">
        <v>124</v>
      </c>
      <c r="T776" s="4" t="s">
        <v>124</v>
      </c>
      <c r="U776" s="4" t="s">
        <v>124</v>
      </c>
      <c r="V776" s="4" t="s">
        <v>124</v>
      </c>
      <c r="W776" s="4" t="s">
        <v>124</v>
      </c>
      <c r="X776" s="4" t="s">
        <v>124</v>
      </c>
      <c r="Y776" s="4" t="s">
        <v>124</v>
      </c>
      <c r="Z776" s="4" t="s">
        <v>124</v>
      </c>
      <c r="AA776" s="4" t="s">
        <v>124</v>
      </c>
      <c r="AB776" s="4" t="s">
        <v>124</v>
      </c>
      <c r="AC776" s="4" t="s">
        <v>124</v>
      </c>
      <c r="AD776" s="4" t="s">
        <v>124</v>
      </c>
      <c r="AE776" s="4" t="s">
        <v>124</v>
      </c>
      <c r="AF776" s="4" t="s">
        <v>124</v>
      </c>
      <c r="AG776" s="4" t="s">
        <v>124</v>
      </c>
      <c r="AH776" s="4" t="s">
        <v>124</v>
      </c>
      <c r="AI776" s="4" t="s">
        <v>124</v>
      </c>
      <c r="AJ776" s="4" t="s">
        <v>124</v>
      </c>
      <c r="AK776" s="4" t="s">
        <v>124</v>
      </c>
      <c r="AL776" s="4" t="s">
        <v>124</v>
      </c>
      <c r="AM776" s="4" t="s">
        <v>124</v>
      </c>
      <c r="AN776" s="4" t="s">
        <v>124</v>
      </c>
      <c r="AO776" s="4" t="s">
        <v>124</v>
      </c>
      <c r="AP776" s="4" t="s">
        <v>124</v>
      </c>
      <c r="AQ776" s="4" t="s">
        <v>124</v>
      </c>
      <c r="AR776" s="4" t="s">
        <v>124</v>
      </c>
      <c r="AS776" s="4" t="s">
        <v>124</v>
      </c>
      <c r="AT776" s="4" t="s">
        <v>124</v>
      </c>
      <c r="AU776" s="4" t="s">
        <v>124</v>
      </c>
      <c r="AV776" s="4" t="s">
        <v>124</v>
      </c>
      <c r="AW776" s="4" t="s">
        <v>124</v>
      </c>
      <c r="AX776" s="4" t="s">
        <v>124</v>
      </c>
      <c r="AY776" s="4" t="s">
        <v>124</v>
      </c>
      <c r="AZ776" s="4" t="s">
        <v>124</v>
      </c>
      <c r="BA776" s="4" t="s">
        <v>124</v>
      </c>
      <c r="BB776" s="4" t="s">
        <v>124</v>
      </c>
      <c r="BC776" s="4" t="s">
        <v>124</v>
      </c>
      <c r="BD776" s="4" t="s">
        <v>124</v>
      </c>
      <c r="BE776" s="4" t="s">
        <v>124</v>
      </c>
      <c r="BF776" s="4" t="s">
        <v>124</v>
      </c>
      <c r="BG776" s="4" t="s">
        <v>124</v>
      </c>
      <c r="BH776" s="4" t="s">
        <v>124</v>
      </c>
      <c r="BI776" s="4" t="s">
        <v>124</v>
      </c>
      <c r="BJ776" s="4" t="s">
        <v>124</v>
      </c>
      <c r="BK776" s="4" t="s">
        <v>124</v>
      </c>
      <c r="BL776" s="4" t="s">
        <v>124</v>
      </c>
      <c r="BM776" s="4" t="s">
        <v>124</v>
      </c>
      <c r="BN776" s="4" t="s">
        <v>124</v>
      </c>
      <c r="BO776" s="4" t="s">
        <v>124</v>
      </c>
      <c r="BP776" s="4" t="s">
        <v>124</v>
      </c>
      <c r="BQ776" s="4" t="s">
        <v>124</v>
      </c>
      <c r="BR776" s="7">
        <v>9.9337999999999996E-2</v>
      </c>
      <c r="BS776" s="7">
        <v>40.132449999999999</v>
      </c>
      <c r="BT776" s="7">
        <v>50</v>
      </c>
      <c r="BU776" s="7">
        <v>0.22580600000000001</v>
      </c>
      <c r="BV776" s="7">
        <v>14.838710000000001</v>
      </c>
      <c r="BW776" s="7">
        <v>50</v>
      </c>
      <c r="BX776" s="4" t="s">
        <v>124</v>
      </c>
      <c r="BY776" s="4" t="s">
        <v>124</v>
      </c>
      <c r="BZ776" s="4" t="s">
        <v>124</v>
      </c>
      <c r="CA776" s="4" t="s">
        <v>124</v>
      </c>
      <c r="CB776" s="4" t="s">
        <v>124</v>
      </c>
      <c r="CC776" s="4" t="s">
        <v>124</v>
      </c>
      <c r="CD776" s="4" t="s">
        <v>124</v>
      </c>
      <c r="CE776" s="4" t="s">
        <v>124</v>
      </c>
      <c r="CF776" s="4" t="s">
        <v>124</v>
      </c>
      <c r="CG776" s="4" t="s">
        <v>124</v>
      </c>
      <c r="CH776" s="4" t="s">
        <v>124</v>
      </c>
      <c r="CI776" s="4" t="s">
        <v>124</v>
      </c>
      <c r="CJ776" s="4" t="s">
        <v>124</v>
      </c>
      <c r="CK776" s="4" t="s">
        <v>124</v>
      </c>
      <c r="CL776" s="4" t="s">
        <v>124</v>
      </c>
      <c r="CM776" s="4" t="s">
        <v>124</v>
      </c>
      <c r="CN776" s="4" t="s">
        <v>124</v>
      </c>
      <c r="CO776" s="4" t="s">
        <v>124</v>
      </c>
      <c r="CP776" s="4" t="s">
        <v>124</v>
      </c>
      <c r="CQ776" s="4" t="s">
        <v>124</v>
      </c>
      <c r="CR776" s="4" t="s">
        <v>124</v>
      </c>
      <c r="CS776" s="4" t="s">
        <v>124</v>
      </c>
      <c r="CT776" s="4" t="s">
        <v>124</v>
      </c>
      <c r="CU776" s="4" t="s">
        <v>124</v>
      </c>
      <c r="CV776" s="4" t="s">
        <v>124</v>
      </c>
      <c r="CW776" s="4" t="s">
        <v>124</v>
      </c>
      <c r="CX776" s="4" t="s">
        <v>124</v>
      </c>
      <c r="CY776" s="4" t="s">
        <v>124</v>
      </c>
      <c r="CZ776" s="4" t="s">
        <v>124</v>
      </c>
      <c r="DA776" s="4" t="s">
        <v>124</v>
      </c>
      <c r="DB776" s="4" t="s">
        <v>124</v>
      </c>
      <c r="DC776" s="4" t="s">
        <v>124</v>
      </c>
      <c r="DD776" s="4" t="s">
        <v>124</v>
      </c>
      <c r="DE776" s="4" t="s">
        <v>124</v>
      </c>
      <c r="DF776" s="6"/>
      <c r="DG776" s="6"/>
      <c r="DH776" s="6"/>
      <c r="DI776" s="6"/>
      <c r="DJ776" s="4" t="s">
        <v>124</v>
      </c>
      <c r="DK776" s="4" t="s">
        <v>124</v>
      </c>
      <c r="DL776" s="4" t="s">
        <v>124</v>
      </c>
      <c r="DM776" s="4" t="s">
        <v>124</v>
      </c>
      <c r="DN776" s="4" t="s">
        <v>124</v>
      </c>
      <c r="DO776" s="4" t="s">
        <v>124</v>
      </c>
      <c r="DP776" s="6"/>
      <c r="DQ776" s="4" t="s">
        <v>125</v>
      </c>
    </row>
    <row r="777" spans="1:121" ht="20" customHeight="1" x14ac:dyDescent="0.15">
      <c r="A777" s="5">
        <v>2018</v>
      </c>
      <c r="B777" s="3" t="s">
        <v>153</v>
      </c>
      <c r="C777" s="4" t="str">
        <f t="shared" ref="C777:C779" si="240">"1070011"</f>
        <v>1070011</v>
      </c>
      <c r="D777" s="4" t="s">
        <v>932</v>
      </c>
      <c r="E777" s="4" t="str">
        <f>"1070511"</f>
        <v>1070511</v>
      </c>
      <c r="F777" s="4" t="s">
        <v>327</v>
      </c>
      <c r="G777" s="7">
        <v>1</v>
      </c>
      <c r="H777" s="7">
        <v>6</v>
      </c>
      <c r="I777" s="6"/>
      <c r="J777" s="4" t="s">
        <v>330</v>
      </c>
      <c r="K777" s="7">
        <v>636.69217300000003</v>
      </c>
      <c r="L777" s="7">
        <v>800</v>
      </c>
      <c r="M777" s="7">
        <v>79.586522000000002</v>
      </c>
      <c r="N777" s="7">
        <v>2</v>
      </c>
      <c r="O777" s="7">
        <v>0</v>
      </c>
      <c r="P777" s="7">
        <v>80.342990999999998</v>
      </c>
      <c r="Q777" s="7">
        <v>50</v>
      </c>
      <c r="R777" s="7">
        <v>50</v>
      </c>
      <c r="S777" s="7">
        <v>70.397470999999996</v>
      </c>
      <c r="T777" s="7">
        <v>75</v>
      </c>
      <c r="U777" s="7">
        <v>46.931646999999998</v>
      </c>
      <c r="V777" s="7">
        <v>50</v>
      </c>
      <c r="W777" s="7">
        <v>76.205093000000005</v>
      </c>
      <c r="X777" s="7">
        <v>50</v>
      </c>
      <c r="Y777" s="7">
        <v>50</v>
      </c>
      <c r="Z777" s="7">
        <v>75</v>
      </c>
      <c r="AA777" s="7">
        <v>69.054648999999998</v>
      </c>
      <c r="AB777" s="7">
        <v>46.036433000000002</v>
      </c>
      <c r="AC777" s="7">
        <v>50</v>
      </c>
      <c r="AD777" s="7">
        <v>77.300247999999996</v>
      </c>
      <c r="AE777" s="7">
        <v>50</v>
      </c>
      <c r="AF777" s="7">
        <v>50</v>
      </c>
      <c r="AG777" s="4" t="s">
        <v>124</v>
      </c>
      <c r="AH777" s="7">
        <v>75</v>
      </c>
      <c r="AI777" s="4" t="s">
        <v>124</v>
      </c>
      <c r="AJ777" s="4" t="s">
        <v>124</v>
      </c>
      <c r="AK777" s="7">
        <v>4.5999999999999996</v>
      </c>
      <c r="AL777" s="7">
        <v>5.94</v>
      </c>
      <c r="AM777" s="4" t="s">
        <v>124</v>
      </c>
      <c r="AN777" s="7">
        <v>0.70496599999999998</v>
      </c>
      <c r="AO777" s="7">
        <v>70.496596999999994</v>
      </c>
      <c r="AP777" s="7">
        <v>100</v>
      </c>
      <c r="AQ777" s="7">
        <v>0.74516700000000002</v>
      </c>
      <c r="AR777" s="7">
        <v>74.516718999999995</v>
      </c>
      <c r="AS777" s="7">
        <v>100</v>
      </c>
      <c r="AT777" s="7">
        <v>0.51266800000000001</v>
      </c>
      <c r="AU777" s="7">
        <v>0.75005699999999997</v>
      </c>
      <c r="AV777" s="7">
        <v>51.266751999999997</v>
      </c>
      <c r="AW777" s="7">
        <v>100</v>
      </c>
      <c r="AX777" s="7">
        <v>0.69387299999999996</v>
      </c>
      <c r="AY777" s="7">
        <v>0.75719499999999995</v>
      </c>
      <c r="AZ777" s="7">
        <v>69.387344999999996</v>
      </c>
      <c r="BA777" s="7">
        <v>100</v>
      </c>
      <c r="BB777" s="4" t="s">
        <v>124</v>
      </c>
      <c r="BC777" s="4" t="s">
        <v>124</v>
      </c>
      <c r="BD777" s="4" t="s">
        <v>124</v>
      </c>
      <c r="BE777" s="4" t="s">
        <v>124</v>
      </c>
      <c r="BF777" s="4" t="s">
        <v>124</v>
      </c>
      <c r="BG777" s="4" t="s">
        <v>124</v>
      </c>
      <c r="BH777" s="7">
        <v>0</v>
      </c>
      <c r="BI777" s="7">
        <v>1</v>
      </c>
      <c r="BJ777" s="7">
        <v>1</v>
      </c>
      <c r="BK777" s="7">
        <v>1</v>
      </c>
      <c r="BL777" s="7">
        <v>1</v>
      </c>
      <c r="BM777" s="7">
        <v>1</v>
      </c>
      <c r="BN777" s="7">
        <v>1</v>
      </c>
      <c r="BO777" s="7">
        <v>1</v>
      </c>
      <c r="BP777" s="4" t="s">
        <v>124</v>
      </c>
      <c r="BQ777" s="7">
        <v>1</v>
      </c>
      <c r="BR777" s="7">
        <v>2.6315999999999999E-2</v>
      </c>
      <c r="BS777" s="7">
        <v>50</v>
      </c>
      <c r="BT777" s="7">
        <v>50</v>
      </c>
      <c r="BU777" s="7">
        <v>7.8947000000000003E-2</v>
      </c>
      <c r="BV777" s="7">
        <v>44.210526000000002</v>
      </c>
      <c r="BW777" s="7">
        <v>50</v>
      </c>
      <c r="BX777" s="4" t="s">
        <v>124</v>
      </c>
      <c r="BY777" s="4" t="s">
        <v>124</v>
      </c>
      <c r="BZ777" s="4" t="s">
        <v>124</v>
      </c>
      <c r="CA777" s="4" t="s">
        <v>124</v>
      </c>
      <c r="CB777" s="4" t="s">
        <v>124</v>
      </c>
      <c r="CC777" s="4" t="s">
        <v>124</v>
      </c>
      <c r="CD777" s="4" t="s">
        <v>124</v>
      </c>
      <c r="CE777" s="4" t="s">
        <v>124</v>
      </c>
      <c r="CF777" s="4" t="s">
        <v>124</v>
      </c>
      <c r="CG777" s="4" t="s">
        <v>124</v>
      </c>
      <c r="CH777" s="4" t="s">
        <v>124</v>
      </c>
      <c r="CI777" s="4" t="s">
        <v>124</v>
      </c>
      <c r="CJ777" s="4" t="s">
        <v>124</v>
      </c>
      <c r="CK777" s="4" t="s">
        <v>124</v>
      </c>
      <c r="CL777" s="4" t="s">
        <v>124</v>
      </c>
      <c r="CM777" s="4" t="s">
        <v>124</v>
      </c>
      <c r="CN777" s="4" t="s">
        <v>124</v>
      </c>
      <c r="CO777" s="4" t="s">
        <v>124</v>
      </c>
      <c r="CP777" s="4" t="s">
        <v>124</v>
      </c>
      <c r="CQ777" s="7">
        <v>0.50769200000000003</v>
      </c>
      <c r="CR777" s="7">
        <v>0.99236599999999997</v>
      </c>
      <c r="CS777" s="7">
        <v>33.846153999999999</v>
      </c>
      <c r="CT777" s="7">
        <v>50</v>
      </c>
      <c r="CU777" s="4" t="s">
        <v>124</v>
      </c>
      <c r="CV777" s="4" t="s">
        <v>124</v>
      </c>
      <c r="CW777" s="4" t="s">
        <v>124</v>
      </c>
      <c r="CX777" s="4" t="s">
        <v>124</v>
      </c>
      <c r="CY777" s="4" t="s">
        <v>124</v>
      </c>
      <c r="CZ777" s="4" t="s">
        <v>124</v>
      </c>
      <c r="DA777" s="7">
        <v>15.314097</v>
      </c>
      <c r="DB777" s="7">
        <v>17.400950000000002</v>
      </c>
      <c r="DC777" s="7">
        <v>16.332519999999999</v>
      </c>
      <c r="DD777" s="4" t="s">
        <v>124</v>
      </c>
      <c r="DE777" s="7">
        <v>0</v>
      </c>
      <c r="DF777" s="6"/>
      <c r="DG777" s="6"/>
      <c r="DH777" s="6"/>
      <c r="DI777" s="6"/>
      <c r="DJ777" s="7">
        <v>0</v>
      </c>
      <c r="DK777" s="7">
        <v>0</v>
      </c>
      <c r="DL777" s="7">
        <v>0</v>
      </c>
      <c r="DM777" s="7">
        <v>0</v>
      </c>
      <c r="DN777" s="7">
        <v>0</v>
      </c>
      <c r="DO777" s="7">
        <v>0</v>
      </c>
      <c r="DP777" s="6"/>
      <c r="DQ777" s="4" t="s">
        <v>125</v>
      </c>
    </row>
    <row r="778" spans="1:121" ht="20" customHeight="1" x14ac:dyDescent="0.15">
      <c r="A778" s="5">
        <v>2018</v>
      </c>
      <c r="B778" s="3" t="s">
        <v>153</v>
      </c>
      <c r="C778" s="4" t="str">
        <f t="shared" si="240"/>
        <v>1070011</v>
      </c>
      <c r="D778" s="4" t="s">
        <v>933</v>
      </c>
      <c r="E778" s="4" t="str">
        <f>"1070311"</f>
        <v>1070311</v>
      </c>
      <c r="F778" s="4" t="s">
        <v>327</v>
      </c>
      <c r="G778" s="7">
        <v>1</v>
      </c>
      <c r="H778" s="7">
        <v>6</v>
      </c>
      <c r="I778" s="4" t="s">
        <v>329</v>
      </c>
      <c r="J778" s="4" t="s">
        <v>330</v>
      </c>
      <c r="K778" s="7">
        <v>667.58456200000001</v>
      </c>
      <c r="L778" s="7">
        <v>900</v>
      </c>
      <c r="M778" s="7">
        <v>74.176062000000002</v>
      </c>
      <c r="N778" s="7">
        <v>2</v>
      </c>
      <c r="O778" s="7">
        <v>0</v>
      </c>
      <c r="P778" s="7">
        <v>78.332956999999993</v>
      </c>
      <c r="Q778" s="7">
        <v>50</v>
      </c>
      <c r="R778" s="7">
        <v>50</v>
      </c>
      <c r="S778" s="7">
        <v>65.901426000000001</v>
      </c>
      <c r="T778" s="7">
        <v>75</v>
      </c>
      <c r="U778" s="7">
        <v>43.934283999999998</v>
      </c>
      <c r="V778" s="7">
        <v>50</v>
      </c>
      <c r="W778" s="7">
        <v>72.379110999999995</v>
      </c>
      <c r="X778" s="7">
        <v>48.252741</v>
      </c>
      <c r="Y778" s="7">
        <v>50</v>
      </c>
      <c r="Z778" s="7">
        <v>75</v>
      </c>
      <c r="AA778" s="7">
        <v>60.018935999999997</v>
      </c>
      <c r="AB778" s="7">
        <v>40.012624000000002</v>
      </c>
      <c r="AC778" s="7">
        <v>50</v>
      </c>
      <c r="AD778" s="7">
        <v>73.980757999999994</v>
      </c>
      <c r="AE778" s="7">
        <v>49.320506000000002</v>
      </c>
      <c r="AF778" s="7">
        <v>50</v>
      </c>
      <c r="AG778" s="4" t="s">
        <v>124</v>
      </c>
      <c r="AH778" s="7">
        <v>75</v>
      </c>
      <c r="AI778" s="4" t="s">
        <v>124</v>
      </c>
      <c r="AJ778" s="4" t="s">
        <v>124</v>
      </c>
      <c r="AK778" s="7">
        <v>9.09</v>
      </c>
      <c r="AL778" s="7">
        <v>14.98</v>
      </c>
      <c r="AM778" s="4" t="s">
        <v>124</v>
      </c>
      <c r="AN778" s="7">
        <v>0.72770000000000001</v>
      </c>
      <c r="AO778" s="7">
        <v>72.769987999999998</v>
      </c>
      <c r="AP778" s="7">
        <v>100</v>
      </c>
      <c r="AQ778" s="7">
        <v>0.64241999999999999</v>
      </c>
      <c r="AR778" s="7">
        <v>64.241973000000002</v>
      </c>
      <c r="AS778" s="7">
        <v>100</v>
      </c>
      <c r="AT778" s="7">
        <v>0.63903500000000002</v>
      </c>
      <c r="AU778" s="7">
        <v>0.76140699999999994</v>
      </c>
      <c r="AV778" s="7">
        <v>63.903508000000002</v>
      </c>
      <c r="AW778" s="7">
        <v>100</v>
      </c>
      <c r="AX778" s="7">
        <v>0.44709100000000002</v>
      </c>
      <c r="AY778" s="7">
        <v>0.71667700000000001</v>
      </c>
      <c r="AZ778" s="7">
        <v>44.709111</v>
      </c>
      <c r="BA778" s="7">
        <v>100</v>
      </c>
      <c r="BB778" s="7">
        <v>0.458644</v>
      </c>
      <c r="BC778" s="7">
        <v>22.932183999999999</v>
      </c>
      <c r="BD778" s="7">
        <v>50</v>
      </c>
      <c r="BE778" s="7">
        <v>0.55698700000000001</v>
      </c>
      <c r="BF778" s="7">
        <v>27.849357999999999</v>
      </c>
      <c r="BG778" s="7">
        <v>50</v>
      </c>
      <c r="BH778" s="7">
        <v>0</v>
      </c>
      <c r="BI778" s="7">
        <v>1</v>
      </c>
      <c r="BJ778" s="7">
        <v>1</v>
      </c>
      <c r="BK778" s="7">
        <v>1</v>
      </c>
      <c r="BL778" s="7">
        <v>1</v>
      </c>
      <c r="BM778" s="7">
        <v>1</v>
      </c>
      <c r="BN778" s="7">
        <v>1</v>
      </c>
      <c r="BO778" s="7">
        <v>1</v>
      </c>
      <c r="BP778" s="4" t="s">
        <v>124</v>
      </c>
      <c r="BQ778" s="7">
        <v>1</v>
      </c>
      <c r="BR778" s="7">
        <v>2.7855000000000001E-2</v>
      </c>
      <c r="BS778" s="7">
        <v>50</v>
      </c>
      <c r="BT778" s="7">
        <v>50</v>
      </c>
      <c r="BU778" s="7">
        <v>6.3829999999999998E-2</v>
      </c>
      <c r="BV778" s="7">
        <v>47.234043</v>
      </c>
      <c r="BW778" s="7">
        <v>50</v>
      </c>
      <c r="BX778" s="4" t="s">
        <v>124</v>
      </c>
      <c r="BY778" s="4" t="s">
        <v>124</v>
      </c>
      <c r="BZ778" s="4" t="s">
        <v>124</v>
      </c>
      <c r="CA778" s="4" t="s">
        <v>124</v>
      </c>
      <c r="CB778" s="4" t="s">
        <v>124</v>
      </c>
      <c r="CC778" s="4" t="s">
        <v>124</v>
      </c>
      <c r="CD778" s="4" t="s">
        <v>124</v>
      </c>
      <c r="CE778" s="4" t="s">
        <v>124</v>
      </c>
      <c r="CF778" s="4" t="s">
        <v>124</v>
      </c>
      <c r="CG778" s="4" t="s">
        <v>124</v>
      </c>
      <c r="CH778" s="4" t="s">
        <v>124</v>
      </c>
      <c r="CI778" s="4" t="s">
        <v>124</v>
      </c>
      <c r="CJ778" s="4" t="s">
        <v>124</v>
      </c>
      <c r="CK778" s="4" t="s">
        <v>124</v>
      </c>
      <c r="CL778" s="4" t="s">
        <v>124</v>
      </c>
      <c r="CM778" s="4" t="s">
        <v>124</v>
      </c>
      <c r="CN778" s="4" t="s">
        <v>124</v>
      </c>
      <c r="CO778" s="4" t="s">
        <v>124</v>
      </c>
      <c r="CP778" s="4" t="s">
        <v>124</v>
      </c>
      <c r="CQ778" s="7">
        <v>0.63636400000000004</v>
      </c>
      <c r="CR778" s="7">
        <v>0.99180299999999999</v>
      </c>
      <c r="CS778" s="7">
        <v>42.424242</v>
      </c>
      <c r="CT778" s="7">
        <v>50</v>
      </c>
      <c r="CU778" s="4" t="s">
        <v>124</v>
      </c>
      <c r="CV778" s="4" t="s">
        <v>124</v>
      </c>
      <c r="CW778" s="4" t="s">
        <v>124</v>
      </c>
      <c r="CX778" s="4" t="s">
        <v>124</v>
      </c>
      <c r="CY778" s="4" t="s">
        <v>124</v>
      </c>
      <c r="CZ778" s="4" t="s">
        <v>124</v>
      </c>
      <c r="DA778" s="7">
        <v>15.314097</v>
      </c>
      <c r="DB778" s="7">
        <v>17.400950000000002</v>
      </c>
      <c r="DC778" s="7">
        <v>16.332519999999999</v>
      </c>
      <c r="DD778" s="4" t="s">
        <v>124</v>
      </c>
      <c r="DE778" s="7">
        <v>0</v>
      </c>
      <c r="DF778" s="6"/>
      <c r="DG778" s="6"/>
      <c r="DH778" s="6"/>
      <c r="DI778" s="6"/>
      <c r="DJ778" s="7">
        <v>0</v>
      </c>
      <c r="DK778" s="7">
        <v>0</v>
      </c>
      <c r="DL778" s="7">
        <v>0</v>
      </c>
      <c r="DM778" s="7">
        <v>0</v>
      </c>
      <c r="DN778" s="7">
        <v>0</v>
      </c>
      <c r="DO778" s="7">
        <v>0</v>
      </c>
      <c r="DP778" s="6"/>
      <c r="DQ778" s="4" t="s">
        <v>125</v>
      </c>
    </row>
    <row r="779" spans="1:121" ht="20" customHeight="1" x14ac:dyDescent="0.15">
      <c r="A779" s="5">
        <v>2018</v>
      </c>
      <c r="B779" s="3" t="s">
        <v>153</v>
      </c>
      <c r="C779" s="4" t="str">
        <f t="shared" si="240"/>
        <v>1070011</v>
      </c>
      <c r="D779" s="4" t="s">
        <v>934</v>
      </c>
      <c r="E779" s="4" t="str">
        <f>"1070411"</f>
        <v>1070411</v>
      </c>
      <c r="F779" s="4" t="s">
        <v>327</v>
      </c>
      <c r="G779" s="7">
        <v>1</v>
      </c>
      <c r="H779" s="7">
        <v>6</v>
      </c>
      <c r="I779" s="6"/>
      <c r="J779" s="4" t="s">
        <v>330</v>
      </c>
      <c r="K779" s="7">
        <v>681.63733100000002</v>
      </c>
      <c r="L779" s="7">
        <v>800</v>
      </c>
      <c r="M779" s="7">
        <v>85.204666000000003</v>
      </c>
      <c r="N779" s="7">
        <v>1</v>
      </c>
      <c r="O779" s="7">
        <v>0</v>
      </c>
      <c r="P779" s="7">
        <v>81.334271999999999</v>
      </c>
      <c r="Q779" s="7">
        <v>50</v>
      </c>
      <c r="R779" s="7">
        <v>50</v>
      </c>
      <c r="S779" s="7">
        <v>66.516868000000002</v>
      </c>
      <c r="T779" s="7">
        <v>75</v>
      </c>
      <c r="U779" s="7">
        <v>44.344577999999998</v>
      </c>
      <c r="V779" s="7">
        <v>50</v>
      </c>
      <c r="W779" s="7">
        <v>76.403285999999994</v>
      </c>
      <c r="X779" s="7">
        <v>50</v>
      </c>
      <c r="Y779" s="7">
        <v>50</v>
      </c>
      <c r="Z779" s="7">
        <v>75</v>
      </c>
      <c r="AA779" s="7">
        <v>63.692979000000001</v>
      </c>
      <c r="AB779" s="7">
        <v>42.461986000000003</v>
      </c>
      <c r="AC779" s="7">
        <v>50</v>
      </c>
      <c r="AD779" s="7">
        <v>71.158809000000005</v>
      </c>
      <c r="AE779" s="7">
        <v>47.439205999999999</v>
      </c>
      <c r="AF779" s="7">
        <v>50</v>
      </c>
      <c r="AG779" s="4" t="s">
        <v>124</v>
      </c>
      <c r="AH779" s="7">
        <v>75</v>
      </c>
      <c r="AI779" s="4" t="s">
        <v>124</v>
      </c>
      <c r="AJ779" s="4" t="s">
        <v>124</v>
      </c>
      <c r="AK779" s="7">
        <v>8.48</v>
      </c>
      <c r="AL779" s="7">
        <v>11.3</v>
      </c>
      <c r="AM779" s="4" t="s">
        <v>124</v>
      </c>
      <c r="AN779" s="7">
        <v>0.76547799999999999</v>
      </c>
      <c r="AO779" s="7">
        <v>76.547827999999996</v>
      </c>
      <c r="AP779" s="7">
        <v>100</v>
      </c>
      <c r="AQ779" s="7">
        <v>0.94830199999999998</v>
      </c>
      <c r="AR779" s="7">
        <v>94.830192999999994</v>
      </c>
      <c r="AS779" s="7">
        <v>100</v>
      </c>
      <c r="AT779" s="7">
        <v>0.52546700000000002</v>
      </c>
      <c r="AU779" s="7">
        <v>0.82396800000000003</v>
      </c>
      <c r="AV779" s="7">
        <v>52.546714000000001</v>
      </c>
      <c r="AW779" s="7">
        <v>100</v>
      </c>
      <c r="AX779" s="7">
        <v>0.85466799999999998</v>
      </c>
      <c r="AY779" s="7">
        <v>0.97070999999999996</v>
      </c>
      <c r="AZ779" s="7">
        <v>85.466825999999998</v>
      </c>
      <c r="BA779" s="7">
        <v>100</v>
      </c>
      <c r="BB779" s="4" t="s">
        <v>124</v>
      </c>
      <c r="BC779" s="4" t="s">
        <v>124</v>
      </c>
      <c r="BD779" s="4" t="s">
        <v>124</v>
      </c>
      <c r="BE779" s="4" t="s">
        <v>124</v>
      </c>
      <c r="BF779" s="4" t="s">
        <v>124</v>
      </c>
      <c r="BG779" s="4" t="s">
        <v>124</v>
      </c>
      <c r="BH779" s="7">
        <v>0</v>
      </c>
      <c r="BI779" s="7">
        <v>0.99507400000000001</v>
      </c>
      <c r="BJ779" s="7">
        <v>0.980769</v>
      </c>
      <c r="BK779" s="7">
        <v>1</v>
      </c>
      <c r="BL779" s="7">
        <v>0.98522200000000004</v>
      </c>
      <c r="BM779" s="7">
        <v>0.980769</v>
      </c>
      <c r="BN779" s="7">
        <v>0.98675500000000005</v>
      </c>
      <c r="BO779" s="7">
        <v>1</v>
      </c>
      <c r="BP779" s="4" t="s">
        <v>124</v>
      </c>
      <c r="BQ779" s="7">
        <v>1</v>
      </c>
      <c r="BR779" s="7">
        <v>2.0478E-2</v>
      </c>
      <c r="BS779" s="7">
        <v>50</v>
      </c>
      <c r="BT779" s="7">
        <v>50</v>
      </c>
      <c r="BU779" s="7">
        <v>1.5625E-2</v>
      </c>
      <c r="BV779" s="7">
        <v>50</v>
      </c>
      <c r="BW779" s="7">
        <v>50</v>
      </c>
      <c r="BX779" s="4" t="s">
        <v>124</v>
      </c>
      <c r="BY779" s="4" t="s">
        <v>124</v>
      </c>
      <c r="BZ779" s="4" t="s">
        <v>124</v>
      </c>
      <c r="CA779" s="4" t="s">
        <v>124</v>
      </c>
      <c r="CB779" s="4" t="s">
        <v>124</v>
      </c>
      <c r="CC779" s="4" t="s">
        <v>124</v>
      </c>
      <c r="CD779" s="4" t="s">
        <v>124</v>
      </c>
      <c r="CE779" s="4" t="s">
        <v>124</v>
      </c>
      <c r="CF779" s="4" t="s">
        <v>124</v>
      </c>
      <c r="CG779" s="4" t="s">
        <v>124</v>
      </c>
      <c r="CH779" s="4" t="s">
        <v>124</v>
      </c>
      <c r="CI779" s="4" t="s">
        <v>124</v>
      </c>
      <c r="CJ779" s="4" t="s">
        <v>124</v>
      </c>
      <c r="CK779" s="4" t="s">
        <v>124</v>
      </c>
      <c r="CL779" s="4" t="s">
        <v>124</v>
      </c>
      <c r="CM779" s="4" t="s">
        <v>124</v>
      </c>
      <c r="CN779" s="4" t="s">
        <v>124</v>
      </c>
      <c r="CO779" s="4" t="s">
        <v>124</v>
      </c>
      <c r="CP779" s="4" t="s">
        <v>124</v>
      </c>
      <c r="CQ779" s="7">
        <v>0.56999999999999995</v>
      </c>
      <c r="CR779" s="7">
        <v>0.98039200000000004</v>
      </c>
      <c r="CS779" s="7">
        <v>38</v>
      </c>
      <c r="CT779" s="7">
        <v>50</v>
      </c>
      <c r="CU779" s="4" t="s">
        <v>124</v>
      </c>
      <c r="CV779" s="4" t="s">
        <v>124</v>
      </c>
      <c r="CW779" s="4" t="s">
        <v>124</v>
      </c>
      <c r="CX779" s="4" t="s">
        <v>124</v>
      </c>
      <c r="CY779" s="4" t="s">
        <v>124</v>
      </c>
      <c r="CZ779" s="4" t="s">
        <v>124</v>
      </c>
      <c r="DA779" s="7">
        <v>15.314097</v>
      </c>
      <c r="DB779" s="7">
        <v>17.400950000000002</v>
      </c>
      <c r="DC779" s="7">
        <v>16.332519999999999</v>
      </c>
      <c r="DD779" s="4" t="s">
        <v>124</v>
      </c>
      <c r="DE779" s="7">
        <v>0</v>
      </c>
      <c r="DF779" s="6"/>
      <c r="DG779" s="6"/>
      <c r="DH779" s="6"/>
      <c r="DI779" s="6"/>
      <c r="DJ779" s="7">
        <v>0</v>
      </c>
      <c r="DK779" s="7">
        <v>0</v>
      </c>
      <c r="DL779" s="7">
        <v>0</v>
      </c>
      <c r="DM779" s="7">
        <v>0</v>
      </c>
      <c r="DN779" s="7">
        <v>0</v>
      </c>
      <c r="DO779" s="7">
        <v>0</v>
      </c>
      <c r="DP779" s="6"/>
      <c r="DQ779" s="4" t="s">
        <v>125</v>
      </c>
    </row>
    <row r="780" spans="1:121" ht="20" customHeight="1" x14ac:dyDescent="0.15">
      <c r="A780" s="5">
        <v>2018</v>
      </c>
      <c r="B780" s="3" t="s">
        <v>154</v>
      </c>
      <c r="C780" s="4" t="str">
        <f t="shared" si="29"/>
        <v>1080011</v>
      </c>
      <c r="D780" s="4" t="s">
        <v>935</v>
      </c>
      <c r="E780" s="4" t="str">
        <f>"1080111"</f>
        <v>1080111</v>
      </c>
      <c r="F780" s="4" t="s">
        <v>327</v>
      </c>
      <c r="G780" s="7">
        <v>3</v>
      </c>
      <c r="H780" s="7">
        <v>5</v>
      </c>
      <c r="I780" s="4" t="s">
        <v>329</v>
      </c>
      <c r="J780" s="4" t="s">
        <v>330</v>
      </c>
      <c r="K780" s="7">
        <v>698.26237800000001</v>
      </c>
      <c r="L780" s="7">
        <v>850</v>
      </c>
      <c r="M780" s="7">
        <v>82.148515000000003</v>
      </c>
      <c r="N780" s="7">
        <v>2</v>
      </c>
      <c r="O780" s="7">
        <v>0</v>
      </c>
      <c r="P780" s="7">
        <v>75.028569000000005</v>
      </c>
      <c r="Q780" s="7">
        <v>50</v>
      </c>
      <c r="R780" s="7">
        <v>50</v>
      </c>
      <c r="S780" s="7">
        <v>66.773666000000006</v>
      </c>
      <c r="T780" s="7">
        <v>75</v>
      </c>
      <c r="U780" s="7">
        <v>44.515777999999997</v>
      </c>
      <c r="V780" s="7">
        <v>50</v>
      </c>
      <c r="W780" s="7">
        <v>72.878758000000005</v>
      </c>
      <c r="X780" s="7">
        <v>48.585839</v>
      </c>
      <c r="Y780" s="7">
        <v>50</v>
      </c>
      <c r="Z780" s="7">
        <v>75</v>
      </c>
      <c r="AA780" s="7">
        <v>63.266238999999999</v>
      </c>
      <c r="AB780" s="7">
        <v>42.177492999999998</v>
      </c>
      <c r="AC780" s="7">
        <v>50</v>
      </c>
      <c r="AD780" s="7">
        <v>75.561684</v>
      </c>
      <c r="AE780" s="7">
        <v>50</v>
      </c>
      <c r="AF780" s="7">
        <v>50</v>
      </c>
      <c r="AG780" s="7">
        <v>64.629587999999998</v>
      </c>
      <c r="AH780" s="7">
        <v>75</v>
      </c>
      <c r="AI780" s="7">
        <v>43.086391999999996</v>
      </c>
      <c r="AJ780" s="7">
        <v>50</v>
      </c>
      <c r="AK780" s="7">
        <v>8.2200000000000006</v>
      </c>
      <c r="AL780" s="7">
        <v>11.73</v>
      </c>
      <c r="AM780" s="7">
        <v>10.37</v>
      </c>
      <c r="AN780" s="7">
        <v>0.651092</v>
      </c>
      <c r="AO780" s="7">
        <v>65.109234999999998</v>
      </c>
      <c r="AP780" s="7">
        <v>100</v>
      </c>
      <c r="AQ780" s="7">
        <v>0.80057599999999995</v>
      </c>
      <c r="AR780" s="7">
        <v>80.057580999999999</v>
      </c>
      <c r="AS780" s="7">
        <v>100</v>
      </c>
      <c r="AT780" s="7">
        <v>0.59780800000000001</v>
      </c>
      <c r="AU780" s="7">
        <v>0.66913599999999995</v>
      </c>
      <c r="AV780" s="7">
        <v>59.780842999999997</v>
      </c>
      <c r="AW780" s="7">
        <v>100</v>
      </c>
      <c r="AX780" s="7">
        <v>0.74004300000000001</v>
      </c>
      <c r="AY780" s="7">
        <v>0.821183</v>
      </c>
      <c r="AZ780" s="7">
        <v>74.004337000000007</v>
      </c>
      <c r="BA780" s="7">
        <v>100</v>
      </c>
      <c r="BB780" s="4" t="s">
        <v>124</v>
      </c>
      <c r="BC780" s="4" t="s">
        <v>124</v>
      </c>
      <c r="BD780" s="4" t="s">
        <v>124</v>
      </c>
      <c r="BE780" s="4" t="s">
        <v>124</v>
      </c>
      <c r="BF780" s="4" t="s">
        <v>124</v>
      </c>
      <c r="BG780" s="4" t="s">
        <v>124</v>
      </c>
      <c r="BH780" s="7">
        <v>0</v>
      </c>
      <c r="BI780" s="7">
        <v>0.98707999999999996</v>
      </c>
      <c r="BJ780" s="7">
        <v>0.96396400000000004</v>
      </c>
      <c r="BK780" s="7">
        <v>0.99637699999999996</v>
      </c>
      <c r="BL780" s="7">
        <v>0.98449600000000004</v>
      </c>
      <c r="BM780" s="7">
        <v>0.96396400000000004</v>
      </c>
      <c r="BN780" s="7">
        <v>0.99275400000000003</v>
      </c>
      <c r="BO780" s="7">
        <v>0.99259299999999995</v>
      </c>
      <c r="BP780" s="7">
        <v>0.96774199999999999</v>
      </c>
      <c r="BQ780" s="7">
        <v>1</v>
      </c>
      <c r="BR780" s="7">
        <v>2.5773000000000001E-2</v>
      </c>
      <c r="BS780" s="7">
        <v>50</v>
      </c>
      <c r="BT780" s="7">
        <v>50</v>
      </c>
      <c r="BU780" s="7">
        <v>3.7037E-2</v>
      </c>
      <c r="BV780" s="7">
        <v>50</v>
      </c>
      <c r="BW780" s="7">
        <v>50</v>
      </c>
      <c r="BX780" s="4" t="s">
        <v>124</v>
      </c>
      <c r="BY780" s="4" t="s">
        <v>124</v>
      </c>
      <c r="BZ780" s="4" t="s">
        <v>124</v>
      </c>
      <c r="CA780" s="4" t="s">
        <v>124</v>
      </c>
      <c r="CB780" s="4" t="s">
        <v>124</v>
      </c>
      <c r="CC780" s="4" t="s">
        <v>124</v>
      </c>
      <c r="CD780" s="4" t="s">
        <v>124</v>
      </c>
      <c r="CE780" s="4" t="s">
        <v>124</v>
      </c>
      <c r="CF780" s="4" t="s">
        <v>124</v>
      </c>
      <c r="CG780" s="4" t="s">
        <v>124</v>
      </c>
      <c r="CH780" s="4" t="s">
        <v>124</v>
      </c>
      <c r="CI780" s="4" t="s">
        <v>124</v>
      </c>
      <c r="CJ780" s="4" t="s">
        <v>124</v>
      </c>
      <c r="CK780" s="4" t="s">
        <v>124</v>
      </c>
      <c r="CL780" s="4" t="s">
        <v>124</v>
      </c>
      <c r="CM780" s="4" t="s">
        <v>124</v>
      </c>
      <c r="CN780" s="4" t="s">
        <v>124</v>
      </c>
      <c r="CO780" s="4" t="s">
        <v>124</v>
      </c>
      <c r="CP780" s="4" t="s">
        <v>124</v>
      </c>
      <c r="CQ780" s="7">
        <v>0.61417299999999997</v>
      </c>
      <c r="CR780" s="7">
        <v>1</v>
      </c>
      <c r="CS780" s="7">
        <v>40.944882</v>
      </c>
      <c r="CT780" s="7">
        <v>50</v>
      </c>
      <c r="CU780" s="4" t="s">
        <v>124</v>
      </c>
      <c r="CV780" s="4" t="s">
        <v>124</v>
      </c>
      <c r="CW780" s="4" t="s">
        <v>124</v>
      </c>
      <c r="CX780" s="4" t="s">
        <v>124</v>
      </c>
      <c r="CY780" s="4" t="s">
        <v>124</v>
      </c>
      <c r="CZ780" s="4" t="s">
        <v>124</v>
      </c>
      <c r="DA780" s="7">
        <v>15.314097</v>
      </c>
      <c r="DB780" s="7">
        <v>17.400950000000002</v>
      </c>
      <c r="DC780" s="7">
        <v>16.332519999999999</v>
      </c>
      <c r="DD780" s="4" t="s">
        <v>124</v>
      </c>
      <c r="DE780" s="7">
        <v>0</v>
      </c>
      <c r="DF780" s="6"/>
      <c r="DG780" s="6"/>
      <c r="DH780" s="6"/>
      <c r="DI780" s="6"/>
      <c r="DJ780" s="7">
        <v>0</v>
      </c>
      <c r="DK780" s="7">
        <v>0</v>
      </c>
      <c r="DL780" s="7">
        <v>0</v>
      </c>
      <c r="DM780" s="7">
        <v>0</v>
      </c>
      <c r="DN780" s="7">
        <v>0</v>
      </c>
      <c r="DO780" s="7">
        <v>0</v>
      </c>
      <c r="DP780" s="6"/>
      <c r="DQ780" s="4" t="s">
        <v>125</v>
      </c>
    </row>
    <row r="781" spans="1:121" ht="20" customHeight="1" x14ac:dyDescent="0.15">
      <c r="A781" s="5">
        <v>2018</v>
      </c>
      <c r="B781" s="3" t="s">
        <v>154</v>
      </c>
      <c r="C781" s="4" t="str">
        <f t="shared" ref="C781:C783" si="241">"1080011"</f>
        <v>1080011</v>
      </c>
      <c r="D781" s="4" t="s">
        <v>936</v>
      </c>
      <c r="E781" s="4" t="str">
        <f>"1086011"</f>
        <v>1086011</v>
      </c>
      <c r="F781" s="4" t="s">
        <v>327</v>
      </c>
      <c r="G781" s="7">
        <v>9</v>
      </c>
      <c r="H781" s="7">
        <v>12</v>
      </c>
      <c r="I781" s="6"/>
      <c r="J781" s="4" t="s">
        <v>330</v>
      </c>
      <c r="K781" s="7">
        <v>1153.772661</v>
      </c>
      <c r="L781" s="7">
        <v>1450</v>
      </c>
      <c r="M781" s="7">
        <v>79.570527999999996</v>
      </c>
      <c r="N781" s="7">
        <v>3</v>
      </c>
      <c r="O781" s="7">
        <v>1</v>
      </c>
      <c r="P781" s="7">
        <v>59.608991000000003</v>
      </c>
      <c r="Q781" s="7">
        <v>119.21798099999999</v>
      </c>
      <c r="R781" s="7">
        <v>150</v>
      </c>
      <c r="S781" s="7">
        <v>49.452990999999997</v>
      </c>
      <c r="T781" s="7">
        <v>62.123809999999999</v>
      </c>
      <c r="U781" s="7">
        <v>98.905983000000006</v>
      </c>
      <c r="V781" s="7">
        <v>150</v>
      </c>
      <c r="W781" s="7">
        <v>53.334606000000001</v>
      </c>
      <c r="X781" s="7">
        <v>106.669211</v>
      </c>
      <c r="Y781" s="7">
        <v>150</v>
      </c>
      <c r="Z781" s="7">
        <v>56.222222000000002</v>
      </c>
      <c r="AA781" s="7">
        <v>41.673076999999999</v>
      </c>
      <c r="AB781" s="7">
        <v>83.346153999999999</v>
      </c>
      <c r="AC781" s="7">
        <v>150</v>
      </c>
      <c r="AD781" s="7">
        <v>58.135672999999997</v>
      </c>
      <c r="AE781" s="7">
        <v>77.514230999999995</v>
      </c>
      <c r="AF781" s="7">
        <v>100</v>
      </c>
      <c r="AG781" s="7">
        <v>42.699775000000002</v>
      </c>
      <c r="AH781" s="7">
        <v>62.032114</v>
      </c>
      <c r="AI781" s="7">
        <v>56.933033000000002</v>
      </c>
      <c r="AJ781" s="7">
        <v>100</v>
      </c>
      <c r="AK781" s="7">
        <v>12.67</v>
      </c>
      <c r="AL781" s="7">
        <v>14.54</v>
      </c>
      <c r="AM781" s="7">
        <v>19.329999999999998</v>
      </c>
      <c r="AN781" s="4" t="s">
        <v>124</v>
      </c>
      <c r="AO781" s="4" t="s">
        <v>124</v>
      </c>
      <c r="AP781" s="4" t="s">
        <v>124</v>
      </c>
      <c r="AQ781" s="4" t="s">
        <v>124</v>
      </c>
      <c r="AR781" s="4" t="s">
        <v>124</v>
      </c>
      <c r="AS781" s="4" t="s">
        <v>124</v>
      </c>
      <c r="AT781" s="4" t="s">
        <v>124</v>
      </c>
      <c r="AU781" s="4" t="s">
        <v>124</v>
      </c>
      <c r="AV781" s="4" t="s">
        <v>124</v>
      </c>
      <c r="AW781" s="4" t="s">
        <v>124</v>
      </c>
      <c r="AX781" s="4" t="s">
        <v>124</v>
      </c>
      <c r="AY781" s="4" t="s">
        <v>124</v>
      </c>
      <c r="AZ781" s="4" t="s">
        <v>124</v>
      </c>
      <c r="BA781" s="4" t="s">
        <v>124</v>
      </c>
      <c r="BB781" s="4" t="s">
        <v>124</v>
      </c>
      <c r="BC781" s="4" t="s">
        <v>124</v>
      </c>
      <c r="BD781" s="4" t="s">
        <v>124</v>
      </c>
      <c r="BE781" s="4" t="s">
        <v>124</v>
      </c>
      <c r="BF781" s="4" t="s">
        <v>124</v>
      </c>
      <c r="BG781" s="4" t="s">
        <v>124</v>
      </c>
      <c r="BH781" s="7">
        <v>1</v>
      </c>
      <c r="BI781" s="7">
        <v>0.97777800000000004</v>
      </c>
      <c r="BJ781" s="7">
        <v>0.92857100000000004</v>
      </c>
      <c r="BK781" s="7">
        <v>0.99065400000000003</v>
      </c>
      <c r="BL781" s="7">
        <v>0.97777800000000004</v>
      </c>
      <c r="BM781" s="7">
        <v>0.92857100000000004</v>
      </c>
      <c r="BN781" s="7">
        <v>0.99065400000000003</v>
      </c>
      <c r="BO781" s="7">
        <v>0.97014900000000004</v>
      </c>
      <c r="BP781" s="7">
        <v>0.92857100000000004</v>
      </c>
      <c r="BQ781" s="7">
        <v>0.981132</v>
      </c>
      <c r="BR781" s="7">
        <v>3.3210000000000003E-2</v>
      </c>
      <c r="BS781" s="7">
        <v>50</v>
      </c>
      <c r="BT781" s="7">
        <v>50</v>
      </c>
      <c r="BU781" s="7">
        <v>8.4112000000000006E-2</v>
      </c>
      <c r="BV781" s="7">
        <v>43.177570000000003</v>
      </c>
      <c r="BW781" s="7">
        <v>50</v>
      </c>
      <c r="BX781" s="7">
        <v>0.87543300000000002</v>
      </c>
      <c r="BY781" s="7">
        <v>50</v>
      </c>
      <c r="BZ781" s="7">
        <v>50</v>
      </c>
      <c r="CA781" s="7">
        <v>0.49481000000000003</v>
      </c>
      <c r="CB781" s="7">
        <v>32.987313</v>
      </c>
      <c r="CC781" s="7">
        <v>50</v>
      </c>
      <c r="CD781" s="7">
        <v>0.94166700000000003</v>
      </c>
      <c r="CE781" s="7">
        <v>50</v>
      </c>
      <c r="CF781" s="7">
        <v>50</v>
      </c>
      <c r="CG781" s="7">
        <v>0.96268699999999996</v>
      </c>
      <c r="CH781" s="7">
        <v>100</v>
      </c>
      <c r="CI781" s="7">
        <v>100</v>
      </c>
      <c r="CJ781" s="7">
        <v>0</v>
      </c>
      <c r="CK781" s="7">
        <v>0.90322599999999997</v>
      </c>
      <c r="CL781" s="7">
        <v>96.087851999999998</v>
      </c>
      <c r="CM781" s="7">
        <v>100</v>
      </c>
      <c r="CN781" s="7">
        <v>0.87692300000000001</v>
      </c>
      <c r="CO781" s="7">
        <v>100</v>
      </c>
      <c r="CP781" s="7">
        <v>100</v>
      </c>
      <c r="CQ781" s="7">
        <v>0.58399999999999996</v>
      </c>
      <c r="CR781" s="7">
        <v>0.93984999999999996</v>
      </c>
      <c r="CS781" s="7">
        <v>38.933332999999998</v>
      </c>
      <c r="CT781" s="7">
        <v>50</v>
      </c>
      <c r="CU781" s="7">
        <v>0.61992599999999998</v>
      </c>
      <c r="CV781" s="7">
        <v>50</v>
      </c>
      <c r="CW781" s="7">
        <v>50</v>
      </c>
      <c r="CX781" s="7">
        <v>0.90322599999999997</v>
      </c>
      <c r="CY781" s="7">
        <v>0.94</v>
      </c>
      <c r="CZ781" s="7">
        <v>3.6774000000000001E-2</v>
      </c>
      <c r="DA781" s="7">
        <v>15.314097</v>
      </c>
      <c r="DB781" s="7">
        <v>17.400950000000002</v>
      </c>
      <c r="DC781" s="7">
        <v>16.332519999999999</v>
      </c>
      <c r="DD781" s="7">
        <v>7.9891730000000001</v>
      </c>
      <c r="DE781" s="7">
        <v>1</v>
      </c>
      <c r="DF781" s="6"/>
      <c r="DG781" s="6"/>
      <c r="DH781" s="6"/>
      <c r="DI781" s="6"/>
      <c r="DJ781" s="7">
        <v>0</v>
      </c>
      <c r="DK781" s="7">
        <v>0</v>
      </c>
      <c r="DL781" s="7">
        <v>0</v>
      </c>
      <c r="DM781" s="7">
        <v>0</v>
      </c>
      <c r="DN781" s="7">
        <v>0</v>
      </c>
      <c r="DO781" s="7">
        <v>0</v>
      </c>
      <c r="DP781" s="6"/>
      <c r="DQ781" s="4" t="s">
        <v>125</v>
      </c>
    </row>
    <row r="782" spans="1:121" ht="20" customHeight="1" x14ac:dyDescent="0.15">
      <c r="A782" s="5">
        <v>2018</v>
      </c>
      <c r="B782" s="3" t="s">
        <v>154</v>
      </c>
      <c r="C782" s="4" t="str">
        <f t="shared" si="241"/>
        <v>1080011</v>
      </c>
      <c r="D782" s="4" t="s">
        <v>937</v>
      </c>
      <c r="E782" s="4" t="str">
        <f>"1085111"</f>
        <v>1085111</v>
      </c>
      <c r="F782" s="4" t="s">
        <v>327</v>
      </c>
      <c r="G782" s="7">
        <v>6</v>
      </c>
      <c r="H782" s="7">
        <v>8</v>
      </c>
      <c r="I782" s="6"/>
      <c r="J782" s="4" t="s">
        <v>330</v>
      </c>
      <c r="K782" s="7">
        <v>633.76661000000001</v>
      </c>
      <c r="L782" s="7">
        <v>900</v>
      </c>
      <c r="M782" s="7">
        <v>70.418512000000007</v>
      </c>
      <c r="N782" s="7">
        <v>2</v>
      </c>
      <c r="O782" s="7">
        <v>0</v>
      </c>
      <c r="P782" s="7">
        <v>73.024084999999999</v>
      </c>
      <c r="Q782" s="7">
        <v>48.682723000000003</v>
      </c>
      <c r="R782" s="7">
        <v>50</v>
      </c>
      <c r="S782" s="7">
        <v>62.170878000000002</v>
      </c>
      <c r="T782" s="7">
        <v>75</v>
      </c>
      <c r="U782" s="7">
        <v>41.447251999999999</v>
      </c>
      <c r="V782" s="7">
        <v>50</v>
      </c>
      <c r="W782" s="7">
        <v>66.394051000000005</v>
      </c>
      <c r="X782" s="7">
        <v>44.262701</v>
      </c>
      <c r="Y782" s="7">
        <v>50</v>
      </c>
      <c r="Z782" s="7">
        <v>69.706894000000005</v>
      </c>
      <c r="AA782" s="7">
        <v>55.709387999999997</v>
      </c>
      <c r="AB782" s="7">
        <v>37.139592</v>
      </c>
      <c r="AC782" s="7">
        <v>50</v>
      </c>
      <c r="AD782" s="7">
        <v>69.565972000000002</v>
      </c>
      <c r="AE782" s="7">
        <v>46.377313999999998</v>
      </c>
      <c r="AF782" s="7">
        <v>50</v>
      </c>
      <c r="AG782" s="7">
        <v>59.931033999999997</v>
      </c>
      <c r="AH782" s="7">
        <v>71.849807999999996</v>
      </c>
      <c r="AI782" s="7">
        <v>39.954022999999999</v>
      </c>
      <c r="AJ782" s="7">
        <v>50</v>
      </c>
      <c r="AK782" s="7">
        <v>12.82</v>
      </c>
      <c r="AL782" s="7">
        <v>13.99</v>
      </c>
      <c r="AM782" s="7">
        <v>11.91</v>
      </c>
      <c r="AN782" s="7">
        <v>0.61735700000000004</v>
      </c>
      <c r="AO782" s="7">
        <v>61.735689000000001</v>
      </c>
      <c r="AP782" s="7">
        <v>100</v>
      </c>
      <c r="AQ782" s="7">
        <v>0.51883999999999997</v>
      </c>
      <c r="AR782" s="7">
        <v>51.884013000000003</v>
      </c>
      <c r="AS782" s="7">
        <v>100</v>
      </c>
      <c r="AT782" s="7">
        <v>0.62899400000000005</v>
      </c>
      <c r="AU782" s="7">
        <v>0.61435200000000001</v>
      </c>
      <c r="AV782" s="7">
        <v>62.899439999999998</v>
      </c>
      <c r="AW782" s="7">
        <v>100</v>
      </c>
      <c r="AX782" s="7">
        <v>0.41909600000000002</v>
      </c>
      <c r="AY782" s="7">
        <v>0.54459800000000003</v>
      </c>
      <c r="AZ782" s="7">
        <v>41.909632000000002</v>
      </c>
      <c r="BA782" s="7">
        <v>100</v>
      </c>
      <c r="BB782" s="4" t="s">
        <v>124</v>
      </c>
      <c r="BC782" s="4" t="s">
        <v>124</v>
      </c>
      <c r="BD782" s="4" t="s">
        <v>124</v>
      </c>
      <c r="BE782" s="4" t="s">
        <v>124</v>
      </c>
      <c r="BF782" s="4" t="s">
        <v>124</v>
      </c>
      <c r="BG782" s="4" t="s">
        <v>124</v>
      </c>
      <c r="BH782" s="7">
        <v>0</v>
      </c>
      <c r="BI782" s="7">
        <v>0.99368400000000001</v>
      </c>
      <c r="BJ782" s="7">
        <v>1</v>
      </c>
      <c r="BK782" s="7">
        <v>0.99175800000000003</v>
      </c>
      <c r="BL782" s="7">
        <v>0.99369700000000005</v>
      </c>
      <c r="BM782" s="7">
        <v>1</v>
      </c>
      <c r="BN782" s="7">
        <v>0.99178100000000002</v>
      </c>
      <c r="BO782" s="7">
        <v>0.99404800000000004</v>
      </c>
      <c r="BP782" s="7">
        <v>1</v>
      </c>
      <c r="BQ782" s="7">
        <v>0.99264699999999995</v>
      </c>
      <c r="BR782" s="7">
        <v>7.9832E-2</v>
      </c>
      <c r="BS782" s="7">
        <v>44.033613000000003</v>
      </c>
      <c r="BT782" s="7">
        <v>50</v>
      </c>
      <c r="BU782" s="7">
        <v>0.10909099999999999</v>
      </c>
      <c r="BV782" s="7">
        <v>38.181818</v>
      </c>
      <c r="BW782" s="7">
        <v>50</v>
      </c>
      <c r="BX782" s="4" t="s">
        <v>124</v>
      </c>
      <c r="BY782" s="4" t="s">
        <v>124</v>
      </c>
      <c r="BZ782" s="4" t="s">
        <v>124</v>
      </c>
      <c r="CA782" s="4" t="s">
        <v>124</v>
      </c>
      <c r="CB782" s="4" t="s">
        <v>124</v>
      </c>
      <c r="CC782" s="4" t="s">
        <v>124</v>
      </c>
      <c r="CD782" s="7">
        <v>0.95104900000000003</v>
      </c>
      <c r="CE782" s="7">
        <v>50</v>
      </c>
      <c r="CF782" s="7">
        <v>50</v>
      </c>
      <c r="CG782" s="4" t="s">
        <v>124</v>
      </c>
      <c r="CH782" s="4" t="s">
        <v>124</v>
      </c>
      <c r="CI782" s="4" t="s">
        <v>124</v>
      </c>
      <c r="CJ782" s="4" t="s">
        <v>124</v>
      </c>
      <c r="CK782" s="4" t="s">
        <v>124</v>
      </c>
      <c r="CL782" s="4" t="s">
        <v>124</v>
      </c>
      <c r="CM782" s="4" t="s">
        <v>124</v>
      </c>
      <c r="CN782" s="4" t="s">
        <v>124</v>
      </c>
      <c r="CO782" s="4" t="s">
        <v>124</v>
      </c>
      <c r="CP782" s="4" t="s">
        <v>124</v>
      </c>
      <c r="CQ782" s="7">
        <v>0.378882</v>
      </c>
      <c r="CR782" s="7">
        <v>1</v>
      </c>
      <c r="CS782" s="7">
        <v>25.258799</v>
      </c>
      <c r="CT782" s="7">
        <v>50</v>
      </c>
      <c r="CU782" s="4" t="s">
        <v>124</v>
      </c>
      <c r="CV782" s="4" t="s">
        <v>124</v>
      </c>
      <c r="CW782" s="4" t="s">
        <v>124</v>
      </c>
      <c r="CX782" s="4" t="s">
        <v>124</v>
      </c>
      <c r="CY782" s="4" t="s">
        <v>124</v>
      </c>
      <c r="CZ782" s="4" t="s">
        <v>124</v>
      </c>
      <c r="DA782" s="7">
        <v>15.314097</v>
      </c>
      <c r="DB782" s="7">
        <v>17.400950000000002</v>
      </c>
      <c r="DC782" s="7">
        <v>16.332519999999999</v>
      </c>
      <c r="DD782" s="4" t="s">
        <v>124</v>
      </c>
      <c r="DE782" s="7">
        <v>0</v>
      </c>
      <c r="DF782" s="6"/>
      <c r="DG782" s="6"/>
      <c r="DH782" s="6"/>
      <c r="DI782" s="6"/>
      <c r="DJ782" s="7">
        <v>0</v>
      </c>
      <c r="DK782" s="7">
        <v>0</v>
      </c>
      <c r="DL782" s="7">
        <v>0</v>
      </c>
      <c r="DM782" s="7">
        <v>0</v>
      </c>
      <c r="DN782" s="7">
        <v>0</v>
      </c>
      <c r="DO782" s="7">
        <v>0</v>
      </c>
      <c r="DP782" s="6"/>
      <c r="DQ782" s="4" t="s">
        <v>125</v>
      </c>
    </row>
    <row r="783" spans="1:121" ht="20" customHeight="1" x14ac:dyDescent="0.15">
      <c r="A783" s="5">
        <v>2018</v>
      </c>
      <c r="B783" s="3" t="s">
        <v>154</v>
      </c>
      <c r="C783" s="4" t="str">
        <f t="shared" si="241"/>
        <v>1080011</v>
      </c>
      <c r="D783" s="4" t="s">
        <v>938</v>
      </c>
      <c r="E783" s="4" t="str">
        <f>"1080311"</f>
        <v>1080311</v>
      </c>
      <c r="F783" s="4" t="s">
        <v>327</v>
      </c>
      <c r="G783" s="4" t="s">
        <v>328</v>
      </c>
      <c r="H783" s="7">
        <v>2</v>
      </c>
      <c r="I783" s="4" t="s">
        <v>329</v>
      </c>
      <c r="J783" s="4" t="s">
        <v>330</v>
      </c>
      <c r="K783" s="7">
        <v>95.185185000000004</v>
      </c>
      <c r="L783" s="7">
        <v>100</v>
      </c>
      <c r="M783" s="7">
        <v>95.185185000000004</v>
      </c>
      <c r="N783" s="4" t="s">
        <v>124</v>
      </c>
      <c r="O783" s="4" t="s">
        <v>124</v>
      </c>
      <c r="P783" s="4" t="s">
        <v>124</v>
      </c>
      <c r="Q783" s="4" t="s">
        <v>124</v>
      </c>
      <c r="R783" s="4" t="s">
        <v>124</v>
      </c>
      <c r="S783" s="4" t="s">
        <v>124</v>
      </c>
      <c r="T783" s="4" t="s">
        <v>124</v>
      </c>
      <c r="U783" s="4" t="s">
        <v>124</v>
      </c>
      <c r="V783" s="4" t="s">
        <v>124</v>
      </c>
      <c r="W783" s="4" t="s">
        <v>124</v>
      </c>
      <c r="X783" s="4" t="s">
        <v>124</v>
      </c>
      <c r="Y783" s="4" t="s">
        <v>124</v>
      </c>
      <c r="Z783" s="4" t="s">
        <v>124</v>
      </c>
      <c r="AA783" s="4" t="s">
        <v>124</v>
      </c>
      <c r="AB783" s="4" t="s">
        <v>124</v>
      </c>
      <c r="AC783" s="4" t="s">
        <v>124</v>
      </c>
      <c r="AD783" s="4" t="s">
        <v>124</v>
      </c>
      <c r="AE783" s="4" t="s">
        <v>124</v>
      </c>
      <c r="AF783" s="4" t="s">
        <v>124</v>
      </c>
      <c r="AG783" s="4" t="s">
        <v>124</v>
      </c>
      <c r="AH783" s="4" t="s">
        <v>124</v>
      </c>
      <c r="AI783" s="4" t="s">
        <v>124</v>
      </c>
      <c r="AJ783" s="4" t="s">
        <v>124</v>
      </c>
      <c r="AK783" s="4" t="s">
        <v>124</v>
      </c>
      <c r="AL783" s="4" t="s">
        <v>124</v>
      </c>
      <c r="AM783" s="4" t="s">
        <v>124</v>
      </c>
      <c r="AN783" s="4" t="s">
        <v>124</v>
      </c>
      <c r="AO783" s="4" t="s">
        <v>124</v>
      </c>
      <c r="AP783" s="4" t="s">
        <v>124</v>
      </c>
      <c r="AQ783" s="4" t="s">
        <v>124</v>
      </c>
      <c r="AR783" s="4" t="s">
        <v>124</v>
      </c>
      <c r="AS783" s="4" t="s">
        <v>124</v>
      </c>
      <c r="AT783" s="4" t="s">
        <v>124</v>
      </c>
      <c r="AU783" s="4" t="s">
        <v>124</v>
      </c>
      <c r="AV783" s="4" t="s">
        <v>124</v>
      </c>
      <c r="AW783" s="4" t="s">
        <v>124</v>
      </c>
      <c r="AX783" s="4" t="s">
        <v>124</v>
      </c>
      <c r="AY783" s="4" t="s">
        <v>124</v>
      </c>
      <c r="AZ783" s="4" t="s">
        <v>124</v>
      </c>
      <c r="BA783" s="4" t="s">
        <v>124</v>
      </c>
      <c r="BB783" s="4" t="s">
        <v>124</v>
      </c>
      <c r="BC783" s="4" t="s">
        <v>124</v>
      </c>
      <c r="BD783" s="4" t="s">
        <v>124</v>
      </c>
      <c r="BE783" s="4" t="s">
        <v>124</v>
      </c>
      <c r="BF783" s="4" t="s">
        <v>124</v>
      </c>
      <c r="BG783" s="4" t="s">
        <v>124</v>
      </c>
      <c r="BH783" s="4" t="s">
        <v>124</v>
      </c>
      <c r="BI783" s="4" t="s">
        <v>124</v>
      </c>
      <c r="BJ783" s="4" t="s">
        <v>124</v>
      </c>
      <c r="BK783" s="4" t="s">
        <v>124</v>
      </c>
      <c r="BL783" s="4" t="s">
        <v>124</v>
      </c>
      <c r="BM783" s="4" t="s">
        <v>124</v>
      </c>
      <c r="BN783" s="4" t="s">
        <v>124</v>
      </c>
      <c r="BO783" s="4" t="s">
        <v>124</v>
      </c>
      <c r="BP783" s="4" t="s">
        <v>124</v>
      </c>
      <c r="BQ783" s="4" t="s">
        <v>124</v>
      </c>
      <c r="BR783" s="7">
        <v>2.0289999999999999E-2</v>
      </c>
      <c r="BS783" s="7">
        <v>50</v>
      </c>
      <c r="BT783" s="7">
        <v>50</v>
      </c>
      <c r="BU783" s="7">
        <v>7.4074000000000001E-2</v>
      </c>
      <c r="BV783" s="7">
        <v>45.185184999999997</v>
      </c>
      <c r="BW783" s="7">
        <v>50</v>
      </c>
      <c r="BX783" s="4" t="s">
        <v>124</v>
      </c>
      <c r="BY783" s="4" t="s">
        <v>124</v>
      </c>
      <c r="BZ783" s="4" t="s">
        <v>124</v>
      </c>
      <c r="CA783" s="4" t="s">
        <v>124</v>
      </c>
      <c r="CB783" s="4" t="s">
        <v>124</v>
      </c>
      <c r="CC783" s="4" t="s">
        <v>124</v>
      </c>
      <c r="CD783" s="4" t="s">
        <v>124</v>
      </c>
      <c r="CE783" s="4" t="s">
        <v>124</v>
      </c>
      <c r="CF783" s="4" t="s">
        <v>124</v>
      </c>
      <c r="CG783" s="4" t="s">
        <v>124</v>
      </c>
      <c r="CH783" s="4" t="s">
        <v>124</v>
      </c>
      <c r="CI783" s="4" t="s">
        <v>124</v>
      </c>
      <c r="CJ783" s="4" t="s">
        <v>124</v>
      </c>
      <c r="CK783" s="4" t="s">
        <v>124</v>
      </c>
      <c r="CL783" s="4" t="s">
        <v>124</v>
      </c>
      <c r="CM783" s="4" t="s">
        <v>124</v>
      </c>
      <c r="CN783" s="4" t="s">
        <v>124</v>
      </c>
      <c r="CO783" s="4" t="s">
        <v>124</v>
      </c>
      <c r="CP783" s="4" t="s">
        <v>124</v>
      </c>
      <c r="CQ783" s="4" t="s">
        <v>124</v>
      </c>
      <c r="CR783" s="4" t="s">
        <v>124</v>
      </c>
      <c r="CS783" s="4" t="s">
        <v>124</v>
      </c>
      <c r="CT783" s="4" t="s">
        <v>124</v>
      </c>
      <c r="CU783" s="4" t="s">
        <v>124</v>
      </c>
      <c r="CV783" s="4" t="s">
        <v>124</v>
      </c>
      <c r="CW783" s="4" t="s">
        <v>124</v>
      </c>
      <c r="CX783" s="4" t="s">
        <v>124</v>
      </c>
      <c r="CY783" s="4" t="s">
        <v>124</v>
      </c>
      <c r="CZ783" s="4" t="s">
        <v>124</v>
      </c>
      <c r="DA783" s="4" t="s">
        <v>124</v>
      </c>
      <c r="DB783" s="4" t="s">
        <v>124</v>
      </c>
      <c r="DC783" s="4" t="s">
        <v>124</v>
      </c>
      <c r="DD783" s="4" t="s">
        <v>124</v>
      </c>
      <c r="DE783" s="4" t="s">
        <v>124</v>
      </c>
      <c r="DF783" s="6"/>
      <c r="DG783" s="6"/>
      <c r="DH783" s="6"/>
      <c r="DI783" s="6"/>
      <c r="DJ783" s="4" t="s">
        <v>124</v>
      </c>
      <c r="DK783" s="4" t="s">
        <v>124</v>
      </c>
      <c r="DL783" s="4" t="s">
        <v>124</v>
      </c>
      <c r="DM783" s="4" t="s">
        <v>124</v>
      </c>
      <c r="DN783" s="4" t="s">
        <v>124</v>
      </c>
      <c r="DO783" s="4" t="s">
        <v>124</v>
      </c>
      <c r="DP783" s="6"/>
      <c r="DQ783" s="4" t="s">
        <v>125</v>
      </c>
    </row>
    <row r="784" spans="1:121" ht="20" customHeight="1" x14ac:dyDescent="0.15">
      <c r="A784" s="5">
        <v>2018</v>
      </c>
      <c r="B784" s="3" t="s">
        <v>297</v>
      </c>
      <c r="C784" s="4" t="str">
        <f t="shared" si="169"/>
        <v>1090011</v>
      </c>
      <c r="D784" s="4" t="s">
        <v>939</v>
      </c>
      <c r="E784" s="4" t="str">
        <f>"1090111"</f>
        <v>1090111</v>
      </c>
      <c r="F784" s="4" t="s">
        <v>327</v>
      </c>
      <c r="G784" s="4" t="s">
        <v>328</v>
      </c>
      <c r="H784" s="7">
        <v>3</v>
      </c>
      <c r="I784" s="4" t="s">
        <v>329</v>
      </c>
      <c r="J784" s="4" t="s">
        <v>330</v>
      </c>
      <c r="K784" s="7">
        <v>435.95793900000001</v>
      </c>
      <c r="L784" s="7">
        <v>500</v>
      </c>
      <c r="M784" s="7">
        <v>87.191587999999996</v>
      </c>
      <c r="N784" s="7">
        <v>1</v>
      </c>
      <c r="O784" s="7">
        <v>0</v>
      </c>
      <c r="P784" s="7">
        <v>72.944334999999995</v>
      </c>
      <c r="Q784" s="7">
        <v>97.259113999999997</v>
      </c>
      <c r="R784" s="7">
        <v>100</v>
      </c>
      <c r="S784" s="7">
        <v>68.018280000000004</v>
      </c>
      <c r="T784" s="7">
        <v>75</v>
      </c>
      <c r="U784" s="7">
        <v>90.691040000000001</v>
      </c>
      <c r="V784" s="7">
        <v>100</v>
      </c>
      <c r="W784" s="7">
        <v>67.381789999999995</v>
      </c>
      <c r="X784" s="7">
        <v>89.842387000000002</v>
      </c>
      <c r="Y784" s="7">
        <v>100</v>
      </c>
      <c r="Z784" s="7">
        <v>73.825031999999993</v>
      </c>
      <c r="AA784" s="7">
        <v>63.319746000000002</v>
      </c>
      <c r="AB784" s="7">
        <v>84.426328999999996</v>
      </c>
      <c r="AC784" s="7">
        <v>100</v>
      </c>
      <c r="AD784" s="4" t="s">
        <v>124</v>
      </c>
      <c r="AE784" s="4" t="s">
        <v>124</v>
      </c>
      <c r="AF784" s="4" t="s">
        <v>124</v>
      </c>
      <c r="AG784" s="4" t="s">
        <v>124</v>
      </c>
      <c r="AH784" s="4" t="s">
        <v>124</v>
      </c>
      <c r="AI784" s="4" t="s">
        <v>124</v>
      </c>
      <c r="AJ784" s="4" t="s">
        <v>124</v>
      </c>
      <c r="AK784" s="7">
        <v>6.98</v>
      </c>
      <c r="AL784" s="7">
        <v>10.5</v>
      </c>
      <c r="AM784" s="4" t="s">
        <v>124</v>
      </c>
      <c r="AN784" s="4" t="s">
        <v>124</v>
      </c>
      <c r="AO784" s="4" t="s">
        <v>124</v>
      </c>
      <c r="AP784" s="4" t="s">
        <v>124</v>
      </c>
      <c r="AQ784" s="4" t="s">
        <v>124</v>
      </c>
      <c r="AR784" s="4" t="s">
        <v>124</v>
      </c>
      <c r="AS784" s="4" t="s">
        <v>124</v>
      </c>
      <c r="AT784" s="4" t="s">
        <v>124</v>
      </c>
      <c r="AU784" s="4" t="s">
        <v>124</v>
      </c>
      <c r="AV784" s="4" t="s">
        <v>124</v>
      </c>
      <c r="AW784" s="4" t="s">
        <v>124</v>
      </c>
      <c r="AX784" s="4" t="s">
        <v>124</v>
      </c>
      <c r="AY784" s="4" t="s">
        <v>124</v>
      </c>
      <c r="AZ784" s="4" t="s">
        <v>124</v>
      </c>
      <c r="BA784" s="4" t="s">
        <v>124</v>
      </c>
      <c r="BB784" s="4" t="s">
        <v>124</v>
      </c>
      <c r="BC784" s="4" t="s">
        <v>124</v>
      </c>
      <c r="BD784" s="4" t="s">
        <v>124</v>
      </c>
      <c r="BE784" s="4" t="s">
        <v>124</v>
      </c>
      <c r="BF784" s="4" t="s">
        <v>124</v>
      </c>
      <c r="BG784" s="4" t="s">
        <v>124</v>
      </c>
      <c r="BH784" s="7">
        <v>0</v>
      </c>
      <c r="BI784" s="7">
        <v>1</v>
      </c>
      <c r="BJ784" s="7">
        <v>1</v>
      </c>
      <c r="BK784" s="7">
        <v>1</v>
      </c>
      <c r="BL784" s="7">
        <v>1</v>
      </c>
      <c r="BM784" s="7">
        <v>1</v>
      </c>
      <c r="BN784" s="7">
        <v>1</v>
      </c>
      <c r="BO784" s="4" t="s">
        <v>124</v>
      </c>
      <c r="BP784" s="4" t="s">
        <v>124</v>
      </c>
      <c r="BQ784" s="4" t="s">
        <v>124</v>
      </c>
      <c r="BR784" s="7">
        <v>9.4463000000000005E-2</v>
      </c>
      <c r="BS784" s="7">
        <v>41.107492000000001</v>
      </c>
      <c r="BT784" s="7">
        <v>50</v>
      </c>
      <c r="BU784" s="7">
        <v>0.13684199999999999</v>
      </c>
      <c r="BV784" s="7">
        <v>32.631579000000002</v>
      </c>
      <c r="BW784" s="7">
        <v>50</v>
      </c>
      <c r="BX784" s="4" t="s">
        <v>124</v>
      </c>
      <c r="BY784" s="4" t="s">
        <v>124</v>
      </c>
      <c r="BZ784" s="4" t="s">
        <v>124</v>
      </c>
      <c r="CA784" s="4" t="s">
        <v>124</v>
      </c>
      <c r="CB784" s="4" t="s">
        <v>124</v>
      </c>
      <c r="CC784" s="4" t="s">
        <v>124</v>
      </c>
      <c r="CD784" s="4" t="s">
        <v>124</v>
      </c>
      <c r="CE784" s="4" t="s">
        <v>124</v>
      </c>
      <c r="CF784" s="4" t="s">
        <v>124</v>
      </c>
      <c r="CG784" s="4" t="s">
        <v>124</v>
      </c>
      <c r="CH784" s="4" t="s">
        <v>124</v>
      </c>
      <c r="CI784" s="4" t="s">
        <v>124</v>
      </c>
      <c r="CJ784" s="4" t="s">
        <v>124</v>
      </c>
      <c r="CK784" s="4" t="s">
        <v>124</v>
      </c>
      <c r="CL784" s="4" t="s">
        <v>124</v>
      </c>
      <c r="CM784" s="4" t="s">
        <v>124</v>
      </c>
      <c r="CN784" s="4" t="s">
        <v>124</v>
      </c>
      <c r="CO784" s="4" t="s">
        <v>124</v>
      </c>
      <c r="CP784" s="4" t="s">
        <v>124</v>
      </c>
      <c r="CQ784" s="4" t="s">
        <v>124</v>
      </c>
      <c r="CR784" s="4" t="s">
        <v>124</v>
      </c>
      <c r="CS784" s="4" t="s">
        <v>124</v>
      </c>
      <c r="CT784" s="4" t="s">
        <v>124</v>
      </c>
      <c r="CU784" s="4" t="s">
        <v>124</v>
      </c>
      <c r="CV784" s="4" t="s">
        <v>124</v>
      </c>
      <c r="CW784" s="4" t="s">
        <v>124</v>
      </c>
      <c r="CX784" s="4" t="s">
        <v>124</v>
      </c>
      <c r="CY784" s="4" t="s">
        <v>124</v>
      </c>
      <c r="CZ784" s="4" t="s">
        <v>124</v>
      </c>
      <c r="DA784" s="7">
        <v>15.314097</v>
      </c>
      <c r="DB784" s="7">
        <v>17.400950000000002</v>
      </c>
      <c r="DC784" s="7">
        <v>16.332519999999999</v>
      </c>
      <c r="DD784" s="4" t="s">
        <v>124</v>
      </c>
      <c r="DE784" s="7">
        <v>0</v>
      </c>
      <c r="DF784" s="6"/>
      <c r="DG784" s="6"/>
      <c r="DH784" s="4" t="s">
        <v>331</v>
      </c>
      <c r="DI784" s="4" t="s">
        <v>332</v>
      </c>
      <c r="DJ784" s="7">
        <v>1</v>
      </c>
      <c r="DK784" s="7">
        <v>0</v>
      </c>
      <c r="DL784" s="7">
        <v>0</v>
      </c>
      <c r="DM784" s="7">
        <v>0</v>
      </c>
      <c r="DN784" s="7">
        <v>0</v>
      </c>
      <c r="DO784" s="7">
        <v>0</v>
      </c>
      <c r="DP784" s="6"/>
      <c r="DQ784" s="4" t="s">
        <v>125</v>
      </c>
    </row>
    <row r="785" spans="1:121" ht="20" customHeight="1" x14ac:dyDescent="0.15">
      <c r="A785" s="5">
        <v>2018</v>
      </c>
      <c r="B785" s="3" t="s">
        <v>297</v>
      </c>
      <c r="C785" s="4" t="str">
        <f t="shared" ref="C785:C788" si="242">"1090011"</f>
        <v>1090011</v>
      </c>
      <c r="D785" s="4" t="s">
        <v>940</v>
      </c>
      <c r="E785" s="4" t="str">
        <f>"1095111"</f>
        <v>1095111</v>
      </c>
      <c r="F785" s="4" t="s">
        <v>327</v>
      </c>
      <c r="G785" s="7">
        <v>6</v>
      </c>
      <c r="H785" s="7">
        <v>8</v>
      </c>
      <c r="I785" s="4" t="s">
        <v>335</v>
      </c>
      <c r="J785" s="4" t="s">
        <v>330</v>
      </c>
      <c r="K785" s="7">
        <v>638.82588899999996</v>
      </c>
      <c r="L785" s="7">
        <v>900</v>
      </c>
      <c r="M785" s="7">
        <v>70.980654000000001</v>
      </c>
      <c r="N785" s="7">
        <v>2</v>
      </c>
      <c r="O785" s="7">
        <v>0</v>
      </c>
      <c r="P785" s="7">
        <v>70.623203000000004</v>
      </c>
      <c r="Q785" s="7">
        <v>47.082135000000001</v>
      </c>
      <c r="R785" s="7">
        <v>50</v>
      </c>
      <c r="S785" s="7">
        <v>65.905676</v>
      </c>
      <c r="T785" s="7">
        <v>75</v>
      </c>
      <c r="U785" s="7">
        <v>43.937117999999998</v>
      </c>
      <c r="V785" s="7">
        <v>50</v>
      </c>
      <c r="W785" s="7">
        <v>61.423239000000002</v>
      </c>
      <c r="X785" s="7">
        <v>40.948825999999997</v>
      </c>
      <c r="Y785" s="7">
        <v>50</v>
      </c>
      <c r="Z785" s="7">
        <v>69.476247999999998</v>
      </c>
      <c r="AA785" s="7">
        <v>56.283605999999999</v>
      </c>
      <c r="AB785" s="7">
        <v>37.522404000000002</v>
      </c>
      <c r="AC785" s="7">
        <v>50</v>
      </c>
      <c r="AD785" s="7">
        <v>60.835543999999999</v>
      </c>
      <c r="AE785" s="7">
        <v>40.557029</v>
      </c>
      <c r="AF785" s="7">
        <v>50</v>
      </c>
      <c r="AG785" s="7">
        <v>57.910887000000002</v>
      </c>
      <c r="AH785" s="7">
        <v>64.720534999999998</v>
      </c>
      <c r="AI785" s="7">
        <v>38.607258000000002</v>
      </c>
      <c r="AJ785" s="7">
        <v>50</v>
      </c>
      <c r="AK785" s="7">
        <v>9.09</v>
      </c>
      <c r="AL785" s="7">
        <v>13.19</v>
      </c>
      <c r="AM785" s="7">
        <v>6.8</v>
      </c>
      <c r="AN785" s="7">
        <v>0.59692900000000004</v>
      </c>
      <c r="AO785" s="7">
        <v>59.692886000000001</v>
      </c>
      <c r="AP785" s="7">
        <v>100</v>
      </c>
      <c r="AQ785" s="7">
        <v>0.542794</v>
      </c>
      <c r="AR785" s="7">
        <v>54.279404</v>
      </c>
      <c r="AS785" s="7">
        <v>100</v>
      </c>
      <c r="AT785" s="7">
        <v>0.62788999999999995</v>
      </c>
      <c r="AU785" s="7">
        <v>0.549821</v>
      </c>
      <c r="AV785" s="7">
        <v>62.788995999999997</v>
      </c>
      <c r="AW785" s="7">
        <v>100</v>
      </c>
      <c r="AX785" s="7">
        <v>0.52804399999999996</v>
      </c>
      <c r="AY785" s="7">
        <v>0.56511599999999995</v>
      </c>
      <c r="AZ785" s="7">
        <v>52.804392999999997</v>
      </c>
      <c r="BA785" s="7">
        <v>100</v>
      </c>
      <c r="BB785" s="4" t="s">
        <v>124</v>
      </c>
      <c r="BC785" s="4" t="s">
        <v>124</v>
      </c>
      <c r="BD785" s="4" t="s">
        <v>124</v>
      </c>
      <c r="BE785" s="4" t="s">
        <v>124</v>
      </c>
      <c r="BF785" s="4" t="s">
        <v>124</v>
      </c>
      <c r="BG785" s="4" t="s">
        <v>124</v>
      </c>
      <c r="BH785" s="7">
        <v>0</v>
      </c>
      <c r="BI785" s="7">
        <v>0.98039200000000004</v>
      </c>
      <c r="BJ785" s="7">
        <v>0.97492199999999996</v>
      </c>
      <c r="BK785" s="7">
        <v>0.98952899999999999</v>
      </c>
      <c r="BL785" s="7">
        <v>0.98043100000000005</v>
      </c>
      <c r="BM785" s="7">
        <v>0.97187500000000004</v>
      </c>
      <c r="BN785" s="7">
        <v>0.99476399999999998</v>
      </c>
      <c r="BO785" s="7">
        <v>0.97619</v>
      </c>
      <c r="BP785" s="7">
        <v>0.96039600000000003</v>
      </c>
      <c r="BQ785" s="7">
        <v>1</v>
      </c>
      <c r="BR785" s="7">
        <v>8.4149000000000002E-2</v>
      </c>
      <c r="BS785" s="7">
        <v>43.170254</v>
      </c>
      <c r="BT785" s="7">
        <v>50</v>
      </c>
      <c r="BU785" s="7">
        <v>0.11562500000000001</v>
      </c>
      <c r="BV785" s="7">
        <v>36.875</v>
      </c>
      <c r="BW785" s="7">
        <v>50</v>
      </c>
      <c r="BX785" s="4" t="s">
        <v>124</v>
      </c>
      <c r="BY785" s="4" t="s">
        <v>124</v>
      </c>
      <c r="BZ785" s="4" t="s">
        <v>124</v>
      </c>
      <c r="CA785" s="4" t="s">
        <v>124</v>
      </c>
      <c r="CB785" s="4" t="s">
        <v>124</v>
      </c>
      <c r="CC785" s="4" t="s">
        <v>124</v>
      </c>
      <c r="CD785" s="7">
        <v>0.93548399999999998</v>
      </c>
      <c r="CE785" s="7">
        <v>49.759779999999999</v>
      </c>
      <c r="CF785" s="7">
        <v>50</v>
      </c>
      <c r="CG785" s="4" t="s">
        <v>124</v>
      </c>
      <c r="CH785" s="4" t="s">
        <v>124</v>
      </c>
      <c r="CI785" s="4" t="s">
        <v>124</v>
      </c>
      <c r="CJ785" s="4" t="s">
        <v>124</v>
      </c>
      <c r="CK785" s="4" t="s">
        <v>124</v>
      </c>
      <c r="CL785" s="4" t="s">
        <v>124</v>
      </c>
      <c r="CM785" s="4" t="s">
        <v>124</v>
      </c>
      <c r="CN785" s="4" t="s">
        <v>124</v>
      </c>
      <c r="CO785" s="4" t="s">
        <v>124</v>
      </c>
      <c r="CP785" s="4" t="s">
        <v>124</v>
      </c>
      <c r="CQ785" s="7">
        <v>0.46200600000000003</v>
      </c>
      <c r="CR785" s="7">
        <v>0.96198799999999995</v>
      </c>
      <c r="CS785" s="7">
        <v>30.800405000000001</v>
      </c>
      <c r="CT785" s="7">
        <v>50</v>
      </c>
      <c r="CU785" s="4" t="s">
        <v>124</v>
      </c>
      <c r="CV785" s="4" t="s">
        <v>124</v>
      </c>
      <c r="CW785" s="4" t="s">
        <v>124</v>
      </c>
      <c r="CX785" s="4" t="s">
        <v>124</v>
      </c>
      <c r="CY785" s="4" t="s">
        <v>124</v>
      </c>
      <c r="CZ785" s="4" t="s">
        <v>124</v>
      </c>
      <c r="DA785" s="7">
        <v>15.314097</v>
      </c>
      <c r="DB785" s="7">
        <v>17.400950000000002</v>
      </c>
      <c r="DC785" s="7">
        <v>16.332519999999999</v>
      </c>
      <c r="DD785" s="4" t="s">
        <v>124</v>
      </c>
      <c r="DE785" s="7">
        <v>0</v>
      </c>
      <c r="DF785" s="6"/>
      <c r="DG785" s="6"/>
      <c r="DH785" s="6"/>
      <c r="DI785" s="6"/>
      <c r="DJ785" s="7">
        <v>0</v>
      </c>
      <c r="DK785" s="7">
        <v>0</v>
      </c>
      <c r="DL785" s="7">
        <v>0</v>
      </c>
      <c r="DM785" s="7">
        <v>0</v>
      </c>
      <c r="DN785" s="7">
        <v>0</v>
      </c>
      <c r="DO785" s="7">
        <v>0</v>
      </c>
      <c r="DP785" s="6"/>
      <c r="DQ785" s="4" t="s">
        <v>125</v>
      </c>
    </row>
    <row r="786" spans="1:121" ht="20" customHeight="1" x14ac:dyDescent="0.15">
      <c r="A786" s="5">
        <v>2018</v>
      </c>
      <c r="B786" s="3" t="s">
        <v>297</v>
      </c>
      <c r="C786" s="4" t="str">
        <f>"1090011"</f>
        <v>1090011</v>
      </c>
      <c r="D786" s="4" t="s">
        <v>941</v>
      </c>
      <c r="E786" s="4" t="str">
        <f>"1096111"</f>
        <v>1096111</v>
      </c>
      <c r="F786" s="4" t="s">
        <v>327</v>
      </c>
      <c r="G786" s="7">
        <v>9</v>
      </c>
      <c r="H786" s="7">
        <v>12</v>
      </c>
      <c r="I786" s="6"/>
      <c r="J786" s="4" t="s">
        <v>330</v>
      </c>
      <c r="K786" s="7">
        <v>947.26117599999998</v>
      </c>
      <c r="L786" s="7">
        <v>1450</v>
      </c>
      <c r="M786" s="7">
        <v>65.328356999999997</v>
      </c>
      <c r="N786" s="7">
        <v>3</v>
      </c>
      <c r="O786" s="7">
        <v>0</v>
      </c>
      <c r="P786" s="7">
        <v>52.689605999999998</v>
      </c>
      <c r="Q786" s="7">
        <v>105.379211</v>
      </c>
      <c r="R786" s="7">
        <v>150</v>
      </c>
      <c r="S786" s="7">
        <v>48.338133999999997</v>
      </c>
      <c r="T786" s="7">
        <v>57.452703</v>
      </c>
      <c r="U786" s="7">
        <v>96.676269000000005</v>
      </c>
      <c r="V786" s="7">
        <v>150</v>
      </c>
      <c r="W786" s="7">
        <v>46.369534000000002</v>
      </c>
      <c r="X786" s="7">
        <v>92.739068000000003</v>
      </c>
      <c r="Y786" s="7">
        <v>150</v>
      </c>
      <c r="Z786" s="7">
        <v>49.921171000000001</v>
      </c>
      <c r="AA786" s="7">
        <v>43.124828999999998</v>
      </c>
      <c r="AB786" s="7">
        <v>86.249656999999999</v>
      </c>
      <c r="AC786" s="7">
        <v>150</v>
      </c>
      <c r="AD786" s="7">
        <v>50.625782000000001</v>
      </c>
      <c r="AE786" s="7">
        <v>67.501042999999996</v>
      </c>
      <c r="AF786" s="7">
        <v>100</v>
      </c>
      <c r="AG786" s="7">
        <v>48.508369999999999</v>
      </c>
      <c r="AH786" s="7">
        <v>53.154915000000003</v>
      </c>
      <c r="AI786" s="7">
        <v>64.677825999999996</v>
      </c>
      <c r="AJ786" s="7">
        <v>100</v>
      </c>
      <c r="AK786" s="7">
        <v>9.11</v>
      </c>
      <c r="AL786" s="7">
        <v>6.79</v>
      </c>
      <c r="AM786" s="7">
        <v>4.6399999999999997</v>
      </c>
      <c r="AN786" s="4" t="s">
        <v>124</v>
      </c>
      <c r="AO786" s="4" t="s">
        <v>124</v>
      </c>
      <c r="AP786" s="4" t="s">
        <v>124</v>
      </c>
      <c r="AQ786" s="4" t="s">
        <v>124</v>
      </c>
      <c r="AR786" s="4" t="s">
        <v>124</v>
      </c>
      <c r="AS786" s="4" t="s">
        <v>124</v>
      </c>
      <c r="AT786" s="4" t="s">
        <v>124</v>
      </c>
      <c r="AU786" s="4" t="s">
        <v>124</v>
      </c>
      <c r="AV786" s="4" t="s">
        <v>124</v>
      </c>
      <c r="AW786" s="4" t="s">
        <v>124</v>
      </c>
      <c r="AX786" s="4" t="s">
        <v>124</v>
      </c>
      <c r="AY786" s="4" t="s">
        <v>124</v>
      </c>
      <c r="AZ786" s="4" t="s">
        <v>124</v>
      </c>
      <c r="BA786" s="4" t="s">
        <v>124</v>
      </c>
      <c r="BB786" s="4" t="s">
        <v>124</v>
      </c>
      <c r="BC786" s="4" t="s">
        <v>124</v>
      </c>
      <c r="BD786" s="4" t="s">
        <v>124</v>
      </c>
      <c r="BE786" s="4" t="s">
        <v>124</v>
      </c>
      <c r="BF786" s="4" t="s">
        <v>124</v>
      </c>
      <c r="BG786" s="4" t="s">
        <v>124</v>
      </c>
      <c r="BH786" s="7">
        <v>1</v>
      </c>
      <c r="BI786" s="7">
        <v>0.93604699999999996</v>
      </c>
      <c r="BJ786" s="7">
        <v>0.88541700000000001</v>
      </c>
      <c r="BK786" s="7">
        <v>1</v>
      </c>
      <c r="BL786" s="7">
        <v>0.93604699999999996</v>
      </c>
      <c r="BM786" s="7">
        <v>0.88541700000000001</v>
      </c>
      <c r="BN786" s="7">
        <v>1</v>
      </c>
      <c r="BO786" s="7">
        <v>0.94767400000000002</v>
      </c>
      <c r="BP786" s="7">
        <v>0.92708299999999999</v>
      </c>
      <c r="BQ786" s="7">
        <v>0.97368399999999999</v>
      </c>
      <c r="BR786" s="7">
        <v>0.22479299999999999</v>
      </c>
      <c r="BS786" s="7">
        <v>15.041321999999999</v>
      </c>
      <c r="BT786" s="7">
        <v>50</v>
      </c>
      <c r="BU786" s="7">
        <v>0.30275200000000002</v>
      </c>
      <c r="BV786" s="7">
        <v>0</v>
      </c>
      <c r="BW786" s="7">
        <v>50</v>
      </c>
      <c r="BX786" s="7">
        <v>0.72782899999999995</v>
      </c>
      <c r="BY786" s="7">
        <v>48.521915999999997</v>
      </c>
      <c r="BZ786" s="7">
        <v>50</v>
      </c>
      <c r="CA786" s="7">
        <v>0.23853199999999999</v>
      </c>
      <c r="CB786" s="7">
        <v>15.902141</v>
      </c>
      <c r="CC786" s="7">
        <v>50</v>
      </c>
      <c r="CD786" s="7">
        <v>0.92682900000000001</v>
      </c>
      <c r="CE786" s="7">
        <v>49.299429000000003</v>
      </c>
      <c r="CF786" s="7">
        <v>50</v>
      </c>
      <c r="CG786" s="7">
        <v>0.84795299999999996</v>
      </c>
      <c r="CH786" s="7">
        <v>90.207789000000005</v>
      </c>
      <c r="CI786" s="7">
        <v>100</v>
      </c>
      <c r="CJ786" s="7">
        <v>1</v>
      </c>
      <c r="CK786" s="7">
        <v>0.75471699999999997</v>
      </c>
      <c r="CL786" s="7">
        <v>80.289040999999997</v>
      </c>
      <c r="CM786" s="7">
        <v>100</v>
      </c>
      <c r="CN786" s="7">
        <v>0.52287600000000001</v>
      </c>
      <c r="CO786" s="7">
        <v>69.716775999999996</v>
      </c>
      <c r="CP786" s="7">
        <v>100</v>
      </c>
      <c r="CQ786" s="7">
        <v>0.33333299999999999</v>
      </c>
      <c r="CR786" s="7">
        <v>1.1612899999999999</v>
      </c>
      <c r="CS786" s="7">
        <v>22.222221999999999</v>
      </c>
      <c r="CT786" s="7">
        <v>50</v>
      </c>
      <c r="CU786" s="7">
        <v>0.51405000000000001</v>
      </c>
      <c r="CV786" s="7">
        <v>42.837465999999999</v>
      </c>
      <c r="CW786" s="7">
        <v>50</v>
      </c>
      <c r="CX786" s="7">
        <v>0.75471699999999997</v>
      </c>
      <c r="CY786" s="7">
        <v>0.94</v>
      </c>
      <c r="CZ786" s="7">
        <v>0.185283</v>
      </c>
      <c r="DA786" s="7">
        <v>15.314097</v>
      </c>
      <c r="DB786" s="7">
        <v>17.400950000000002</v>
      </c>
      <c r="DC786" s="7">
        <v>16.332519999999999</v>
      </c>
      <c r="DD786" s="7">
        <v>7.9891730000000001</v>
      </c>
      <c r="DE786" s="7">
        <v>1</v>
      </c>
      <c r="DF786" s="6"/>
      <c r="DG786" s="6"/>
      <c r="DH786" s="6"/>
      <c r="DI786" s="6"/>
      <c r="DJ786" s="7">
        <v>0</v>
      </c>
      <c r="DK786" s="7">
        <v>0</v>
      </c>
      <c r="DL786" s="7">
        <v>0</v>
      </c>
      <c r="DM786" s="7">
        <v>0</v>
      </c>
      <c r="DN786" s="7">
        <v>0</v>
      </c>
      <c r="DO786" s="7">
        <v>0</v>
      </c>
      <c r="DP786" s="6"/>
      <c r="DQ786" s="4" t="s">
        <v>125</v>
      </c>
    </row>
    <row r="787" spans="1:121" ht="20" customHeight="1" x14ac:dyDescent="0.15">
      <c r="A787" s="5">
        <v>2018</v>
      </c>
      <c r="B787" s="3" t="s">
        <v>297</v>
      </c>
      <c r="C787" s="4" t="str">
        <f t="shared" si="242"/>
        <v>1090011</v>
      </c>
      <c r="D787" s="4" t="s">
        <v>942</v>
      </c>
      <c r="E787" s="4" t="str">
        <f>"1090311"</f>
        <v>1090311</v>
      </c>
      <c r="F787" s="4" t="s">
        <v>327</v>
      </c>
      <c r="G787" s="7">
        <v>4</v>
      </c>
      <c r="H787" s="7">
        <v>5</v>
      </c>
      <c r="I787" s="4" t="s">
        <v>329</v>
      </c>
      <c r="J787" s="4" t="s">
        <v>330</v>
      </c>
      <c r="K787" s="7">
        <v>659.253467</v>
      </c>
      <c r="L787" s="7">
        <v>850</v>
      </c>
      <c r="M787" s="7">
        <v>77.559230999999997</v>
      </c>
      <c r="N787" s="7">
        <v>2</v>
      </c>
      <c r="O787" s="7">
        <v>0</v>
      </c>
      <c r="P787" s="7">
        <v>69.267386000000002</v>
      </c>
      <c r="Q787" s="7">
        <v>46.178257000000002</v>
      </c>
      <c r="R787" s="7">
        <v>50</v>
      </c>
      <c r="S787" s="7">
        <v>64.453688999999997</v>
      </c>
      <c r="T787" s="7">
        <v>75</v>
      </c>
      <c r="U787" s="7">
        <v>42.969126000000003</v>
      </c>
      <c r="V787" s="7">
        <v>50</v>
      </c>
      <c r="W787" s="7">
        <v>67.269478000000007</v>
      </c>
      <c r="X787" s="7">
        <v>44.846319000000001</v>
      </c>
      <c r="Y787" s="7">
        <v>50</v>
      </c>
      <c r="Z787" s="7">
        <v>73.292968999999999</v>
      </c>
      <c r="AA787" s="7">
        <v>63.117693000000003</v>
      </c>
      <c r="AB787" s="7">
        <v>42.078462000000002</v>
      </c>
      <c r="AC787" s="7">
        <v>50</v>
      </c>
      <c r="AD787" s="7">
        <v>66.891914999999997</v>
      </c>
      <c r="AE787" s="7">
        <v>44.594610000000003</v>
      </c>
      <c r="AF787" s="7">
        <v>50</v>
      </c>
      <c r="AG787" s="7">
        <v>62.354567000000003</v>
      </c>
      <c r="AH787" s="7">
        <v>72.660829000000007</v>
      </c>
      <c r="AI787" s="7">
        <v>41.569710999999998</v>
      </c>
      <c r="AJ787" s="7">
        <v>50</v>
      </c>
      <c r="AK787" s="7">
        <v>10.54</v>
      </c>
      <c r="AL787" s="7">
        <v>10.17</v>
      </c>
      <c r="AM787" s="7">
        <v>10.3</v>
      </c>
      <c r="AN787" s="7">
        <v>0.64527699999999999</v>
      </c>
      <c r="AO787" s="7">
        <v>64.527660999999995</v>
      </c>
      <c r="AP787" s="7">
        <v>100</v>
      </c>
      <c r="AQ787" s="7">
        <v>0.67630000000000001</v>
      </c>
      <c r="AR787" s="7">
        <v>67.630018000000007</v>
      </c>
      <c r="AS787" s="7">
        <v>100</v>
      </c>
      <c r="AT787" s="7">
        <v>0.60792900000000005</v>
      </c>
      <c r="AU787" s="7">
        <v>0.69651399999999997</v>
      </c>
      <c r="AV787" s="7">
        <v>60.792910999999997</v>
      </c>
      <c r="AW787" s="7">
        <v>100</v>
      </c>
      <c r="AX787" s="7">
        <v>0.62269699999999994</v>
      </c>
      <c r="AY787" s="7">
        <v>0.749838</v>
      </c>
      <c r="AZ787" s="7">
        <v>62.269700999999998</v>
      </c>
      <c r="BA787" s="7">
        <v>100</v>
      </c>
      <c r="BB787" s="4" t="s">
        <v>124</v>
      </c>
      <c r="BC787" s="4" t="s">
        <v>124</v>
      </c>
      <c r="BD787" s="4" t="s">
        <v>124</v>
      </c>
      <c r="BE787" s="4" t="s">
        <v>124</v>
      </c>
      <c r="BF787" s="4" t="s">
        <v>124</v>
      </c>
      <c r="BG787" s="4" t="s">
        <v>124</v>
      </c>
      <c r="BH787" s="7">
        <v>0</v>
      </c>
      <c r="BI787" s="7">
        <v>1</v>
      </c>
      <c r="BJ787" s="7">
        <v>1</v>
      </c>
      <c r="BK787" s="7">
        <v>1</v>
      </c>
      <c r="BL787" s="7">
        <v>1</v>
      </c>
      <c r="BM787" s="7">
        <v>1</v>
      </c>
      <c r="BN787" s="7">
        <v>1</v>
      </c>
      <c r="BO787" s="7">
        <v>1</v>
      </c>
      <c r="BP787" s="7">
        <v>1</v>
      </c>
      <c r="BQ787" s="7">
        <v>1</v>
      </c>
      <c r="BR787" s="7">
        <v>4.5161E-2</v>
      </c>
      <c r="BS787" s="7">
        <v>50</v>
      </c>
      <c r="BT787" s="7">
        <v>50</v>
      </c>
      <c r="BU787" s="7">
        <v>5.8511000000000001E-2</v>
      </c>
      <c r="BV787" s="7">
        <v>48.297871999999998</v>
      </c>
      <c r="BW787" s="7">
        <v>50</v>
      </c>
      <c r="BX787" s="4" t="s">
        <v>124</v>
      </c>
      <c r="BY787" s="4" t="s">
        <v>124</v>
      </c>
      <c r="BZ787" s="4" t="s">
        <v>124</v>
      </c>
      <c r="CA787" s="4" t="s">
        <v>124</v>
      </c>
      <c r="CB787" s="4" t="s">
        <v>124</v>
      </c>
      <c r="CC787" s="4" t="s">
        <v>124</v>
      </c>
      <c r="CD787" s="4" t="s">
        <v>124</v>
      </c>
      <c r="CE787" s="4" t="s">
        <v>124</v>
      </c>
      <c r="CF787" s="4" t="s">
        <v>124</v>
      </c>
      <c r="CG787" s="4" t="s">
        <v>124</v>
      </c>
      <c r="CH787" s="4" t="s">
        <v>124</v>
      </c>
      <c r="CI787" s="4" t="s">
        <v>124</v>
      </c>
      <c r="CJ787" s="4" t="s">
        <v>124</v>
      </c>
      <c r="CK787" s="4" t="s">
        <v>124</v>
      </c>
      <c r="CL787" s="4" t="s">
        <v>124</v>
      </c>
      <c r="CM787" s="4" t="s">
        <v>124</v>
      </c>
      <c r="CN787" s="4" t="s">
        <v>124</v>
      </c>
      <c r="CO787" s="4" t="s">
        <v>124</v>
      </c>
      <c r="CP787" s="4" t="s">
        <v>124</v>
      </c>
      <c r="CQ787" s="7">
        <v>0.65248200000000001</v>
      </c>
      <c r="CR787" s="7">
        <v>0.98601399999999995</v>
      </c>
      <c r="CS787" s="7">
        <v>43.498818</v>
      </c>
      <c r="CT787" s="7">
        <v>50</v>
      </c>
      <c r="CU787" s="4" t="s">
        <v>124</v>
      </c>
      <c r="CV787" s="4" t="s">
        <v>124</v>
      </c>
      <c r="CW787" s="4" t="s">
        <v>124</v>
      </c>
      <c r="CX787" s="4" t="s">
        <v>124</v>
      </c>
      <c r="CY787" s="4" t="s">
        <v>124</v>
      </c>
      <c r="CZ787" s="4" t="s">
        <v>124</v>
      </c>
      <c r="DA787" s="7">
        <v>15.314097</v>
      </c>
      <c r="DB787" s="7">
        <v>17.400950000000002</v>
      </c>
      <c r="DC787" s="7">
        <v>16.332519999999999</v>
      </c>
      <c r="DD787" s="4" t="s">
        <v>124</v>
      </c>
      <c r="DE787" s="7">
        <v>0</v>
      </c>
      <c r="DF787" s="6"/>
      <c r="DG787" s="6"/>
      <c r="DH787" s="6"/>
      <c r="DI787" s="6"/>
      <c r="DJ787" s="7">
        <v>0</v>
      </c>
      <c r="DK787" s="7">
        <v>0</v>
      </c>
      <c r="DL787" s="7">
        <v>0</v>
      </c>
      <c r="DM787" s="7">
        <v>0</v>
      </c>
      <c r="DN787" s="7">
        <v>0</v>
      </c>
      <c r="DO787" s="7">
        <v>0</v>
      </c>
      <c r="DP787" s="6"/>
      <c r="DQ787" s="4" t="s">
        <v>125</v>
      </c>
    </row>
    <row r="788" spans="1:121" ht="20" customHeight="1" x14ac:dyDescent="0.15">
      <c r="A788" s="5">
        <v>2018</v>
      </c>
      <c r="B788" s="3" t="s">
        <v>297</v>
      </c>
      <c r="C788" s="4" t="str">
        <f t="shared" si="242"/>
        <v>1090011</v>
      </c>
      <c r="D788" s="4" t="s">
        <v>943</v>
      </c>
      <c r="E788" s="4" t="str">
        <f>"1090411"</f>
        <v>1090411</v>
      </c>
      <c r="F788" s="4" t="s">
        <v>327</v>
      </c>
      <c r="G788" s="4" t="s">
        <v>328</v>
      </c>
      <c r="H788" s="7">
        <v>3</v>
      </c>
      <c r="I788" s="4" t="s">
        <v>329</v>
      </c>
      <c r="J788" s="4" t="s">
        <v>330</v>
      </c>
      <c r="K788" s="7">
        <v>404.20425</v>
      </c>
      <c r="L788" s="7">
        <v>500</v>
      </c>
      <c r="M788" s="7">
        <v>80.840850000000003</v>
      </c>
      <c r="N788" s="7">
        <v>2</v>
      </c>
      <c r="O788" s="7">
        <v>0</v>
      </c>
      <c r="P788" s="7">
        <v>66.201702999999995</v>
      </c>
      <c r="Q788" s="7">
        <v>88.268936999999994</v>
      </c>
      <c r="R788" s="7">
        <v>100</v>
      </c>
      <c r="S788" s="7">
        <v>65.068410999999998</v>
      </c>
      <c r="T788" s="4" t="s">
        <v>124</v>
      </c>
      <c r="U788" s="7">
        <v>86.757881999999995</v>
      </c>
      <c r="V788" s="7">
        <v>100</v>
      </c>
      <c r="W788" s="7">
        <v>62.199745</v>
      </c>
      <c r="X788" s="7">
        <v>82.932992999999996</v>
      </c>
      <c r="Y788" s="7">
        <v>100</v>
      </c>
      <c r="Z788" s="4" t="s">
        <v>124</v>
      </c>
      <c r="AA788" s="7">
        <v>60.442708000000003</v>
      </c>
      <c r="AB788" s="7">
        <v>80.590277999999998</v>
      </c>
      <c r="AC788" s="7">
        <v>100</v>
      </c>
      <c r="AD788" s="4" t="s">
        <v>124</v>
      </c>
      <c r="AE788" s="4" t="s">
        <v>124</v>
      </c>
      <c r="AF788" s="4" t="s">
        <v>124</v>
      </c>
      <c r="AG788" s="4" t="s">
        <v>124</v>
      </c>
      <c r="AH788" s="4" t="s">
        <v>124</v>
      </c>
      <c r="AI788" s="4" t="s">
        <v>124</v>
      </c>
      <c r="AJ788" s="4" t="s">
        <v>124</v>
      </c>
      <c r="AK788" s="4" t="s">
        <v>124</v>
      </c>
      <c r="AL788" s="4" t="s">
        <v>124</v>
      </c>
      <c r="AM788" s="4" t="s">
        <v>124</v>
      </c>
      <c r="AN788" s="4" t="s">
        <v>124</v>
      </c>
      <c r="AO788" s="4" t="s">
        <v>124</v>
      </c>
      <c r="AP788" s="4" t="s">
        <v>124</v>
      </c>
      <c r="AQ788" s="4" t="s">
        <v>124</v>
      </c>
      <c r="AR788" s="4" t="s">
        <v>124</v>
      </c>
      <c r="AS788" s="4" t="s">
        <v>124</v>
      </c>
      <c r="AT788" s="4" t="s">
        <v>124</v>
      </c>
      <c r="AU788" s="4" t="s">
        <v>124</v>
      </c>
      <c r="AV788" s="4" t="s">
        <v>124</v>
      </c>
      <c r="AW788" s="4" t="s">
        <v>124</v>
      </c>
      <c r="AX788" s="4" t="s">
        <v>124</v>
      </c>
      <c r="AY788" s="4" t="s">
        <v>124</v>
      </c>
      <c r="AZ788" s="4" t="s">
        <v>124</v>
      </c>
      <c r="BA788" s="4" t="s">
        <v>124</v>
      </c>
      <c r="BB788" s="4" t="s">
        <v>124</v>
      </c>
      <c r="BC788" s="4" t="s">
        <v>124</v>
      </c>
      <c r="BD788" s="4" t="s">
        <v>124</v>
      </c>
      <c r="BE788" s="4" t="s">
        <v>124</v>
      </c>
      <c r="BF788" s="4" t="s">
        <v>124</v>
      </c>
      <c r="BG788" s="4" t="s">
        <v>124</v>
      </c>
      <c r="BH788" s="7">
        <v>0</v>
      </c>
      <c r="BI788" s="7">
        <v>1</v>
      </c>
      <c r="BJ788" s="7">
        <v>1</v>
      </c>
      <c r="BK788" s="4" t="s">
        <v>124</v>
      </c>
      <c r="BL788" s="7">
        <v>1</v>
      </c>
      <c r="BM788" s="7">
        <v>1</v>
      </c>
      <c r="BN788" s="4" t="s">
        <v>124</v>
      </c>
      <c r="BO788" s="4" t="s">
        <v>124</v>
      </c>
      <c r="BP788" s="4" t="s">
        <v>124</v>
      </c>
      <c r="BQ788" s="4" t="s">
        <v>124</v>
      </c>
      <c r="BR788" s="7">
        <v>0.125806</v>
      </c>
      <c r="BS788" s="7">
        <v>34.838709999999999</v>
      </c>
      <c r="BT788" s="7">
        <v>50</v>
      </c>
      <c r="BU788" s="7">
        <v>0.145923</v>
      </c>
      <c r="BV788" s="7">
        <v>30.815450999999999</v>
      </c>
      <c r="BW788" s="7">
        <v>50</v>
      </c>
      <c r="BX788" s="4" t="s">
        <v>124</v>
      </c>
      <c r="BY788" s="4" t="s">
        <v>124</v>
      </c>
      <c r="BZ788" s="4" t="s">
        <v>124</v>
      </c>
      <c r="CA788" s="4" t="s">
        <v>124</v>
      </c>
      <c r="CB788" s="4" t="s">
        <v>124</v>
      </c>
      <c r="CC788" s="4" t="s">
        <v>124</v>
      </c>
      <c r="CD788" s="4" t="s">
        <v>124</v>
      </c>
      <c r="CE788" s="4" t="s">
        <v>124</v>
      </c>
      <c r="CF788" s="4" t="s">
        <v>124</v>
      </c>
      <c r="CG788" s="4" t="s">
        <v>124</v>
      </c>
      <c r="CH788" s="4" t="s">
        <v>124</v>
      </c>
      <c r="CI788" s="4" t="s">
        <v>124</v>
      </c>
      <c r="CJ788" s="4" t="s">
        <v>124</v>
      </c>
      <c r="CK788" s="4" t="s">
        <v>124</v>
      </c>
      <c r="CL788" s="4" t="s">
        <v>124</v>
      </c>
      <c r="CM788" s="4" t="s">
        <v>124</v>
      </c>
      <c r="CN788" s="4" t="s">
        <v>124</v>
      </c>
      <c r="CO788" s="4" t="s">
        <v>124</v>
      </c>
      <c r="CP788" s="4" t="s">
        <v>124</v>
      </c>
      <c r="CQ788" s="4" t="s">
        <v>124</v>
      </c>
      <c r="CR788" s="4" t="s">
        <v>124</v>
      </c>
      <c r="CS788" s="4" t="s">
        <v>124</v>
      </c>
      <c r="CT788" s="4" t="s">
        <v>124</v>
      </c>
      <c r="CU788" s="4" t="s">
        <v>124</v>
      </c>
      <c r="CV788" s="4" t="s">
        <v>124</v>
      </c>
      <c r="CW788" s="4" t="s">
        <v>124</v>
      </c>
      <c r="CX788" s="4" t="s">
        <v>124</v>
      </c>
      <c r="CY788" s="4" t="s">
        <v>124</v>
      </c>
      <c r="CZ788" s="4" t="s">
        <v>124</v>
      </c>
      <c r="DA788" s="7">
        <v>15.314097</v>
      </c>
      <c r="DB788" s="7">
        <v>17.400950000000002</v>
      </c>
      <c r="DC788" s="7">
        <v>16.332519999999999</v>
      </c>
      <c r="DD788" s="4" t="s">
        <v>124</v>
      </c>
      <c r="DE788" s="7">
        <v>0</v>
      </c>
      <c r="DF788" s="6"/>
      <c r="DG788" s="6"/>
      <c r="DH788" s="4" t="s">
        <v>331</v>
      </c>
      <c r="DI788" s="4" t="s">
        <v>944</v>
      </c>
      <c r="DJ788" s="7">
        <v>0</v>
      </c>
      <c r="DK788" s="7">
        <v>0</v>
      </c>
      <c r="DL788" s="7">
        <v>0</v>
      </c>
      <c r="DM788" s="7">
        <v>0</v>
      </c>
      <c r="DN788" s="7">
        <v>0</v>
      </c>
      <c r="DO788" s="7">
        <v>1</v>
      </c>
      <c r="DP788" s="6"/>
      <c r="DQ788" s="4" t="s">
        <v>125</v>
      </c>
    </row>
    <row r="789" spans="1:121" ht="20" customHeight="1" x14ac:dyDescent="0.15">
      <c r="A789" s="5">
        <v>2018</v>
      </c>
      <c r="B789" s="3" t="s">
        <v>298</v>
      </c>
      <c r="C789" s="4" t="str">
        <f t="shared" si="170"/>
        <v>1100011</v>
      </c>
      <c r="D789" s="4" t="s">
        <v>945</v>
      </c>
      <c r="E789" s="4" t="str">
        <f>"1100411"</f>
        <v>1100411</v>
      </c>
      <c r="F789" s="4" t="s">
        <v>327</v>
      </c>
      <c r="G789" s="4" t="s">
        <v>328</v>
      </c>
      <c r="H789" s="7">
        <v>5</v>
      </c>
      <c r="I789" s="4" t="s">
        <v>329</v>
      </c>
      <c r="J789" s="4" t="s">
        <v>330</v>
      </c>
      <c r="K789" s="7">
        <v>639.71643900000004</v>
      </c>
      <c r="L789" s="7">
        <v>950</v>
      </c>
      <c r="M789" s="7">
        <v>67.338572999999997</v>
      </c>
      <c r="N789" s="7">
        <v>3</v>
      </c>
      <c r="O789" s="7">
        <v>0</v>
      </c>
      <c r="P789" s="7">
        <v>75.040386999999996</v>
      </c>
      <c r="Q789" s="7">
        <v>50</v>
      </c>
      <c r="R789" s="7">
        <v>50</v>
      </c>
      <c r="S789" s="7">
        <v>70.437326999999996</v>
      </c>
      <c r="T789" s="7">
        <v>75</v>
      </c>
      <c r="U789" s="7">
        <v>46.958218000000002</v>
      </c>
      <c r="V789" s="7">
        <v>50</v>
      </c>
      <c r="W789" s="7">
        <v>68.377409999999998</v>
      </c>
      <c r="X789" s="7">
        <v>45.584940000000003</v>
      </c>
      <c r="Y789" s="7">
        <v>50</v>
      </c>
      <c r="Z789" s="7">
        <v>73.385493999999994</v>
      </c>
      <c r="AA789" s="7">
        <v>62.382883999999997</v>
      </c>
      <c r="AB789" s="7">
        <v>41.588590000000003</v>
      </c>
      <c r="AC789" s="7">
        <v>50</v>
      </c>
      <c r="AD789" s="7">
        <v>64.708819000000005</v>
      </c>
      <c r="AE789" s="7">
        <v>43.139212999999998</v>
      </c>
      <c r="AF789" s="7">
        <v>50</v>
      </c>
      <c r="AG789" s="7">
        <v>63.207222999999999</v>
      </c>
      <c r="AH789" s="7">
        <v>66.147848999999994</v>
      </c>
      <c r="AI789" s="7">
        <v>42.138148999999999</v>
      </c>
      <c r="AJ789" s="7">
        <v>50</v>
      </c>
      <c r="AK789" s="7">
        <v>4.5599999999999996</v>
      </c>
      <c r="AL789" s="7">
        <v>11</v>
      </c>
      <c r="AM789" s="7">
        <v>2.94</v>
      </c>
      <c r="AN789" s="7">
        <v>0.63103799999999999</v>
      </c>
      <c r="AO789" s="7">
        <v>63.103771999999999</v>
      </c>
      <c r="AP789" s="7">
        <v>100</v>
      </c>
      <c r="AQ789" s="7">
        <v>0.60991600000000001</v>
      </c>
      <c r="AR789" s="7">
        <v>60.991568000000001</v>
      </c>
      <c r="AS789" s="7">
        <v>100</v>
      </c>
      <c r="AT789" s="7">
        <v>0.53808199999999995</v>
      </c>
      <c r="AU789" s="7">
        <v>0.68811599999999995</v>
      </c>
      <c r="AV789" s="7">
        <v>53.808238000000003</v>
      </c>
      <c r="AW789" s="7">
        <v>100</v>
      </c>
      <c r="AX789" s="7">
        <v>0.495842</v>
      </c>
      <c r="AY789" s="7">
        <v>0.67996100000000004</v>
      </c>
      <c r="AZ789" s="7">
        <v>49.584243999999998</v>
      </c>
      <c r="BA789" s="7">
        <v>100</v>
      </c>
      <c r="BB789" s="7">
        <v>0.45711000000000002</v>
      </c>
      <c r="BC789" s="7">
        <v>22.855499999999999</v>
      </c>
      <c r="BD789" s="7">
        <v>50</v>
      </c>
      <c r="BE789" s="7">
        <v>0.34426000000000001</v>
      </c>
      <c r="BF789" s="7">
        <v>17.212979000000001</v>
      </c>
      <c r="BG789" s="7">
        <v>50</v>
      </c>
      <c r="BH789" s="7">
        <v>0</v>
      </c>
      <c r="BI789" s="7">
        <v>1</v>
      </c>
      <c r="BJ789" s="7">
        <v>1</v>
      </c>
      <c r="BK789" s="7">
        <v>1</v>
      </c>
      <c r="BL789" s="7">
        <v>1</v>
      </c>
      <c r="BM789" s="7">
        <v>1</v>
      </c>
      <c r="BN789" s="7">
        <v>1</v>
      </c>
      <c r="BO789" s="7">
        <v>1</v>
      </c>
      <c r="BP789" s="7">
        <v>1</v>
      </c>
      <c r="BQ789" s="7">
        <v>1</v>
      </c>
      <c r="BR789" s="7">
        <v>7.0175000000000001E-2</v>
      </c>
      <c r="BS789" s="7">
        <v>45.964911999999998</v>
      </c>
      <c r="BT789" s="7">
        <v>50</v>
      </c>
      <c r="BU789" s="7">
        <v>0.11811000000000001</v>
      </c>
      <c r="BV789" s="7">
        <v>36.377952999999998</v>
      </c>
      <c r="BW789" s="7">
        <v>50</v>
      </c>
      <c r="BX789" s="4" t="s">
        <v>124</v>
      </c>
      <c r="BY789" s="4" t="s">
        <v>124</v>
      </c>
      <c r="BZ789" s="4" t="s">
        <v>124</v>
      </c>
      <c r="CA789" s="4" t="s">
        <v>124</v>
      </c>
      <c r="CB789" s="4" t="s">
        <v>124</v>
      </c>
      <c r="CC789" s="4" t="s">
        <v>124</v>
      </c>
      <c r="CD789" s="4" t="s">
        <v>124</v>
      </c>
      <c r="CE789" s="4" t="s">
        <v>124</v>
      </c>
      <c r="CF789" s="4" t="s">
        <v>124</v>
      </c>
      <c r="CG789" s="4" t="s">
        <v>124</v>
      </c>
      <c r="CH789" s="4" t="s">
        <v>124</v>
      </c>
      <c r="CI789" s="4" t="s">
        <v>124</v>
      </c>
      <c r="CJ789" s="4" t="s">
        <v>124</v>
      </c>
      <c r="CK789" s="4" t="s">
        <v>124</v>
      </c>
      <c r="CL789" s="4" t="s">
        <v>124</v>
      </c>
      <c r="CM789" s="4" t="s">
        <v>124</v>
      </c>
      <c r="CN789" s="4" t="s">
        <v>124</v>
      </c>
      <c r="CO789" s="4" t="s">
        <v>124</v>
      </c>
      <c r="CP789" s="4" t="s">
        <v>124</v>
      </c>
      <c r="CQ789" s="7">
        <v>0.30612200000000001</v>
      </c>
      <c r="CR789" s="7">
        <v>1.0425530000000001</v>
      </c>
      <c r="CS789" s="7">
        <v>20.408162999999998</v>
      </c>
      <c r="CT789" s="7">
        <v>50</v>
      </c>
      <c r="CU789" s="4" t="s">
        <v>124</v>
      </c>
      <c r="CV789" s="4" t="s">
        <v>124</v>
      </c>
      <c r="CW789" s="4" t="s">
        <v>124</v>
      </c>
      <c r="CX789" s="4" t="s">
        <v>124</v>
      </c>
      <c r="CY789" s="4" t="s">
        <v>124</v>
      </c>
      <c r="CZ789" s="4" t="s">
        <v>124</v>
      </c>
      <c r="DA789" s="7">
        <v>15.314097</v>
      </c>
      <c r="DB789" s="7">
        <v>17.400950000000002</v>
      </c>
      <c r="DC789" s="7">
        <v>16.332519999999999</v>
      </c>
      <c r="DD789" s="4" t="s">
        <v>124</v>
      </c>
      <c r="DE789" s="7">
        <v>0</v>
      </c>
      <c r="DF789" s="6"/>
      <c r="DG789" s="6"/>
      <c r="DH789" s="6"/>
      <c r="DI789" s="6"/>
      <c r="DJ789" s="7">
        <v>0</v>
      </c>
      <c r="DK789" s="7">
        <v>0</v>
      </c>
      <c r="DL789" s="7">
        <v>0</v>
      </c>
      <c r="DM789" s="7">
        <v>0</v>
      </c>
      <c r="DN789" s="7">
        <v>0</v>
      </c>
      <c r="DO789" s="7">
        <v>0</v>
      </c>
      <c r="DP789" s="6"/>
      <c r="DQ789" s="4" t="s">
        <v>125</v>
      </c>
    </row>
    <row r="790" spans="1:121" ht="20" customHeight="1" x14ac:dyDescent="0.15">
      <c r="A790" s="5">
        <v>2018</v>
      </c>
      <c r="B790" s="3" t="s">
        <v>298</v>
      </c>
      <c r="C790" s="4" t="str">
        <f t="shared" ref="C790:C793" si="243">"1100011"</f>
        <v>1100011</v>
      </c>
      <c r="D790" s="4" t="s">
        <v>946</v>
      </c>
      <c r="E790" s="4" t="str">
        <f>"1100211"</f>
        <v>1100211</v>
      </c>
      <c r="F790" s="4" t="s">
        <v>327</v>
      </c>
      <c r="G790" s="4" t="s">
        <v>328</v>
      </c>
      <c r="H790" s="7">
        <v>5</v>
      </c>
      <c r="I790" s="4" t="s">
        <v>329</v>
      </c>
      <c r="J790" s="4" t="s">
        <v>330</v>
      </c>
      <c r="K790" s="7">
        <v>704.46855400000004</v>
      </c>
      <c r="L790" s="7">
        <v>950</v>
      </c>
      <c r="M790" s="7">
        <v>74.154584999999997</v>
      </c>
      <c r="N790" s="7">
        <v>2</v>
      </c>
      <c r="O790" s="7">
        <v>0</v>
      </c>
      <c r="P790" s="7">
        <v>72.273403999999999</v>
      </c>
      <c r="Q790" s="7">
        <v>48.182270000000003</v>
      </c>
      <c r="R790" s="7">
        <v>50</v>
      </c>
      <c r="S790" s="7">
        <v>67.025299000000004</v>
      </c>
      <c r="T790" s="7">
        <v>75</v>
      </c>
      <c r="U790" s="7">
        <v>44.683532</v>
      </c>
      <c r="V790" s="7">
        <v>50</v>
      </c>
      <c r="W790" s="7">
        <v>66.378001999999995</v>
      </c>
      <c r="X790" s="7">
        <v>44.252001</v>
      </c>
      <c r="Y790" s="7">
        <v>50</v>
      </c>
      <c r="Z790" s="7">
        <v>72.098765</v>
      </c>
      <c r="AA790" s="7">
        <v>62.003301</v>
      </c>
      <c r="AB790" s="7">
        <v>41.335534000000003</v>
      </c>
      <c r="AC790" s="7">
        <v>50</v>
      </c>
      <c r="AD790" s="7">
        <v>63.326179000000003</v>
      </c>
      <c r="AE790" s="7">
        <v>42.217452000000002</v>
      </c>
      <c r="AF790" s="7">
        <v>50</v>
      </c>
      <c r="AG790" s="7">
        <v>60.433622999999997</v>
      </c>
      <c r="AH790" s="7">
        <v>67.665012000000004</v>
      </c>
      <c r="AI790" s="7">
        <v>40.289082000000001</v>
      </c>
      <c r="AJ790" s="7">
        <v>50</v>
      </c>
      <c r="AK790" s="7">
        <v>7.97</v>
      </c>
      <c r="AL790" s="7">
        <v>10.09</v>
      </c>
      <c r="AM790" s="7">
        <v>7.23</v>
      </c>
      <c r="AN790" s="7">
        <v>0.64128600000000002</v>
      </c>
      <c r="AO790" s="7">
        <v>64.128551000000002</v>
      </c>
      <c r="AP790" s="7">
        <v>100</v>
      </c>
      <c r="AQ790" s="7">
        <v>0.69334799999999996</v>
      </c>
      <c r="AR790" s="7">
        <v>69.334768999999994</v>
      </c>
      <c r="AS790" s="7">
        <v>100</v>
      </c>
      <c r="AT790" s="7">
        <v>0.55072100000000002</v>
      </c>
      <c r="AU790" s="7">
        <v>0.75902000000000003</v>
      </c>
      <c r="AV790" s="7">
        <v>55.072077999999998</v>
      </c>
      <c r="AW790" s="7">
        <v>100</v>
      </c>
      <c r="AX790" s="7">
        <v>0.59511800000000004</v>
      </c>
      <c r="AY790" s="7">
        <v>0.82104600000000005</v>
      </c>
      <c r="AZ790" s="7">
        <v>59.511797000000001</v>
      </c>
      <c r="BA790" s="7">
        <v>100</v>
      </c>
      <c r="BB790" s="7">
        <v>0.69214900000000001</v>
      </c>
      <c r="BC790" s="7">
        <v>34.607455999999999</v>
      </c>
      <c r="BD790" s="7">
        <v>50</v>
      </c>
      <c r="BE790" s="7">
        <v>0.72582199999999997</v>
      </c>
      <c r="BF790" s="7">
        <v>36.291083999999998</v>
      </c>
      <c r="BG790" s="7">
        <v>50</v>
      </c>
      <c r="BH790" s="7">
        <v>0</v>
      </c>
      <c r="BI790" s="7">
        <v>1</v>
      </c>
      <c r="BJ790" s="7">
        <v>1</v>
      </c>
      <c r="BK790" s="7">
        <v>1</v>
      </c>
      <c r="BL790" s="7">
        <v>1</v>
      </c>
      <c r="BM790" s="7">
        <v>1</v>
      </c>
      <c r="BN790" s="7">
        <v>1</v>
      </c>
      <c r="BO790" s="7">
        <v>1</v>
      </c>
      <c r="BP790" s="7">
        <v>1</v>
      </c>
      <c r="BQ790" s="7">
        <v>1</v>
      </c>
      <c r="BR790" s="7">
        <v>7.1233000000000005E-2</v>
      </c>
      <c r="BS790" s="7">
        <v>45.753425</v>
      </c>
      <c r="BT790" s="7">
        <v>50</v>
      </c>
      <c r="BU790" s="7">
        <v>0.114286</v>
      </c>
      <c r="BV790" s="7">
        <v>37.142856999999999</v>
      </c>
      <c r="BW790" s="7">
        <v>50</v>
      </c>
      <c r="BX790" s="4" t="s">
        <v>124</v>
      </c>
      <c r="BY790" s="4" t="s">
        <v>124</v>
      </c>
      <c r="BZ790" s="4" t="s">
        <v>124</v>
      </c>
      <c r="CA790" s="4" t="s">
        <v>124</v>
      </c>
      <c r="CB790" s="4" t="s">
        <v>124</v>
      </c>
      <c r="CC790" s="4" t="s">
        <v>124</v>
      </c>
      <c r="CD790" s="4" t="s">
        <v>124</v>
      </c>
      <c r="CE790" s="4" t="s">
        <v>124</v>
      </c>
      <c r="CF790" s="4" t="s">
        <v>124</v>
      </c>
      <c r="CG790" s="4" t="s">
        <v>124</v>
      </c>
      <c r="CH790" s="4" t="s">
        <v>124</v>
      </c>
      <c r="CI790" s="4" t="s">
        <v>124</v>
      </c>
      <c r="CJ790" s="4" t="s">
        <v>124</v>
      </c>
      <c r="CK790" s="4" t="s">
        <v>124</v>
      </c>
      <c r="CL790" s="4" t="s">
        <v>124</v>
      </c>
      <c r="CM790" s="4" t="s">
        <v>124</v>
      </c>
      <c r="CN790" s="4" t="s">
        <v>124</v>
      </c>
      <c r="CO790" s="4" t="s">
        <v>124</v>
      </c>
      <c r="CP790" s="4" t="s">
        <v>124</v>
      </c>
      <c r="CQ790" s="7">
        <v>0.625</v>
      </c>
      <c r="CR790" s="7">
        <v>1</v>
      </c>
      <c r="CS790" s="7">
        <v>41.666666999999997</v>
      </c>
      <c r="CT790" s="7">
        <v>50</v>
      </c>
      <c r="CU790" s="4" t="s">
        <v>124</v>
      </c>
      <c r="CV790" s="4" t="s">
        <v>124</v>
      </c>
      <c r="CW790" s="4" t="s">
        <v>124</v>
      </c>
      <c r="CX790" s="4" t="s">
        <v>124</v>
      </c>
      <c r="CY790" s="4" t="s">
        <v>124</v>
      </c>
      <c r="CZ790" s="4" t="s">
        <v>124</v>
      </c>
      <c r="DA790" s="7">
        <v>15.314097</v>
      </c>
      <c r="DB790" s="7">
        <v>17.400950000000002</v>
      </c>
      <c r="DC790" s="7">
        <v>16.332519999999999</v>
      </c>
      <c r="DD790" s="4" t="s">
        <v>124</v>
      </c>
      <c r="DE790" s="7">
        <v>0</v>
      </c>
      <c r="DF790" s="6"/>
      <c r="DG790" s="6"/>
      <c r="DH790" s="6"/>
      <c r="DI790" s="6"/>
      <c r="DJ790" s="7">
        <v>0</v>
      </c>
      <c r="DK790" s="7">
        <v>0</v>
      </c>
      <c r="DL790" s="7">
        <v>0</v>
      </c>
      <c r="DM790" s="7">
        <v>0</v>
      </c>
      <c r="DN790" s="7">
        <v>0</v>
      </c>
      <c r="DO790" s="7">
        <v>0</v>
      </c>
      <c r="DP790" s="6"/>
      <c r="DQ790" s="4" t="s">
        <v>125</v>
      </c>
    </row>
    <row r="791" spans="1:121" ht="20" customHeight="1" x14ac:dyDescent="0.15">
      <c r="A791" s="5">
        <v>2018</v>
      </c>
      <c r="B791" s="3" t="s">
        <v>298</v>
      </c>
      <c r="C791" s="4" t="str">
        <f t="shared" si="243"/>
        <v>1100011</v>
      </c>
      <c r="D791" s="4" t="s">
        <v>947</v>
      </c>
      <c r="E791" s="4" t="str">
        <f>"1100511"</f>
        <v>1100511</v>
      </c>
      <c r="F791" s="4" t="s">
        <v>327</v>
      </c>
      <c r="G791" s="4" t="s">
        <v>328</v>
      </c>
      <c r="H791" s="7">
        <v>5</v>
      </c>
      <c r="I791" s="4" t="s">
        <v>329</v>
      </c>
      <c r="J791" s="4" t="s">
        <v>330</v>
      </c>
      <c r="K791" s="7">
        <v>671.27732000000003</v>
      </c>
      <c r="L791" s="7">
        <v>850</v>
      </c>
      <c r="M791" s="7">
        <v>78.973802000000006</v>
      </c>
      <c r="N791" s="7">
        <v>2</v>
      </c>
      <c r="O791" s="7">
        <v>0</v>
      </c>
      <c r="P791" s="7">
        <v>78.470292000000001</v>
      </c>
      <c r="Q791" s="7">
        <v>50</v>
      </c>
      <c r="R791" s="7">
        <v>50</v>
      </c>
      <c r="S791" s="7">
        <v>70.841717000000003</v>
      </c>
      <c r="T791" s="7">
        <v>75</v>
      </c>
      <c r="U791" s="7">
        <v>47.227812</v>
      </c>
      <c r="V791" s="7">
        <v>50</v>
      </c>
      <c r="W791" s="7">
        <v>76.225364999999996</v>
      </c>
      <c r="X791" s="7">
        <v>50</v>
      </c>
      <c r="Y791" s="7">
        <v>50</v>
      </c>
      <c r="Z791" s="7">
        <v>75</v>
      </c>
      <c r="AA791" s="7">
        <v>68.436818000000002</v>
      </c>
      <c r="AB791" s="7">
        <v>45.624546000000002</v>
      </c>
      <c r="AC791" s="7">
        <v>50</v>
      </c>
      <c r="AD791" s="7">
        <v>70.780913999999996</v>
      </c>
      <c r="AE791" s="7">
        <v>47.187275999999997</v>
      </c>
      <c r="AF791" s="7">
        <v>50</v>
      </c>
      <c r="AG791" s="7">
        <v>64.303426999999999</v>
      </c>
      <c r="AH791" s="7">
        <v>74.482335000000006</v>
      </c>
      <c r="AI791" s="7">
        <v>42.868952</v>
      </c>
      <c r="AJ791" s="7">
        <v>50</v>
      </c>
      <c r="AK791" s="7">
        <v>4.1500000000000004</v>
      </c>
      <c r="AL791" s="7">
        <v>6.56</v>
      </c>
      <c r="AM791" s="7">
        <v>10.17</v>
      </c>
      <c r="AN791" s="7">
        <v>0.67178099999999996</v>
      </c>
      <c r="AO791" s="7">
        <v>67.178144000000003</v>
      </c>
      <c r="AP791" s="7">
        <v>100</v>
      </c>
      <c r="AQ791" s="7">
        <v>0.65326399999999996</v>
      </c>
      <c r="AR791" s="7">
        <v>65.326426999999995</v>
      </c>
      <c r="AS791" s="7">
        <v>100</v>
      </c>
      <c r="AT791" s="7">
        <v>0.66492700000000005</v>
      </c>
      <c r="AU791" s="7">
        <v>0.67553700000000005</v>
      </c>
      <c r="AV791" s="7">
        <v>66.492734999999996</v>
      </c>
      <c r="AW791" s="7">
        <v>100</v>
      </c>
      <c r="AX791" s="7">
        <v>0.60611599999999999</v>
      </c>
      <c r="AY791" s="7">
        <v>0.67909900000000001</v>
      </c>
      <c r="AZ791" s="7">
        <v>60.611606000000002</v>
      </c>
      <c r="BA791" s="7">
        <v>100</v>
      </c>
      <c r="BB791" s="4" t="s">
        <v>124</v>
      </c>
      <c r="BC791" s="4" t="s">
        <v>124</v>
      </c>
      <c r="BD791" s="4" t="s">
        <v>124</v>
      </c>
      <c r="BE791" s="4" t="s">
        <v>124</v>
      </c>
      <c r="BF791" s="4" t="s">
        <v>124</v>
      </c>
      <c r="BG791" s="4" t="s">
        <v>124</v>
      </c>
      <c r="BH791" s="7">
        <v>0</v>
      </c>
      <c r="BI791" s="7">
        <v>0.99450499999999997</v>
      </c>
      <c r="BJ791" s="7">
        <v>0.98734200000000005</v>
      </c>
      <c r="BK791" s="7">
        <v>1</v>
      </c>
      <c r="BL791" s="7">
        <v>0.99441299999999999</v>
      </c>
      <c r="BM791" s="7">
        <v>0.986842</v>
      </c>
      <c r="BN791" s="7">
        <v>1</v>
      </c>
      <c r="BO791" s="7">
        <v>1</v>
      </c>
      <c r="BP791" s="7">
        <v>1</v>
      </c>
      <c r="BQ791" s="7">
        <v>1</v>
      </c>
      <c r="BR791" s="7">
        <v>5.7221000000000001E-2</v>
      </c>
      <c r="BS791" s="7">
        <v>48.555858000000001</v>
      </c>
      <c r="BT791" s="7">
        <v>50</v>
      </c>
      <c r="BU791" s="7">
        <v>0.103659</v>
      </c>
      <c r="BV791" s="7">
        <v>39.268293</v>
      </c>
      <c r="BW791" s="7">
        <v>50</v>
      </c>
      <c r="BX791" s="4" t="s">
        <v>124</v>
      </c>
      <c r="BY791" s="4" t="s">
        <v>124</v>
      </c>
      <c r="BZ791" s="4" t="s">
        <v>124</v>
      </c>
      <c r="CA791" s="4" t="s">
        <v>124</v>
      </c>
      <c r="CB791" s="4" t="s">
        <v>124</v>
      </c>
      <c r="CC791" s="4" t="s">
        <v>124</v>
      </c>
      <c r="CD791" s="4" t="s">
        <v>124</v>
      </c>
      <c r="CE791" s="4" t="s">
        <v>124</v>
      </c>
      <c r="CF791" s="4" t="s">
        <v>124</v>
      </c>
      <c r="CG791" s="4" t="s">
        <v>124</v>
      </c>
      <c r="CH791" s="4" t="s">
        <v>124</v>
      </c>
      <c r="CI791" s="4" t="s">
        <v>124</v>
      </c>
      <c r="CJ791" s="4" t="s">
        <v>124</v>
      </c>
      <c r="CK791" s="4" t="s">
        <v>124</v>
      </c>
      <c r="CL791" s="4" t="s">
        <v>124</v>
      </c>
      <c r="CM791" s="4" t="s">
        <v>124</v>
      </c>
      <c r="CN791" s="4" t="s">
        <v>124</v>
      </c>
      <c r="CO791" s="4" t="s">
        <v>124</v>
      </c>
      <c r="CP791" s="4" t="s">
        <v>124</v>
      </c>
      <c r="CQ791" s="7">
        <v>0.614035</v>
      </c>
      <c r="CR791" s="7">
        <v>0.98275900000000005</v>
      </c>
      <c r="CS791" s="7">
        <v>40.935673000000001</v>
      </c>
      <c r="CT791" s="7">
        <v>50</v>
      </c>
      <c r="CU791" s="4" t="s">
        <v>124</v>
      </c>
      <c r="CV791" s="4" t="s">
        <v>124</v>
      </c>
      <c r="CW791" s="4" t="s">
        <v>124</v>
      </c>
      <c r="CX791" s="4" t="s">
        <v>124</v>
      </c>
      <c r="CY791" s="4" t="s">
        <v>124</v>
      </c>
      <c r="CZ791" s="4" t="s">
        <v>124</v>
      </c>
      <c r="DA791" s="7">
        <v>15.314097</v>
      </c>
      <c r="DB791" s="7">
        <v>17.400950000000002</v>
      </c>
      <c r="DC791" s="7">
        <v>16.332519999999999</v>
      </c>
      <c r="DD791" s="4" t="s">
        <v>124</v>
      </c>
      <c r="DE791" s="7">
        <v>0</v>
      </c>
      <c r="DF791" s="6"/>
      <c r="DG791" s="6"/>
      <c r="DH791" s="6"/>
      <c r="DI791" s="6"/>
      <c r="DJ791" s="7">
        <v>0</v>
      </c>
      <c r="DK791" s="7">
        <v>0</v>
      </c>
      <c r="DL791" s="7">
        <v>0</v>
      </c>
      <c r="DM791" s="7">
        <v>0</v>
      </c>
      <c r="DN791" s="7">
        <v>0</v>
      </c>
      <c r="DO791" s="7">
        <v>0</v>
      </c>
      <c r="DP791" s="6"/>
      <c r="DQ791" s="4" t="s">
        <v>125</v>
      </c>
    </row>
    <row r="792" spans="1:121" ht="20" customHeight="1" x14ac:dyDescent="0.15">
      <c r="A792" s="5">
        <v>2018</v>
      </c>
      <c r="B792" s="3" t="s">
        <v>298</v>
      </c>
      <c r="C792" s="4" t="str">
        <f t="shared" si="243"/>
        <v>1100011</v>
      </c>
      <c r="D792" s="4" t="s">
        <v>948</v>
      </c>
      <c r="E792" s="4" t="str">
        <f>"1105211"</f>
        <v>1105211</v>
      </c>
      <c r="F792" s="4" t="s">
        <v>327</v>
      </c>
      <c r="G792" s="7">
        <v>6</v>
      </c>
      <c r="H792" s="7">
        <v>8</v>
      </c>
      <c r="I792" s="4" t="s">
        <v>329</v>
      </c>
      <c r="J792" s="4" t="s">
        <v>330</v>
      </c>
      <c r="K792" s="7">
        <v>668.10083599999996</v>
      </c>
      <c r="L792" s="7">
        <v>900</v>
      </c>
      <c r="M792" s="7">
        <v>74.233425999999994</v>
      </c>
      <c r="N792" s="7">
        <v>2</v>
      </c>
      <c r="O792" s="7">
        <v>0</v>
      </c>
      <c r="P792" s="7">
        <v>70.608653000000004</v>
      </c>
      <c r="Q792" s="7">
        <v>47.072434999999999</v>
      </c>
      <c r="R792" s="7">
        <v>50</v>
      </c>
      <c r="S792" s="7">
        <v>65.537351999999998</v>
      </c>
      <c r="T792" s="7">
        <v>75</v>
      </c>
      <c r="U792" s="7">
        <v>43.691567999999997</v>
      </c>
      <c r="V792" s="7">
        <v>50</v>
      </c>
      <c r="W792" s="7">
        <v>65.490859</v>
      </c>
      <c r="X792" s="7">
        <v>43.660572000000002</v>
      </c>
      <c r="Y792" s="7">
        <v>50</v>
      </c>
      <c r="Z792" s="7">
        <v>73.818954000000005</v>
      </c>
      <c r="AA792" s="7">
        <v>57.726318999999997</v>
      </c>
      <c r="AB792" s="7">
        <v>38.484212999999997</v>
      </c>
      <c r="AC792" s="7">
        <v>50</v>
      </c>
      <c r="AD792" s="7">
        <v>66.191571999999994</v>
      </c>
      <c r="AE792" s="7">
        <v>44.127715000000002</v>
      </c>
      <c r="AF792" s="7">
        <v>50</v>
      </c>
      <c r="AG792" s="7">
        <v>58.300902999999998</v>
      </c>
      <c r="AH792" s="7">
        <v>73.488320000000002</v>
      </c>
      <c r="AI792" s="7">
        <v>38.867269</v>
      </c>
      <c r="AJ792" s="7">
        <v>50</v>
      </c>
      <c r="AK792" s="7">
        <v>9.4600000000000009</v>
      </c>
      <c r="AL792" s="7">
        <v>16.09</v>
      </c>
      <c r="AM792" s="7">
        <v>15.18</v>
      </c>
      <c r="AN792" s="7">
        <v>0.63081299999999996</v>
      </c>
      <c r="AO792" s="7">
        <v>63.081296999999999</v>
      </c>
      <c r="AP792" s="7">
        <v>100</v>
      </c>
      <c r="AQ792" s="7">
        <v>0.626054</v>
      </c>
      <c r="AR792" s="7">
        <v>62.605353999999998</v>
      </c>
      <c r="AS792" s="7">
        <v>100</v>
      </c>
      <c r="AT792" s="7">
        <v>0.64667600000000003</v>
      </c>
      <c r="AU792" s="7">
        <v>0.61639699999999997</v>
      </c>
      <c r="AV792" s="7">
        <v>64.667638999999994</v>
      </c>
      <c r="AW792" s="7">
        <v>100</v>
      </c>
      <c r="AX792" s="7">
        <v>0.56349300000000002</v>
      </c>
      <c r="AY792" s="7">
        <v>0.68290499999999998</v>
      </c>
      <c r="AZ792" s="7">
        <v>56.349305000000001</v>
      </c>
      <c r="BA792" s="7">
        <v>100</v>
      </c>
      <c r="BB792" s="4" t="s">
        <v>124</v>
      </c>
      <c r="BC792" s="4" t="s">
        <v>124</v>
      </c>
      <c r="BD792" s="4" t="s">
        <v>124</v>
      </c>
      <c r="BE792" s="4" t="s">
        <v>124</v>
      </c>
      <c r="BF792" s="4" t="s">
        <v>124</v>
      </c>
      <c r="BG792" s="4" t="s">
        <v>124</v>
      </c>
      <c r="BH792" s="7">
        <v>0</v>
      </c>
      <c r="BI792" s="7">
        <v>0.99622599999999994</v>
      </c>
      <c r="BJ792" s="7">
        <v>0.99288299999999996</v>
      </c>
      <c r="BK792" s="7">
        <v>1</v>
      </c>
      <c r="BL792" s="7">
        <v>0.99622599999999994</v>
      </c>
      <c r="BM792" s="7">
        <v>0.99288299999999996</v>
      </c>
      <c r="BN792" s="7">
        <v>1</v>
      </c>
      <c r="BO792" s="7">
        <v>0.98907100000000003</v>
      </c>
      <c r="BP792" s="7">
        <v>0.97777800000000004</v>
      </c>
      <c r="BQ792" s="7">
        <v>1</v>
      </c>
      <c r="BR792" s="7">
        <v>8.6957000000000007E-2</v>
      </c>
      <c r="BS792" s="7">
        <v>42.608696000000002</v>
      </c>
      <c r="BT792" s="7">
        <v>50</v>
      </c>
      <c r="BU792" s="7">
        <v>0.131579</v>
      </c>
      <c r="BV792" s="7">
        <v>33.684210999999998</v>
      </c>
      <c r="BW792" s="7">
        <v>50</v>
      </c>
      <c r="BX792" s="4" t="s">
        <v>124</v>
      </c>
      <c r="BY792" s="4" t="s">
        <v>124</v>
      </c>
      <c r="BZ792" s="4" t="s">
        <v>124</v>
      </c>
      <c r="CA792" s="4" t="s">
        <v>124</v>
      </c>
      <c r="CB792" s="4" t="s">
        <v>124</v>
      </c>
      <c r="CC792" s="4" t="s">
        <v>124</v>
      </c>
      <c r="CD792" s="7">
        <v>0.93820199999999998</v>
      </c>
      <c r="CE792" s="7">
        <v>49.904375000000002</v>
      </c>
      <c r="CF792" s="7">
        <v>50</v>
      </c>
      <c r="CG792" s="4" t="s">
        <v>124</v>
      </c>
      <c r="CH792" s="4" t="s">
        <v>124</v>
      </c>
      <c r="CI792" s="4" t="s">
        <v>124</v>
      </c>
      <c r="CJ792" s="4" t="s">
        <v>124</v>
      </c>
      <c r="CK792" s="4" t="s">
        <v>124</v>
      </c>
      <c r="CL792" s="4" t="s">
        <v>124</v>
      </c>
      <c r="CM792" s="4" t="s">
        <v>124</v>
      </c>
      <c r="CN792" s="4" t="s">
        <v>124</v>
      </c>
      <c r="CO792" s="4" t="s">
        <v>124</v>
      </c>
      <c r="CP792" s="4" t="s">
        <v>124</v>
      </c>
      <c r="CQ792" s="7">
        <v>0.58944300000000005</v>
      </c>
      <c r="CR792" s="7">
        <v>0.97150999999999998</v>
      </c>
      <c r="CS792" s="7">
        <v>39.296188000000001</v>
      </c>
      <c r="CT792" s="7">
        <v>50</v>
      </c>
      <c r="CU792" s="4" t="s">
        <v>124</v>
      </c>
      <c r="CV792" s="4" t="s">
        <v>124</v>
      </c>
      <c r="CW792" s="4" t="s">
        <v>124</v>
      </c>
      <c r="CX792" s="4" t="s">
        <v>124</v>
      </c>
      <c r="CY792" s="4" t="s">
        <v>124</v>
      </c>
      <c r="CZ792" s="4" t="s">
        <v>124</v>
      </c>
      <c r="DA792" s="7">
        <v>15.314097</v>
      </c>
      <c r="DB792" s="7">
        <v>17.400950000000002</v>
      </c>
      <c r="DC792" s="7">
        <v>16.332519999999999</v>
      </c>
      <c r="DD792" s="4" t="s">
        <v>124</v>
      </c>
      <c r="DE792" s="7">
        <v>0</v>
      </c>
      <c r="DF792" s="6"/>
      <c r="DG792" s="6"/>
      <c r="DH792" s="6"/>
      <c r="DI792" s="6"/>
      <c r="DJ792" s="7">
        <v>0</v>
      </c>
      <c r="DK792" s="7">
        <v>0</v>
      </c>
      <c r="DL792" s="7">
        <v>0</v>
      </c>
      <c r="DM792" s="7">
        <v>0</v>
      </c>
      <c r="DN792" s="7">
        <v>0</v>
      </c>
      <c r="DO792" s="7">
        <v>0</v>
      </c>
      <c r="DP792" s="6"/>
      <c r="DQ792" s="4" t="s">
        <v>125</v>
      </c>
    </row>
    <row r="793" spans="1:121" ht="20" customHeight="1" x14ac:dyDescent="0.15">
      <c r="A793" s="5">
        <v>2018</v>
      </c>
      <c r="B793" s="3" t="s">
        <v>298</v>
      </c>
      <c r="C793" s="4" t="str">
        <f t="shared" si="243"/>
        <v>1100011</v>
      </c>
      <c r="D793" s="4" t="s">
        <v>949</v>
      </c>
      <c r="E793" s="4" t="str">
        <f>"1106111"</f>
        <v>1106111</v>
      </c>
      <c r="F793" s="4" t="s">
        <v>327</v>
      </c>
      <c r="G793" s="7">
        <v>9</v>
      </c>
      <c r="H793" s="7">
        <v>12</v>
      </c>
      <c r="I793" s="4" t="s">
        <v>329</v>
      </c>
      <c r="J793" s="4" t="s">
        <v>330</v>
      </c>
      <c r="K793" s="7">
        <v>1099.043848</v>
      </c>
      <c r="L793" s="7">
        <v>1450</v>
      </c>
      <c r="M793" s="7">
        <v>75.796126999999998</v>
      </c>
      <c r="N793" s="7">
        <v>3</v>
      </c>
      <c r="O793" s="7">
        <v>0</v>
      </c>
      <c r="P793" s="7">
        <v>56.052688000000003</v>
      </c>
      <c r="Q793" s="7">
        <v>112.10537600000001</v>
      </c>
      <c r="R793" s="7">
        <v>150</v>
      </c>
      <c r="S793" s="7">
        <v>48.663742999999997</v>
      </c>
      <c r="T793" s="7">
        <v>60.350340000000003</v>
      </c>
      <c r="U793" s="7">
        <v>97.327484999999996</v>
      </c>
      <c r="V793" s="7">
        <v>150</v>
      </c>
      <c r="W793" s="7">
        <v>54.515053999999999</v>
      </c>
      <c r="X793" s="7">
        <v>109.030108</v>
      </c>
      <c r="Y793" s="7">
        <v>150</v>
      </c>
      <c r="Z793" s="7">
        <v>59.284013999999999</v>
      </c>
      <c r="AA793" s="7">
        <v>46.315789000000002</v>
      </c>
      <c r="AB793" s="7">
        <v>92.631579000000002</v>
      </c>
      <c r="AC793" s="7">
        <v>150</v>
      </c>
      <c r="AD793" s="7">
        <v>58.965308999999998</v>
      </c>
      <c r="AE793" s="7">
        <v>78.620412000000002</v>
      </c>
      <c r="AF793" s="7">
        <v>100</v>
      </c>
      <c r="AG793" s="7">
        <v>49.907966999999999</v>
      </c>
      <c r="AH793" s="7">
        <v>64.194289999999995</v>
      </c>
      <c r="AI793" s="7">
        <v>66.543955999999994</v>
      </c>
      <c r="AJ793" s="7">
        <v>100</v>
      </c>
      <c r="AK793" s="7">
        <v>11.68</v>
      </c>
      <c r="AL793" s="7">
        <v>12.96</v>
      </c>
      <c r="AM793" s="7">
        <v>14.28</v>
      </c>
      <c r="AN793" s="4" t="s">
        <v>124</v>
      </c>
      <c r="AO793" s="4" t="s">
        <v>124</v>
      </c>
      <c r="AP793" s="4" t="s">
        <v>124</v>
      </c>
      <c r="AQ793" s="4" t="s">
        <v>124</v>
      </c>
      <c r="AR793" s="4" t="s">
        <v>124</v>
      </c>
      <c r="AS793" s="4" t="s">
        <v>124</v>
      </c>
      <c r="AT793" s="4" t="s">
        <v>124</v>
      </c>
      <c r="AU793" s="4" t="s">
        <v>124</v>
      </c>
      <c r="AV793" s="4" t="s">
        <v>124</v>
      </c>
      <c r="AW793" s="4" t="s">
        <v>124</v>
      </c>
      <c r="AX793" s="4" t="s">
        <v>124</v>
      </c>
      <c r="AY793" s="4" t="s">
        <v>124</v>
      </c>
      <c r="AZ793" s="4" t="s">
        <v>124</v>
      </c>
      <c r="BA793" s="4" t="s">
        <v>124</v>
      </c>
      <c r="BB793" s="4" t="s">
        <v>124</v>
      </c>
      <c r="BC793" s="4" t="s">
        <v>124</v>
      </c>
      <c r="BD793" s="4" t="s">
        <v>124</v>
      </c>
      <c r="BE793" s="4" t="s">
        <v>124</v>
      </c>
      <c r="BF793" s="4" t="s">
        <v>124</v>
      </c>
      <c r="BG793" s="4" t="s">
        <v>124</v>
      </c>
      <c r="BH793" s="7">
        <v>0</v>
      </c>
      <c r="BI793" s="7">
        <v>0.98742099999999999</v>
      </c>
      <c r="BJ793" s="7">
        <v>0.98333300000000001</v>
      </c>
      <c r="BK793" s="7">
        <v>0.98989899999999997</v>
      </c>
      <c r="BL793" s="7">
        <v>0.98742099999999999</v>
      </c>
      <c r="BM793" s="7">
        <v>0.98333300000000001</v>
      </c>
      <c r="BN793" s="7">
        <v>0.98989899999999997</v>
      </c>
      <c r="BO793" s="7">
        <v>0.98089199999999999</v>
      </c>
      <c r="BP793" s="7">
        <v>0.98275900000000005</v>
      </c>
      <c r="BQ793" s="7">
        <v>0.97979799999999995</v>
      </c>
      <c r="BR793" s="7">
        <v>0.13314000000000001</v>
      </c>
      <c r="BS793" s="7">
        <v>33.371924999999997</v>
      </c>
      <c r="BT793" s="7">
        <v>50</v>
      </c>
      <c r="BU793" s="7">
        <v>0.215278</v>
      </c>
      <c r="BV793" s="7">
        <v>16.944444000000001</v>
      </c>
      <c r="BW793" s="7">
        <v>50</v>
      </c>
      <c r="BX793" s="7">
        <v>0.70059899999999997</v>
      </c>
      <c r="BY793" s="7">
        <v>46.706586999999999</v>
      </c>
      <c r="BZ793" s="7">
        <v>50</v>
      </c>
      <c r="CA793" s="7">
        <v>0.43712600000000001</v>
      </c>
      <c r="CB793" s="7">
        <v>29.141717</v>
      </c>
      <c r="CC793" s="7">
        <v>50</v>
      </c>
      <c r="CD793" s="7">
        <v>0.85863900000000004</v>
      </c>
      <c r="CE793" s="7">
        <v>45.672274000000002</v>
      </c>
      <c r="CF793" s="7">
        <v>50</v>
      </c>
      <c r="CG793" s="7">
        <v>0.93292699999999995</v>
      </c>
      <c r="CH793" s="7">
        <v>99.247534999999999</v>
      </c>
      <c r="CI793" s="7">
        <v>100</v>
      </c>
      <c r="CJ793" s="7">
        <v>1</v>
      </c>
      <c r="CK793" s="7">
        <v>0.85507200000000005</v>
      </c>
      <c r="CL793" s="7">
        <v>90.965155999999993</v>
      </c>
      <c r="CM793" s="7">
        <v>100</v>
      </c>
      <c r="CN793" s="7">
        <v>0.66874999999999996</v>
      </c>
      <c r="CO793" s="7">
        <v>89.166667000000004</v>
      </c>
      <c r="CP793" s="7">
        <v>100</v>
      </c>
      <c r="CQ793" s="7">
        <v>0.623529</v>
      </c>
      <c r="CR793" s="7">
        <v>0.96590900000000002</v>
      </c>
      <c r="CS793" s="7">
        <v>41.568626999999999</v>
      </c>
      <c r="CT793" s="7">
        <v>50</v>
      </c>
      <c r="CU793" s="7">
        <v>0.6411</v>
      </c>
      <c r="CV793" s="7">
        <v>50</v>
      </c>
      <c r="CW793" s="7">
        <v>50</v>
      </c>
      <c r="CX793" s="7">
        <v>0.85507200000000005</v>
      </c>
      <c r="CY793" s="7">
        <v>0.94</v>
      </c>
      <c r="CZ793" s="7">
        <v>8.4928000000000003E-2</v>
      </c>
      <c r="DA793" s="7">
        <v>15.314097</v>
      </c>
      <c r="DB793" s="7">
        <v>17.400950000000002</v>
      </c>
      <c r="DC793" s="7">
        <v>16.332519999999999</v>
      </c>
      <c r="DD793" s="7">
        <v>7.9891730000000001</v>
      </c>
      <c r="DE793" s="7">
        <v>1</v>
      </c>
      <c r="DF793" s="6"/>
      <c r="DG793" s="6"/>
      <c r="DH793" s="6"/>
      <c r="DI793" s="6"/>
      <c r="DJ793" s="7">
        <v>0</v>
      </c>
      <c r="DK793" s="7">
        <v>0</v>
      </c>
      <c r="DL793" s="7">
        <v>0</v>
      </c>
      <c r="DM793" s="7">
        <v>0</v>
      </c>
      <c r="DN793" s="7">
        <v>0</v>
      </c>
      <c r="DO793" s="7">
        <v>0</v>
      </c>
      <c r="DP793" s="6"/>
      <c r="DQ793" s="4" t="s">
        <v>125</v>
      </c>
    </row>
    <row r="794" spans="1:121" ht="20" customHeight="1" x14ac:dyDescent="0.15">
      <c r="A794" s="5">
        <v>2018</v>
      </c>
      <c r="B794" s="3" t="s">
        <v>299</v>
      </c>
      <c r="C794" s="4" t="str">
        <f t="shared" si="171"/>
        <v>1110011</v>
      </c>
      <c r="D794" s="4" t="s">
        <v>950</v>
      </c>
      <c r="E794" s="4" t="str">
        <f>"1115111"</f>
        <v>1115111</v>
      </c>
      <c r="F794" s="4" t="s">
        <v>327</v>
      </c>
      <c r="G794" s="7">
        <v>6</v>
      </c>
      <c r="H794" s="7">
        <v>8</v>
      </c>
      <c r="I794" s="6"/>
      <c r="J794" s="4" t="s">
        <v>330</v>
      </c>
      <c r="K794" s="7">
        <v>740.22024299999998</v>
      </c>
      <c r="L794" s="7">
        <v>900</v>
      </c>
      <c r="M794" s="7">
        <v>82.246694000000005</v>
      </c>
      <c r="N794" s="7">
        <v>2</v>
      </c>
      <c r="O794" s="7">
        <v>0</v>
      </c>
      <c r="P794" s="7">
        <v>70.716764999999995</v>
      </c>
      <c r="Q794" s="7">
        <v>47.144509999999997</v>
      </c>
      <c r="R794" s="7">
        <v>50</v>
      </c>
      <c r="S794" s="7">
        <v>65.370401000000001</v>
      </c>
      <c r="T794" s="7">
        <v>75</v>
      </c>
      <c r="U794" s="7">
        <v>43.580266999999999</v>
      </c>
      <c r="V794" s="7">
        <v>50</v>
      </c>
      <c r="W794" s="7">
        <v>68.299206999999996</v>
      </c>
      <c r="X794" s="7">
        <v>45.532805000000003</v>
      </c>
      <c r="Y794" s="7">
        <v>50</v>
      </c>
      <c r="Z794" s="7">
        <v>74.487328000000005</v>
      </c>
      <c r="AA794" s="7">
        <v>61.623538000000003</v>
      </c>
      <c r="AB794" s="7">
        <v>41.082357999999999</v>
      </c>
      <c r="AC794" s="7">
        <v>50</v>
      </c>
      <c r="AD794" s="7">
        <v>67.806897000000006</v>
      </c>
      <c r="AE794" s="7">
        <v>45.204597999999997</v>
      </c>
      <c r="AF794" s="7">
        <v>50</v>
      </c>
      <c r="AG794" s="7">
        <v>60.524737999999999</v>
      </c>
      <c r="AH794" s="7">
        <v>73.040948</v>
      </c>
      <c r="AI794" s="7">
        <v>40.349825000000003</v>
      </c>
      <c r="AJ794" s="7">
        <v>50</v>
      </c>
      <c r="AK794" s="7">
        <v>9.6199999999999992</v>
      </c>
      <c r="AL794" s="7">
        <v>12.86</v>
      </c>
      <c r="AM794" s="7">
        <v>12.51</v>
      </c>
      <c r="AN794" s="7">
        <v>0.73851599999999995</v>
      </c>
      <c r="AO794" s="7">
        <v>73.851573999999999</v>
      </c>
      <c r="AP794" s="7">
        <v>100</v>
      </c>
      <c r="AQ794" s="7">
        <v>0.72595100000000001</v>
      </c>
      <c r="AR794" s="7">
        <v>72.595112</v>
      </c>
      <c r="AS794" s="7">
        <v>100</v>
      </c>
      <c r="AT794" s="7">
        <v>0.75636199999999998</v>
      </c>
      <c r="AU794" s="7">
        <v>0.72306300000000001</v>
      </c>
      <c r="AV794" s="7">
        <v>75.636156</v>
      </c>
      <c r="AW794" s="7">
        <v>100</v>
      </c>
      <c r="AX794" s="7">
        <v>0.70464000000000004</v>
      </c>
      <c r="AY794" s="7">
        <v>0.74440499999999998</v>
      </c>
      <c r="AZ794" s="7">
        <v>70.464016000000001</v>
      </c>
      <c r="BA794" s="7">
        <v>100</v>
      </c>
      <c r="BB794" s="4" t="s">
        <v>124</v>
      </c>
      <c r="BC794" s="4" t="s">
        <v>124</v>
      </c>
      <c r="BD794" s="4" t="s">
        <v>124</v>
      </c>
      <c r="BE794" s="4" t="s">
        <v>124</v>
      </c>
      <c r="BF794" s="4" t="s">
        <v>124</v>
      </c>
      <c r="BG794" s="4" t="s">
        <v>124</v>
      </c>
      <c r="BH794" s="7">
        <v>0</v>
      </c>
      <c r="BI794" s="7">
        <v>0.99436599999999997</v>
      </c>
      <c r="BJ794" s="7">
        <v>0.98863599999999996</v>
      </c>
      <c r="BK794" s="7">
        <v>1</v>
      </c>
      <c r="BL794" s="7">
        <v>0.99436599999999997</v>
      </c>
      <c r="BM794" s="7">
        <v>0.98863599999999996</v>
      </c>
      <c r="BN794" s="7">
        <v>1</v>
      </c>
      <c r="BO794" s="7">
        <v>0.99114999999999998</v>
      </c>
      <c r="BP794" s="7">
        <v>0.97959200000000002</v>
      </c>
      <c r="BQ794" s="7">
        <v>1</v>
      </c>
      <c r="BR794" s="7">
        <v>5.9322E-2</v>
      </c>
      <c r="BS794" s="7">
        <v>48.135593</v>
      </c>
      <c r="BT794" s="7">
        <v>50</v>
      </c>
      <c r="BU794" s="7">
        <v>9.8836999999999994E-2</v>
      </c>
      <c r="BV794" s="7">
        <v>40.232557999999997</v>
      </c>
      <c r="BW794" s="7">
        <v>50</v>
      </c>
      <c r="BX794" s="4" t="s">
        <v>124</v>
      </c>
      <c r="BY794" s="4" t="s">
        <v>124</v>
      </c>
      <c r="BZ794" s="4" t="s">
        <v>124</v>
      </c>
      <c r="CA794" s="4" t="s">
        <v>124</v>
      </c>
      <c r="CB794" s="4" t="s">
        <v>124</v>
      </c>
      <c r="CC794" s="4" t="s">
        <v>124</v>
      </c>
      <c r="CD794" s="7">
        <v>0.93396199999999996</v>
      </c>
      <c r="CE794" s="7">
        <v>49.678843999999998</v>
      </c>
      <c r="CF794" s="7">
        <v>50</v>
      </c>
      <c r="CG794" s="4" t="s">
        <v>124</v>
      </c>
      <c r="CH794" s="4" t="s">
        <v>124</v>
      </c>
      <c r="CI794" s="4" t="s">
        <v>124</v>
      </c>
      <c r="CJ794" s="4" t="s">
        <v>124</v>
      </c>
      <c r="CK794" s="4" t="s">
        <v>124</v>
      </c>
      <c r="CL794" s="4" t="s">
        <v>124</v>
      </c>
      <c r="CM794" s="4" t="s">
        <v>124</v>
      </c>
      <c r="CN794" s="4" t="s">
        <v>124</v>
      </c>
      <c r="CO794" s="4" t="s">
        <v>124</v>
      </c>
      <c r="CP794" s="4" t="s">
        <v>124</v>
      </c>
      <c r="CQ794" s="7">
        <v>0.70098000000000005</v>
      </c>
      <c r="CR794" s="7">
        <v>0.94009200000000004</v>
      </c>
      <c r="CS794" s="7">
        <v>46.732025999999998</v>
      </c>
      <c r="CT794" s="7">
        <v>50</v>
      </c>
      <c r="CU794" s="4" t="s">
        <v>124</v>
      </c>
      <c r="CV794" s="4" t="s">
        <v>124</v>
      </c>
      <c r="CW794" s="4" t="s">
        <v>124</v>
      </c>
      <c r="CX794" s="4" t="s">
        <v>124</v>
      </c>
      <c r="CY794" s="4" t="s">
        <v>124</v>
      </c>
      <c r="CZ794" s="4" t="s">
        <v>124</v>
      </c>
      <c r="DA794" s="7">
        <v>15.314097</v>
      </c>
      <c r="DB794" s="7">
        <v>17.400950000000002</v>
      </c>
      <c r="DC794" s="7">
        <v>16.332519999999999</v>
      </c>
      <c r="DD794" s="4" t="s">
        <v>124</v>
      </c>
      <c r="DE794" s="7">
        <v>0</v>
      </c>
      <c r="DF794" s="6"/>
      <c r="DG794" s="6"/>
      <c r="DH794" s="4" t="s">
        <v>331</v>
      </c>
      <c r="DI794" s="4" t="s">
        <v>523</v>
      </c>
      <c r="DJ794" s="7">
        <v>0</v>
      </c>
      <c r="DK794" s="7">
        <v>0</v>
      </c>
      <c r="DL794" s="7">
        <v>0</v>
      </c>
      <c r="DM794" s="7">
        <v>1</v>
      </c>
      <c r="DN794" s="7">
        <v>0</v>
      </c>
      <c r="DO794" s="7">
        <v>0</v>
      </c>
      <c r="DP794" s="6"/>
      <c r="DQ794" s="4" t="s">
        <v>125</v>
      </c>
    </row>
    <row r="795" spans="1:121" ht="20" customHeight="1" x14ac:dyDescent="0.15">
      <c r="A795" s="5">
        <v>2018</v>
      </c>
      <c r="B795" s="3" t="s">
        <v>299</v>
      </c>
      <c r="C795" s="4" t="str">
        <f t="shared" ref="C795:C797" si="244">"1110011"</f>
        <v>1110011</v>
      </c>
      <c r="D795" s="4" t="s">
        <v>951</v>
      </c>
      <c r="E795" s="4" t="str">
        <f>"1110411"</f>
        <v>1110411</v>
      </c>
      <c r="F795" s="4" t="s">
        <v>327</v>
      </c>
      <c r="G795" s="4" t="s">
        <v>338</v>
      </c>
      <c r="H795" s="7">
        <v>5</v>
      </c>
      <c r="I795" s="4" t="s">
        <v>329</v>
      </c>
      <c r="J795" s="4" t="s">
        <v>330</v>
      </c>
      <c r="K795" s="7">
        <v>607.66153499999996</v>
      </c>
      <c r="L795" s="7">
        <v>850</v>
      </c>
      <c r="M795" s="7">
        <v>71.489592000000002</v>
      </c>
      <c r="N795" s="7">
        <v>2</v>
      </c>
      <c r="O795" s="7">
        <v>0</v>
      </c>
      <c r="P795" s="7">
        <v>67.826537000000002</v>
      </c>
      <c r="Q795" s="7">
        <v>45.217692</v>
      </c>
      <c r="R795" s="7">
        <v>50</v>
      </c>
      <c r="S795" s="7">
        <v>62.228167999999997</v>
      </c>
      <c r="T795" s="7">
        <v>75</v>
      </c>
      <c r="U795" s="7">
        <v>41.485444999999999</v>
      </c>
      <c r="V795" s="7">
        <v>50</v>
      </c>
      <c r="W795" s="7">
        <v>62.933979999999998</v>
      </c>
      <c r="X795" s="7">
        <v>41.955986000000003</v>
      </c>
      <c r="Y795" s="7">
        <v>50</v>
      </c>
      <c r="Z795" s="7">
        <v>70.694860000000006</v>
      </c>
      <c r="AA795" s="7">
        <v>57.607885000000003</v>
      </c>
      <c r="AB795" s="7">
        <v>38.405256999999999</v>
      </c>
      <c r="AC795" s="7">
        <v>50</v>
      </c>
      <c r="AD795" s="7">
        <v>66.327467999999996</v>
      </c>
      <c r="AE795" s="7">
        <v>44.218311999999997</v>
      </c>
      <c r="AF795" s="7">
        <v>50</v>
      </c>
      <c r="AG795" s="7">
        <v>60.840364000000001</v>
      </c>
      <c r="AH795" s="7">
        <v>74.253286000000003</v>
      </c>
      <c r="AI795" s="7">
        <v>40.560243</v>
      </c>
      <c r="AJ795" s="7">
        <v>50</v>
      </c>
      <c r="AK795" s="7">
        <v>12.77</v>
      </c>
      <c r="AL795" s="7">
        <v>13.08</v>
      </c>
      <c r="AM795" s="7">
        <v>13.41</v>
      </c>
      <c r="AN795" s="7">
        <v>0.61637299999999995</v>
      </c>
      <c r="AO795" s="7">
        <v>61.637278999999999</v>
      </c>
      <c r="AP795" s="7">
        <v>100</v>
      </c>
      <c r="AQ795" s="7">
        <v>0.57035400000000003</v>
      </c>
      <c r="AR795" s="7">
        <v>57.035418</v>
      </c>
      <c r="AS795" s="7">
        <v>100</v>
      </c>
      <c r="AT795" s="7">
        <v>0.597603</v>
      </c>
      <c r="AU795" s="7">
        <v>0.64165399999999995</v>
      </c>
      <c r="AV795" s="7">
        <v>59.760342000000001</v>
      </c>
      <c r="AW795" s="7">
        <v>100</v>
      </c>
      <c r="AX795" s="7">
        <v>0.49346000000000001</v>
      </c>
      <c r="AY795" s="7">
        <v>0.67392600000000003</v>
      </c>
      <c r="AZ795" s="7">
        <v>49.345999999999997</v>
      </c>
      <c r="BA795" s="7">
        <v>100</v>
      </c>
      <c r="BB795" s="4" t="s">
        <v>124</v>
      </c>
      <c r="BC795" s="4" t="s">
        <v>124</v>
      </c>
      <c r="BD795" s="4" t="s">
        <v>124</v>
      </c>
      <c r="BE795" s="4" t="s">
        <v>124</v>
      </c>
      <c r="BF795" s="4" t="s">
        <v>124</v>
      </c>
      <c r="BG795" s="4" t="s">
        <v>124</v>
      </c>
      <c r="BH795" s="7">
        <v>0</v>
      </c>
      <c r="BI795" s="7">
        <v>0.99425300000000005</v>
      </c>
      <c r="BJ795" s="7">
        <v>0.99038499999999996</v>
      </c>
      <c r="BK795" s="7">
        <v>1</v>
      </c>
      <c r="BL795" s="7">
        <v>0.99425300000000005</v>
      </c>
      <c r="BM795" s="7">
        <v>0.99038499999999996</v>
      </c>
      <c r="BN795" s="7">
        <v>1</v>
      </c>
      <c r="BO795" s="7">
        <v>1</v>
      </c>
      <c r="BP795" s="7">
        <v>1</v>
      </c>
      <c r="BQ795" s="7">
        <v>1</v>
      </c>
      <c r="BR795" s="7">
        <v>6.3062999999999994E-2</v>
      </c>
      <c r="BS795" s="7">
        <v>47.387386999999997</v>
      </c>
      <c r="BT795" s="7">
        <v>50</v>
      </c>
      <c r="BU795" s="7">
        <v>7.7295000000000003E-2</v>
      </c>
      <c r="BV795" s="7">
        <v>44.541063000000001</v>
      </c>
      <c r="BW795" s="7">
        <v>50</v>
      </c>
      <c r="BX795" s="4" t="s">
        <v>124</v>
      </c>
      <c r="BY795" s="4" t="s">
        <v>124</v>
      </c>
      <c r="BZ795" s="4" t="s">
        <v>124</v>
      </c>
      <c r="CA795" s="4" t="s">
        <v>124</v>
      </c>
      <c r="CB795" s="4" t="s">
        <v>124</v>
      </c>
      <c r="CC795" s="4" t="s">
        <v>124</v>
      </c>
      <c r="CD795" s="4" t="s">
        <v>124</v>
      </c>
      <c r="CE795" s="4" t="s">
        <v>124</v>
      </c>
      <c r="CF795" s="4" t="s">
        <v>124</v>
      </c>
      <c r="CG795" s="4" t="s">
        <v>124</v>
      </c>
      <c r="CH795" s="4" t="s">
        <v>124</v>
      </c>
      <c r="CI795" s="4" t="s">
        <v>124</v>
      </c>
      <c r="CJ795" s="4" t="s">
        <v>124</v>
      </c>
      <c r="CK795" s="4" t="s">
        <v>124</v>
      </c>
      <c r="CL795" s="4" t="s">
        <v>124</v>
      </c>
      <c r="CM795" s="4" t="s">
        <v>124</v>
      </c>
      <c r="CN795" s="4" t="s">
        <v>124</v>
      </c>
      <c r="CO795" s="4" t="s">
        <v>124</v>
      </c>
      <c r="CP795" s="4" t="s">
        <v>124</v>
      </c>
      <c r="CQ795" s="7">
        <v>0.54166700000000001</v>
      </c>
      <c r="CR795" s="7">
        <v>0.92307700000000004</v>
      </c>
      <c r="CS795" s="7">
        <v>36.111111000000001</v>
      </c>
      <c r="CT795" s="7">
        <v>50</v>
      </c>
      <c r="CU795" s="4" t="s">
        <v>124</v>
      </c>
      <c r="CV795" s="4" t="s">
        <v>124</v>
      </c>
      <c r="CW795" s="4" t="s">
        <v>124</v>
      </c>
      <c r="CX795" s="4" t="s">
        <v>124</v>
      </c>
      <c r="CY795" s="4" t="s">
        <v>124</v>
      </c>
      <c r="CZ795" s="4" t="s">
        <v>124</v>
      </c>
      <c r="DA795" s="7">
        <v>15.314097</v>
      </c>
      <c r="DB795" s="7">
        <v>17.400950000000002</v>
      </c>
      <c r="DC795" s="7">
        <v>16.332519999999999</v>
      </c>
      <c r="DD795" s="4" t="s">
        <v>124</v>
      </c>
      <c r="DE795" s="7">
        <v>0</v>
      </c>
      <c r="DF795" s="6"/>
      <c r="DG795" s="6"/>
      <c r="DH795" s="6"/>
      <c r="DI795" s="6"/>
      <c r="DJ795" s="7">
        <v>0</v>
      </c>
      <c r="DK795" s="7">
        <v>0</v>
      </c>
      <c r="DL795" s="7">
        <v>0</v>
      </c>
      <c r="DM795" s="7">
        <v>0</v>
      </c>
      <c r="DN795" s="7">
        <v>0</v>
      </c>
      <c r="DO795" s="7">
        <v>0</v>
      </c>
      <c r="DP795" s="6"/>
      <c r="DQ795" s="4" t="s">
        <v>125</v>
      </c>
    </row>
    <row r="796" spans="1:121" ht="20" customHeight="1" x14ac:dyDescent="0.15">
      <c r="A796" s="5">
        <v>2018</v>
      </c>
      <c r="B796" s="3" t="s">
        <v>299</v>
      </c>
      <c r="C796" s="4" t="str">
        <f t="shared" si="244"/>
        <v>1110011</v>
      </c>
      <c r="D796" s="4" t="s">
        <v>952</v>
      </c>
      <c r="E796" s="4" t="str">
        <f>"1110211"</f>
        <v>1110211</v>
      </c>
      <c r="F796" s="4" t="s">
        <v>327</v>
      </c>
      <c r="G796" s="4" t="s">
        <v>328</v>
      </c>
      <c r="H796" s="7">
        <v>5</v>
      </c>
      <c r="I796" s="6"/>
      <c r="J796" s="4" t="s">
        <v>330</v>
      </c>
      <c r="K796" s="7">
        <v>633.78944799999999</v>
      </c>
      <c r="L796" s="7">
        <v>850</v>
      </c>
      <c r="M796" s="7">
        <v>74.563463999999996</v>
      </c>
      <c r="N796" s="7">
        <v>2</v>
      </c>
      <c r="O796" s="7">
        <v>0</v>
      </c>
      <c r="P796" s="7">
        <v>76.943577000000005</v>
      </c>
      <c r="Q796" s="7">
        <v>50</v>
      </c>
      <c r="R796" s="7">
        <v>50</v>
      </c>
      <c r="S796" s="7">
        <v>71.628038000000004</v>
      </c>
      <c r="T796" s="7">
        <v>75</v>
      </c>
      <c r="U796" s="7">
        <v>47.752025000000003</v>
      </c>
      <c r="V796" s="7">
        <v>50</v>
      </c>
      <c r="W796" s="7">
        <v>74.180790000000002</v>
      </c>
      <c r="X796" s="7">
        <v>49.453859999999999</v>
      </c>
      <c r="Y796" s="7">
        <v>50</v>
      </c>
      <c r="Z796" s="7">
        <v>75</v>
      </c>
      <c r="AA796" s="7">
        <v>69.687072999999998</v>
      </c>
      <c r="AB796" s="7">
        <v>46.458049000000003</v>
      </c>
      <c r="AC796" s="7">
        <v>50</v>
      </c>
      <c r="AD796" s="7">
        <v>74.619624000000002</v>
      </c>
      <c r="AE796" s="7">
        <v>49.746416000000004</v>
      </c>
      <c r="AF796" s="7">
        <v>50</v>
      </c>
      <c r="AG796" s="7">
        <v>67.182795999999996</v>
      </c>
      <c r="AH796" s="7">
        <v>75</v>
      </c>
      <c r="AI796" s="7">
        <v>44.788530000000002</v>
      </c>
      <c r="AJ796" s="7">
        <v>50</v>
      </c>
      <c r="AK796" s="7">
        <v>3.37</v>
      </c>
      <c r="AL796" s="7">
        <v>5.31</v>
      </c>
      <c r="AM796" s="7">
        <v>7.81</v>
      </c>
      <c r="AN796" s="7">
        <v>0.60516700000000001</v>
      </c>
      <c r="AO796" s="7">
        <v>60.516689</v>
      </c>
      <c r="AP796" s="7">
        <v>100</v>
      </c>
      <c r="AQ796" s="7">
        <v>0.56489400000000001</v>
      </c>
      <c r="AR796" s="7">
        <v>56.489398000000001</v>
      </c>
      <c r="AS796" s="7">
        <v>100</v>
      </c>
      <c r="AT796" s="7">
        <v>0.60504400000000003</v>
      </c>
      <c r="AU796" s="7">
        <v>0.60525499999999999</v>
      </c>
      <c r="AV796" s="7">
        <v>60.504404999999998</v>
      </c>
      <c r="AW796" s="7">
        <v>100</v>
      </c>
      <c r="AX796" s="7">
        <v>0.46241599999999999</v>
      </c>
      <c r="AY796" s="7">
        <v>0.63836899999999996</v>
      </c>
      <c r="AZ796" s="7">
        <v>46.241599000000001</v>
      </c>
      <c r="BA796" s="7">
        <v>100</v>
      </c>
      <c r="BB796" s="4" t="s">
        <v>124</v>
      </c>
      <c r="BC796" s="4" t="s">
        <v>124</v>
      </c>
      <c r="BD796" s="4" t="s">
        <v>124</v>
      </c>
      <c r="BE796" s="4" t="s">
        <v>124</v>
      </c>
      <c r="BF796" s="4" t="s">
        <v>124</v>
      </c>
      <c r="BG796" s="4" t="s">
        <v>124</v>
      </c>
      <c r="BH796" s="7">
        <v>0</v>
      </c>
      <c r="BI796" s="7">
        <v>0.97674399999999995</v>
      </c>
      <c r="BJ796" s="7">
        <v>0.96551699999999996</v>
      </c>
      <c r="BK796" s="7">
        <v>0.98591499999999999</v>
      </c>
      <c r="BL796" s="7">
        <v>0.97674399999999995</v>
      </c>
      <c r="BM796" s="7">
        <v>0.96551699999999996</v>
      </c>
      <c r="BN796" s="7">
        <v>0.98591499999999999</v>
      </c>
      <c r="BO796" s="7">
        <v>0.98</v>
      </c>
      <c r="BP796" s="7">
        <v>1</v>
      </c>
      <c r="BQ796" s="7">
        <v>0.96428599999999998</v>
      </c>
      <c r="BR796" s="7">
        <v>7.9167000000000001E-2</v>
      </c>
      <c r="BS796" s="7">
        <v>44.166666999999997</v>
      </c>
      <c r="BT796" s="7">
        <v>50</v>
      </c>
      <c r="BU796" s="7">
        <v>0.12903200000000001</v>
      </c>
      <c r="BV796" s="7">
        <v>34.193548</v>
      </c>
      <c r="BW796" s="7">
        <v>50</v>
      </c>
      <c r="BX796" s="4" t="s">
        <v>124</v>
      </c>
      <c r="BY796" s="4" t="s">
        <v>124</v>
      </c>
      <c r="BZ796" s="4" t="s">
        <v>124</v>
      </c>
      <c r="CA796" s="4" t="s">
        <v>124</v>
      </c>
      <c r="CB796" s="4" t="s">
        <v>124</v>
      </c>
      <c r="CC796" s="4" t="s">
        <v>124</v>
      </c>
      <c r="CD796" s="4" t="s">
        <v>124</v>
      </c>
      <c r="CE796" s="4" t="s">
        <v>124</v>
      </c>
      <c r="CF796" s="4" t="s">
        <v>124</v>
      </c>
      <c r="CG796" s="4" t="s">
        <v>124</v>
      </c>
      <c r="CH796" s="4" t="s">
        <v>124</v>
      </c>
      <c r="CI796" s="4" t="s">
        <v>124</v>
      </c>
      <c r="CJ796" s="4" t="s">
        <v>124</v>
      </c>
      <c r="CK796" s="4" t="s">
        <v>124</v>
      </c>
      <c r="CL796" s="4" t="s">
        <v>124</v>
      </c>
      <c r="CM796" s="4" t="s">
        <v>124</v>
      </c>
      <c r="CN796" s="4" t="s">
        <v>124</v>
      </c>
      <c r="CO796" s="4" t="s">
        <v>124</v>
      </c>
      <c r="CP796" s="4" t="s">
        <v>124</v>
      </c>
      <c r="CQ796" s="7">
        <v>0.65217400000000003</v>
      </c>
      <c r="CR796" s="7">
        <v>1</v>
      </c>
      <c r="CS796" s="7">
        <v>43.478261000000003</v>
      </c>
      <c r="CT796" s="7">
        <v>50</v>
      </c>
      <c r="CU796" s="4" t="s">
        <v>124</v>
      </c>
      <c r="CV796" s="4" t="s">
        <v>124</v>
      </c>
      <c r="CW796" s="4" t="s">
        <v>124</v>
      </c>
      <c r="CX796" s="4" t="s">
        <v>124</v>
      </c>
      <c r="CY796" s="4" t="s">
        <v>124</v>
      </c>
      <c r="CZ796" s="4" t="s">
        <v>124</v>
      </c>
      <c r="DA796" s="7">
        <v>15.314097</v>
      </c>
      <c r="DB796" s="7">
        <v>17.400950000000002</v>
      </c>
      <c r="DC796" s="7">
        <v>16.332519999999999</v>
      </c>
      <c r="DD796" s="4" t="s">
        <v>124</v>
      </c>
      <c r="DE796" s="7">
        <v>0</v>
      </c>
      <c r="DF796" s="6"/>
      <c r="DG796" s="6"/>
      <c r="DH796" s="6"/>
      <c r="DI796" s="6"/>
      <c r="DJ796" s="7">
        <v>0</v>
      </c>
      <c r="DK796" s="7">
        <v>0</v>
      </c>
      <c r="DL796" s="7">
        <v>0</v>
      </c>
      <c r="DM796" s="7">
        <v>0</v>
      </c>
      <c r="DN796" s="7">
        <v>0</v>
      </c>
      <c r="DO796" s="7">
        <v>0</v>
      </c>
      <c r="DP796" s="6"/>
      <c r="DQ796" s="4" t="s">
        <v>125</v>
      </c>
    </row>
    <row r="797" spans="1:121" ht="20" customHeight="1" x14ac:dyDescent="0.15">
      <c r="A797" s="5">
        <v>2018</v>
      </c>
      <c r="B797" s="3" t="s">
        <v>299</v>
      </c>
      <c r="C797" s="4" t="str">
        <f t="shared" si="244"/>
        <v>1110011</v>
      </c>
      <c r="D797" s="4" t="s">
        <v>953</v>
      </c>
      <c r="E797" s="4" t="str">
        <f>"1116111"</f>
        <v>1116111</v>
      </c>
      <c r="F797" s="4" t="s">
        <v>327</v>
      </c>
      <c r="G797" s="7">
        <v>9</v>
      </c>
      <c r="H797" s="7">
        <v>12</v>
      </c>
      <c r="I797" s="6"/>
      <c r="J797" s="4" t="s">
        <v>330</v>
      </c>
      <c r="K797" s="7">
        <v>1082.3897079999999</v>
      </c>
      <c r="L797" s="7">
        <v>1450</v>
      </c>
      <c r="M797" s="7">
        <v>74.647565999999998</v>
      </c>
      <c r="N797" s="7">
        <v>3</v>
      </c>
      <c r="O797" s="7">
        <v>0</v>
      </c>
      <c r="P797" s="7">
        <v>54.791818999999997</v>
      </c>
      <c r="Q797" s="7">
        <v>109.58363900000001</v>
      </c>
      <c r="R797" s="7">
        <v>150</v>
      </c>
      <c r="S797" s="7">
        <v>48.987988000000001</v>
      </c>
      <c r="T797" s="7">
        <v>58.768518999999998</v>
      </c>
      <c r="U797" s="7">
        <v>97.975976000000003</v>
      </c>
      <c r="V797" s="7">
        <v>150</v>
      </c>
      <c r="W797" s="7">
        <v>52.945055000000004</v>
      </c>
      <c r="X797" s="7">
        <v>105.89011000000001</v>
      </c>
      <c r="Y797" s="7">
        <v>150</v>
      </c>
      <c r="Z797" s="7">
        <v>57.512346000000001</v>
      </c>
      <c r="AA797" s="7">
        <v>46.279279000000002</v>
      </c>
      <c r="AB797" s="7">
        <v>92.558559000000002</v>
      </c>
      <c r="AC797" s="7">
        <v>150</v>
      </c>
      <c r="AD797" s="7">
        <v>50.962156</v>
      </c>
      <c r="AE797" s="7">
        <v>67.949540999999996</v>
      </c>
      <c r="AF797" s="7">
        <v>100</v>
      </c>
      <c r="AG797" s="7">
        <v>47.196021999999999</v>
      </c>
      <c r="AH797" s="7">
        <v>53.383242000000003</v>
      </c>
      <c r="AI797" s="7">
        <v>62.928029000000002</v>
      </c>
      <c r="AJ797" s="7">
        <v>100</v>
      </c>
      <c r="AK797" s="7">
        <v>9.7799999999999994</v>
      </c>
      <c r="AL797" s="7">
        <v>11.23</v>
      </c>
      <c r="AM797" s="7">
        <v>6.18</v>
      </c>
      <c r="AN797" s="4" t="s">
        <v>124</v>
      </c>
      <c r="AO797" s="4" t="s">
        <v>124</v>
      </c>
      <c r="AP797" s="4" t="s">
        <v>124</v>
      </c>
      <c r="AQ797" s="4" t="s">
        <v>124</v>
      </c>
      <c r="AR797" s="4" t="s">
        <v>124</v>
      </c>
      <c r="AS797" s="4" t="s">
        <v>124</v>
      </c>
      <c r="AT797" s="4" t="s">
        <v>124</v>
      </c>
      <c r="AU797" s="4" t="s">
        <v>124</v>
      </c>
      <c r="AV797" s="4" t="s">
        <v>124</v>
      </c>
      <c r="AW797" s="4" t="s">
        <v>124</v>
      </c>
      <c r="AX797" s="4" t="s">
        <v>124</v>
      </c>
      <c r="AY797" s="4" t="s">
        <v>124</v>
      </c>
      <c r="AZ797" s="4" t="s">
        <v>124</v>
      </c>
      <c r="BA797" s="4" t="s">
        <v>124</v>
      </c>
      <c r="BB797" s="4" t="s">
        <v>124</v>
      </c>
      <c r="BC797" s="4" t="s">
        <v>124</v>
      </c>
      <c r="BD797" s="4" t="s">
        <v>124</v>
      </c>
      <c r="BE797" s="4" t="s">
        <v>124</v>
      </c>
      <c r="BF797" s="4" t="s">
        <v>124</v>
      </c>
      <c r="BG797" s="4" t="s">
        <v>124</v>
      </c>
      <c r="BH797" s="7">
        <v>1</v>
      </c>
      <c r="BI797" s="7">
        <v>0.97894700000000001</v>
      </c>
      <c r="BJ797" s="7">
        <v>0.97435899999999998</v>
      </c>
      <c r="BK797" s="7">
        <v>0.98214299999999999</v>
      </c>
      <c r="BL797" s="7">
        <v>0.97894700000000001</v>
      </c>
      <c r="BM797" s="7">
        <v>0.97435899999999998</v>
      </c>
      <c r="BN797" s="7">
        <v>0.98214299999999999</v>
      </c>
      <c r="BO797" s="7">
        <v>0.97894700000000001</v>
      </c>
      <c r="BP797" s="7">
        <v>0.94871799999999995</v>
      </c>
      <c r="BQ797" s="7">
        <v>1</v>
      </c>
      <c r="BR797" s="7">
        <v>0.113861</v>
      </c>
      <c r="BS797" s="7">
        <v>37.227722999999997</v>
      </c>
      <c r="BT797" s="7">
        <v>50</v>
      </c>
      <c r="BU797" s="7">
        <v>0.17582400000000001</v>
      </c>
      <c r="BV797" s="7">
        <v>24.835165</v>
      </c>
      <c r="BW797" s="7">
        <v>50</v>
      </c>
      <c r="BX797" s="7">
        <v>0.8</v>
      </c>
      <c r="BY797" s="7">
        <v>50</v>
      </c>
      <c r="BZ797" s="7">
        <v>50</v>
      </c>
      <c r="CA797" s="7">
        <v>0.395455</v>
      </c>
      <c r="CB797" s="7">
        <v>26.363636</v>
      </c>
      <c r="CC797" s="7">
        <v>50</v>
      </c>
      <c r="CD797" s="7">
        <v>0.88541700000000001</v>
      </c>
      <c r="CE797" s="7">
        <v>47.096631000000002</v>
      </c>
      <c r="CF797" s="7">
        <v>50</v>
      </c>
      <c r="CG797" s="7">
        <v>0.92307700000000004</v>
      </c>
      <c r="CH797" s="7">
        <v>98.199673000000004</v>
      </c>
      <c r="CI797" s="7">
        <v>100</v>
      </c>
      <c r="CJ797" s="7">
        <v>0</v>
      </c>
      <c r="CK797" s="7">
        <v>0.92</v>
      </c>
      <c r="CL797" s="7">
        <v>97.872339999999994</v>
      </c>
      <c r="CM797" s="7">
        <v>100</v>
      </c>
      <c r="CN797" s="7">
        <v>0.61599999999999999</v>
      </c>
      <c r="CO797" s="7">
        <v>82.133332999999993</v>
      </c>
      <c r="CP797" s="7">
        <v>100</v>
      </c>
      <c r="CQ797" s="7">
        <v>0.69135800000000003</v>
      </c>
      <c r="CR797" s="7">
        <v>0.91011200000000003</v>
      </c>
      <c r="CS797" s="7">
        <v>46.090535000000003</v>
      </c>
      <c r="CT797" s="7">
        <v>50</v>
      </c>
      <c r="CU797" s="7">
        <v>0.42821799999999999</v>
      </c>
      <c r="CV797" s="7">
        <v>35.684818</v>
      </c>
      <c r="CW797" s="7">
        <v>50</v>
      </c>
      <c r="CX797" s="7">
        <v>0.92</v>
      </c>
      <c r="CY797" s="7">
        <v>0.94</v>
      </c>
      <c r="CZ797" s="7">
        <v>0.02</v>
      </c>
      <c r="DA797" s="7">
        <v>15.314097</v>
      </c>
      <c r="DB797" s="7">
        <v>17.400950000000002</v>
      </c>
      <c r="DC797" s="7">
        <v>16.332519999999999</v>
      </c>
      <c r="DD797" s="7">
        <v>7.9891730000000001</v>
      </c>
      <c r="DE797" s="7">
        <v>1</v>
      </c>
      <c r="DF797" s="6"/>
      <c r="DG797" s="6"/>
      <c r="DH797" s="6"/>
      <c r="DI797" s="6"/>
      <c r="DJ797" s="7">
        <v>0</v>
      </c>
      <c r="DK797" s="7">
        <v>0</v>
      </c>
      <c r="DL797" s="7">
        <v>0</v>
      </c>
      <c r="DM797" s="7">
        <v>0</v>
      </c>
      <c r="DN797" s="7">
        <v>0</v>
      </c>
      <c r="DO797" s="7">
        <v>0</v>
      </c>
      <c r="DP797" s="6"/>
      <c r="DQ797" s="4" t="s">
        <v>125</v>
      </c>
    </row>
    <row r="798" spans="1:121" ht="20" customHeight="1" x14ac:dyDescent="0.15">
      <c r="A798" s="5">
        <v>2018</v>
      </c>
      <c r="B798" s="3" t="s">
        <v>300</v>
      </c>
      <c r="C798" s="4" t="str">
        <f t="shared" si="172"/>
        <v>1120011</v>
      </c>
      <c r="D798" s="4" t="s">
        <v>954</v>
      </c>
      <c r="E798" s="4" t="str">
        <f>"1120111"</f>
        <v>1120111</v>
      </c>
      <c r="F798" s="4" t="s">
        <v>327</v>
      </c>
      <c r="G798" s="4" t="s">
        <v>328</v>
      </c>
      <c r="H798" s="7">
        <v>8</v>
      </c>
      <c r="I798" s="4" t="s">
        <v>329</v>
      </c>
      <c r="J798" s="4" t="s">
        <v>330</v>
      </c>
      <c r="K798" s="7">
        <v>696.89995499999998</v>
      </c>
      <c r="L798" s="7">
        <v>900</v>
      </c>
      <c r="M798" s="7">
        <v>77.433328000000003</v>
      </c>
      <c r="N798" s="7">
        <v>2</v>
      </c>
      <c r="O798" s="7">
        <v>0</v>
      </c>
      <c r="P798" s="7">
        <v>75.137930999999995</v>
      </c>
      <c r="Q798" s="7">
        <v>50</v>
      </c>
      <c r="R798" s="7">
        <v>50</v>
      </c>
      <c r="S798" s="7">
        <v>68.685389000000001</v>
      </c>
      <c r="T798" s="7">
        <v>75</v>
      </c>
      <c r="U798" s="7">
        <v>45.790260000000004</v>
      </c>
      <c r="V798" s="7">
        <v>50</v>
      </c>
      <c r="W798" s="7">
        <v>74.275582</v>
      </c>
      <c r="X798" s="7">
        <v>49.517054999999999</v>
      </c>
      <c r="Y798" s="7">
        <v>50</v>
      </c>
      <c r="Z798" s="7">
        <v>75</v>
      </c>
      <c r="AA798" s="7">
        <v>67.307879</v>
      </c>
      <c r="AB798" s="7">
        <v>44.871918999999998</v>
      </c>
      <c r="AC798" s="7">
        <v>50</v>
      </c>
      <c r="AD798" s="7">
        <v>71.687865000000002</v>
      </c>
      <c r="AE798" s="7">
        <v>47.791910000000001</v>
      </c>
      <c r="AF798" s="7">
        <v>50</v>
      </c>
      <c r="AG798" s="7">
        <v>69.835603000000006</v>
      </c>
      <c r="AH798" s="7">
        <v>72.400273999999996</v>
      </c>
      <c r="AI798" s="7">
        <v>46.557068000000001</v>
      </c>
      <c r="AJ798" s="7">
        <v>50</v>
      </c>
      <c r="AK798" s="7">
        <v>6.31</v>
      </c>
      <c r="AL798" s="7">
        <v>7.69</v>
      </c>
      <c r="AM798" s="7">
        <v>2.56</v>
      </c>
      <c r="AN798" s="7">
        <v>0.56125100000000006</v>
      </c>
      <c r="AO798" s="7">
        <v>56.125053000000001</v>
      </c>
      <c r="AP798" s="7">
        <v>100</v>
      </c>
      <c r="AQ798" s="7">
        <v>0.62598200000000004</v>
      </c>
      <c r="AR798" s="7">
        <v>62.598224000000002</v>
      </c>
      <c r="AS798" s="7">
        <v>100</v>
      </c>
      <c r="AT798" s="7">
        <v>0.56781199999999998</v>
      </c>
      <c r="AU798" s="7">
        <v>0.55870600000000004</v>
      </c>
      <c r="AV798" s="7">
        <v>56.781238999999999</v>
      </c>
      <c r="AW798" s="7">
        <v>100</v>
      </c>
      <c r="AX798" s="7">
        <v>0.59380699999999997</v>
      </c>
      <c r="AY798" s="7">
        <v>0.63824000000000003</v>
      </c>
      <c r="AZ798" s="7">
        <v>59.380676000000001</v>
      </c>
      <c r="BA798" s="7">
        <v>100</v>
      </c>
      <c r="BB798" s="4" t="s">
        <v>124</v>
      </c>
      <c r="BC798" s="4" t="s">
        <v>124</v>
      </c>
      <c r="BD798" s="4" t="s">
        <v>124</v>
      </c>
      <c r="BE798" s="4" t="s">
        <v>124</v>
      </c>
      <c r="BF798" s="4" t="s">
        <v>124</v>
      </c>
      <c r="BG798" s="4" t="s">
        <v>124</v>
      </c>
      <c r="BH798" s="7">
        <v>0</v>
      </c>
      <c r="BI798" s="7">
        <v>0.99626899999999996</v>
      </c>
      <c r="BJ798" s="7">
        <v>1</v>
      </c>
      <c r="BK798" s="7">
        <v>0.99462399999999995</v>
      </c>
      <c r="BL798" s="7">
        <v>0.992537</v>
      </c>
      <c r="BM798" s="7">
        <v>0.98780500000000004</v>
      </c>
      <c r="BN798" s="7">
        <v>0.99462399999999995</v>
      </c>
      <c r="BO798" s="7">
        <v>1</v>
      </c>
      <c r="BP798" s="7">
        <v>1</v>
      </c>
      <c r="BQ798" s="7">
        <v>1</v>
      </c>
      <c r="BR798" s="7">
        <v>1.9178000000000001E-2</v>
      </c>
      <c r="BS798" s="7">
        <v>50</v>
      </c>
      <c r="BT798" s="7">
        <v>50</v>
      </c>
      <c r="BU798" s="7">
        <v>5.4053999999999998E-2</v>
      </c>
      <c r="BV798" s="7">
        <v>49.189188999999999</v>
      </c>
      <c r="BW798" s="7">
        <v>50</v>
      </c>
      <c r="BX798" s="4" t="s">
        <v>124</v>
      </c>
      <c r="BY798" s="4" t="s">
        <v>124</v>
      </c>
      <c r="BZ798" s="4" t="s">
        <v>124</v>
      </c>
      <c r="CA798" s="4" t="s">
        <v>124</v>
      </c>
      <c r="CB798" s="4" t="s">
        <v>124</v>
      </c>
      <c r="CC798" s="4" t="s">
        <v>124</v>
      </c>
      <c r="CD798" s="7">
        <v>0.97499999999999998</v>
      </c>
      <c r="CE798" s="7">
        <v>50</v>
      </c>
      <c r="CF798" s="7">
        <v>50</v>
      </c>
      <c r="CG798" s="4" t="s">
        <v>124</v>
      </c>
      <c r="CH798" s="4" t="s">
        <v>124</v>
      </c>
      <c r="CI798" s="4" t="s">
        <v>124</v>
      </c>
      <c r="CJ798" s="4" t="s">
        <v>124</v>
      </c>
      <c r="CK798" s="4" t="s">
        <v>124</v>
      </c>
      <c r="CL798" s="4" t="s">
        <v>124</v>
      </c>
      <c r="CM798" s="4" t="s">
        <v>124</v>
      </c>
      <c r="CN798" s="4" t="s">
        <v>124</v>
      </c>
      <c r="CO798" s="4" t="s">
        <v>124</v>
      </c>
      <c r="CP798" s="4" t="s">
        <v>124</v>
      </c>
      <c r="CQ798" s="7">
        <v>0.42446</v>
      </c>
      <c r="CR798" s="7">
        <v>0.99285699999999999</v>
      </c>
      <c r="CS798" s="7">
        <v>28.297362</v>
      </c>
      <c r="CT798" s="7">
        <v>50</v>
      </c>
      <c r="CU798" s="4" t="s">
        <v>124</v>
      </c>
      <c r="CV798" s="4" t="s">
        <v>124</v>
      </c>
      <c r="CW798" s="4" t="s">
        <v>124</v>
      </c>
      <c r="CX798" s="4" t="s">
        <v>124</v>
      </c>
      <c r="CY798" s="4" t="s">
        <v>124</v>
      </c>
      <c r="CZ798" s="4" t="s">
        <v>124</v>
      </c>
      <c r="DA798" s="7">
        <v>15.314097</v>
      </c>
      <c r="DB798" s="7">
        <v>17.400950000000002</v>
      </c>
      <c r="DC798" s="7">
        <v>16.332519999999999</v>
      </c>
      <c r="DD798" s="4" t="s">
        <v>124</v>
      </c>
      <c r="DE798" s="7">
        <v>0</v>
      </c>
      <c r="DF798" s="6"/>
      <c r="DG798" s="6"/>
      <c r="DH798" s="6"/>
      <c r="DI798" s="6"/>
      <c r="DJ798" s="7">
        <v>0</v>
      </c>
      <c r="DK798" s="7">
        <v>0</v>
      </c>
      <c r="DL798" s="7">
        <v>0</v>
      </c>
      <c r="DM798" s="7">
        <v>0</v>
      </c>
      <c r="DN798" s="7">
        <v>0</v>
      </c>
      <c r="DO798" s="7">
        <v>0</v>
      </c>
      <c r="DP798" s="6"/>
      <c r="DQ798" s="4" t="s">
        <v>125</v>
      </c>
    </row>
    <row r="799" spans="1:121" ht="20" customHeight="1" x14ac:dyDescent="0.15">
      <c r="A799" s="5">
        <v>2018</v>
      </c>
      <c r="B799" s="3" t="s">
        <v>301</v>
      </c>
      <c r="C799" s="4" t="str">
        <f>"1130011"</f>
        <v>1130011</v>
      </c>
      <c r="D799" s="4" t="s">
        <v>955</v>
      </c>
      <c r="E799" s="4" t="str">
        <f>"1130511"</f>
        <v>1130511</v>
      </c>
      <c r="F799" s="4" t="s">
        <v>327</v>
      </c>
      <c r="G799" s="7">
        <v>5</v>
      </c>
      <c r="H799" s="7">
        <v>6</v>
      </c>
      <c r="I799" s="6"/>
      <c r="J799" s="4" t="s">
        <v>330</v>
      </c>
      <c r="K799" s="7">
        <v>642.67423199999996</v>
      </c>
      <c r="L799" s="7">
        <v>850</v>
      </c>
      <c r="M799" s="7">
        <v>75.608733000000001</v>
      </c>
      <c r="N799" s="7">
        <v>2</v>
      </c>
      <c r="O799" s="7">
        <v>0</v>
      </c>
      <c r="P799" s="7">
        <v>72.668398999999994</v>
      </c>
      <c r="Q799" s="7">
        <v>48.445599000000001</v>
      </c>
      <c r="R799" s="7">
        <v>50</v>
      </c>
      <c r="S799" s="7">
        <v>61.295904</v>
      </c>
      <c r="T799" s="7">
        <v>75</v>
      </c>
      <c r="U799" s="7">
        <v>40.863936000000002</v>
      </c>
      <c r="V799" s="7">
        <v>50</v>
      </c>
      <c r="W799" s="7">
        <v>72.410990999999996</v>
      </c>
      <c r="X799" s="7">
        <v>48.273994000000002</v>
      </c>
      <c r="Y799" s="7">
        <v>50</v>
      </c>
      <c r="Z799" s="7">
        <v>75</v>
      </c>
      <c r="AA799" s="7">
        <v>61.575724000000001</v>
      </c>
      <c r="AB799" s="7">
        <v>41.050483</v>
      </c>
      <c r="AC799" s="7">
        <v>50</v>
      </c>
      <c r="AD799" s="7">
        <v>70.887748000000002</v>
      </c>
      <c r="AE799" s="7">
        <v>47.258499</v>
      </c>
      <c r="AF799" s="7">
        <v>50</v>
      </c>
      <c r="AG799" s="7">
        <v>60.720967999999999</v>
      </c>
      <c r="AH799" s="7">
        <v>75</v>
      </c>
      <c r="AI799" s="7">
        <v>40.480645000000003</v>
      </c>
      <c r="AJ799" s="7">
        <v>50</v>
      </c>
      <c r="AK799" s="7">
        <v>13.7</v>
      </c>
      <c r="AL799" s="7">
        <v>13.42</v>
      </c>
      <c r="AM799" s="7">
        <v>14.27</v>
      </c>
      <c r="AN799" s="7">
        <v>0.50618200000000002</v>
      </c>
      <c r="AO799" s="7">
        <v>50.618172000000001</v>
      </c>
      <c r="AP799" s="7">
        <v>100</v>
      </c>
      <c r="AQ799" s="7">
        <v>0.72764300000000004</v>
      </c>
      <c r="AR799" s="7">
        <v>72.764268000000001</v>
      </c>
      <c r="AS799" s="7">
        <v>100</v>
      </c>
      <c r="AT799" s="7">
        <v>0.39163999999999999</v>
      </c>
      <c r="AU799" s="7">
        <v>0.55755699999999997</v>
      </c>
      <c r="AV799" s="7">
        <v>39.164020000000001</v>
      </c>
      <c r="AW799" s="7">
        <v>100</v>
      </c>
      <c r="AX799" s="7">
        <v>0.66962200000000005</v>
      </c>
      <c r="AY799" s="7">
        <v>0.75366699999999998</v>
      </c>
      <c r="AZ799" s="7">
        <v>66.962162000000006</v>
      </c>
      <c r="BA799" s="7">
        <v>100</v>
      </c>
      <c r="BB799" s="4" t="s">
        <v>124</v>
      </c>
      <c r="BC799" s="4" t="s">
        <v>124</v>
      </c>
      <c r="BD799" s="4" t="s">
        <v>124</v>
      </c>
      <c r="BE799" s="4" t="s">
        <v>124</v>
      </c>
      <c r="BF799" s="4" t="s">
        <v>124</v>
      </c>
      <c r="BG799" s="4" t="s">
        <v>124</v>
      </c>
      <c r="BH799" s="7">
        <v>0</v>
      </c>
      <c r="BI799" s="7">
        <v>0.97169799999999995</v>
      </c>
      <c r="BJ799" s="7">
        <v>1</v>
      </c>
      <c r="BK799" s="7">
        <v>0.95862099999999995</v>
      </c>
      <c r="BL799" s="7">
        <v>0.97169799999999995</v>
      </c>
      <c r="BM799" s="7">
        <v>1</v>
      </c>
      <c r="BN799" s="7">
        <v>0.95862099999999995</v>
      </c>
      <c r="BO799" s="7">
        <v>0.99019599999999997</v>
      </c>
      <c r="BP799" s="7">
        <v>1</v>
      </c>
      <c r="BQ799" s="7">
        <v>0.98591499999999999</v>
      </c>
      <c r="BR799" s="7">
        <v>6.6037999999999999E-2</v>
      </c>
      <c r="BS799" s="7">
        <v>46.792453000000002</v>
      </c>
      <c r="BT799" s="7">
        <v>50</v>
      </c>
      <c r="BU799" s="7">
        <v>4.3478000000000003E-2</v>
      </c>
      <c r="BV799" s="7">
        <v>50</v>
      </c>
      <c r="BW799" s="7">
        <v>50</v>
      </c>
      <c r="BX799" s="4" t="s">
        <v>124</v>
      </c>
      <c r="BY799" s="4" t="s">
        <v>124</v>
      </c>
      <c r="BZ799" s="4" t="s">
        <v>124</v>
      </c>
      <c r="CA799" s="4" t="s">
        <v>124</v>
      </c>
      <c r="CB799" s="4" t="s">
        <v>124</v>
      </c>
      <c r="CC799" s="4" t="s">
        <v>124</v>
      </c>
      <c r="CD799" s="4" t="s">
        <v>124</v>
      </c>
      <c r="CE799" s="4" t="s">
        <v>124</v>
      </c>
      <c r="CF799" s="4" t="s">
        <v>124</v>
      </c>
      <c r="CG799" s="4" t="s">
        <v>124</v>
      </c>
      <c r="CH799" s="4" t="s">
        <v>124</v>
      </c>
      <c r="CI799" s="4" t="s">
        <v>124</v>
      </c>
      <c r="CJ799" s="4" t="s">
        <v>124</v>
      </c>
      <c r="CK799" s="4" t="s">
        <v>124</v>
      </c>
      <c r="CL799" s="4" t="s">
        <v>124</v>
      </c>
      <c r="CM799" s="4" t="s">
        <v>124</v>
      </c>
      <c r="CN799" s="4" t="s">
        <v>124</v>
      </c>
      <c r="CO799" s="4" t="s">
        <v>124</v>
      </c>
      <c r="CP799" s="4" t="s">
        <v>124</v>
      </c>
      <c r="CQ799" s="7">
        <v>0.84905699999999995</v>
      </c>
      <c r="CR799" s="7">
        <v>0.96363600000000005</v>
      </c>
      <c r="CS799" s="7">
        <v>50</v>
      </c>
      <c r="CT799" s="7">
        <v>50</v>
      </c>
      <c r="CU799" s="4" t="s">
        <v>124</v>
      </c>
      <c r="CV799" s="4" t="s">
        <v>124</v>
      </c>
      <c r="CW799" s="4" t="s">
        <v>124</v>
      </c>
      <c r="CX799" s="4" t="s">
        <v>124</v>
      </c>
      <c r="CY799" s="4" t="s">
        <v>124</v>
      </c>
      <c r="CZ799" s="4" t="s">
        <v>124</v>
      </c>
      <c r="DA799" s="7">
        <v>15.314097</v>
      </c>
      <c r="DB799" s="7">
        <v>17.400950000000002</v>
      </c>
      <c r="DC799" s="7">
        <v>16.332519999999999</v>
      </c>
      <c r="DD799" s="4" t="s">
        <v>124</v>
      </c>
      <c r="DE799" s="7">
        <v>0</v>
      </c>
      <c r="DF799" s="6"/>
      <c r="DG799" s="6"/>
      <c r="DH799" s="6"/>
      <c r="DI799" s="6"/>
      <c r="DJ799" s="7">
        <v>0</v>
      </c>
      <c r="DK799" s="7">
        <v>0</v>
      </c>
      <c r="DL799" s="7">
        <v>0</v>
      </c>
      <c r="DM799" s="7">
        <v>0</v>
      </c>
      <c r="DN799" s="7">
        <v>0</v>
      </c>
      <c r="DO799" s="7">
        <v>0</v>
      </c>
      <c r="DP799" s="6"/>
      <c r="DQ799" s="4" t="s">
        <v>125</v>
      </c>
    </row>
    <row r="800" spans="1:121" ht="20" customHeight="1" x14ac:dyDescent="0.15">
      <c r="A800" s="5">
        <v>2018</v>
      </c>
      <c r="B800" s="3" t="s">
        <v>301</v>
      </c>
      <c r="C800" s="4" t="str">
        <f>"1130011"</f>
        <v>1130011</v>
      </c>
      <c r="D800" s="4" t="s">
        <v>956</v>
      </c>
      <c r="E800" s="4" t="str">
        <f>"1130411"</f>
        <v>1130411</v>
      </c>
      <c r="F800" s="4" t="s">
        <v>327</v>
      </c>
      <c r="G800" s="7">
        <v>2</v>
      </c>
      <c r="H800" s="7">
        <v>4</v>
      </c>
      <c r="I800" s="6"/>
      <c r="J800" s="4" t="s">
        <v>330</v>
      </c>
      <c r="K800" s="7">
        <v>511.38696599999997</v>
      </c>
      <c r="L800" s="7">
        <v>750</v>
      </c>
      <c r="M800" s="7">
        <v>68.184928999999997</v>
      </c>
      <c r="N800" s="7">
        <v>4</v>
      </c>
      <c r="O800" s="7">
        <v>1</v>
      </c>
      <c r="P800" s="7">
        <v>75.857975999999994</v>
      </c>
      <c r="Q800" s="7">
        <v>50</v>
      </c>
      <c r="R800" s="7">
        <v>50</v>
      </c>
      <c r="S800" s="7">
        <v>61.259160000000001</v>
      </c>
      <c r="T800" s="7">
        <v>75</v>
      </c>
      <c r="U800" s="7">
        <v>40.839440000000003</v>
      </c>
      <c r="V800" s="7">
        <v>50</v>
      </c>
      <c r="W800" s="7">
        <v>70.849348000000006</v>
      </c>
      <c r="X800" s="7">
        <v>47.232899000000003</v>
      </c>
      <c r="Y800" s="7">
        <v>50</v>
      </c>
      <c r="Z800" s="7">
        <v>75</v>
      </c>
      <c r="AA800" s="7">
        <v>53.527455000000003</v>
      </c>
      <c r="AB800" s="7">
        <v>35.68497</v>
      </c>
      <c r="AC800" s="7">
        <v>50</v>
      </c>
      <c r="AD800" s="4" t="s">
        <v>124</v>
      </c>
      <c r="AE800" s="4" t="s">
        <v>124</v>
      </c>
      <c r="AF800" s="4" t="s">
        <v>124</v>
      </c>
      <c r="AG800" s="4" t="s">
        <v>124</v>
      </c>
      <c r="AH800" s="4" t="s">
        <v>124</v>
      </c>
      <c r="AI800" s="4" t="s">
        <v>124</v>
      </c>
      <c r="AJ800" s="4" t="s">
        <v>124</v>
      </c>
      <c r="AK800" s="7">
        <v>13.74</v>
      </c>
      <c r="AL800" s="7">
        <v>21.47</v>
      </c>
      <c r="AM800" s="4" t="s">
        <v>124</v>
      </c>
      <c r="AN800" s="7">
        <v>0.58252000000000004</v>
      </c>
      <c r="AO800" s="7">
        <v>58.251992000000001</v>
      </c>
      <c r="AP800" s="7">
        <v>100</v>
      </c>
      <c r="AQ800" s="7">
        <v>0.64982700000000004</v>
      </c>
      <c r="AR800" s="7">
        <v>64.982654999999994</v>
      </c>
      <c r="AS800" s="7">
        <v>100</v>
      </c>
      <c r="AT800" s="7">
        <v>0.39591999999999999</v>
      </c>
      <c r="AU800" s="7">
        <v>0.69518400000000002</v>
      </c>
      <c r="AV800" s="7">
        <v>39.591974</v>
      </c>
      <c r="AW800" s="7">
        <v>100</v>
      </c>
      <c r="AX800" s="7">
        <v>0.46909600000000001</v>
      </c>
      <c r="AY800" s="7">
        <v>0.75894700000000004</v>
      </c>
      <c r="AZ800" s="7">
        <v>46.909621999999999</v>
      </c>
      <c r="BA800" s="7">
        <v>100</v>
      </c>
      <c r="BB800" s="4" t="s">
        <v>124</v>
      </c>
      <c r="BC800" s="4" t="s">
        <v>124</v>
      </c>
      <c r="BD800" s="4" t="s">
        <v>124</v>
      </c>
      <c r="BE800" s="4" t="s">
        <v>124</v>
      </c>
      <c r="BF800" s="4" t="s">
        <v>124</v>
      </c>
      <c r="BG800" s="4" t="s">
        <v>124</v>
      </c>
      <c r="BH800" s="7">
        <v>0</v>
      </c>
      <c r="BI800" s="7">
        <v>0.98969099999999999</v>
      </c>
      <c r="BJ800" s="7">
        <v>1</v>
      </c>
      <c r="BK800" s="7">
        <v>0.98360700000000001</v>
      </c>
      <c r="BL800" s="7">
        <v>0.98969099999999999</v>
      </c>
      <c r="BM800" s="7">
        <v>1</v>
      </c>
      <c r="BN800" s="7">
        <v>0.98360700000000001</v>
      </c>
      <c r="BO800" s="4" t="s">
        <v>124</v>
      </c>
      <c r="BP800" s="4" t="s">
        <v>124</v>
      </c>
      <c r="BQ800" s="4" t="s">
        <v>124</v>
      </c>
      <c r="BR800" s="7">
        <v>5.8824000000000001E-2</v>
      </c>
      <c r="BS800" s="7">
        <v>48.235294000000003</v>
      </c>
      <c r="BT800" s="7">
        <v>50</v>
      </c>
      <c r="BU800" s="7">
        <v>5.5556000000000001E-2</v>
      </c>
      <c r="BV800" s="7">
        <v>48.888888999999999</v>
      </c>
      <c r="BW800" s="7">
        <v>50</v>
      </c>
      <c r="BX800" s="4" t="s">
        <v>124</v>
      </c>
      <c r="BY800" s="4" t="s">
        <v>124</v>
      </c>
      <c r="BZ800" s="4" t="s">
        <v>124</v>
      </c>
      <c r="CA800" s="4" t="s">
        <v>124</v>
      </c>
      <c r="CB800" s="4" t="s">
        <v>124</v>
      </c>
      <c r="CC800" s="4" t="s">
        <v>124</v>
      </c>
      <c r="CD800" s="4" t="s">
        <v>124</v>
      </c>
      <c r="CE800" s="4" t="s">
        <v>124</v>
      </c>
      <c r="CF800" s="4" t="s">
        <v>124</v>
      </c>
      <c r="CG800" s="4" t="s">
        <v>124</v>
      </c>
      <c r="CH800" s="4" t="s">
        <v>124</v>
      </c>
      <c r="CI800" s="4" t="s">
        <v>124</v>
      </c>
      <c r="CJ800" s="4" t="s">
        <v>124</v>
      </c>
      <c r="CK800" s="4" t="s">
        <v>124</v>
      </c>
      <c r="CL800" s="4" t="s">
        <v>124</v>
      </c>
      <c r="CM800" s="4" t="s">
        <v>124</v>
      </c>
      <c r="CN800" s="4" t="s">
        <v>124</v>
      </c>
      <c r="CO800" s="4" t="s">
        <v>124</v>
      </c>
      <c r="CP800" s="4" t="s">
        <v>124</v>
      </c>
      <c r="CQ800" s="7">
        <v>0.461538</v>
      </c>
      <c r="CR800" s="7">
        <v>1.0111110000000001</v>
      </c>
      <c r="CS800" s="7">
        <v>30.769231000000001</v>
      </c>
      <c r="CT800" s="7">
        <v>50</v>
      </c>
      <c r="CU800" s="4" t="s">
        <v>124</v>
      </c>
      <c r="CV800" s="4" t="s">
        <v>124</v>
      </c>
      <c r="CW800" s="4" t="s">
        <v>124</v>
      </c>
      <c r="CX800" s="4" t="s">
        <v>124</v>
      </c>
      <c r="CY800" s="4" t="s">
        <v>124</v>
      </c>
      <c r="CZ800" s="4" t="s">
        <v>124</v>
      </c>
      <c r="DA800" s="7">
        <v>15.314097</v>
      </c>
      <c r="DB800" s="7">
        <v>17.400950000000002</v>
      </c>
      <c r="DC800" s="7">
        <v>16.332519999999999</v>
      </c>
      <c r="DD800" s="4" t="s">
        <v>124</v>
      </c>
      <c r="DE800" s="7">
        <v>1</v>
      </c>
      <c r="DF800" s="4" t="s">
        <v>384</v>
      </c>
      <c r="DG800" s="4" t="s">
        <v>417</v>
      </c>
      <c r="DH800" s="6"/>
      <c r="DI800" s="6"/>
      <c r="DJ800" s="7">
        <v>0</v>
      </c>
      <c r="DK800" s="7">
        <v>0</v>
      </c>
      <c r="DL800" s="7">
        <v>0</v>
      </c>
      <c r="DM800" s="7">
        <v>0</v>
      </c>
      <c r="DN800" s="7">
        <v>0</v>
      </c>
      <c r="DO800" s="7">
        <v>0</v>
      </c>
      <c r="DP800" s="6"/>
      <c r="DQ800" s="4" t="s">
        <v>125</v>
      </c>
    </row>
    <row r="801" spans="1:121" ht="20" customHeight="1" x14ac:dyDescent="0.15">
      <c r="A801" s="5">
        <v>2018</v>
      </c>
      <c r="B801" s="3" t="s">
        <v>301</v>
      </c>
      <c r="C801" s="4" t="str">
        <f>"1130011"</f>
        <v>1130011</v>
      </c>
      <c r="D801" s="4" t="s">
        <v>957</v>
      </c>
      <c r="E801" s="4" t="str">
        <f>"1136111"</f>
        <v>1136111</v>
      </c>
      <c r="F801" s="4" t="s">
        <v>327</v>
      </c>
      <c r="G801" s="7">
        <v>9</v>
      </c>
      <c r="H801" s="7">
        <v>12</v>
      </c>
      <c r="I801" s="6"/>
      <c r="J801" s="4" t="s">
        <v>330</v>
      </c>
      <c r="K801" s="7">
        <v>1203.0226600000001</v>
      </c>
      <c r="L801" s="7">
        <v>1450</v>
      </c>
      <c r="M801" s="7">
        <v>82.967079999999996</v>
      </c>
      <c r="N801" s="7">
        <v>3</v>
      </c>
      <c r="O801" s="7">
        <v>1</v>
      </c>
      <c r="P801" s="7">
        <v>59.144317000000001</v>
      </c>
      <c r="Q801" s="7">
        <v>118.288633</v>
      </c>
      <c r="R801" s="7">
        <v>150</v>
      </c>
      <c r="S801" s="7">
        <v>47.079059999999998</v>
      </c>
      <c r="T801" s="7">
        <v>64.286884999999998</v>
      </c>
      <c r="U801" s="7">
        <v>94.158119999999997</v>
      </c>
      <c r="V801" s="7">
        <v>150</v>
      </c>
      <c r="W801" s="7">
        <v>58.104725000000002</v>
      </c>
      <c r="X801" s="7">
        <v>116.209451</v>
      </c>
      <c r="Y801" s="7">
        <v>150</v>
      </c>
      <c r="Z801" s="7">
        <v>63.926229999999997</v>
      </c>
      <c r="AA801" s="7">
        <v>44.446581000000002</v>
      </c>
      <c r="AB801" s="7">
        <v>88.893162000000004</v>
      </c>
      <c r="AC801" s="7">
        <v>150</v>
      </c>
      <c r="AD801" s="7">
        <v>67.805173999999994</v>
      </c>
      <c r="AE801" s="7">
        <v>90.406898999999996</v>
      </c>
      <c r="AF801" s="7">
        <v>100</v>
      </c>
      <c r="AG801" s="7">
        <v>56.321756000000001</v>
      </c>
      <c r="AH801" s="7">
        <v>73.164102999999997</v>
      </c>
      <c r="AI801" s="7">
        <v>75.095674000000002</v>
      </c>
      <c r="AJ801" s="7">
        <v>100</v>
      </c>
      <c r="AK801" s="7">
        <v>17.2</v>
      </c>
      <c r="AL801" s="7">
        <v>19.47</v>
      </c>
      <c r="AM801" s="7">
        <v>16.84</v>
      </c>
      <c r="AN801" s="4" t="s">
        <v>124</v>
      </c>
      <c r="AO801" s="4" t="s">
        <v>124</v>
      </c>
      <c r="AP801" s="4" t="s">
        <v>124</v>
      </c>
      <c r="AQ801" s="4" t="s">
        <v>124</v>
      </c>
      <c r="AR801" s="4" t="s">
        <v>124</v>
      </c>
      <c r="AS801" s="4" t="s">
        <v>124</v>
      </c>
      <c r="AT801" s="4" t="s">
        <v>124</v>
      </c>
      <c r="AU801" s="4" t="s">
        <v>124</v>
      </c>
      <c r="AV801" s="4" t="s">
        <v>124</v>
      </c>
      <c r="AW801" s="4" t="s">
        <v>124</v>
      </c>
      <c r="AX801" s="4" t="s">
        <v>124</v>
      </c>
      <c r="AY801" s="4" t="s">
        <v>124</v>
      </c>
      <c r="AZ801" s="4" t="s">
        <v>124</v>
      </c>
      <c r="BA801" s="4" t="s">
        <v>124</v>
      </c>
      <c r="BB801" s="4" t="s">
        <v>124</v>
      </c>
      <c r="BC801" s="4" t="s">
        <v>124</v>
      </c>
      <c r="BD801" s="4" t="s">
        <v>124</v>
      </c>
      <c r="BE801" s="4" t="s">
        <v>124</v>
      </c>
      <c r="BF801" s="4" t="s">
        <v>124</v>
      </c>
      <c r="BG801" s="4" t="s">
        <v>124</v>
      </c>
      <c r="BH801" s="7">
        <v>1</v>
      </c>
      <c r="BI801" s="7">
        <v>0.97802199999999995</v>
      </c>
      <c r="BJ801" s="7">
        <v>0.93333299999999997</v>
      </c>
      <c r="BK801" s="7">
        <v>1</v>
      </c>
      <c r="BL801" s="7">
        <v>0.97802199999999995</v>
      </c>
      <c r="BM801" s="7">
        <v>0.93333299999999997</v>
      </c>
      <c r="BN801" s="7">
        <v>1</v>
      </c>
      <c r="BO801" s="7">
        <v>0.97802199999999995</v>
      </c>
      <c r="BP801" s="7">
        <v>0.96666700000000005</v>
      </c>
      <c r="BQ801" s="7">
        <v>0.98360700000000001</v>
      </c>
      <c r="BR801" s="7">
        <v>4.9350999999999999E-2</v>
      </c>
      <c r="BS801" s="7">
        <v>50</v>
      </c>
      <c r="BT801" s="7">
        <v>50</v>
      </c>
      <c r="BU801" s="7">
        <v>5.5556000000000001E-2</v>
      </c>
      <c r="BV801" s="7">
        <v>48.888888999999999</v>
      </c>
      <c r="BW801" s="7">
        <v>50</v>
      </c>
      <c r="BX801" s="7">
        <v>0.868421</v>
      </c>
      <c r="BY801" s="7">
        <v>50</v>
      </c>
      <c r="BZ801" s="7">
        <v>50</v>
      </c>
      <c r="CA801" s="7">
        <v>0.54210499999999995</v>
      </c>
      <c r="CB801" s="7">
        <v>36.140351000000003</v>
      </c>
      <c r="CC801" s="7">
        <v>50</v>
      </c>
      <c r="CD801" s="7">
        <v>0.93939399999999995</v>
      </c>
      <c r="CE801" s="7">
        <v>49.967762999999998</v>
      </c>
      <c r="CF801" s="7">
        <v>50</v>
      </c>
      <c r="CG801" s="7">
        <v>0.92857100000000004</v>
      </c>
      <c r="CH801" s="7">
        <v>98.784194999999997</v>
      </c>
      <c r="CI801" s="7">
        <v>100</v>
      </c>
      <c r="CJ801" s="7">
        <v>0</v>
      </c>
      <c r="CK801" s="7">
        <v>0.91304300000000005</v>
      </c>
      <c r="CL801" s="7">
        <v>97.132284999999996</v>
      </c>
      <c r="CM801" s="7">
        <v>100</v>
      </c>
      <c r="CN801" s="7">
        <v>0.81012700000000004</v>
      </c>
      <c r="CO801" s="7">
        <v>100</v>
      </c>
      <c r="CP801" s="7">
        <v>100</v>
      </c>
      <c r="CQ801" s="7">
        <v>0.58585900000000002</v>
      </c>
      <c r="CR801" s="7">
        <v>1.0102040000000001</v>
      </c>
      <c r="CS801" s="7">
        <v>39.057239000000003</v>
      </c>
      <c r="CT801" s="7">
        <v>50</v>
      </c>
      <c r="CU801" s="7">
        <v>0.80779199999999995</v>
      </c>
      <c r="CV801" s="7">
        <v>50</v>
      </c>
      <c r="CW801" s="7">
        <v>50</v>
      </c>
      <c r="CX801" s="7">
        <v>0.91304300000000005</v>
      </c>
      <c r="CY801" s="7">
        <v>0.94</v>
      </c>
      <c r="CZ801" s="7">
        <v>2.6956999999999998E-2</v>
      </c>
      <c r="DA801" s="7">
        <v>15.314097</v>
      </c>
      <c r="DB801" s="7">
        <v>17.400950000000002</v>
      </c>
      <c r="DC801" s="7">
        <v>16.332519999999999</v>
      </c>
      <c r="DD801" s="7">
        <v>7.9891730000000001</v>
      </c>
      <c r="DE801" s="7">
        <v>1</v>
      </c>
      <c r="DF801" s="6"/>
      <c r="DG801" s="6"/>
      <c r="DH801" s="6"/>
      <c r="DI801" s="6"/>
      <c r="DJ801" s="7">
        <v>0</v>
      </c>
      <c r="DK801" s="7">
        <v>0</v>
      </c>
      <c r="DL801" s="7">
        <v>0</v>
      </c>
      <c r="DM801" s="7">
        <v>0</v>
      </c>
      <c r="DN801" s="7">
        <v>0</v>
      </c>
      <c r="DO801" s="7">
        <v>0</v>
      </c>
      <c r="DP801" s="6"/>
      <c r="DQ801" s="4" t="s">
        <v>125</v>
      </c>
    </row>
    <row r="802" spans="1:121" ht="20" customHeight="1" x14ac:dyDescent="0.15">
      <c r="A802" s="5">
        <v>2018</v>
      </c>
      <c r="B802" s="3" t="s">
        <v>301</v>
      </c>
      <c r="C802" s="4" t="str">
        <f>"1130011"</f>
        <v>1130011</v>
      </c>
      <c r="D802" s="4" t="s">
        <v>958</v>
      </c>
      <c r="E802" s="4" t="str">
        <f>"1135111"</f>
        <v>1135111</v>
      </c>
      <c r="F802" s="4" t="s">
        <v>327</v>
      </c>
      <c r="G802" s="7">
        <v>7</v>
      </c>
      <c r="H802" s="7">
        <v>8</v>
      </c>
      <c r="I802" s="6"/>
      <c r="J802" s="4" t="s">
        <v>330</v>
      </c>
      <c r="K802" s="7">
        <v>690.18517899999995</v>
      </c>
      <c r="L802" s="7">
        <v>900</v>
      </c>
      <c r="M802" s="7">
        <v>76.687241999999998</v>
      </c>
      <c r="N802" s="7">
        <v>2</v>
      </c>
      <c r="O802" s="7">
        <v>0</v>
      </c>
      <c r="P802" s="7">
        <v>76.068037000000004</v>
      </c>
      <c r="Q802" s="7">
        <v>50</v>
      </c>
      <c r="R802" s="7">
        <v>50</v>
      </c>
      <c r="S802" s="7">
        <v>64.296578999999994</v>
      </c>
      <c r="T802" s="7">
        <v>75</v>
      </c>
      <c r="U802" s="7">
        <v>42.864386000000003</v>
      </c>
      <c r="V802" s="7">
        <v>50</v>
      </c>
      <c r="W802" s="7">
        <v>72.303605000000005</v>
      </c>
      <c r="X802" s="7">
        <v>48.202404000000001</v>
      </c>
      <c r="Y802" s="7">
        <v>50</v>
      </c>
      <c r="Z802" s="7">
        <v>75</v>
      </c>
      <c r="AA802" s="7">
        <v>59.640749</v>
      </c>
      <c r="AB802" s="7">
        <v>39.760499000000003</v>
      </c>
      <c r="AC802" s="7">
        <v>50</v>
      </c>
      <c r="AD802" s="7">
        <v>70.818185</v>
      </c>
      <c r="AE802" s="7">
        <v>47.212122999999998</v>
      </c>
      <c r="AF802" s="7">
        <v>50</v>
      </c>
      <c r="AG802" s="7">
        <v>60.393388000000002</v>
      </c>
      <c r="AH802" s="7">
        <v>75</v>
      </c>
      <c r="AI802" s="7">
        <v>40.262259</v>
      </c>
      <c r="AJ802" s="7">
        <v>50</v>
      </c>
      <c r="AK802" s="7">
        <v>10.7</v>
      </c>
      <c r="AL802" s="7">
        <v>15.35</v>
      </c>
      <c r="AM802" s="7">
        <v>14.6</v>
      </c>
      <c r="AN802" s="7">
        <v>0.646007</v>
      </c>
      <c r="AO802" s="7">
        <v>64.600684999999999</v>
      </c>
      <c r="AP802" s="7">
        <v>100</v>
      </c>
      <c r="AQ802" s="7">
        <v>0.67286100000000004</v>
      </c>
      <c r="AR802" s="7">
        <v>67.286073999999999</v>
      </c>
      <c r="AS802" s="7">
        <v>100</v>
      </c>
      <c r="AT802" s="7">
        <v>0.57453699999999996</v>
      </c>
      <c r="AU802" s="7">
        <v>0.68404699999999996</v>
      </c>
      <c r="AV802" s="7">
        <v>57.453727000000001</v>
      </c>
      <c r="AW802" s="7">
        <v>100</v>
      </c>
      <c r="AX802" s="7">
        <v>0.65538700000000005</v>
      </c>
      <c r="AY802" s="7">
        <v>0.68201999999999996</v>
      </c>
      <c r="AZ802" s="7">
        <v>65.538736</v>
      </c>
      <c r="BA802" s="7">
        <v>100</v>
      </c>
      <c r="BB802" s="4" t="s">
        <v>124</v>
      </c>
      <c r="BC802" s="4" t="s">
        <v>124</v>
      </c>
      <c r="BD802" s="4" t="s">
        <v>124</v>
      </c>
      <c r="BE802" s="4" t="s">
        <v>124</v>
      </c>
      <c r="BF802" s="4" t="s">
        <v>124</v>
      </c>
      <c r="BG802" s="4" t="s">
        <v>124</v>
      </c>
      <c r="BH802" s="7">
        <v>0</v>
      </c>
      <c r="BI802" s="7">
        <v>0.98039200000000004</v>
      </c>
      <c r="BJ802" s="7">
        <v>0.98666699999999996</v>
      </c>
      <c r="BK802" s="7">
        <v>0.97674399999999995</v>
      </c>
      <c r="BL802" s="7">
        <v>0.97548999999999997</v>
      </c>
      <c r="BM802" s="7">
        <v>0.973333</v>
      </c>
      <c r="BN802" s="7">
        <v>0.97674399999999995</v>
      </c>
      <c r="BO802" s="7">
        <v>0.99114999999999998</v>
      </c>
      <c r="BP802" s="7">
        <v>0.97619</v>
      </c>
      <c r="BQ802" s="7">
        <v>1</v>
      </c>
      <c r="BR802" s="7">
        <v>8.3333000000000004E-2</v>
      </c>
      <c r="BS802" s="7">
        <v>43.333333000000003</v>
      </c>
      <c r="BT802" s="7">
        <v>50</v>
      </c>
      <c r="BU802" s="7">
        <v>6.7568000000000003E-2</v>
      </c>
      <c r="BV802" s="7">
        <v>46.486485999999999</v>
      </c>
      <c r="BW802" s="7">
        <v>50</v>
      </c>
      <c r="BX802" s="4" t="s">
        <v>124</v>
      </c>
      <c r="BY802" s="4" t="s">
        <v>124</v>
      </c>
      <c r="BZ802" s="4" t="s">
        <v>124</v>
      </c>
      <c r="CA802" s="4" t="s">
        <v>124</v>
      </c>
      <c r="CB802" s="4" t="s">
        <v>124</v>
      </c>
      <c r="CC802" s="4" t="s">
        <v>124</v>
      </c>
      <c r="CD802" s="7">
        <v>0.95098000000000005</v>
      </c>
      <c r="CE802" s="7">
        <v>50</v>
      </c>
      <c r="CF802" s="7">
        <v>50</v>
      </c>
      <c r="CG802" s="4" t="s">
        <v>124</v>
      </c>
      <c r="CH802" s="4" t="s">
        <v>124</v>
      </c>
      <c r="CI802" s="4" t="s">
        <v>124</v>
      </c>
      <c r="CJ802" s="4" t="s">
        <v>124</v>
      </c>
      <c r="CK802" s="4" t="s">
        <v>124</v>
      </c>
      <c r="CL802" s="4" t="s">
        <v>124</v>
      </c>
      <c r="CM802" s="4" t="s">
        <v>124</v>
      </c>
      <c r="CN802" s="4" t="s">
        <v>124</v>
      </c>
      <c r="CO802" s="4" t="s">
        <v>124</v>
      </c>
      <c r="CP802" s="4" t="s">
        <v>124</v>
      </c>
      <c r="CQ802" s="7">
        <v>0.40776699999999999</v>
      </c>
      <c r="CR802" s="7">
        <v>0.91150399999999998</v>
      </c>
      <c r="CS802" s="7">
        <v>27.184466</v>
      </c>
      <c r="CT802" s="7">
        <v>50</v>
      </c>
      <c r="CU802" s="4" t="s">
        <v>124</v>
      </c>
      <c r="CV802" s="4" t="s">
        <v>124</v>
      </c>
      <c r="CW802" s="4" t="s">
        <v>124</v>
      </c>
      <c r="CX802" s="4" t="s">
        <v>124</v>
      </c>
      <c r="CY802" s="4" t="s">
        <v>124</v>
      </c>
      <c r="CZ802" s="4" t="s">
        <v>124</v>
      </c>
      <c r="DA802" s="7">
        <v>15.314097</v>
      </c>
      <c r="DB802" s="7">
        <v>17.400950000000002</v>
      </c>
      <c r="DC802" s="7">
        <v>16.332519999999999</v>
      </c>
      <c r="DD802" s="4" t="s">
        <v>124</v>
      </c>
      <c r="DE802" s="7">
        <v>0</v>
      </c>
      <c r="DF802" s="6"/>
      <c r="DG802" s="6"/>
      <c r="DH802" s="6"/>
      <c r="DI802" s="6"/>
      <c r="DJ802" s="7">
        <v>0</v>
      </c>
      <c r="DK802" s="7">
        <v>0</v>
      </c>
      <c r="DL802" s="7">
        <v>0</v>
      </c>
      <c r="DM802" s="7">
        <v>0</v>
      </c>
      <c r="DN802" s="7">
        <v>0</v>
      </c>
      <c r="DO802" s="7">
        <v>0</v>
      </c>
      <c r="DP802" s="6"/>
      <c r="DQ802" s="4" t="s">
        <v>125</v>
      </c>
    </row>
    <row r="803" spans="1:121" ht="20" customHeight="1" x14ac:dyDescent="0.15">
      <c r="A803" s="5">
        <v>2018</v>
      </c>
      <c r="B803" s="3" t="s">
        <v>301</v>
      </c>
      <c r="C803" s="4" t="str">
        <f>"1130011"</f>
        <v>1130011</v>
      </c>
      <c r="D803" s="4" t="s">
        <v>959</v>
      </c>
      <c r="E803" s="4" t="str">
        <f>"1130211"</f>
        <v>1130211</v>
      </c>
      <c r="F803" s="4" t="s">
        <v>327</v>
      </c>
      <c r="G803" s="4" t="s">
        <v>328</v>
      </c>
      <c r="H803" s="7">
        <v>1</v>
      </c>
      <c r="I803" s="4" t="s">
        <v>329</v>
      </c>
      <c r="J803" s="4" t="s">
        <v>330</v>
      </c>
      <c r="K803" s="7">
        <v>79.392944999999997</v>
      </c>
      <c r="L803" s="7">
        <v>100</v>
      </c>
      <c r="M803" s="7">
        <v>79.392944999999997</v>
      </c>
      <c r="N803" s="4" t="s">
        <v>124</v>
      </c>
      <c r="O803" s="4" t="s">
        <v>124</v>
      </c>
      <c r="P803" s="4" t="s">
        <v>124</v>
      </c>
      <c r="Q803" s="4" t="s">
        <v>124</v>
      </c>
      <c r="R803" s="4" t="s">
        <v>124</v>
      </c>
      <c r="S803" s="4" t="s">
        <v>124</v>
      </c>
      <c r="T803" s="4" t="s">
        <v>124</v>
      </c>
      <c r="U803" s="4" t="s">
        <v>124</v>
      </c>
      <c r="V803" s="4" t="s">
        <v>124</v>
      </c>
      <c r="W803" s="4" t="s">
        <v>124</v>
      </c>
      <c r="X803" s="4" t="s">
        <v>124</v>
      </c>
      <c r="Y803" s="4" t="s">
        <v>124</v>
      </c>
      <c r="Z803" s="4" t="s">
        <v>124</v>
      </c>
      <c r="AA803" s="4" t="s">
        <v>124</v>
      </c>
      <c r="AB803" s="4" t="s">
        <v>124</v>
      </c>
      <c r="AC803" s="4" t="s">
        <v>124</v>
      </c>
      <c r="AD803" s="4" t="s">
        <v>124</v>
      </c>
      <c r="AE803" s="4" t="s">
        <v>124</v>
      </c>
      <c r="AF803" s="4" t="s">
        <v>124</v>
      </c>
      <c r="AG803" s="4" t="s">
        <v>124</v>
      </c>
      <c r="AH803" s="4" t="s">
        <v>124</v>
      </c>
      <c r="AI803" s="4" t="s">
        <v>124</v>
      </c>
      <c r="AJ803" s="4" t="s">
        <v>124</v>
      </c>
      <c r="AK803" s="4" t="s">
        <v>124</v>
      </c>
      <c r="AL803" s="4" t="s">
        <v>124</v>
      </c>
      <c r="AM803" s="4" t="s">
        <v>124</v>
      </c>
      <c r="AN803" s="4" t="s">
        <v>124</v>
      </c>
      <c r="AO803" s="4" t="s">
        <v>124</v>
      </c>
      <c r="AP803" s="4" t="s">
        <v>124</v>
      </c>
      <c r="AQ803" s="4" t="s">
        <v>124</v>
      </c>
      <c r="AR803" s="4" t="s">
        <v>124</v>
      </c>
      <c r="AS803" s="4" t="s">
        <v>124</v>
      </c>
      <c r="AT803" s="4" t="s">
        <v>124</v>
      </c>
      <c r="AU803" s="4" t="s">
        <v>124</v>
      </c>
      <c r="AV803" s="4" t="s">
        <v>124</v>
      </c>
      <c r="AW803" s="4" t="s">
        <v>124</v>
      </c>
      <c r="AX803" s="4" t="s">
        <v>124</v>
      </c>
      <c r="AY803" s="4" t="s">
        <v>124</v>
      </c>
      <c r="AZ803" s="4" t="s">
        <v>124</v>
      </c>
      <c r="BA803" s="4" t="s">
        <v>124</v>
      </c>
      <c r="BB803" s="4" t="s">
        <v>124</v>
      </c>
      <c r="BC803" s="4" t="s">
        <v>124</v>
      </c>
      <c r="BD803" s="4" t="s">
        <v>124</v>
      </c>
      <c r="BE803" s="4" t="s">
        <v>124</v>
      </c>
      <c r="BF803" s="4" t="s">
        <v>124</v>
      </c>
      <c r="BG803" s="4" t="s">
        <v>124</v>
      </c>
      <c r="BH803" s="4" t="s">
        <v>124</v>
      </c>
      <c r="BI803" s="4" t="s">
        <v>124</v>
      </c>
      <c r="BJ803" s="4" t="s">
        <v>124</v>
      </c>
      <c r="BK803" s="4" t="s">
        <v>124</v>
      </c>
      <c r="BL803" s="4" t="s">
        <v>124</v>
      </c>
      <c r="BM803" s="4" t="s">
        <v>124</v>
      </c>
      <c r="BN803" s="4" t="s">
        <v>124</v>
      </c>
      <c r="BO803" s="4" t="s">
        <v>124</v>
      </c>
      <c r="BP803" s="4" t="s">
        <v>124</v>
      </c>
      <c r="BQ803" s="4" t="s">
        <v>124</v>
      </c>
      <c r="BR803" s="7">
        <v>0.108696</v>
      </c>
      <c r="BS803" s="7">
        <v>38.260869999999997</v>
      </c>
      <c r="BT803" s="7">
        <v>50</v>
      </c>
      <c r="BU803" s="7">
        <v>9.4339999999999993E-2</v>
      </c>
      <c r="BV803" s="7">
        <v>41.132075</v>
      </c>
      <c r="BW803" s="7">
        <v>50</v>
      </c>
      <c r="BX803" s="4" t="s">
        <v>124</v>
      </c>
      <c r="BY803" s="4" t="s">
        <v>124</v>
      </c>
      <c r="BZ803" s="4" t="s">
        <v>124</v>
      </c>
      <c r="CA803" s="4" t="s">
        <v>124</v>
      </c>
      <c r="CB803" s="4" t="s">
        <v>124</v>
      </c>
      <c r="CC803" s="4" t="s">
        <v>124</v>
      </c>
      <c r="CD803" s="4" t="s">
        <v>124</v>
      </c>
      <c r="CE803" s="4" t="s">
        <v>124</v>
      </c>
      <c r="CF803" s="4" t="s">
        <v>124</v>
      </c>
      <c r="CG803" s="4" t="s">
        <v>124</v>
      </c>
      <c r="CH803" s="4" t="s">
        <v>124</v>
      </c>
      <c r="CI803" s="4" t="s">
        <v>124</v>
      </c>
      <c r="CJ803" s="4" t="s">
        <v>124</v>
      </c>
      <c r="CK803" s="4" t="s">
        <v>124</v>
      </c>
      <c r="CL803" s="4" t="s">
        <v>124</v>
      </c>
      <c r="CM803" s="4" t="s">
        <v>124</v>
      </c>
      <c r="CN803" s="4" t="s">
        <v>124</v>
      </c>
      <c r="CO803" s="4" t="s">
        <v>124</v>
      </c>
      <c r="CP803" s="4" t="s">
        <v>124</v>
      </c>
      <c r="CQ803" s="4" t="s">
        <v>124</v>
      </c>
      <c r="CR803" s="4" t="s">
        <v>124</v>
      </c>
      <c r="CS803" s="4" t="s">
        <v>124</v>
      </c>
      <c r="CT803" s="4" t="s">
        <v>124</v>
      </c>
      <c r="CU803" s="4" t="s">
        <v>124</v>
      </c>
      <c r="CV803" s="4" t="s">
        <v>124</v>
      </c>
      <c r="CW803" s="4" t="s">
        <v>124</v>
      </c>
      <c r="CX803" s="4" t="s">
        <v>124</v>
      </c>
      <c r="CY803" s="4" t="s">
        <v>124</v>
      </c>
      <c r="CZ803" s="4" t="s">
        <v>124</v>
      </c>
      <c r="DA803" s="4" t="s">
        <v>124</v>
      </c>
      <c r="DB803" s="4" t="s">
        <v>124</v>
      </c>
      <c r="DC803" s="4" t="s">
        <v>124</v>
      </c>
      <c r="DD803" s="4" t="s">
        <v>124</v>
      </c>
      <c r="DE803" s="4" t="s">
        <v>124</v>
      </c>
      <c r="DF803" s="6"/>
      <c r="DG803" s="6"/>
      <c r="DH803" s="6"/>
      <c r="DI803" s="6"/>
      <c r="DJ803" s="4" t="s">
        <v>124</v>
      </c>
      <c r="DK803" s="4" t="s">
        <v>124</v>
      </c>
      <c r="DL803" s="4" t="s">
        <v>124</v>
      </c>
      <c r="DM803" s="4" t="s">
        <v>124</v>
      </c>
      <c r="DN803" s="4" t="s">
        <v>124</v>
      </c>
      <c r="DO803" s="4" t="s">
        <v>124</v>
      </c>
      <c r="DP803" s="6"/>
      <c r="DQ803" s="4" t="s">
        <v>125</v>
      </c>
    </row>
    <row r="804" spans="1:121" ht="20" customHeight="1" x14ac:dyDescent="0.15">
      <c r="A804" s="5">
        <v>2018</v>
      </c>
      <c r="B804" s="3" t="s">
        <v>302</v>
      </c>
      <c r="C804" s="4" t="str">
        <f t="shared" si="173"/>
        <v>1140011</v>
      </c>
      <c r="D804" s="4" t="s">
        <v>960</v>
      </c>
      <c r="E804" s="4" t="str">
        <f>"1145111"</f>
        <v>1145111</v>
      </c>
      <c r="F804" s="4" t="s">
        <v>327</v>
      </c>
      <c r="G804" s="7">
        <v>6</v>
      </c>
      <c r="H804" s="7">
        <v>8</v>
      </c>
      <c r="I804" s="4" t="s">
        <v>329</v>
      </c>
      <c r="J804" s="4" t="s">
        <v>330</v>
      </c>
      <c r="K804" s="7">
        <v>612.62153899999998</v>
      </c>
      <c r="L804" s="7">
        <v>850</v>
      </c>
      <c r="M804" s="7">
        <v>72.073121999999998</v>
      </c>
      <c r="N804" s="7">
        <v>2</v>
      </c>
      <c r="O804" s="7">
        <v>0</v>
      </c>
      <c r="P804" s="7">
        <v>68.152530999999996</v>
      </c>
      <c r="Q804" s="7">
        <v>45.435020999999999</v>
      </c>
      <c r="R804" s="7">
        <v>50</v>
      </c>
      <c r="S804" s="7">
        <v>62.407201999999998</v>
      </c>
      <c r="T804" s="7">
        <v>72.167338999999998</v>
      </c>
      <c r="U804" s="7">
        <v>41.604801000000002</v>
      </c>
      <c r="V804" s="7">
        <v>50</v>
      </c>
      <c r="W804" s="7">
        <v>65.38158</v>
      </c>
      <c r="X804" s="7">
        <v>43.587719999999997</v>
      </c>
      <c r="Y804" s="7">
        <v>50</v>
      </c>
      <c r="Z804" s="7">
        <v>69.912766000000005</v>
      </c>
      <c r="AA804" s="7">
        <v>58.897297000000002</v>
      </c>
      <c r="AB804" s="7">
        <v>39.264865</v>
      </c>
      <c r="AC804" s="7">
        <v>50</v>
      </c>
      <c r="AD804" s="7">
        <v>62.416727999999999</v>
      </c>
      <c r="AE804" s="7">
        <v>41.611151999999997</v>
      </c>
      <c r="AF804" s="7">
        <v>50</v>
      </c>
      <c r="AG804" s="4" t="s">
        <v>124</v>
      </c>
      <c r="AH804" s="7">
        <v>66.126436999999996</v>
      </c>
      <c r="AI804" s="4" t="s">
        <v>124</v>
      </c>
      <c r="AJ804" s="4" t="s">
        <v>124</v>
      </c>
      <c r="AK804" s="7">
        <v>9.76</v>
      </c>
      <c r="AL804" s="7">
        <v>11.01</v>
      </c>
      <c r="AM804" s="4" t="s">
        <v>124</v>
      </c>
      <c r="AN804" s="7">
        <v>0.55146200000000001</v>
      </c>
      <c r="AO804" s="7">
        <v>55.146222000000002</v>
      </c>
      <c r="AP804" s="7">
        <v>100</v>
      </c>
      <c r="AQ804" s="7">
        <v>0.65205500000000005</v>
      </c>
      <c r="AR804" s="7">
        <v>65.205483999999998</v>
      </c>
      <c r="AS804" s="7">
        <v>100</v>
      </c>
      <c r="AT804" s="7">
        <v>0.52788800000000002</v>
      </c>
      <c r="AU804" s="7">
        <v>0.56577500000000003</v>
      </c>
      <c r="AV804" s="7">
        <v>52.788755000000002</v>
      </c>
      <c r="AW804" s="7">
        <v>100</v>
      </c>
      <c r="AX804" s="7">
        <v>0.56418199999999996</v>
      </c>
      <c r="AY804" s="7">
        <v>0.70540599999999998</v>
      </c>
      <c r="AZ804" s="7">
        <v>56.418197999999997</v>
      </c>
      <c r="BA804" s="7">
        <v>100</v>
      </c>
      <c r="BB804" s="4" t="s">
        <v>124</v>
      </c>
      <c r="BC804" s="4" t="s">
        <v>124</v>
      </c>
      <c r="BD804" s="4" t="s">
        <v>124</v>
      </c>
      <c r="BE804" s="4" t="s">
        <v>124</v>
      </c>
      <c r="BF804" s="4" t="s">
        <v>124</v>
      </c>
      <c r="BG804" s="4" t="s">
        <v>124</v>
      </c>
      <c r="BH804" s="7">
        <v>0</v>
      </c>
      <c r="BI804" s="7">
        <v>1</v>
      </c>
      <c r="BJ804" s="7">
        <v>1</v>
      </c>
      <c r="BK804" s="7">
        <v>1</v>
      </c>
      <c r="BL804" s="7">
        <v>1</v>
      </c>
      <c r="BM804" s="7">
        <v>1</v>
      </c>
      <c r="BN804" s="7">
        <v>1</v>
      </c>
      <c r="BO804" s="7">
        <v>1</v>
      </c>
      <c r="BP804" s="4" t="s">
        <v>124</v>
      </c>
      <c r="BQ804" s="7">
        <v>1</v>
      </c>
      <c r="BR804" s="7">
        <v>6.1643999999999997E-2</v>
      </c>
      <c r="BS804" s="7">
        <v>47.671233000000001</v>
      </c>
      <c r="BT804" s="7">
        <v>50</v>
      </c>
      <c r="BU804" s="7">
        <v>9.6773999999999999E-2</v>
      </c>
      <c r="BV804" s="7">
        <v>40.645161000000002</v>
      </c>
      <c r="BW804" s="7">
        <v>50</v>
      </c>
      <c r="BX804" s="4" t="s">
        <v>124</v>
      </c>
      <c r="BY804" s="4" t="s">
        <v>124</v>
      </c>
      <c r="BZ804" s="4" t="s">
        <v>124</v>
      </c>
      <c r="CA804" s="4" t="s">
        <v>124</v>
      </c>
      <c r="CB804" s="4" t="s">
        <v>124</v>
      </c>
      <c r="CC804" s="4" t="s">
        <v>124</v>
      </c>
      <c r="CD804" s="7">
        <v>0.91891900000000004</v>
      </c>
      <c r="CE804" s="7">
        <v>48.878666000000003</v>
      </c>
      <c r="CF804" s="7">
        <v>50</v>
      </c>
      <c r="CG804" s="4" t="s">
        <v>124</v>
      </c>
      <c r="CH804" s="4" t="s">
        <v>124</v>
      </c>
      <c r="CI804" s="4" t="s">
        <v>124</v>
      </c>
      <c r="CJ804" s="4" t="s">
        <v>124</v>
      </c>
      <c r="CK804" s="4" t="s">
        <v>124</v>
      </c>
      <c r="CL804" s="4" t="s">
        <v>124</v>
      </c>
      <c r="CM804" s="4" t="s">
        <v>124</v>
      </c>
      <c r="CN804" s="4" t="s">
        <v>124</v>
      </c>
      <c r="CO804" s="4" t="s">
        <v>124</v>
      </c>
      <c r="CP804" s="4" t="s">
        <v>124</v>
      </c>
      <c r="CQ804" s="7">
        <v>0.51546400000000003</v>
      </c>
      <c r="CR804" s="7">
        <v>0.97</v>
      </c>
      <c r="CS804" s="7">
        <v>34.364260999999999</v>
      </c>
      <c r="CT804" s="7">
        <v>50</v>
      </c>
      <c r="CU804" s="4" t="s">
        <v>124</v>
      </c>
      <c r="CV804" s="4" t="s">
        <v>124</v>
      </c>
      <c r="CW804" s="4" t="s">
        <v>124</v>
      </c>
      <c r="CX804" s="4" t="s">
        <v>124</v>
      </c>
      <c r="CY804" s="4" t="s">
        <v>124</v>
      </c>
      <c r="CZ804" s="4" t="s">
        <v>124</v>
      </c>
      <c r="DA804" s="7">
        <v>15.314097</v>
      </c>
      <c r="DB804" s="7">
        <v>17.400950000000002</v>
      </c>
      <c r="DC804" s="7">
        <v>16.332519999999999</v>
      </c>
      <c r="DD804" s="4" t="s">
        <v>124</v>
      </c>
      <c r="DE804" s="7">
        <v>0</v>
      </c>
      <c r="DF804" s="6"/>
      <c r="DG804" s="6"/>
      <c r="DH804" s="6"/>
      <c r="DI804" s="6"/>
      <c r="DJ804" s="7">
        <v>0</v>
      </c>
      <c r="DK804" s="7">
        <v>0</v>
      </c>
      <c r="DL804" s="7">
        <v>0</v>
      </c>
      <c r="DM804" s="7">
        <v>0</v>
      </c>
      <c r="DN804" s="7">
        <v>0</v>
      </c>
      <c r="DO804" s="7">
        <v>0</v>
      </c>
      <c r="DP804" s="6"/>
      <c r="DQ804" s="4" t="s">
        <v>125</v>
      </c>
    </row>
    <row r="805" spans="1:121" ht="20" customHeight="1" x14ac:dyDescent="0.15">
      <c r="A805" s="5">
        <v>2018</v>
      </c>
      <c r="B805" s="3" t="s">
        <v>302</v>
      </c>
      <c r="C805" s="4" t="str">
        <f>"1140011"</f>
        <v>1140011</v>
      </c>
      <c r="D805" s="4" t="s">
        <v>961</v>
      </c>
      <c r="E805" s="4" t="str">
        <f>"1140411"</f>
        <v>1140411</v>
      </c>
      <c r="F805" s="4" t="s">
        <v>327</v>
      </c>
      <c r="G805" s="4" t="s">
        <v>328</v>
      </c>
      <c r="H805" s="7">
        <v>5</v>
      </c>
      <c r="I805" s="4" t="s">
        <v>329</v>
      </c>
      <c r="J805" s="4" t="s">
        <v>330</v>
      </c>
      <c r="K805" s="7">
        <v>619.06620999999996</v>
      </c>
      <c r="L805" s="7">
        <v>850</v>
      </c>
      <c r="M805" s="7">
        <v>72.831318999999993</v>
      </c>
      <c r="N805" s="7">
        <v>2</v>
      </c>
      <c r="O805" s="7">
        <v>0</v>
      </c>
      <c r="P805" s="7">
        <v>74.703463999999997</v>
      </c>
      <c r="Q805" s="7">
        <v>49.802309000000001</v>
      </c>
      <c r="R805" s="7">
        <v>50</v>
      </c>
      <c r="S805" s="7">
        <v>65.506596999999999</v>
      </c>
      <c r="T805" s="7">
        <v>75</v>
      </c>
      <c r="U805" s="7">
        <v>43.671064000000001</v>
      </c>
      <c r="V805" s="7">
        <v>50</v>
      </c>
      <c r="W805" s="7">
        <v>67.269927999999993</v>
      </c>
      <c r="X805" s="7">
        <v>44.846618999999997</v>
      </c>
      <c r="Y805" s="7">
        <v>50</v>
      </c>
      <c r="Z805" s="7">
        <v>74.110815000000002</v>
      </c>
      <c r="AA805" s="7">
        <v>58.314585999999998</v>
      </c>
      <c r="AB805" s="7">
        <v>38.876390000000001</v>
      </c>
      <c r="AC805" s="7">
        <v>50</v>
      </c>
      <c r="AD805" s="7">
        <v>66.550445999999994</v>
      </c>
      <c r="AE805" s="7">
        <v>44.366964000000003</v>
      </c>
      <c r="AF805" s="7">
        <v>50</v>
      </c>
      <c r="AG805" s="7">
        <v>61.175953</v>
      </c>
      <c r="AH805" s="7">
        <v>71.28</v>
      </c>
      <c r="AI805" s="7">
        <v>40.783968999999999</v>
      </c>
      <c r="AJ805" s="7">
        <v>50</v>
      </c>
      <c r="AK805" s="7">
        <v>9.49</v>
      </c>
      <c r="AL805" s="7">
        <v>15.79</v>
      </c>
      <c r="AM805" s="7">
        <v>10.1</v>
      </c>
      <c r="AN805" s="7">
        <v>0.69574100000000005</v>
      </c>
      <c r="AO805" s="7">
        <v>69.574050999999997</v>
      </c>
      <c r="AP805" s="7">
        <v>100</v>
      </c>
      <c r="AQ805" s="7">
        <v>0.61600999999999995</v>
      </c>
      <c r="AR805" s="7">
        <v>61.600997</v>
      </c>
      <c r="AS805" s="7">
        <v>100</v>
      </c>
      <c r="AT805" s="7">
        <v>0.59546299999999996</v>
      </c>
      <c r="AU805" s="7">
        <v>0.78623500000000002</v>
      </c>
      <c r="AV805" s="7">
        <v>59.546312999999998</v>
      </c>
      <c r="AW805" s="7">
        <v>100</v>
      </c>
      <c r="AX805" s="7">
        <v>0.54296699999999998</v>
      </c>
      <c r="AY805" s="7">
        <v>0.68192699999999995</v>
      </c>
      <c r="AZ805" s="7">
        <v>54.296671000000003</v>
      </c>
      <c r="BA805" s="7">
        <v>100</v>
      </c>
      <c r="BB805" s="4" t="s">
        <v>124</v>
      </c>
      <c r="BC805" s="4" t="s">
        <v>124</v>
      </c>
      <c r="BD805" s="4" t="s">
        <v>124</v>
      </c>
      <c r="BE805" s="4" t="s">
        <v>124</v>
      </c>
      <c r="BF805" s="4" t="s">
        <v>124</v>
      </c>
      <c r="BG805" s="4" t="s">
        <v>124</v>
      </c>
      <c r="BH805" s="7">
        <v>0</v>
      </c>
      <c r="BI805" s="7">
        <v>0.99236599999999997</v>
      </c>
      <c r="BJ805" s="7">
        <v>1</v>
      </c>
      <c r="BK805" s="7">
        <v>0.98648599999999997</v>
      </c>
      <c r="BL805" s="7">
        <v>0.99236599999999997</v>
      </c>
      <c r="BM805" s="7">
        <v>1</v>
      </c>
      <c r="BN805" s="7">
        <v>0.98648599999999997</v>
      </c>
      <c r="BO805" s="7">
        <v>1</v>
      </c>
      <c r="BP805" s="7">
        <v>1</v>
      </c>
      <c r="BQ805" s="7">
        <v>1</v>
      </c>
      <c r="BR805" s="7">
        <v>5.7251999999999997E-2</v>
      </c>
      <c r="BS805" s="7">
        <v>48.549618000000002</v>
      </c>
      <c r="BT805" s="7">
        <v>50</v>
      </c>
      <c r="BU805" s="7">
        <v>7.8260999999999997E-2</v>
      </c>
      <c r="BV805" s="7">
        <v>44.347825999999998</v>
      </c>
      <c r="BW805" s="7">
        <v>50</v>
      </c>
      <c r="BX805" s="4" t="s">
        <v>124</v>
      </c>
      <c r="BY805" s="4" t="s">
        <v>124</v>
      </c>
      <c r="BZ805" s="4" t="s">
        <v>124</v>
      </c>
      <c r="CA805" s="4" t="s">
        <v>124</v>
      </c>
      <c r="CB805" s="4" t="s">
        <v>124</v>
      </c>
      <c r="CC805" s="4" t="s">
        <v>124</v>
      </c>
      <c r="CD805" s="4" t="s">
        <v>124</v>
      </c>
      <c r="CE805" s="4" t="s">
        <v>124</v>
      </c>
      <c r="CF805" s="4" t="s">
        <v>124</v>
      </c>
      <c r="CG805" s="4" t="s">
        <v>124</v>
      </c>
      <c r="CH805" s="4" t="s">
        <v>124</v>
      </c>
      <c r="CI805" s="4" t="s">
        <v>124</v>
      </c>
      <c r="CJ805" s="4" t="s">
        <v>124</v>
      </c>
      <c r="CK805" s="4" t="s">
        <v>124</v>
      </c>
      <c r="CL805" s="4" t="s">
        <v>124</v>
      </c>
      <c r="CM805" s="4" t="s">
        <v>124</v>
      </c>
      <c r="CN805" s="4" t="s">
        <v>124</v>
      </c>
      <c r="CO805" s="4" t="s">
        <v>124</v>
      </c>
      <c r="CP805" s="4" t="s">
        <v>124</v>
      </c>
      <c r="CQ805" s="7">
        <v>0.282051</v>
      </c>
      <c r="CR805" s="7">
        <v>0.97499999999999998</v>
      </c>
      <c r="CS805" s="7">
        <v>18.803419000000002</v>
      </c>
      <c r="CT805" s="7">
        <v>50</v>
      </c>
      <c r="CU805" s="4" t="s">
        <v>124</v>
      </c>
      <c r="CV805" s="4" t="s">
        <v>124</v>
      </c>
      <c r="CW805" s="4" t="s">
        <v>124</v>
      </c>
      <c r="CX805" s="4" t="s">
        <v>124</v>
      </c>
      <c r="CY805" s="4" t="s">
        <v>124</v>
      </c>
      <c r="CZ805" s="4" t="s">
        <v>124</v>
      </c>
      <c r="DA805" s="7">
        <v>15.314097</v>
      </c>
      <c r="DB805" s="7">
        <v>17.400950000000002</v>
      </c>
      <c r="DC805" s="7">
        <v>16.332519999999999</v>
      </c>
      <c r="DD805" s="4" t="s">
        <v>124</v>
      </c>
      <c r="DE805" s="7">
        <v>0</v>
      </c>
      <c r="DF805" s="6"/>
      <c r="DG805" s="6"/>
      <c r="DH805" s="6"/>
      <c r="DI805" s="6"/>
      <c r="DJ805" s="7">
        <v>0</v>
      </c>
      <c r="DK805" s="7">
        <v>0</v>
      </c>
      <c r="DL805" s="7">
        <v>0</v>
      </c>
      <c r="DM805" s="7">
        <v>0</v>
      </c>
      <c r="DN805" s="7">
        <v>0</v>
      </c>
      <c r="DO805" s="7">
        <v>0</v>
      </c>
      <c r="DP805" s="6"/>
      <c r="DQ805" s="4" t="s">
        <v>125</v>
      </c>
    </row>
    <row r="806" spans="1:121" ht="20" customHeight="1" x14ac:dyDescent="0.15">
      <c r="A806" s="5">
        <v>2018</v>
      </c>
      <c r="B806" s="3" t="s">
        <v>303</v>
      </c>
      <c r="C806" s="4" t="str">
        <f t="shared" si="174"/>
        <v>1160011</v>
      </c>
      <c r="D806" s="4" t="s">
        <v>962</v>
      </c>
      <c r="E806" s="4" t="str">
        <f>"1160311"</f>
        <v>1160311</v>
      </c>
      <c r="F806" s="4" t="s">
        <v>327</v>
      </c>
      <c r="G806" s="4" t="s">
        <v>328</v>
      </c>
      <c r="H806" s="7">
        <v>5</v>
      </c>
      <c r="I806" s="4" t="s">
        <v>335</v>
      </c>
      <c r="J806" s="4" t="s">
        <v>330</v>
      </c>
      <c r="K806" s="7">
        <v>569.44411600000001</v>
      </c>
      <c r="L806" s="7">
        <v>850</v>
      </c>
      <c r="M806" s="7">
        <v>66.993425000000002</v>
      </c>
      <c r="N806" s="7">
        <v>3</v>
      </c>
      <c r="O806" s="7">
        <v>0</v>
      </c>
      <c r="P806" s="7">
        <v>68.743630999999993</v>
      </c>
      <c r="Q806" s="7">
        <v>45.829087000000001</v>
      </c>
      <c r="R806" s="7">
        <v>50</v>
      </c>
      <c r="S806" s="7">
        <v>65.832352999999998</v>
      </c>
      <c r="T806" s="7">
        <v>75</v>
      </c>
      <c r="U806" s="7">
        <v>43.888235000000002</v>
      </c>
      <c r="V806" s="7">
        <v>50</v>
      </c>
      <c r="W806" s="7">
        <v>66.306937000000005</v>
      </c>
      <c r="X806" s="7">
        <v>44.204625</v>
      </c>
      <c r="Y806" s="7">
        <v>50</v>
      </c>
      <c r="Z806" s="7">
        <v>74.905079000000001</v>
      </c>
      <c r="AA806" s="7">
        <v>62.496982000000003</v>
      </c>
      <c r="AB806" s="7">
        <v>41.664655000000003</v>
      </c>
      <c r="AC806" s="7">
        <v>50</v>
      </c>
      <c r="AD806" s="7">
        <v>65.438284999999993</v>
      </c>
      <c r="AE806" s="7">
        <v>43.625523000000001</v>
      </c>
      <c r="AF806" s="7">
        <v>50</v>
      </c>
      <c r="AG806" s="7">
        <v>61.782257999999999</v>
      </c>
      <c r="AH806" s="7">
        <v>74.186635999999993</v>
      </c>
      <c r="AI806" s="7">
        <v>41.188172000000002</v>
      </c>
      <c r="AJ806" s="7">
        <v>50</v>
      </c>
      <c r="AK806" s="7">
        <v>9.16</v>
      </c>
      <c r="AL806" s="7">
        <v>12.4</v>
      </c>
      <c r="AM806" s="7">
        <v>12.4</v>
      </c>
      <c r="AN806" s="7">
        <v>0.485485</v>
      </c>
      <c r="AO806" s="7">
        <v>48.548543000000002</v>
      </c>
      <c r="AP806" s="7">
        <v>100</v>
      </c>
      <c r="AQ806" s="7">
        <v>0.56939899999999999</v>
      </c>
      <c r="AR806" s="7">
        <v>56.939919000000003</v>
      </c>
      <c r="AS806" s="7">
        <v>100</v>
      </c>
      <c r="AT806" s="7">
        <v>0.52212499999999995</v>
      </c>
      <c r="AU806" s="7">
        <v>0.40781000000000001</v>
      </c>
      <c r="AV806" s="7">
        <v>52.212496999999999</v>
      </c>
      <c r="AW806" s="7">
        <v>100</v>
      </c>
      <c r="AX806" s="7">
        <v>0.59481600000000001</v>
      </c>
      <c r="AY806" s="7">
        <v>0.51551499999999995</v>
      </c>
      <c r="AZ806" s="7">
        <v>59.481608000000001</v>
      </c>
      <c r="BA806" s="7">
        <v>100</v>
      </c>
      <c r="BB806" s="4" t="s">
        <v>124</v>
      </c>
      <c r="BC806" s="4" t="s">
        <v>124</v>
      </c>
      <c r="BD806" s="4" t="s">
        <v>124</v>
      </c>
      <c r="BE806" s="4" t="s">
        <v>124</v>
      </c>
      <c r="BF806" s="4" t="s">
        <v>124</v>
      </c>
      <c r="BG806" s="4" t="s">
        <v>124</v>
      </c>
      <c r="BH806" s="7">
        <v>0</v>
      </c>
      <c r="BI806" s="7">
        <v>0.98461500000000002</v>
      </c>
      <c r="BJ806" s="7">
        <v>0.97765400000000002</v>
      </c>
      <c r="BK806" s="7">
        <v>1</v>
      </c>
      <c r="BL806" s="7">
        <v>0.98846199999999995</v>
      </c>
      <c r="BM806" s="7">
        <v>0.98324</v>
      </c>
      <c r="BN806" s="7">
        <v>1</v>
      </c>
      <c r="BO806" s="7">
        <v>0.97058800000000001</v>
      </c>
      <c r="BP806" s="7">
        <v>0.95833299999999999</v>
      </c>
      <c r="BQ806" s="7">
        <v>1</v>
      </c>
      <c r="BR806" s="7">
        <v>8.1181000000000003E-2</v>
      </c>
      <c r="BS806" s="7">
        <v>43.763838</v>
      </c>
      <c r="BT806" s="7">
        <v>50</v>
      </c>
      <c r="BU806" s="7">
        <v>0.115068</v>
      </c>
      <c r="BV806" s="7">
        <v>36.986300999999997</v>
      </c>
      <c r="BW806" s="7">
        <v>50</v>
      </c>
      <c r="BX806" s="4" t="s">
        <v>124</v>
      </c>
      <c r="BY806" s="4" t="s">
        <v>124</v>
      </c>
      <c r="BZ806" s="4" t="s">
        <v>124</v>
      </c>
      <c r="CA806" s="4" t="s">
        <v>124</v>
      </c>
      <c r="CB806" s="4" t="s">
        <v>124</v>
      </c>
      <c r="CC806" s="4" t="s">
        <v>124</v>
      </c>
      <c r="CD806" s="4" t="s">
        <v>124</v>
      </c>
      <c r="CE806" s="4" t="s">
        <v>124</v>
      </c>
      <c r="CF806" s="4" t="s">
        <v>124</v>
      </c>
      <c r="CG806" s="4" t="s">
        <v>124</v>
      </c>
      <c r="CH806" s="4" t="s">
        <v>124</v>
      </c>
      <c r="CI806" s="4" t="s">
        <v>124</v>
      </c>
      <c r="CJ806" s="4" t="s">
        <v>124</v>
      </c>
      <c r="CK806" s="4" t="s">
        <v>124</v>
      </c>
      <c r="CL806" s="4" t="s">
        <v>124</v>
      </c>
      <c r="CM806" s="4" t="s">
        <v>124</v>
      </c>
      <c r="CN806" s="4" t="s">
        <v>124</v>
      </c>
      <c r="CO806" s="4" t="s">
        <v>124</v>
      </c>
      <c r="CP806" s="4" t="s">
        <v>124</v>
      </c>
      <c r="CQ806" s="7">
        <v>0.16666700000000001</v>
      </c>
      <c r="CR806" s="7">
        <v>0.9</v>
      </c>
      <c r="CS806" s="7">
        <v>11.111110999999999</v>
      </c>
      <c r="CT806" s="7">
        <v>50</v>
      </c>
      <c r="CU806" s="4" t="s">
        <v>124</v>
      </c>
      <c r="CV806" s="4" t="s">
        <v>124</v>
      </c>
      <c r="CW806" s="4" t="s">
        <v>124</v>
      </c>
      <c r="CX806" s="4" t="s">
        <v>124</v>
      </c>
      <c r="CY806" s="4" t="s">
        <v>124</v>
      </c>
      <c r="CZ806" s="4" t="s">
        <v>124</v>
      </c>
      <c r="DA806" s="7">
        <v>15.314097</v>
      </c>
      <c r="DB806" s="7">
        <v>17.400950000000002</v>
      </c>
      <c r="DC806" s="7">
        <v>16.332519999999999</v>
      </c>
      <c r="DD806" s="4" t="s">
        <v>124</v>
      </c>
      <c r="DE806" s="7">
        <v>0</v>
      </c>
      <c r="DF806" s="6"/>
      <c r="DG806" s="6"/>
      <c r="DH806" s="6"/>
      <c r="DI806" s="6"/>
      <c r="DJ806" s="7">
        <v>0</v>
      </c>
      <c r="DK806" s="7">
        <v>0</v>
      </c>
      <c r="DL806" s="7">
        <v>0</v>
      </c>
      <c r="DM806" s="7">
        <v>0</v>
      </c>
      <c r="DN806" s="7">
        <v>0</v>
      </c>
      <c r="DO806" s="7">
        <v>0</v>
      </c>
      <c r="DP806" s="6"/>
      <c r="DQ806" s="4" t="s">
        <v>125</v>
      </c>
    </row>
    <row r="807" spans="1:121" ht="20" customHeight="1" x14ac:dyDescent="0.15">
      <c r="A807" s="5">
        <v>2018</v>
      </c>
      <c r="B807" s="3" t="s">
        <v>303</v>
      </c>
      <c r="C807" s="4" t="str">
        <f t="shared" ref="C807:C808" si="245">"1160011"</f>
        <v>1160011</v>
      </c>
      <c r="D807" s="4" t="s">
        <v>963</v>
      </c>
      <c r="E807" s="4" t="str">
        <f>"1166111"</f>
        <v>1166111</v>
      </c>
      <c r="F807" s="4" t="s">
        <v>327</v>
      </c>
      <c r="G807" s="7">
        <v>9</v>
      </c>
      <c r="H807" s="7">
        <v>12</v>
      </c>
      <c r="I807" s="6"/>
      <c r="J807" s="4" t="s">
        <v>330</v>
      </c>
      <c r="K807" s="7">
        <v>1038.1727519999999</v>
      </c>
      <c r="L807" s="7">
        <v>1450</v>
      </c>
      <c r="M807" s="7">
        <v>71.598121000000006</v>
      </c>
      <c r="N807" s="7">
        <v>3</v>
      </c>
      <c r="O807" s="7">
        <v>1</v>
      </c>
      <c r="P807" s="7">
        <v>52.502873999999998</v>
      </c>
      <c r="Q807" s="7">
        <v>105.005747</v>
      </c>
      <c r="R807" s="7">
        <v>150</v>
      </c>
      <c r="S807" s="7">
        <v>46.671429000000003</v>
      </c>
      <c r="T807" s="7">
        <v>61.376812000000001</v>
      </c>
      <c r="U807" s="7">
        <v>93.342856999999995</v>
      </c>
      <c r="V807" s="7">
        <v>150</v>
      </c>
      <c r="W807" s="7">
        <v>43.462643999999997</v>
      </c>
      <c r="X807" s="7">
        <v>86.925286999999997</v>
      </c>
      <c r="Y807" s="7">
        <v>150</v>
      </c>
      <c r="Z807" s="7">
        <v>49.101449000000002</v>
      </c>
      <c r="AA807" s="7">
        <v>39.757142999999999</v>
      </c>
      <c r="AB807" s="7">
        <v>79.514285999999998</v>
      </c>
      <c r="AC807" s="7">
        <v>150</v>
      </c>
      <c r="AD807" s="7">
        <v>54.266666999999998</v>
      </c>
      <c r="AE807" s="7">
        <v>72.355556000000007</v>
      </c>
      <c r="AF807" s="7">
        <v>100</v>
      </c>
      <c r="AG807" s="7">
        <v>47.201663000000003</v>
      </c>
      <c r="AH807" s="7">
        <v>65.632107000000005</v>
      </c>
      <c r="AI807" s="7">
        <v>62.935550999999997</v>
      </c>
      <c r="AJ807" s="7">
        <v>100</v>
      </c>
      <c r="AK807" s="7">
        <v>14.7</v>
      </c>
      <c r="AL807" s="7">
        <v>9.34</v>
      </c>
      <c r="AM807" s="7">
        <v>18.43</v>
      </c>
      <c r="AN807" s="4" t="s">
        <v>124</v>
      </c>
      <c r="AO807" s="4" t="s">
        <v>124</v>
      </c>
      <c r="AP807" s="4" t="s">
        <v>124</v>
      </c>
      <c r="AQ807" s="4" t="s">
        <v>124</v>
      </c>
      <c r="AR807" s="4" t="s">
        <v>124</v>
      </c>
      <c r="AS807" s="4" t="s">
        <v>124</v>
      </c>
      <c r="AT807" s="4" t="s">
        <v>124</v>
      </c>
      <c r="AU807" s="4" t="s">
        <v>124</v>
      </c>
      <c r="AV807" s="4" t="s">
        <v>124</v>
      </c>
      <c r="AW807" s="4" t="s">
        <v>124</v>
      </c>
      <c r="AX807" s="4" t="s">
        <v>124</v>
      </c>
      <c r="AY807" s="4" t="s">
        <v>124</v>
      </c>
      <c r="AZ807" s="4" t="s">
        <v>124</v>
      </c>
      <c r="BA807" s="4" t="s">
        <v>124</v>
      </c>
      <c r="BB807" s="4" t="s">
        <v>124</v>
      </c>
      <c r="BC807" s="4" t="s">
        <v>124</v>
      </c>
      <c r="BD807" s="4" t="s">
        <v>124</v>
      </c>
      <c r="BE807" s="4" t="s">
        <v>124</v>
      </c>
      <c r="BF807" s="4" t="s">
        <v>124</v>
      </c>
      <c r="BG807" s="4" t="s">
        <v>124</v>
      </c>
      <c r="BH807" s="7">
        <v>1</v>
      </c>
      <c r="BI807" s="7">
        <v>0.96774199999999999</v>
      </c>
      <c r="BJ807" s="7">
        <v>0.94871799999999995</v>
      </c>
      <c r="BK807" s="7">
        <v>1</v>
      </c>
      <c r="BL807" s="7">
        <v>0.96774199999999999</v>
      </c>
      <c r="BM807" s="7">
        <v>0.94871799999999995</v>
      </c>
      <c r="BN807" s="7">
        <v>1</v>
      </c>
      <c r="BO807" s="7">
        <v>0.98412699999999997</v>
      </c>
      <c r="BP807" s="7">
        <v>0.97499999999999998</v>
      </c>
      <c r="BQ807" s="7">
        <v>1</v>
      </c>
      <c r="BR807" s="7">
        <v>0.12915099999999999</v>
      </c>
      <c r="BS807" s="7">
        <v>34.169741999999999</v>
      </c>
      <c r="BT807" s="7">
        <v>50</v>
      </c>
      <c r="BU807" s="7">
        <v>0.147929</v>
      </c>
      <c r="BV807" s="7">
        <v>30.414200999999998</v>
      </c>
      <c r="BW807" s="7">
        <v>50</v>
      </c>
      <c r="BX807" s="7">
        <v>0.72297299999999998</v>
      </c>
      <c r="BY807" s="7">
        <v>48.198197999999998</v>
      </c>
      <c r="BZ807" s="7">
        <v>50</v>
      </c>
      <c r="CA807" s="7">
        <v>0.189189</v>
      </c>
      <c r="CB807" s="7">
        <v>12.612613</v>
      </c>
      <c r="CC807" s="7">
        <v>50</v>
      </c>
      <c r="CD807" s="7">
        <v>0.90625</v>
      </c>
      <c r="CE807" s="7">
        <v>48.204787000000003</v>
      </c>
      <c r="CF807" s="7">
        <v>50</v>
      </c>
      <c r="CG807" s="7">
        <v>0.96923099999999995</v>
      </c>
      <c r="CH807" s="7">
        <v>100</v>
      </c>
      <c r="CI807" s="7">
        <v>100</v>
      </c>
      <c r="CJ807" s="7">
        <v>0</v>
      </c>
      <c r="CK807" s="7">
        <v>1</v>
      </c>
      <c r="CL807" s="7">
        <v>100</v>
      </c>
      <c r="CM807" s="7">
        <v>100</v>
      </c>
      <c r="CN807" s="7">
        <v>0.56923100000000004</v>
      </c>
      <c r="CO807" s="7">
        <v>75.897435999999999</v>
      </c>
      <c r="CP807" s="7">
        <v>100</v>
      </c>
      <c r="CQ807" s="7">
        <v>0.57894699999999999</v>
      </c>
      <c r="CR807" s="7">
        <v>1.2881359999999999</v>
      </c>
      <c r="CS807" s="7">
        <v>38.596491</v>
      </c>
      <c r="CT807" s="7">
        <v>50</v>
      </c>
      <c r="CU807" s="7">
        <v>0.70110700000000004</v>
      </c>
      <c r="CV807" s="7">
        <v>50</v>
      </c>
      <c r="CW807" s="7">
        <v>50</v>
      </c>
      <c r="CX807" s="7">
        <v>1</v>
      </c>
      <c r="CY807" s="4" t="s">
        <v>124</v>
      </c>
      <c r="CZ807" s="4" t="s">
        <v>124</v>
      </c>
      <c r="DA807" s="7">
        <v>15.314097</v>
      </c>
      <c r="DB807" s="7">
        <v>17.400950000000002</v>
      </c>
      <c r="DC807" s="7">
        <v>16.332519999999999</v>
      </c>
      <c r="DD807" s="7">
        <v>7.9891730000000001</v>
      </c>
      <c r="DE807" s="7">
        <v>1</v>
      </c>
      <c r="DF807" s="6"/>
      <c r="DG807" s="6"/>
      <c r="DH807" s="6"/>
      <c r="DI807" s="6"/>
      <c r="DJ807" s="7">
        <v>0</v>
      </c>
      <c r="DK807" s="7">
        <v>0</v>
      </c>
      <c r="DL807" s="7">
        <v>0</v>
      </c>
      <c r="DM807" s="7">
        <v>0</v>
      </c>
      <c r="DN807" s="7">
        <v>0</v>
      </c>
      <c r="DO807" s="7">
        <v>0</v>
      </c>
      <c r="DP807" s="6"/>
      <c r="DQ807" s="4" t="s">
        <v>125</v>
      </c>
    </row>
    <row r="808" spans="1:121" ht="20" customHeight="1" x14ac:dyDescent="0.15">
      <c r="A808" s="5">
        <v>2018</v>
      </c>
      <c r="B808" s="3" t="s">
        <v>303</v>
      </c>
      <c r="C808" s="4" t="str">
        <f t="shared" si="245"/>
        <v>1160011</v>
      </c>
      <c r="D808" s="4" t="s">
        <v>964</v>
      </c>
      <c r="E808" s="4" t="str">
        <f>"1165111"</f>
        <v>1165111</v>
      </c>
      <c r="F808" s="4" t="s">
        <v>327</v>
      </c>
      <c r="G808" s="7">
        <v>6</v>
      </c>
      <c r="H808" s="7">
        <v>8</v>
      </c>
      <c r="I808" s="6"/>
      <c r="J808" s="4" t="s">
        <v>330</v>
      </c>
      <c r="K808" s="7">
        <v>559.66611699999999</v>
      </c>
      <c r="L808" s="7">
        <v>900</v>
      </c>
      <c r="M808" s="7">
        <v>62.185124000000002</v>
      </c>
      <c r="N808" s="7">
        <v>3</v>
      </c>
      <c r="O808" s="7">
        <v>1</v>
      </c>
      <c r="P808" s="7">
        <v>65.648122999999998</v>
      </c>
      <c r="Q808" s="7">
        <v>43.765416000000002</v>
      </c>
      <c r="R808" s="7">
        <v>50</v>
      </c>
      <c r="S808" s="7">
        <v>60.370552000000004</v>
      </c>
      <c r="T808" s="7">
        <v>75</v>
      </c>
      <c r="U808" s="7">
        <v>40.247034999999997</v>
      </c>
      <c r="V808" s="7">
        <v>50</v>
      </c>
      <c r="W808" s="7">
        <v>54.147430999999997</v>
      </c>
      <c r="X808" s="7">
        <v>36.098286999999999</v>
      </c>
      <c r="Y808" s="7">
        <v>50</v>
      </c>
      <c r="Z808" s="7">
        <v>65.185489000000004</v>
      </c>
      <c r="AA808" s="7">
        <v>48.912238000000002</v>
      </c>
      <c r="AB808" s="7">
        <v>32.608158000000003</v>
      </c>
      <c r="AC808" s="7">
        <v>50</v>
      </c>
      <c r="AD808" s="7">
        <v>61.656731000000001</v>
      </c>
      <c r="AE808" s="7">
        <v>41.104486999999999</v>
      </c>
      <c r="AF808" s="7">
        <v>50</v>
      </c>
      <c r="AG808" s="7">
        <v>55.665846000000002</v>
      </c>
      <c r="AH808" s="7">
        <v>74.012930999999995</v>
      </c>
      <c r="AI808" s="7">
        <v>37.110563999999997</v>
      </c>
      <c r="AJ808" s="7">
        <v>50</v>
      </c>
      <c r="AK808" s="7">
        <v>14.62</v>
      </c>
      <c r="AL808" s="7">
        <v>16.27</v>
      </c>
      <c r="AM808" s="7">
        <v>18.34</v>
      </c>
      <c r="AN808" s="7">
        <v>0.53153399999999995</v>
      </c>
      <c r="AO808" s="7">
        <v>53.153353000000003</v>
      </c>
      <c r="AP808" s="7">
        <v>100</v>
      </c>
      <c r="AQ808" s="7">
        <v>0.44386199999999998</v>
      </c>
      <c r="AR808" s="7">
        <v>44.386161999999999</v>
      </c>
      <c r="AS808" s="7">
        <v>100</v>
      </c>
      <c r="AT808" s="7">
        <v>0.515683</v>
      </c>
      <c r="AU808" s="7">
        <v>0.56564199999999998</v>
      </c>
      <c r="AV808" s="7">
        <v>51.568317</v>
      </c>
      <c r="AW808" s="7">
        <v>100</v>
      </c>
      <c r="AX808" s="7">
        <v>0.37984800000000002</v>
      </c>
      <c r="AY808" s="7">
        <v>0.57918099999999995</v>
      </c>
      <c r="AZ808" s="7">
        <v>37.984825999999998</v>
      </c>
      <c r="BA808" s="7">
        <v>100</v>
      </c>
      <c r="BB808" s="4" t="s">
        <v>124</v>
      </c>
      <c r="BC808" s="4" t="s">
        <v>124</v>
      </c>
      <c r="BD808" s="4" t="s">
        <v>124</v>
      </c>
      <c r="BE808" s="4" t="s">
        <v>124</v>
      </c>
      <c r="BF808" s="4" t="s">
        <v>124</v>
      </c>
      <c r="BG808" s="4" t="s">
        <v>124</v>
      </c>
      <c r="BH808" s="7">
        <v>0</v>
      </c>
      <c r="BI808" s="7">
        <v>0.99272700000000003</v>
      </c>
      <c r="BJ808" s="7">
        <v>0.98936199999999996</v>
      </c>
      <c r="BK808" s="7">
        <v>1</v>
      </c>
      <c r="BL808" s="7">
        <v>0.98545499999999997</v>
      </c>
      <c r="BM808" s="7">
        <v>0.97872300000000001</v>
      </c>
      <c r="BN808" s="7">
        <v>1</v>
      </c>
      <c r="BO808" s="7">
        <v>0.99029100000000003</v>
      </c>
      <c r="BP808" s="7">
        <v>0.98571399999999998</v>
      </c>
      <c r="BQ808" s="7">
        <v>1</v>
      </c>
      <c r="BR808" s="7">
        <v>0.117216</v>
      </c>
      <c r="BS808" s="7">
        <v>36.556776999999997</v>
      </c>
      <c r="BT808" s="7">
        <v>50</v>
      </c>
      <c r="BU808" s="7">
        <v>0.16756799999999999</v>
      </c>
      <c r="BV808" s="7">
        <v>26.486485999999999</v>
      </c>
      <c r="BW808" s="7">
        <v>50</v>
      </c>
      <c r="BX808" s="4" t="s">
        <v>124</v>
      </c>
      <c r="BY808" s="4" t="s">
        <v>124</v>
      </c>
      <c r="BZ808" s="4" t="s">
        <v>124</v>
      </c>
      <c r="CA808" s="4" t="s">
        <v>124</v>
      </c>
      <c r="CB808" s="4" t="s">
        <v>124</v>
      </c>
      <c r="CC808" s="4" t="s">
        <v>124</v>
      </c>
      <c r="CD808" s="7">
        <v>0.92207799999999995</v>
      </c>
      <c r="CE808" s="7">
        <v>49.046697999999999</v>
      </c>
      <c r="CF808" s="7">
        <v>50</v>
      </c>
      <c r="CG808" s="4" t="s">
        <v>124</v>
      </c>
      <c r="CH808" s="4" t="s">
        <v>124</v>
      </c>
      <c r="CI808" s="4" t="s">
        <v>124</v>
      </c>
      <c r="CJ808" s="4" t="s">
        <v>124</v>
      </c>
      <c r="CK808" s="4" t="s">
        <v>124</v>
      </c>
      <c r="CL808" s="4" t="s">
        <v>124</v>
      </c>
      <c r="CM808" s="4" t="s">
        <v>124</v>
      </c>
      <c r="CN808" s="4" t="s">
        <v>124</v>
      </c>
      <c r="CO808" s="4" t="s">
        <v>124</v>
      </c>
      <c r="CP808" s="4" t="s">
        <v>124</v>
      </c>
      <c r="CQ808" s="7">
        <v>0.443243</v>
      </c>
      <c r="CR808" s="7">
        <v>0.97883600000000004</v>
      </c>
      <c r="CS808" s="7">
        <v>29.54955</v>
      </c>
      <c r="CT808" s="7">
        <v>50</v>
      </c>
      <c r="CU808" s="4" t="s">
        <v>124</v>
      </c>
      <c r="CV808" s="4" t="s">
        <v>124</v>
      </c>
      <c r="CW808" s="4" t="s">
        <v>124</v>
      </c>
      <c r="CX808" s="4" t="s">
        <v>124</v>
      </c>
      <c r="CY808" s="4" t="s">
        <v>124</v>
      </c>
      <c r="CZ808" s="4" t="s">
        <v>124</v>
      </c>
      <c r="DA808" s="7">
        <v>15.314097</v>
      </c>
      <c r="DB808" s="7">
        <v>17.400950000000002</v>
      </c>
      <c r="DC808" s="7">
        <v>16.332519999999999</v>
      </c>
      <c r="DD808" s="4" t="s">
        <v>124</v>
      </c>
      <c r="DE808" s="7">
        <v>1</v>
      </c>
      <c r="DF808" s="6"/>
      <c r="DG808" s="6"/>
      <c r="DH808" s="6"/>
      <c r="DI808" s="6"/>
      <c r="DJ808" s="7">
        <v>0</v>
      </c>
      <c r="DK808" s="7">
        <v>0</v>
      </c>
      <c r="DL808" s="7">
        <v>0</v>
      </c>
      <c r="DM808" s="7">
        <v>0</v>
      </c>
      <c r="DN808" s="7">
        <v>0</v>
      </c>
      <c r="DO808" s="7">
        <v>0</v>
      </c>
      <c r="DP808" s="6"/>
      <c r="DQ808" s="4" t="s">
        <v>125</v>
      </c>
    </row>
    <row r="809" spans="1:121" ht="20" customHeight="1" x14ac:dyDescent="0.15">
      <c r="A809" s="5">
        <v>2018</v>
      </c>
      <c r="B809" s="3" t="s">
        <v>245</v>
      </c>
      <c r="C809" s="4" t="str">
        <f t="shared" si="120"/>
        <v>1170011</v>
      </c>
      <c r="D809" s="4" t="s">
        <v>965</v>
      </c>
      <c r="E809" s="4" t="str">
        <f>"1175111"</f>
        <v>1175111</v>
      </c>
      <c r="F809" s="4" t="s">
        <v>327</v>
      </c>
      <c r="G809" s="7">
        <v>5</v>
      </c>
      <c r="H809" s="7">
        <v>8</v>
      </c>
      <c r="I809" s="4" t="s">
        <v>329</v>
      </c>
      <c r="J809" s="4" t="s">
        <v>330</v>
      </c>
      <c r="K809" s="7">
        <v>726.35294999999996</v>
      </c>
      <c r="L809" s="7">
        <v>900</v>
      </c>
      <c r="M809" s="7">
        <v>80.705883</v>
      </c>
      <c r="N809" s="7">
        <v>2</v>
      </c>
      <c r="O809" s="7">
        <v>0</v>
      </c>
      <c r="P809" s="7">
        <v>81.427925000000002</v>
      </c>
      <c r="Q809" s="7">
        <v>50</v>
      </c>
      <c r="R809" s="7">
        <v>50</v>
      </c>
      <c r="S809" s="7">
        <v>68.060675000000003</v>
      </c>
      <c r="T809" s="7">
        <v>75</v>
      </c>
      <c r="U809" s="7">
        <v>45.373783000000003</v>
      </c>
      <c r="V809" s="7">
        <v>50</v>
      </c>
      <c r="W809" s="7">
        <v>78.520539999999997</v>
      </c>
      <c r="X809" s="7">
        <v>50</v>
      </c>
      <c r="Y809" s="7">
        <v>50</v>
      </c>
      <c r="Z809" s="7">
        <v>75</v>
      </c>
      <c r="AA809" s="7">
        <v>63.193927000000002</v>
      </c>
      <c r="AB809" s="7">
        <v>42.129285000000003</v>
      </c>
      <c r="AC809" s="7">
        <v>50</v>
      </c>
      <c r="AD809" s="7">
        <v>74.792827000000003</v>
      </c>
      <c r="AE809" s="7">
        <v>49.861885000000001</v>
      </c>
      <c r="AF809" s="7">
        <v>50</v>
      </c>
      <c r="AG809" s="7">
        <v>63.053854000000001</v>
      </c>
      <c r="AH809" s="7">
        <v>75</v>
      </c>
      <c r="AI809" s="7">
        <v>42.035902999999998</v>
      </c>
      <c r="AJ809" s="7">
        <v>50</v>
      </c>
      <c r="AK809" s="7">
        <v>6.93</v>
      </c>
      <c r="AL809" s="7">
        <v>11.8</v>
      </c>
      <c r="AM809" s="7">
        <v>11.94</v>
      </c>
      <c r="AN809" s="7">
        <v>0.63442500000000002</v>
      </c>
      <c r="AO809" s="7">
        <v>63.442543999999998</v>
      </c>
      <c r="AP809" s="7">
        <v>100</v>
      </c>
      <c r="AQ809" s="7">
        <v>0.71173699999999995</v>
      </c>
      <c r="AR809" s="7">
        <v>71.173692000000003</v>
      </c>
      <c r="AS809" s="7">
        <v>100</v>
      </c>
      <c r="AT809" s="7">
        <v>0.53056499999999995</v>
      </c>
      <c r="AU809" s="7">
        <v>0.666099</v>
      </c>
      <c r="AV809" s="7">
        <v>53.056455</v>
      </c>
      <c r="AW809" s="7">
        <v>100</v>
      </c>
      <c r="AX809" s="7">
        <v>0.59279400000000004</v>
      </c>
      <c r="AY809" s="7">
        <v>0.74758800000000003</v>
      </c>
      <c r="AZ809" s="7">
        <v>59.279404999999997</v>
      </c>
      <c r="BA809" s="7">
        <v>100</v>
      </c>
      <c r="BB809" s="4" t="s">
        <v>124</v>
      </c>
      <c r="BC809" s="4" t="s">
        <v>124</v>
      </c>
      <c r="BD809" s="4" t="s">
        <v>124</v>
      </c>
      <c r="BE809" s="4" t="s">
        <v>124</v>
      </c>
      <c r="BF809" s="4" t="s">
        <v>124</v>
      </c>
      <c r="BG809" s="4" t="s">
        <v>124</v>
      </c>
      <c r="BH809" s="7">
        <v>0</v>
      </c>
      <c r="BI809" s="7">
        <v>0.98966399999999999</v>
      </c>
      <c r="BJ809" s="7">
        <v>0.98969099999999999</v>
      </c>
      <c r="BK809" s="7">
        <v>0.98965499999999995</v>
      </c>
      <c r="BL809" s="7">
        <v>0.98966399999999999</v>
      </c>
      <c r="BM809" s="7">
        <v>0.98969099999999999</v>
      </c>
      <c r="BN809" s="7">
        <v>0.98965499999999995</v>
      </c>
      <c r="BO809" s="7">
        <v>0.99481900000000001</v>
      </c>
      <c r="BP809" s="7">
        <v>1</v>
      </c>
      <c r="BQ809" s="7">
        <v>0.99337699999999995</v>
      </c>
      <c r="BR809" s="7">
        <v>2.3255999999999999E-2</v>
      </c>
      <c r="BS809" s="7">
        <v>50</v>
      </c>
      <c r="BT809" s="7">
        <v>50</v>
      </c>
      <c r="BU809" s="7">
        <v>4.3011000000000001E-2</v>
      </c>
      <c r="BV809" s="7">
        <v>50</v>
      </c>
      <c r="BW809" s="7">
        <v>50</v>
      </c>
      <c r="BX809" s="4" t="s">
        <v>124</v>
      </c>
      <c r="BY809" s="4" t="s">
        <v>124</v>
      </c>
      <c r="BZ809" s="4" t="s">
        <v>124</v>
      </c>
      <c r="CA809" s="4" t="s">
        <v>124</v>
      </c>
      <c r="CB809" s="4" t="s">
        <v>124</v>
      </c>
      <c r="CC809" s="4" t="s">
        <v>124</v>
      </c>
      <c r="CD809" s="7">
        <v>1</v>
      </c>
      <c r="CE809" s="7">
        <v>50</v>
      </c>
      <c r="CF809" s="7">
        <v>50</v>
      </c>
      <c r="CG809" s="4" t="s">
        <v>124</v>
      </c>
      <c r="CH809" s="4" t="s">
        <v>124</v>
      </c>
      <c r="CI809" s="4" t="s">
        <v>124</v>
      </c>
      <c r="CJ809" s="4" t="s">
        <v>124</v>
      </c>
      <c r="CK809" s="4" t="s">
        <v>124</v>
      </c>
      <c r="CL809" s="4" t="s">
        <v>124</v>
      </c>
      <c r="CM809" s="4" t="s">
        <v>124</v>
      </c>
      <c r="CN809" s="4" t="s">
        <v>124</v>
      </c>
      <c r="CO809" s="4" t="s">
        <v>124</v>
      </c>
      <c r="CP809" s="4" t="s">
        <v>124</v>
      </c>
      <c r="CQ809" s="7">
        <v>0.83157899999999996</v>
      </c>
      <c r="CR809" s="7">
        <v>0.91787399999999997</v>
      </c>
      <c r="CS809" s="7">
        <v>50</v>
      </c>
      <c r="CT809" s="7">
        <v>50</v>
      </c>
      <c r="CU809" s="4" t="s">
        <v>124</v>
      </c>
      <c r="CV809" s="4" t="s">
        <v>124</v>
      </c>
      <c r="CW809" s="4" t="s">
        <v>124</v>
      </c>
      <c r="CX809" s="4" t="s">
        <v>124</v>
      </c>
      <c r="CY809" s="4" t="s">
        <v>124</v>
      </c>
      <c r="CZ809" s="4" t="s">
        <v>124</v>
      </c>
      <c r="DA809" s="7">
        <v>15.314097</v>
      </c>
      <c r="DB809" s="7">
        <v>17.400950000000002</v>
      </c>
      <c r="DC809" s="7">
        <v>16.332519999999999</v>
      </c>
      <c r="DD809" s="4" t="s">
        <v>124</v>
      </c>
      <c r="DE809" s="7">
        <v>0</v>
      </c>
      <c r="DF809" s="6"/>
      <c r="DG809" s="6"/>
      <c r="DH809" s="6"/>
      <c r="DI809" s="6"/>
      <c r="DJ809" s="7">
        <v>0</v>
      </c>
      <c r="DK809" s="7">
        <v>0</v>
      </c>
      <c r="DL809" s="7">
        <v>0</v>
      </c>
      <c r="DM809" s="7">
        <v>0</v>
      </c>
      <c r="DN809" s="7">
        <v>0</v>
      </c>
      <c r="DO809" s="7">
        <v>0</v>
      </c>
      <c r="DP809" s="6"/>
      <c r="DQ809" s="4" t="s">
        <v>125</v>
      </c>
    </row>
    <row r="810" spans="1:121" ht="20" customHeight="1" x14ac:dyDescent="0.15">
      <c r="A810" s="5">
        <v>2018</v>
      </c>
      <c r="B810" s="3" t="s">
        <v>245</v>
      </c>
      <c r="C810" s="4" t="str">
        <f>"1170011"</f>
        <v>1170011</v>
      </c>
      <c r="D810" s="4" t="s">
        <v>966</v>
      </c>
      <c r="E810" s="4" t="str">
        <f>"1170111"</f>
        <v>1170111</v>
      </c>
      <c r="F810" s="4" t="s">
        <v>327</v>
      </c>
      <c r="G810" s="4" t="s">
        <v>328</v>
      </c>
      <c r="H810" s="7">
        <v>4</v>
      </c>
      <c r="I810" s="4" t="s">
        <v>329</v>
      </c>
      <c r="J810" s="4" t="s">
        <v>330</v>
      </c>
      <c r="K810" s="7">
        <v>487.31290200000001</v>
      </c>
      <c r="L810" s="7">
        <v>550</v>
      </c>
      <c r="M810" s="7">
        <v>88.602345999999997</v>
      </c>
      <c r="N810" s="7">
        <v>1</v>
      </c>
      <c r="O810" s="7">
        <v>0</v>
      </c>
      <c r="P810" s="7">
        <v>82.659357</v>
      </c>
      <c r="Q810" s="7">
        <v>50</v>
      </c>
      <c r="R810" s="7">
        <v>50</v>
      </c>
      <c r="S810" s="7">
        <v>66.218615999999997</v>
      </c>
      <c r="T810" s="7">
        <v>75</v>
      </c>
      <c r="U810" s="7">
        <v>44.145744000000001</v>
      </c>
      <c r="V810" s="7">
        <v>50</v>
      </c>
      <c r="W810" s="7">
        <v>83.521232999999995</v>
      </c>
      <c r="X810" s="7">
        <v>50</v>
      </c>
      <c r="Y810" s="7">
        <v>50</v>
      </c>
      <c r="Z810" s="7">
        <v>75</v>
      </c>
      <c r="AA810" s="7">
        <v>67.115677000000005</v>
      </c>
      <c r="AB810" s="7">
        <v>44.743783999999998</v>
      </c>
      <c r="AC810" s="7">
        <v>50</v>
      </c>
      <c r="AD810" s="4" t="s">
        <v>124</v>
      </c>
      <c r="AE810" s="4" t="s">
        <v>124</v>
      </c>
      <c r="AF810" s="4" t="s">
        <v>124</v>
      </c>
      <c r="AG810" s="4" t="s">
        <v>124</v>
      </c>
      <c r="AH810" s="4" t="s">
        <v>124</v>
      </c>
      <c r="AI810" s="4" t="s">
        <v>124</v>
      </c>
      <c r="AJ810" s="4" t="s">
        <v>124</v>
      </c>
      <c r="AK810" s="7">
        <v>8.7799999999999994</v>
      </c>
      <c r="AL810" s="7">
        <v>7.88</v>
      </c>
      <c r="AM810" s="4" t="s">
        <v>124</v>
      </c>
      <c r="AN810" s="7">
        <v>0.75021499999999997</v>
      </c>
      <c r="AO810" s="7">
        <v>75.021484000000001</v>
      </c>
      <c r="AP810" s="7">
        <v>100</v>
      </c>
      <c r="AQ810" s="7">
        <v>0.87802899999999995</v>
      </c>
      <c r="AR810" s="7">
        <v>87.802874000000003</v>
      </c>
      <c r="AS810" s="7">
        <v>100</v>
      </c>
      <c r="AT810" s="4" t="s">
        <v>124</v>
      </c>
      <c r="AU810" s="7">
        <v>0.74953199999999998</v>
      </c>
      <c r="AV810" s="4" t="s">
        <v>124</v>
      </c>
      <c r="AW810" s="4" t="s">
        <v>124</v>
      </c>
      <c r="AX810" s="4" t="s">
        <v>124</v>
      </c>
      <c r="AY810" s="7">
        <v>0.88643899999999998</v>
      </c>
      <c r="AZ810" s="4" t="s">
        <v>124</v>
      </c>
      <c r="BA810" s="4" t="s">
        <v>124</v>
      </c>
      <c r="BB810" s="4" t="s">
        <v>124</v>
      </c>
      <c r="BC810" s="4" t="s">
        <v>124</v>
      </c>
      <c r="BD810" s="4" t="s">
        <v>124</v>
      </c>
      <c r="BE810" s="4" t="s">
        <v>124</v>
      </c>
      <c r="BF810" s="4" t="s">
        <v>124</v>
      </c>
      <c r="BG810" s="4" t="s">
        <v>124</v>
      </c>
      <c r="BH810" s="7">
        <v>0</v>
      </c>
      <c r="BI810" s="7">
        <v>0.99333300000000002</v>
      </c>
      <c r="BJ810" s="7">
        <v>1</v>
      </c>
      <c r="BK810" s="7">
        <v>0.99152499999999999</v>
      </c>
      <c r="BL810" s="7">
        <v>0.98666699999999996</v>
      </c>
      <c r="BM810" s="7">
        <v>0.96875</v>
      </c>
      <c r="BN810" s="7">
        <v>0.99152499999999999</v>
      </c>
      <c r="BO810" s="4" t="s">
        <v>124</v>
      </c>
      <c r="BP810" s="4" t="s">
        <v>124</v>
      </c>
      <c r="BQ810" s="4" t="s">
        <v>124</v>
      </c>
      <c r="BR810" s="7">
        <v>4.6341E-2</v>
      </c>
      <c r="BS810" s="7">
        <v>50</v>
      </c>
      <c r="BT810" s="7">
        <v>50</v>
      </c>
      <c r="BU810" s="7">
        <v>6.5421000000000007E-2</v>
      </c>
      <c r="BV810" s="7">
        <v>46.915888000000002</v>
      </c>
      <c r="BW810" s="7">
        <v>50</v>
      </c>
      <c r="BX810" s="4" t="s">
        <v>124</v>
      </c>
      <c r="BY810" s="4" t="s">
        <v>124</v>
      </c>
      <c r="BZ810" s="4" t="s">
        <v>124</v>
      </c>
      <c r="CA810" s="4" t="s">
        <v>124</v>
      </c>
      <c r="CB810" s="4" t="s">
        <v>124</v>
      </c>
      <c r="CC810" s="4" t="s">
        <v>124</v>
      </c>
      <c r="CD810" s="4" t="s">
        <v>124</v>
      </c>
      <c r="CE810" s="4" t="s">
        <v>124</v>
      </c>
      <c r="CF810" s="4" t="s">
        <v>124</v>
      </c>
      <c r="CG810" s="4" t="s">
        <v>124</v>
      </c>
      <c r="CH810" s="4" t="s">
        <v>124</v>
      </c>
      <c r="CI810" s="4" t="s">
        <v>124</v>
      </c>
      <c r="CJ810" s="4" t="s">
        <v>124</v>
      </c>
      <c r="CK810" s="4" t="s">
        <v>124</v>
      </c>
      <c r="CL810" s="4" t="s">
        <v>124</v>
      </c>
      <c r="CM810" s="4" t="s">
        <v>124</v>
      </c>
      <c r="CN810" s="4" t="s">
        <v>124</v>
      </c>
      <c r="CO810" s="4" t="s">
        <v>124</v>
      </c>
      <c r="CP810" s="4" t="s">
        <v>124</v>
      </c>
      <c r="CQ810" s="7">
        <v>0.58024699999999996</v>
      </c>
      <c r="CR810" s="7">
        <v>1.0125</v>
      </c>
      <c r="CS810" s="7">
        <v>38.683128000000004</v>
      </c>
      <c r="CT810" s="7">
        <v>50</v>
      </c>
      <c r="CU810" s="4" t="s">
        <v>124</v>
      </c>
      <c r="CV810" s="4" t="s">
        <v>124</v>
      </c>
      <c r="CW810" s="4" t="s">
        <v>124</v>
      </c>
      <c r="CX810" s="4" t="s">
        <v>124</v>
      </c>
      <c r="CY810" s="4" t="s">
        <v>124</v>
      </c>
      <c r="CZ810" s="4" t="s">
        <v>124</v>
      </c>
      <c r="DA810" s="7">
        <v>15.314097</v>
      </c>
      <c r="DB810" s="7">
        <v>17.400950000000002</v>
      </c>
      <c r="DC810" s="7">
        <v>16.332519999999999</v>
      </c>
      <c r="DD810" s="4" t="s">
        <v>124</v>
      </c>
      <c r="DE810" s="7">
        <v>0</v>
      </c>
      <c r="DF810" s="6"/>
      <c r="DG810" s="6"/>
      <c r="DH810" s="4" t="s">
        <v>331</v>
      </c>
      <c r="DI810" s="4" t="s">
        <v>545</v>
      </c>
      <c r="DJ810" s="7">
        <v>1</v>
      </c>
      <c r="DK810" s="7">
        <v>0</v>
      </c>
      <c r="DL810" s="7">
        <v>1</v>
      </c>
      <c r="DM810" s="7">
        <v>0</v>
      </c>
      <c r="DN810" s="7">
        <v>0</v>
      </c>
      <c r="DO810" s="7">
        <v>0</v>
      </c>
      <c r="DP810" s="6"/>
      <c r="DQ810" s="4" t="s">
        <v>125</v>
      </c>
    </row>
    <row r="811" spans="1:121" ht="20" customHeight="1" x14ac:dyDescent="0.15">
      <c r="A811" s="5">
        <v>2018</v>
      </c>
      <c r="B811" s="3" t="s">
        <v>246</v>
      </c>
      <c r="C811" s="4" t="str">
        <f t="shared" si="121"/>
        <v>1180011</v>
      </c>
      <c r="D811" s="4" t="s">
        <v>967</v>
      </c>
      <c r="E811" s="4" t="str">
        <f>"1180811"</f>
        <v>1180811</v>
      </c>
      <c r="F811" s="4" t="s">
        <v>327</v>
      </c>
      <c r="G811" s="4" t="s">
        <v>328</v>
      </c>
      <c r="H811" s="7">
        <v>5</v>
      </c>
      <c r="I811" s="6"/>
      <c r="J811" s="4" t="s">
        <v>330</v>
      </c>
      <c r="K811" s="7">
        <v>689.00780799999995</v>
      </c>
      <c r="L811" s="7">
        <v>800</v>
      </c>
      <c r="M811" s="7">
        <v>86.125975999999994</v>
      </c>
      <c r="N811" s="7">
        <v>2</v>
      </c>
      <c r="O811" s="7">
        <v>0</v>
      </c>
      <c r="P811" s="7">
        <v>86.729033999999999</v>
      </c>
      <c r="Q811" s="7">
        <v>50</v>
      </c>
      <c r="R811" s="7">
        <v>50</v>
      </c>
      <c r="S811" s="7">
        <v>76.753944000000004</v>
      </c>
      <c r="T811" s="7">
        <v>75</v>
      </c>
      <c r="U811" s="7">
        <v>50</v>
      </c>
      <c r="V811" s="7">
        <v>50</v>
      </c>
      <c r="W811" s="7">
        <v>81.966068000000007</v>
      </c>
      <c r="X811" s="7">
        <v>50</v>
      </c>
      <c r="Y811" s="7">
        <v>50</v>
      </c>
      <c r="Z811" s="7">
        <v>75</v>
      </c>
      <c r="AA811" s="7">
        <v>71.053178000000003</v>
      </c>
      <c r="AB811" s="7">
        <v>47.368785000000003</v>
      </c>
      <c r="AC811" s="7">
        <v>50</v>
      </c>
      <c r="AD811" s="7">
        <v>82.477418999999998</v>
      </c>
      <c r="AE811" s="7">
        <v>50</v>
      </c>
      <c r="AF811" s="7">
        <v>50</v>
      </c>
      <c r="AG811" s="4" t="s">
        <v>124</v>
      </c>
      <c r="AH811" s="7">
        <v>75</v>
      </c>
      <c r="AI811" s="4" t="s">
        <v>124</v>
      </c>
      <c r="AJ811" s="4" t="s">
        <v>124</v>
      </c>
      <c r="AK811" s="7">
        <v>-1.75</v>
      </c>
      <c r="AL811" s="7">
        <v>3.94</v>
      </c>
      <c r="AM811" s="4" t="s">
        <v>124</v>
      </c>
      <c r="AN811" s="7">
        <v>0.79336600000000002</v>
      </c>
      <c r="AO811" s="7">
        <v>79.336555000000004</v>
      </c>
      <c r="AP811" s="7">
        <v>100</v>
      </c>
      <c r="AQ811" s="7">
        <v>0.76618799999999998</v>
      </c>
      <c r="AR811" s="7">
        <v>76.618762000000004</v>
      </c>
      <c r="AS811" s="7">
        <v>100</v>
      </c>
      <c r="AT811" s="7">
        <v>0.78261000000000003</v>
      </c>
      <c r="AU811" s="7">
        <v>0.79621600000000003</v>
      </c>
      <c r="AV811" s="7">
        <v>78.261015</v>
      </c>
      <c r="AW811" s="7">
        <v>100</v>
      </c>
      <c r="AX811" s="7">
        <v>0.70477100000000004</v>
      </c>
      <c r="AY811" s="7">
        <v>0.78246700000000002</v>
      </c>
      <c r="AZ811" s="7">
        <v>70.477121999999994</v>
      </c>
      <c r="BA811" s="7">
        <v>100</v>
      </c>
      <c r="BB811" s="4" t="s">
        <v>124</v>
      </c>
      <c r="BC811" s="4" t="s">
        <v>124</v>
      </c>
      <c r="BD811" s="4" t="s">
        <v>124</v>
      </c>
      <c r="BE811" s="4" t="s">
        <v>124</v>
      </c>
      <c r="BF811" s="4" t="s">
        <v>124</v>
      </c>
      <c r="BG811" s="4" t="s">
        <v>124</v>
      </c>
      <c r="BH811" s="7">
        <v>1</v>
      </c>
      <c r="BI811" s="7">
        <v>0.97515499999999999</v>
      </c>
      <c r="BJ811" s="7">
        <v>0.90625</v>
      </c>
      <c r="BK811" s="7">
        <v>0.99224800000000002</v>
      </c>
      <c r="BL811" s="7">
        <v>0.96894400000000003</v>
      </c>
      <c r="BM811" s="7">
        <v>0.90625</v>
      </c>
      <c r="BN811" s="7">
        <v>0.98449600000000004</v>
      </c>
      <c r="BO811" s="7">
        <v>0.94915300000000002</v>
      </c>
      <c r="BP811" s="4" t="s">
        <v>124</v>
      </c>
      <c r="BQ811" s="7">
        <v>0.97777800000000004</v>
      </c>
      <c r="BR811" s="7">
        <v>4.9383000000000003E-2</v>
      </c>
      <c r="BS811" s="7">
        <v>50</v>
      </c>
      <c r="BT811" s="7">
        <v>50</v>
      </c>
      <c r="BU811" s="7">
        <v>6.4102999999999993E-2</v>
      </c>
      <c r="BV811" s="7">
        <v>47.179487000000002</v>
      </c>
      <c r="BW811" s="7">
        <v>50</v>
      </c>
      <c r="BX811" s="4" t="s">
        <v>124</v>
      </c>
      <c r="BY811" s="4" t="s">
        <v>124</v>
      </c>
      <c r="BZ811" s="4" t="s">
        <v>124</v>
      </c>
      <c r="CA811" s="4" t="s">
        <v>124</v>
      </c>
      <c r="CB811" s="4" t="s">
        <v>124</v>
      </c>
      <c r="CC811" s="4" t="s">
        <v>124</v>
      </c>
      <c r="CD811" s="4" t="s">
        <v>124</v>
      </c>
      <c r="CE811" s="4" t="s">
        <v>124</v>
      </c>
      <c r="CF811" s="4" t="s">
        <v>124</v>
      </c>
      <c r="CG811" s="4" t="s">
        <v>124</v>
      </c>
      <c r="CH811" s="4" t="s">
        <v>124</v>
      </c>
      <c r="CI811" s="4" t="s">
        <v>124</v>
      </c>
      <c r="CJ811" s="4" t="s">
        <v>124</v>
      </c>
      <c r="CK811" s="4" t="s">
        <v>124</v>
      </c>
      <c r="CL811" s="4" t="s">
        <v>124</v>
      </c>
      <c r="CM811" s="4" t="s">
        <v>124</v>
      </c>
      <c r="CN811" s="4" t="s">
        <v>124</v>
      </c>
      <c r="CO811" s="4" t="s">
        <v>124</v>
      </c>
      <c r="CP811" s="4" t="s">
        <v>124</v>
      </c>
      <c r="CQ811" s="7">
        <v>0.59649099999999999</v>
      </c>
      <c r="CR811" s="7">
        <v>1</v>
      </c>
      <c r="CS811" s="7">
        <v>39.766081999999997</v>
      </c>
      <c r="CT811" s="7">
        <v>50</v>
      </c>
      <c r="CU811" s="4" t="s">
        <v>124</v>
      </c>
      <c r="CV811" s="4" t="s">
        <v>124</v>
      </c>
      <c r="CW811" s="4" t="s">
        <v>124</v>
      </c>
      <c r="CX811" s="4" t="s">
        <v>124</v>
      </c>
      <c r="CY811" s="4" t="s">
        <v>124</v>
      </c>
      <c r="CZ811" s="4" t="s">
        <v>124</v>
      </c>
      <c r="DA811" s="7">
        <v>15.314097</v>
      </c>
      <c r="DB811" s="7">
        <v>17.400950000000002</v>
      </c>
      <c r="DC811" s="7">
        <v>16.332519999999999</v>
      </c>
      <c r="DD811" s="4" t="s">
        <v>124</v>
      </c>
      <c r="DE811" s="7">
        <v>1</v>
      </c>
      <c r="DF811" s="6"/>
      <c r="DG811" s="6"/>
      <c r="DH811" s="6"/>
      <c r="DI811" s="6"/>
      <c r="DJ811" s="7">
        <v>0</v>
      </c>
      <c r="DK811" s="7">
        <v>0</v>
      </c>
      <c r="DL811" s="7">
        <v>0</v>
      </c>
      <c r="DM811" s="7">
        <v>0</v>
      </c>
      <c r="DN811" s="7">
        <v>0</v>
      </c>
      <c r="DO811" s="7">
        <v>0</v>
      </c>
      <c r="DP811" s="6"/>
      <c r="DQ811" s="4" t="s">
        <v>125</v>
      </c>
    </row>
    <row r="812" spans="1:121" ht="20" customHeight="1" x14ac:dyDescent="0.15">
      <c r="A812" s="5">
        <v>2018</v>
      </c>
      <c r="B812" s="3" t="s">
        <v>246</v>
      </c>
      <c r="C812" s="4" t="str">
        <f t="shared" ref="C812:C819" si="246">"1180011"</f>
        <v>1180011</v>
      </c>
      <c r="D812" s="4" t="s">
        <v>968</v>
      </c>
      <c r="E812" s="4" t="str">
        <f>"1180611"</f>
        <v>1180611</v>
      </c>
      <c r="F812" s="4" t="s">
        <v>327</v>
      </c>
      <c r="G812" s="4" t="s">
        <v>328</v>
      </c>
      <c r="H812" s="7">
        <v>5</v>
      </c>
      <c r="I812" s="4" t="s">
        <v>329</v>
      </c>
      <c r="J812" s="4" t="s">
        <v>330</v>
      </c>
      <c r="K812" s="7">
        <v>669.18140100000005</v>
      </c>
      <c r="L812" s="7">
        <v>800</v>
      </c>
      <c r="M812" s="7">
        <v>83.647675000000007</v>
      </c>
      <c r="N812" s="7">
        <v>2</v>
      </c>
      <c r="O812" s="7">
        <v>0</v>
      </c>
      <c r="P812" s="7">
        <v>84.405852999999993</v>
      </c>
      <c r="Q812" s="7">
        <v>50</v>
      </c>
      <c r="R812" s="7">
        <v>50</v>
      </c>
      <c r="S812" s="7">
        <v>77.685723999999993</v>
      </c>
      <c r="T812" s="7">
        <v>75</v>
      </c>
      <c r="U812" s="7">
        <v>50</v>
      </c>
      <c r="V812" s="7">
        <v>50</v>
      </c>
      <c r="W812" s="7">
        <v>81.217895999999996</v>
      </c>
      <c r="X812" s="7">
        <v>50</v>
      </c>
      <c r="Y812" s="7">
        <v>50</v>
      </c>
      <c r="Z812" s="7">
        <v>75</v>
      </c>
      <c r="AA812" s="7">
        <v>76.952386000000004</v>
      </c>
      <c r="AB812" s="7">
        <v>50</v>
      </c>
      <c r="AC812" s="7">
        <v>50</v>
      </c>
      <c r="AD812" s="7">
        <v>78.556712000000005</v>
      </c>
      <c r="AE812" s="7">
        <v>50</v>
      </c>
      <c r="AF812" s="7">
        <v>50</v>
      </c>
      <c r="AG812" s="4" t="s">
        <v>124</v>
      </c>
      <c r="AH812" s="7">
        <v>75</v>
      </c>
      <c r="AI812" s="4" t="s">
        <v>124</v>
      </c>
      <c r="AJ812" s="4" t="s">
        <v>124</v>
      </c>
      <c r="AK812" s="7">
        <v>-2.68</v>
      </c>
      <c r="AL812" s="7">
        <v>-1.95</v>
      </c>
      <c r="AM812" s="4" t="s">
        <v>124</v>
      </c>
      <c r="AN812" s="7">
        <v>0.68276499999999996</v>
      </c>
      <c r="AO812" s="7">
        <v>68.276527000000002</v>
      </c>
      <c r="AP812" s="7">
        <v>100</v>
      </c>
      <c r="AQ812" s="7">
        <v>0.79445299999999996</v>
      </c>
      <c r="AR812" s="7">
        <v>79.445313999999996</v>
      </c>
      <c r="AS812" s="7">
        <v>100</v>
      </c>
      <c r="AT812" s="7">
        <v>0.59015600000000001</v>
      </c>
      <c r="AU812" s="7">
        <v>0.710453</v>
      </c>
      <c r="AV812" s="7">
        <v>59.015560999999998</v>
      </c>
      <c r="AW812" s="7">
        <v>100</v>
      </c>
      <c r="AX812" s="7">
        <v>0.80994699999999997</v>
      </c>
      <c r="AY812" s="7">
        <v>0.78977299999999995</v>
      </c>
      <c r="AZ812" s="7">
        <v>80.994721999999996</v>
      </c>
      <c r="BA812" s="7">
        <v>100</v>
      </c>
      <c r="BB812" s="4" t="s">
        <v>124</v>
      </c>
      <c r="BC812" s="4" t="s">
        <v>124</v>
      </c>
      <c r="BD812" s="4" t="s">
        <v>124</v>
      </c>
      <c r="BE812" s="4" t="s">
        <v>124</v>
      </c>
      <c r="BF812" s="4" t="s">
        <v>124</v>
      </c>
      <c r="BG812" s="4" t="s">
        <v>124</v>
      </c>
      <c r="BH812" s="7">
        <v>0</v>
      </c>
      <c r="BI812" s="7">
        <v>0.98412699999999997</v>
      </c>
      <c r="BJ812" s="7">
        <v>0.96078399999999997</v>
      </c>
      <c r="BK812" s="7">
        <v>0.99275400000000003</v>
      </c>
      <c r="BL812" s="7">
        <v>0.984043</v>
      </c>
      <c r="BM812" s="7">
        <v>0.96078399999999997</v>
      </c>
      <c r="BN812" s="7">
        <v>0.99270099999999994</v>
      </c>
      <c r="BO812" s="7">
        <v>0.98412699999999997</v>
      </c>
      <c r="BP812" s="4" t="s">
        <v>124</v>
      </c>
      <c r="BQ812" s="7">
        <v>1</v>
      </c>
      <c r="BR812" s="7">
        <v>2.2161E-2</v>
      </c>
      <c r="BS812" s="7">
        <v>50</v>
      </c>
      <c r="BT812" s="7">
        <v>50</v>
      </c>
      <c r="BU812" s="7">
        <v>6.6667000000000004E-2</v>
      </c>
      <c r="BV812" s="7">
        <v>46.666666999999997</v>
      </c>
      <c r="BW812" s="7">
        <v>50</v>
      </c>
      <c r="BX812" s="4" t="s">
        <v>124</v>
      </c>
      <c r="BY812" s="4" t="s">
        <v>124</v>
      </c>
      <c r="BZ812" s="4" t="s">
        <v>124</v>
      </c>
      <c r="CA812" s="4" t="s">
        <v>124</v>
      </c>
      <c r="CB812" s="4" t="s">
        <v>124</v>
      </c>
      <c r="CC812" s="4" t="s">
        <v>124</v>
      </c>
      <c r="CD812" s="4" t="s">
        <v>124</v>
      </c>
      <c r="CE812" s="4" t="s">
        <v>124</v>
      </c>
      <c r="CF812" s="4" t="s">
        <v>124</v>
      </c>
      <c r="CG812" s="4" t="s">
        <v>124</v>
      </c>
      <c r="CH812" s="4" t="s">
        <v>124</v>
      </c>
      <c r="CI812" s="4" t="s">
        <v>124</v>
      </c>
      <c r="CJ812" s="4" t="s">
        <v>124</v>
      </c>
      <c r="CK812" s="4" t="s">
        <v>124</v>
      </c>
      <c r="CL812" s="4" t="s">
        <v>124</v>
      </c>
      <c r="CM812" s="4" t="s">
        <v>124</v>
      </c>
      <c r="CN812" s="4" t="s">
        <v>124</v>
      </c>
      <c r="CO812" s="4" t="s">
        <v>124</v>
      </c>
      <c r="CP812" s="4" t="s">
        <v>124</v>
      </c>
      <c r="CQ812" s="7">
        <v>0.52173899999999995</v>
      </c>
      <c r="CR812" s="7">
        <v>1</v>
      </c>
      <c r="CS812" s="7">
        <v>34.782609000000001</v>
      </c>
      <c r="CT812" s="7">
        <v>50</v>
      </c>
      <c r="CU812" s="4" t="s">
        <v>124</v>
      </c>
      <c r="CV812" s="4" t="s">
        <v>124</v>
      </c>
      <c r="CW812" s="4" t="s">
        <v>124</v>
      </c>
      <c r="CX812" s="4" t="s">
        <v>124</v>
      </c>
      <c r="CY812" s="4" t="s">
        <v>124</v>
      </c>
      <c r="CZ812" s="4" t="s">
        <v>124</v>
      </c>
      <c r="DA812" s="7">
        <v>15.314097</v>
      </c>
      <c r="DB812" s="7">
        <v>17.400950000000002</v>
      </c>
      <c r="DC812" s="7">
        <v>16.332519999999999</v>
      </c>
      <c r="DD812" s="4" t="s">
        <v>124</v>
      </c>
      <c r="DE812" s="7">
        <v>0</v>
      </c>
      <c r="DF812" s="6"/>
      <c r="DG812" s="6"/>
      <c r="DH812" s="4" t="s">
        <v>331</v>
      </c>
      <c r="DI812" s="4" t="s">
        <v>431</v>
      </c>
      <c r="DJ812" s="7">
        <v>0</v>
      </c>
      <c r="DK812" s="7">
        <v>0</v>
      </c>
      <c r="DL812" s="7">
        <v>0</v>
      </c>
      <c r="DM812" s="7">
        <v>0</v>
      </c>
      <c r="DN812" s="7">
        <v>1</v>
      </c>
      <c r="DO812" s="7">
        <v>0</v>
      </c>
      <c r="DP812" s="6"/>
      <c r="DQ812" s="4" t="s">
        <v>125</v>
      </c>
    </row>
    <row r="813" spans="1:121" ht="20" customHeight="1" x14ac:dyDescent="0.15">
      <c r="A813" s="5">
        <v>2018</v>
      </c>
      <c r="B813" s="3" t="s">
        <v>246</v>
      </c>
      <c r="C813" s="4" t="str">
        <f t="shared" si="246"/>
        <v>1180011</v>
      </c>
      <c r="D813" s="4" t="s">
        <v>969</v>
      </c>
      <c r="E813" s="4" t="str">
        <f>"1185111"</f>
        <v>1185111</v>
      </c>
      <c r="F813" s="4" t="s">
        <v>327</v>
      </c>
      <c r="G813" s="7">
        <v>6</v>
      </c>
      <c r="H813" s="7">
        <v>8</v>
      </c>
      <c r="I813" s="4" t="s">
        <v>329</v>
      </c>
      <c r="J813" s="4" t="s">
        <v>330</v>
      </c>
      <c r="K813" s="7">
        <v>737.72578899999996</v>
      </c>
      <c r="L813" s="7">
        <v>900</v>
      </c>
      <c r="M813" s="7">
        <v>81.969532000000001</v>
      </c>
      <c r="N813" s="7">
        <v>2</v>
      </c>
      <c r="O813" s="7">
        <v>0</v>
      </c>
      <c r="P813" s="7">
        <v>81.659301999999997</v>
      </c>
      <c r="Q813" s="7">
        <v>50</v>
      </c>
      <c r="R813" s="7">
        <v>50</v>
      </c>
      <c r="S813" s="7">
        <v>67.790000000000006</v>
      </c>
      <c r="T813" s="7">
        <v>75</v>
      </c>
      <c r="U813" s="7">
        <v>45.193334</v>
      </c>
      <c r="V813" s="7">
        <v>50</v>
      </c>
      <c r="W813" s="7">
        <v>78.475414999999998</v>
      </c>
      <c r="X813" s="7">
        <v>50</v>
      </c>
      <c r="Y813" s="7">
        <v>50</v>
      </c>
      <c r="Z813" s="7">
        <v>75</v>
      </c>
      <c r="AA813" s="7">
        <v>61.584704000000002</v>
      </c>
      <c r="AB813" s="7">
        <v>41.056469</v>
      </c>
      <c r="AC813" s="7">
        <v>50</v>
      </c>
      <c r="AD813" s="7">
        <v>75.737705000000005</v>
      </c>
      <c r="AE813" s="7">
        <v>50</v>
      </c>
      <c r="AF813" s="7">
        <v>50</v>
      </c>
      <c r="AG813" s="7">
        <v>61.807623</v>
      </c>
      <c r="AH813" s="7">
        <v>75</v>
      </c>
      <c r="AI813" s="7">
        <v>41.205081999999997</v>
      </c>
      <c r="AJ813" s="7">
        <v>50</v>
      </c>
      <c r="AK813" s="7">
        <v>7.2</v>
      </c>
      <c r="AL813" s="7">
        <v>13.41</v>
      </c>
      <c r="AM813" s="7">
        <v>13.19</v>
      </c>
      <c r="AN813" s="7">
        <v>0.638401</v>
      </c>
      <c r="AO813" s="7">
        <v>63.840111999999998</v>
      </c>
      <c r="AP813" s="7">
        <v>100</v>
      </c>
      <c r="AQ813" s="7">
        <v>0.77626799999999996</v>
      </c>
      <c r="AR813" s="7">
        <v>77.626819999999995</v>
      </c>
      <c r="AS813" s="7">
        <v>100</v>
      </c>
      <c r="AT813" s="7">
        <v>0.631745</v>
      </c>
      <c r="AU813" s="7">
        <v>0.63967099999999999</v>
      </c>
      <c r="AV813" s="7">
        <v>63.174512999999997</v>
      </c>
      <c r="AW813" s="7">
        <v>100</v>
      </c>
      <c r="AX813" s="7">
        <v>0.61858999999999997</v>
      </c>
      <c r="AY813" s="7">
        <v>0.80642199999999997</v>
      </c>
      <c r="AZ813" s="7">
        <v>61.858963000000003</v>
      </c>
      <c r="BA813" s="7">
        <v>100</v>
      </c>
      <c r="BB813" s="4" t="s">
        <v>124</v>
      </c>
      <c r="BC813" s="4" t="s">
        <v>124</v>
      </c>
      <c r="BD813" s="4" t="s">
        <v>124</v>
      </c>
      <c r="BE813" s="4" t="s">
        <v>124</v>
      </c>
      <c r="BF813" s="4" t="s">
        <v>124</v>
      </c>
      <c r="BG813" s="4" t="s">
        <v>124</v>
      </c>
      <c r="BH813" s="7">
        <v>0</v>
      </c>
      <c r="BI813" s="7">
        <v>0.99062499999999998</v>
      </c>
      <c r="BJ813" s="7">
        <v>0.98275900000000005</v>
      </c>
      <c r="BK813" s="7">
        <v>0.99236599999999997</v>
      </c>
      <c r="BL813" s="7">
        <v>0.98906300000000003</v>
      </c>
      <c r="BM813" s="7">
        <v>0.98275900000000005</v>
      </c>
      <c r="BN813" s="7">
        <v>0.99045799999999995</v>
      </c>
      <c r="BO813" s="7">
        <v>0.97619</v>
      </c>
      <c r="BP813" s="7">
        <v>0.95121999999999995</v>
      </c>
      <c r="BQ813" s="7">
        <v>0.981043</v>
      </c>
      <c r="BR813" s="7">
        <v>3.125E-2</v>
      </c>
      <c r="BS813" s="7">
        <v>50</v>
      </c>
      <c r="BT813" s="7">
        <v>50</v>
      </c>
      <c r="BU813" s="7">
        <v>7.9645999999999995E-2</v>
      </c>
      <c r="BV813" s="7">
        <v>44.070796000000001</v>
      </c>
      <c r="BW813" s="7">
        <v>50</v>
      </c>
      <c r="BX813" s="4" t="s">
        <v>124</v>
      </c>
      <c r="BY813" s="4" t="s">
        <v>124</v>
      </c>
      <c r="BZ813" s="4" t="s">
        <v>124</v>
      </c>
      <c r="CA813" s="4" t="s">
        <v>124</v>
      </c>
      <c r="CB813" s="4" t="s">
        <v>124</v>
      </c>
      <c r="CC813" s="4" t="s">
        <v>124</v>
      </c>
      <c r="CD813" s="7">
        <v>1</v>
      </c>
      <c r="CE813" s="7">
        <v>50</v>
      </c>
      <c r="CF813" s="7">
        <v>50</v>
      </c>
      <c r="CG813" s="4" t="s">
        <v>124</v>
      </c>
      <c r="CH813" s="4" t="s">
        <v>124</v>
      </c>
      <c r="CI813" s="4" t="s">
        <v>124</v>
      </c>
      <c r="CJ813" s="4" t="s">
        <v>124</v>
      </c>
      <c r="CK813" s="4" t="s">
        <v>124</v>
      </c>
      <c r="CL813" s="4" t="s">
        <v>124</v>
      </c>
      <c r="CM813" s="4" t="s">
        <v>124</v>
      </c>
      <c r="CN813" s="4" t="s">
        <v>124</v>
      </c>
      <c r="CO813" s="4" t="s">
        <v>124</v>
      </c>
      <c r="CP813" s="4" t="s">
        <v>124</v>
      </c>
      <c r="CQ813" s="7">
        <v>0.74549500000000002</v>
      </c>
      <c r="CR813" s="7">
        <v>0.98886399999999997</v>
      </c>
      <c r="CS813" s="7">
        <v>49.6997</v>
      </c>
      <c r="CT813" s="7">
        <v>50</v>
      </c>
      <c r="CU813" s="4" t="s">
        <v>124</v>
      </c>
      <c r="CV813" s="4" t="s">
        <v>124</v>
      </c>
      <c r="CW813" s="4" t="s">
        <v>124</v>
      </c>
      <c r="CX813" s="4" t="s">
        <v>124</v>
      </c>
      <c r="CY813" s="4" t="s">
        <v>124</v>
      </c>
      <c r="CZ813" s="4" t="s">
        <v>124</v>
      </c>
      <c r="DA813" s="7">
        <v>15.314097</v>
      </c>
      <c r="DB813" s="7">
        <v>17.400950000000002</v>
      </c>
      <c r="DC813" s="7">
        <v>16.332519999999999</v>
      </c>
      <c r="DD813" s="4" t="s">
        <v>124</v>
      </c>
      <c r="DE813" s="7">
        <v>0</v>
      </c>
      <c r="DF813" s="6"/>
      <c r="DG813" s="6"/>
      <c r="DH813" s="6"/>
      <c r="DI813" s="6"/>
      <c r="DJ813" s="7">
        <v>0</v>
      </c>
      <c r="DK813" s="7">
        <v>0</v>
      </c>
      <c r="DL813" s="7">
        <v>0</v>
      </c>
      <c r="DM813" s="7">
        <v>0</v>
      </c>
      <c r="DN813" s="7">
        <v>0</v>
      </c>
      <c r="DO813" s="7">
        <v>0</v>
      </c>
      <c r="DP813" s="6"/>
      <c r="DQ813" s="4" t="s">
        <v>125</v>
      </c>
    </row>
    <row r="814" spans="1:121" ht="20" customHeight="1" x14ac:dyDescent="0.15">
      <c r="A814" s="5">
        <v>2018</v>
      </c>
      <c r="B814" s="3" t="s">
        <v>246</v>
      </c>
      <c r="C814" s="4" t="str">
        <f t="shared" si="246"/>
        <v>1180011</v>
      </c>
      <c r="D814" s="4" t="s">
        <v>970</v>
      </c>
      <c r="E814" s="4" t="str">
        <f>"1180411"</f>
        <v>1180411</v>
      </c>
      <c r="F814" s="4" t="s">
        <v>327</v>
      </c>
      <c r="G814" s="4" t="s">
        <v>328</v>
      </c>
      <c r="H814" s="7">
        <v>5</v>
      </c>
      <c r="I814" s="6"/>
      <c r="J814" s="4" t="s">
        <v>330</v>
      </c>
      <c r="K814" s="7">
        <v>540.91466800000001</v>
      </c>
      <c r="L814" s="7">
        <v>600</v>
      </c>
      <c r="M814" s="7">
        <v>90.152445</v>
      </c>
      <c r="N814" s="7">
        <v>1</v>
      </c>
      <c r="O814" s="7">
        <v>0</v>
      </c>
      <c r="P814" s="7">
        <v>85.217923999999996</v>
      </c>
      <c r="Q814" s="7">
        <v>50</v>
      </c>
      <c r="R814" s="7">
        <v>50</v>
      </c>
      <c r="S814" s="7">
        <v>74.697421000000006</v>
      </c>
      <c r="T814" s="7">
        <v>75</v>
      </c>
      <c r="U814" s="7">
        <v>49.798281000000003</v>
      </c>
      <c r="V814" s="7">
        <v>50</v>
      </c>
      <c r="W814" s="7">
        <v>81.701880000000003</v>
      </c>
      <c r="X814" s="7">
        <v>50</v>
      </c>
      <c r="Y814" s="7">
        <v>50</v>
      </c>
      <c r="Z814" s="7">
        <v>75</v>
      </c>
      <c r="AA814" s="7">
        <v>69.663223000000002</v>
      </c>
      <c r="AB814" s="7">
        <v>46.442149000000001</v>
      </c>
      <c r="AC814" s="7">
        <v>50</v>
      </c>
      <c r="AD814" s="7">
        <v>82.911974000000001</v>
      </c>
      <c r="AE814" s="7">
        <v>50</v>
      </c>
      <c r="AF814" s="7">
        <v>50</v>
      </c>
      <c r="AG814" s="4" t="s">
        <v>124</v>
      </c>
      <c r="AH814" s="7">
        <v>75</v>
      </c>
      <c r="AI814" s="4" t="s">
        <v>124</v>
      </c>
      <c r="AJ814" s="4" t="s">
        <v>124</v>
      </c>
      <c r="AK814" s="7">
        <v>0.3</v>
      </c>
      <c r="AL814" s="7">
        <v>5.33</v>
      </c>
      <c r="AM814" s="4" t="s">
        <v>124</v>
      </c>
      <c r="AN814" s="7">
        <v>0.77825</v>
      </c>
      <c r="AO814" s="7">
        <v>77.825038000000006</v>
      </c>
      <c r="AP814" s="7">
        <v>100</v>
      </c>
      <c r="AQ814" s="7">
        <v>0.82643999999999995</v>
      </c>
      <c r="AR814" s="7">
        <v>82.643968000000001</v>
      </c>
      <c r="AS814" s="7">
        <v>100</v>
      </c>
      <c r="AT814" s="4" t="s">
        <v>124</v>
      </c>
      <c r="AU814" s="7">
        <v>0.80428999999999995</v>
      </c>
      <c r="AV814" s="4" t="s">
        <v>124</v>
      </c>
      <c r="AW814" s="4" t="s">
        <v>124</v>
      </c>
      <c r="AX814" s="4" t="s">
        <v>124</v>
      </c>
      <c r="AY814" s="7">
        <v>0.83829900000000002</v>
      </c>
      <c r="AZ814" s="4" t="s">
        <v>124</v>
      </c>
      <c r="BA814" s="4" t="s">
        <v>124</v>
      </c>
      <c r="BB814" s="4" t="s">
        <v>124</v>
      </c>
      <c r="BC814" s="4" t="s">
        <v>124</v>
      </c>
      <c r="BD814" s="4" t="s">
        <v>124</v>
      </c>
      <c r="BE814" s="4" t="s">
        <v>124</v>
      </c>
      <c r="BF814" s="4" t="s">
        <v>124</v>
      </c>
      <c r="BG814" s="4" t="s">
        <v>124</v>
      </c>
      <c r="BH814" s="7">
        <v>0</v>
      </c>
      <c r="BI814" s="7">
        <v>0.99401200000000001</v>
      </c>
      <c r="BJ814" s="7">
        <v>0.96666700000000005</v>
      </c>
      <c r="BK814" s="7">
        <v>1</v>
      </c>
      <c r="BL814" s="7">
        <v>0.99401200000000001</v>
      </c>
      <c r="BM814" s="7">
        <v>0.96666700000000005</v>
      </c>
      <c r="BN814" s="7">
        <v>1</v>
      </c>
      <c r="BO814" s="7">
        <v>1</v>
      </c>
      <c r="BP814" s="4" t="s">
        <v>124</v>
      </c>
      <c r="BQ814" s="7">
        <v>1</v>
      </c>
      <c r="BR814" s="7">
        <v>5.1020000000000003E-2</v>
      </c>
      <c r="BS814" s="7">
        <v>49.795918</v>
      </c>
      <c r="BT814" s="7">
        <v>50</v>
      </c>
      <c r="BU814" s="7">
        <v>5.4053999999999998E-2</v>
      </c>
      <c r="BV814" s="7">
        <v>49.189188999999999</v>
      </c>
      <c r="BW814" s="7">
        <v>50</v>
      </c>
      <c r="BX814" s="4" t="s">
        <v>124</v>
      </c>
      <c r="BY814" s="4" t="s">
        <v>124</v>
      </c>
      <c r="BZ814" s="4" t="s">
        <v>124</v>
      </c>
      <c r="CA814" s="4" t="s">
        <v>124</v>
      </c>
      <c r="CB814" s="4" t="s">
        <v>124</v>
      </c>
      <c r="CC814" s="4" t="s">
        <v>124</v>
      </c>
      <c r="CD814" s="4" t="s">
        <v>124</v>
      </c>
      <c r="CE814" s="4" t="s">
        <v>124</v>
      </c>
      <c r="CF814" s="4" t="s">
        <v>124</v>
      </c>
      <c r="CG814" s="4" t="s">
        <v>124</v>
      </c>
      <c r="CH814" s="4" t="s">
        <v>124</v>
      </c>
      <c r="CI814" s="4" t="s">
        <v>124</v>
      </c>
      <c r="CJ814" s="4" t="s">
        <v>124</v>
      </c>
      <c r="CK814" s="4" t="s">
        <v>124</v>
      </c>
      <c r="CL814" s="4" t="s">
        <v>124</v>
      </c>
      <c r="CM814" s="4" t="s">
        <v>124</v>
      </c>
      <c r="CN814" s="4" t="s">
        <v>124</v>
      </c>
      <c r="CO814" s="4" t="s">
        <v>124</v>
      </c>
      <c r="CP814" s="4" t="s">
        <v>124</v>
      </c>
      <c r="CQ814" s="7">
        <v>0.52830200000000005</v>
      </c>
      <c r="CR814" s="7">
        <v>0.96363600000000005</v>
      </c>
      <c r="CS814" s="7">
        <v>35.220126</v>
      </c>
      <c r="CT814" s="7">
        <v>50</v>
      </c>
      <c r="CU814" s="4" t="s">
        <v>124</v>
      </c>
      <c r="CV814" s="4" t="s">
        <v>124</v>
      </c>
      <c r="CW814" s="4" t="s">
        <v>124</v>
      </c>
      <c r="CX814" s="4" t="s">
        <v>124</v>
      </c>
      <c r="CY814" s="4" t="s">
        <v>124</v>
      </c>
      <c r="CZ814" s="4" t="s">
        <v>124</v>
      </c>
      <c r="DA814" s="7">
        <v>15.314097</v>
      </c>
      <c r="DB814" s="7">
        <v>17.400950000000002</v>
      </c>
      <c r="DC814" s="7">
        <v>16.332519999999999</v>
      </c>
      <c r="DD814" s="4" t="s">
        <v>124</v>
      </c>
      <c r="DE814" s="7">
        <v>0</v>
      </c>
      <c r="DF814" s="6"/>
      <c r="DG814" s="6"/>
      <c r="DH814" s="4" t="s">
        <v>331</v>
      </c>
      <c r="DI814" s="4" t="s">
        <v>738</v>
      </c>
      <c r="DJ814" s="7">
        <v>1</v>
      </c>
      <c r="DK814" s="7">
        <v>1</v>
      </c>
      <c r="DL814" s="7">
        <v>0</v>
      </c>
      <c r="DM814" s="7">
        <v>0</v>
      </c>
      <c r="DN814" s="7">
        <v>0</v>
      </c>
      <c r="DO814" s="7">
        <v>0</v>
      </c>
      <c r="DP814" s="6"/>
      <c r="DQ814" s="4" t="s">
        <v>125</v>
      </c>
    </row>
    <row r="815" spans="1:121" ht="20" customHeight="1" x14ac:dyDescent="0.15">
      <c r="A815" s="5">
        <v>2018</v>
      </c>
      <c r="B815" s="3" t="s">
        <v>246</v>
      </c>
      <c r="C815" s="4" t="str">
        <f>"1180011"</f>
        <v>1180011</v>
      </c>
      <c r="D815" s="4" t="s">
        <v>971</v>
      </c>
      <c r="E815" s="4" t="str">
        <f>"1180311"</f>
        <v>1180311</v>
      </c>
      <c r="F815" s="4" t="s">
        <v>327</v>
      </c>
      <c r="G815" s="4" t="s">
        <v>328</v>
      </c>
      <c r="H815" s="7">
        <v>5</v>
      </c>
      <c r="I815" s="4" t="s">
        <v>329</v>
      </c>
      <c r="J815" s="4" t="s">
        <v>330</v>
      </c>
      <c r="K815" s="7">
        <v>554.16557799999998</v>
      </c>
      <c r="L815" s="7">
        <v>600</v>
      </c>
      <c r="M815" s="7">
        <v>92.360929999999996</v>
      </c>
      <c r="N815" s="7">
        <v>1</v>
      </c>
      <c r="O815" s="7">
        <v>0</v>
      </c>
      <c r="P815" s="7">
        <v>87.651092000000006</v>
      </c>
      <c r="Q815" s="7">
        <v>50</v>
      </c>
      <c r="R815" s="7">
        <v>50</v>
      </c>
      <c r="S815" s="7">
        <v>73.179657000000006</v>
      </c>
      <c r="T815" s="7">
        <v>75</v>
      </c>
      <c r="U815" s="7">
        <v>48.786437999999997</v>
      </c>
      <c r="V815" s="7">
        <v>50</v>
      </c>
      <c r="W815" s="7">
        <v>84.697042999999994</v>
      </c>
      <c r="X815" s="7">
        <v>50</v>
      </c>
      <c r="Y815" s="7">
        <v>50</v>
      </c>
      <c r="Z815" s="7">
        <v>75</v>
      </c>
      <c r="AA815" s="7">
        <v>67.421453999999997</v>
      </c>
      <c r="AB815" s="7">
        <v>44.947636000000003</v>
      </c>
      <c r="AC815" s="7">
        <v>50</v>
      </c>
      <c r="AD815" s="7">
        <v>86.512406999999996</v>
      </c>
      <c r="AE815" s="7">
        <v>50</v>
      </c>
      <c r="AF815" s="7">
        <v>50</v>
      </c>
      <c r="AG815" s="4" t="s">
        <v>124</v>
      </c>
      <c r="AH815" s="7">
        <v>75</v>
      </c>
      <c r="AI815" s="4" t="s">
        <v>124</v>
      </c>
      <c r="AJ815" s="4" t="s">
        <v>124</v>
      </c>
      <c r="AK815" s="7">
        <v>1.82</v>
      </c>
      <c r="AL815" s="7">
        <v>7.57</v>
      </c>
      <c r="AM815" s="4" t="s">
        <v>124</v>
      </c>
      <c r="AN815" s="7">
        <v>0.86365000000000003</v>
      </c>
      <c r="AO815" s="7">
        <v>86.365010999999996</v>
      </c>
      <c r="AP815" s="7">
        <v>100</v>
      </c>
      <c r="AQ815" s="7">
        <v>0.81891800000000003</v>
      </c>
      <c r="AR815" s="7">
        <v>81.891806000000003</v>
      </c>
      <c r="AS815" s="7">
        <v>100</v>
      </c>
      <c r="AT815" s="4" t="s">
        <v>124</v>
      </c>
      <c r="AU815" s="7">
        <v>0.87722199999999995</v>
      </c>
      <c r="AV815" s="4" t="s">
        <v>124</v>
      </c>
      <c r="AW815" s="4" t="s">
        <v>124</v>
      </c>
      <c r="AX815" s="4" t="s">
        <v>124</v>
      </c>
      <c r="AY815" s="7">
        <v>0.86979799999999996</v>
      </c>
      <c r="AZ815" s="4" t="s">
        <v>124</v>
      </c>
      <c r="BA815" s="4" t="s">
        <v>124</v>
      </c>
      <c r="BB815" s="4" t="s">
        <v>124</v>
      </c>
      <c r="BC815" s="4" t="s">
        <v>124</v>
      </c>
      <c r="BD815" s="4" t="s">
        <v>124</v>
      </c>
      <c r="BE815" s="4" t="s">
        <v>124</v>
      </c>
      <c r="BF815" s="4" t="s">
        <v>124</v>
      </c>
      <c r="BG815" s="4" t="s">
        <v>124</v>
      </c>
      <c r="BH815" s="7">
        <v>0</v>
      </c>
      <c r="BI815" s="7">
        <v>0.98787899999999995</v>
      </c>
      <c r="BJ815" s="7">
        <v>1</v>
      </c>
      <c r="BK815" s="7">
        <v>0.98484799999999995</v>
      </c>
      <c r="BL815" s="7">
        <v>0.98787899999999995</v>
      </c>
      <c r="BM815" s="7">
        <v>1</v>
      </c>
      <c r="BN815" s="7">
        <v>0.98484799999999995</v>
      </c>
      <c r="BO815" s="7">
        <v>0.981132</v>
      </c>
      <c r="BP815" s="4" t="s">
        <v>124</v>
      </c>
      <c r="BQ815" s="7">
        <v>0.97727299999999995</v>
      </c>
      <c r="BR815" s="7">
        <v>3.9393999999999998E-2</v>
      </c>
      <c r="BS815" s="7">
        <v>50</v>
      </c>
      <c r="BT815" s="7">
        <v>50</v>
      </c>
      <c r="BU815" s="7">
        <v>5.8824000000000001E-2</v>
      </c>
      <c r="BV815" s="7">
        <v>48.235294000000003</v>
      </c>
      <c r="BW815" s="7">
        <v>50</v>
      </c>
      <c r="BX815" s="4" t="s">
        <v>124</v>
      </c>
      <c r="BY815" s="4" t="s">
        <v>124</v>
      </c>
      <c r="BZ815" s="4" t="s">
        <v>124</v>
      </c>
      <c r="CA815" s="4" t="s">
        <v>124</v>
      </c>
      <c r="CB815" s="4" t="s">
        <v>124</v>
      </c>
      <c r="CC815" s="4" t="s">
        <v>124</v>
      </c>
      <c r="CD815" s="4" t="s">
        <v>124</v>
      </c>
      <c r="CE815" s="4" t="s">
        <v>124</v>
      </c>
      <c r="CF815" s="4" t="s">
        <v>124</v>
      </c>
      <c r="CG815" s="4" t="s">
        <v>124</v>
      </c>
      <c r="CH815" s="4" t="s">
        <v>124</v>
      </c>
      <c r="CI815" s="4" t="s">
        <v>124</v>
      </c>
      <c r="CJ815" s="4" t="s">
        <v>124</v>
      </c>
      <c r="CK815" s="4" t="s">
        <v>124</v>
      </c>
      <c r="CL815" s="4" t="s">
        <v>124</v>
      </c>
      <c r="CM815" s="4" t="s">
        <v>124</v>
      </c>
      <c r="CN815" s="4" t="s">
        <v>124</v>
      </c>
      <c r="CO815" s="4" t="s">
        <v>124</v>
      </c>
      <c r="CP815" s="4" t="s">
        <v>124</v>
      </c>
      <c r="CQ815" s="7">
        <v>0.65909099999999998</v>
      </c>
      <c r="CR815" s="7">
        <v>0.97777800000000004</v>
      </c>
      <c r="CS815" s="7">
        <v>43.939394</v>
      </c>
      <c r="CT815" s="7">
        <v>50</v>
      </c>
      <c r="CU815" s="4" t="s">
        <v>124</v>
      </c>
      <c r="CV815" s="4" t="s">
        <v>124</v>
      </c>
      <c r="CW815" s="4" t="s">
        <v>124</v>
      </c>
      <c r="CX815" s="4" t="s">
        <v>124</v>
      </c>
      <c r="CY815" s="4" t="s">
        <v>124</v>
      </c>
      <c r="CZ815" s="4" t="s">
        <v>124</v>
      </c>
      <c r="DA815" s="7">
        <v>15.314097</v>
      </c>
      <c r="DB815" s="7">
        <v>17.400950000000002</v>
      </c>
      <c r="DC815" s="7">
        <v>16.332519999999999</v>
      </c>
      <c r="DD815" s="4" t="s">
        <v>124</v>
      </c>
      <c r="DE815" s="7">
        <v>0</v>
      </c>
      <c r="DF815" s="6"/>
      <c r="DG815" s="6"/>
      <c r="DH815" s="4" t="s">
        <v>331</v>
      </c>
      <c r="DI815" s="4" t="s">
        <v>332</v>
      </c>
      <c r="DJ815" s="7">
        <v>1</v>
      </c>
      <c r="DK815" s="7">
        <v>0</v>
      </c>
      <c r="DL815" s="7">
        <v>0</v>
      </c>
      <c r="DM815" s="7">
        <v>0</v>
      </c>
      <c r="DN815" s="7">
        <v>0</v>
      </c>
      <c r="DO815" s="7">
        <v>0</v>
      </c>
      <c r="DP815" s="6"/>
      <c r="DQ815" s="4" t="s">
        <v>125</v>
      </c>
    </row>
    <row r="816" spans="1:121" ht="20" customHeight="1" x14ac:dyDescent="0.15">
      <c r="A816" s="5">
        <v>2018</v>
      </c>
      <c r="B816" s="3" t="s">
        <v>246</v>
      </c>
      <c r="C816" s="4" t="str">
        <f t="shared" si="246"/>
        <v>1180011</v>
      </c>
      <c r="D816" s="4" t="s">
        <v>972</v>
      </c>
      <c r="E816" s="4" t="str">
        <f>"1186111"</f>
        <v>1186111</v>
      </c>
      <c r="F816" s="4" t="s">
        <v>327</v>
      </c>
      <c r="G816" s="7">
        <v>9</v>
      </c>
      <c r="H816" s="7">
        <v>12</v>
      </c>
      <c r="I816" s="6"/>
      <c r="J816" s="4" t="s">
        <v>330</v>
      </c>
      <c r="K816" s="7">
        <v>1287.3042290000001</v>
      </c>
      <c r="L816" s="7">
        <v>1450</v>
      </c>
      <c r="M816" s="7">
        <v>88.779601999999997</v>
      </c>
      <c r="N816" s="7">
        <v>2</v>
      </c>
      <c r="O816" s="7">
        <v>1</v>
      </c>
      <c r="P816" s="7">
        <v>74.041107999999994</v>
      </c>
      <c r="Q816" s="7">
        <v>148.08221599999999</v>
      </c>
      <c r="R816" s="7">
        <v>150</v>
      </c>
      <c r="S816" s="7">
        <v>53.842104999999997</v>
      </c>
      <c r="T816" s="7">
        <v>75</v>
      </c>
      <c r="U816" s="7">
        <v>107.684211</v>
      </c>
      <c r="V816" s="7">
        <v>150</v>
      </c>
      <c r="W816" s="7">
        <v>74.257373000000001</v>
      </c>
      <c r="X816" s="7">
        <v>148.514745</v>
      </c>
      <c r="Y816" s="7">
        <v>150</v>
      </c>
      <c r="Z816" s="7">
        <v>75</v>
      </c>
      <c r="AA816" s="7">
        <v>52.635964999999999</v>
      </c>
      <c r="AB816" s="7">
        <v>105.27193</v>
      </c>
      <c r="AC816" s="7">
        <v>150</v>
      </c>
      <c r="AD816" s="7">
        <v>71.658653999999999</v>
      </c>
      <c r="AE816" s="7">
        <v>95.544871999999998</v>
      </c>
      <c r="AF816" s="7">
        <v>100</v>
      </c>
      <c r="AG816" s="7">
        <v>53.842104999999997</v>
      </c>
      <c r="AH816" s="7">
        <v>73.710256000000001</v>
      </c>
      <c r="AI816" s="7">
        <v>71.789473999999998</v>
      </c>
      <c r="AJ816" s="7">
        <v>100</v>
      </c>
      <c r="AK816" s="7">
        <v>21.15</v>
      </c>
      <c r="AL816" s="7">
        <v>22.36</v>
      </c>
      <c r="AM816" s="7">
        <v>19.86</v>
      </c>
      <c r="AN816" s="4" t="s">
        <v>124</v>
      </c>
      <c r="AO816" s="4" t="s">
        <v>124</v>
      </c>
      <c r="AP816" s="4" t="s">
        <v>124</v>
      </c>
      <c r="AQ816" s="4" t="s">
        <v>124</v>
      </c>
      <c r="AR816" s="4" t="s">
        <v>124</v>
      </c>
      <c r="AS816" s="4" t="s">
        <v>124</v>
      </c>
      <c r="AT816" s="4" t="s">
        <v>124</v>
      </c>
      <c r="AU816" s="4" t="s">
        <v>124</v>
      </c>
      <c r="AV816" s="4" t="s">
        <v>124</v>
      </c>
      <c r="AW816" s="4" t="s">
        <v>124</v>
      </c>
      <c r="AX816" s="4" t="s">
        <v>124</v>
      </c>
      <c r="AY816" s="4" t="s">
        <v>124</v>
      </c>
      <c r="AZ816" s="4" t="s">
        <v>124</v>
      </c>
      <c r="BA816" s="4" t="s">
        <v>124</v>
      </c>
      <c r="BB816" s="4" t="s">
        <v>124</v>
      </c>
      <c r="BC816" s="4" t="s">
        <v>124</v>
      </c>
      <c r="BD816" s="4" t="s">
        <v>124</v>
      </c>
      <c r="BE816" s="4" t="s">
        <v>124</v>
      </c>
      <c r="BF816" s="4" t="s">
        <v>124</v>
      </c>
      <c r="BG816" s="4" t="s">
        <v>124</v>
      </c>
      <c r="BH816" s="7">
        <v>1</v>
      </c>
      <c r="BI816" s="7">
        <v>0.97142899999999999</v>
      </c>
      <c r="BJ816" s="7">
        <v>0.88372099999999998</v>
      </c>
      <c r="BK816" s="7">
        <v>0.982456</v>
      </c>
      <c r="BL816" s="7">
        <v>0.97142899999999999</v>
      </c>
      <c r="BM816" s="7">
        <v>0.88372099999999998</v>
      </c>
      <c r="BN816" s="7">
        <v>0.982456</v>
      </c>
      <c r="BO816" s="7">
        <v>0.95844200000000002</v>
      </c>
      <c r="BP816" s="7">
        <v>0.88372099999999998</v>
      </c>
      <c r="BQ816" s="7">
        <v>0.96783600000000003</v>
      </c>
      <c r="BR816" s="7">
        <v>7.2544999999999998E-2</v>
      </c>
      <c r="BS816" s="7">
        <v>45.490932000000001</v>
      </c>
      <c r="BT816" s="7">
        <v>50</v>
      </c>
      <c r="BU816" s="7">
        <v>0.19230800000000001</v>
      </c>
      <c r="BV816" s="7">
        <v>21.538461999999999</v>
      </c>
      <c r="BW816" s="7">
        <v>50</v>
      </c>
      <c r="BX816" s="7">
        <v>0.84782599999999997</v>
      </c>
      <c r="BY816" s="7">
        <v>50</v>
      </c>
      <c r="BZ816" s="7">
        <v>50</v>
      </c>
      <c r="CA816" s="7">
        <v>0.83375999999999995</v>
      </c>
      <c r="CB816" s="7">
        <v>50</v>
      </c>
      <c r="CC816" s="7">
        <v>50</v>
      </c>
      <c r="CD816" s="7">
        <v>0.98480999999999996</v>
      </c>
      <c r="CE816" s="7">
        <v>50</v>
      </c>
      <c r="CF816" s="7">
        <v>50</v>
      </c>
      <c r="CG816" s="7">
        <v>0.97566900000000001</v>
      </c>
      <c r="CH816" s="7">
        <v>100</v>
      </c>
      <c r="CI816" s="7">
        <v>100</v>
      </c>
      <c r="CJ816" s="7">
        <v>0</v>
      </c>
      <c r="CK816" s="7">
        <v>0.982456</v>
      </c>
      <c r="CL816" s="7">
        <v>100</v>
      </c>
      <c r="CM816" s="7">
        <v>100</v>
      </c>
      <c r="CN816" s="7">
        <v>0.92269299999999999</v>
      </c>
      <c r="CO816" s="7">
        <v>100</v>
      </c>
      <c r="CP816" s="7">
        <v>100</v>
      </c>
      <c r="CQ816" s="7">
        <v>0.72069799999999995</v>
      </c>
      <c r="CR816" s="7">
        <v>0.950237</v>
      </c>
      <c r="CS816" s="7">
        <v>48.046550000000003</v>
      </c>
      <c r="CT816" s="7">
        <v>50</v>
      </c>
      <c r="CU816" s="7">
        <v>0.54408999999999996</v>
      </c>
      <c r="CV816" s="7">
        <v>45.340837999999998</v>
      </c>
      <c r="CW816" s="7">
        <v>50</v>
      </c>
      <c r="CX816" s="7">
        <v>0.982456</v>
      </c>
      <c r="CY816" s="7">
        <v>0.94</v>
      </c>
      <c r="CZ816" s="7">
        <v>-4.2456000000000001E-2</v>
      </c>
      <c r="DA816" s="7">
        <v>15.314097</v>
      </c>
      <c r="DB816" s="7">
        <v>17.400950000000002</v>
      </c>
      <c r="DC816" s="7">
        <v>16.332519999999999</v>
      </c>
      <c r="DD816" s="7">
        <v>7.9891730000000001</v>
      </c>
      <c r="DE816" s="7">
        <v>1</v>
      </c>
      <c r="DF816" s="6"/>
      <c r="DG816" s="6"/>
      <c r="DH816" s="6"/>
      <c r="DI816" s="6"/>
      <c r="DJ816" s="7">
        <v>0</v>
      </c>
      <c r="DK816" s="7">
        <v>0</v>
      </c>
      <c r="DL816" s="7">
        <v>0</v>
      </c>
      <c r="DM816" s="7">
        <v>0</v>
      </c>
      <c r="DN816" s="7">
        <v>0</v>
      </c>
      <c r="DO816" s="7">
        <v>0</v>
      </c>
      <c r="DP816" s="6"/>
      <c r="DQ816" s="4" t="s">
        <v>125</v>
      </c>
    </row>
    <row r="817" spans="1:121" ht="20" customHeight="1" x14ac:dyDescent="0.15">
      <c r="A817" s="5">
        <v>2018</v>
      </c>
      <c r="B817" s="3" t="s">
        <v>246</v>
      </c>
      <c r="C817" s="4" t="str">
        <f t="shared" si="246"/>
        <v>1180011</v>
      </c>
      <c r="D817" s="4" t="s">
        <v>973</v>
      </c>
      <c r="E817" s="4" t="str">
        <f>"1180511"</f>
        <v>1180511</v>
      </c>
      <c r="F817" s="4" t="s">
        <v>327</v>
      </c>
      <c r="G817" s="4" t="s">
        <v>328</v>
      </c>
      <c r="H817" s="7">
        <v>5</v>
      </c>
      <c r="I817" s="4" t="s">
        <v>329</v>
      </c>
      <c r="J817" s="4" t="s">
        <v>330</v>
      </c>
      <c r="K817" s="7">
        <v>541.24115300000005</v>
      </c>
      <c r="L817" s="7">
        <v>600</v>
      </c>
      <c r="M817" s="7">
        <v>90.206858999999994</v>
      </c>
      <c r="N817" s="7">
        <v>1</v>
      </c>
      <c r="O817" s="7">
        <v>0</v>
      </c>
      <c r="P817" s="7">
        <v>88.460881000000001</v>
      </c>
      <c r="Q817" s="7">
        <v>50</v>
      </c>
      <c r="R817" s="7">
        <v>50</v>
      </c>
      <c r="S817" s="7">
        <v>74.555311000000003</v>
      </c>
      <c r="T817" s="7">
        <v>75</v>
      </c>
      <c r="U817" s="7">
        <v>49.703541000000001</v>
      </c>
      <c r="V817" s="7">
        <v>50</v>
      </c>
      <c r="W817" s="7">
        <v>82.712564999999998</v>
      </c>
      <c r="X817" s="7">
        <v>50</v>
      </c>
      <c r="Y817" s="7">
        <v>50</v>
      </c>
      <c r="Z817" s="7">
        <v>75</v>
      </c>
      <c r="AA817" s="7">
        <v>67.822900000000004</v>
      </c>
      <c r="AB817" s="7">
        <v>45.215266999999997</v>
      </c>
      <c r="AC817" s="7">
        <v>50</v>
      </c>
      <c r="AD817" s="7">
        <v>89.748847999999995</v>
      </c>
      <c r="AE817" s="7">
        <v>50</v>
      </c>
      <c r="AF817" s="7">
        <v>50</v>
      </c>
      <c r="AG817" s="4" t="s">
        <v>124</v>
      </c>
      <c r="AH817" s="7">
        <v>75</v>
      </c>
      <c r="AI817" s="4" t="s">
        <v>124</v>
      </c>
      <c r="AJ817" s="4" t="s">
        <v>124</v>
      </c>
      <c r="AK817" s="7">
        <v>0.44</v>
      </c>
      <c r="AL817" s="7">
        <v>7.17</v>
      </c>
      <c r="AM817" s="4" t="s">
        <v>124</v>
      </c>
      <c r="AN817" s="7">
        <v>0.85397900000000004</v>
      </c>
      <c r="AO817" s="7">
        <v>85.397901000000005</v>
      </c>
      <c r="AP817" s="7">
        <v>100</v>
      </c>
      <c r="AQ817" s="7">
        <v>0.86421499999999996</v>
      </c>
      <c r="AR817" s="7">
        <v>86.421520000000001</v>
      </c>
      <c r="AS817" s="7">
        <v>100</v>
      </c>
      <c r="AT817" s="4" t="s">
        <v>124</v>
      </c>
      <c r="AU817" s="7">
        <v>0.87519000000000002</v>
      </c>
      <c r="AV817" s="4" t="s">
        <v>124</v>
      </c>
      <c r="AW817" s="4" t="s">
        <v>124</v>
      </c>
      <c r="AX817" s="4" t="s">
        <v>124</v>
      </c>
      <c r="AY817" s="7">
        <v>0.87064399999999997</v>
      </c>
      <c r="AZ817" s="4" t="s">
        <v>124</v>
      </c>
      <c r="BA817" s="4" t="s">
        <v>124</v>
      </c>
      <c r="BB817" s="4" t="s">
        <v>124</v>
      </c>
      <c r="BC817" s="4" t="s">
        <v>124</v>
      </c>
      <c r="BD817" s="4" t="s">
        <v>124</v>
      </c>
      <c r="BE817" s="4" t="s">
        <v>124</v>
      </c>
      <c r="BF817" s="4" t="s">
        <v>124</v>
      </c>
      <c r="BG817" s="4" t="s">
        <v>124</v>
      </c>
      <c r="BH817" s="7">
        <v>0</v>
      </c>
      <c r="BI817" s="7">
        <v>0.98285699999999998</v>
      </c>
      <c r="BJ817" s="7">
        <v>1</v>
      </c>
      <c r="BK817" s="7">
        <v>0.97931000000000001</v>
      </c>
      <c r="BL817" s="7">
        <v>0.98285699999999998</v>
      </c>
      <c r="BM817" s="7">
        <v>1</v>
      </c>
      <c r="BN817" s="7">
        <v>0.97931000000000001</v>
      </c>
      <c r="BO817" s="7">
        <v>0.96610200000000002</v>
      </c>
      <c r="BP817" s="4" t="s">
        <v>124</v>
      </c>
      <c r="BQ817" s="7">
        <v>0.95652199999999998</v>
      </c>
      <c r="BR817" s="7">
        <v>2.8986000000000001E-2</v>
      </c>
      <c r="BS817" s="7">
        <v>50</v>
      </c>
      <c r="BT817" s="7">
        <v>50</v>
      </c>
      <c r="BU817" s="7">
        <v>0.105263</v>
      </c>
      <c r="BV817" s="7">
        <v>38.947367999999997</v>
      </c>
      <c r="BW817" s="7">
        <v>50</v>
      </c>
      <c r="BX817" s="4" t="s">
        <v>124</v>
      </c>
      <c r="BY817" s="4" t="s">
        <v>124</v>
      </c>
      <c r="BZ817" s="4" t="s">
        <v>124</v>
      </c>
      <c r="CA817" s="4" t="s">
        <v>124</v>
      </c>
      <c r="CB817" s="4" t="s">
        <v>124</v>
      </c>
      <c r="CC817" s="4" t="s">
        <v>124</v>
      </c>
      <c r="CD817" s="4" t="s">
        <v>124</v>
      </c>
      <c r="CE817" s="4" t="s">
        <v>124</v>
      </c>
      <c r="CF817" s="4" t="s">
        <v>124</v>
      </c>
      <c r="CG817" s="4" t="s">
        <v>124</v>
      </c>
      <c r="CH817" s="4" t="s">
        <v>124</v>
      </c>
      <c r="CI817" s="4" t="s">
        <v>124</v>
      </c>
      <c r="CJ817" s="4" t="s">
        <v>124</v>
      </c>
      <c r="CK817" s="4" t="s">
        <v>124</v>
      </c>
      <c r="CL817" s="4" t="s">
        <v>124</v>
      </c>
      <c r="CM817" s="4" t="s">
        <v>124</v>
      </c>
      <c r="CN817" s="4" t="s">
        <v>124</v>
      </c>
      <c r="CO817" s="4" t="s">
        <v>124</v>
      </c>
      <c r="CP817" s="4" t="s">
        <v>124</v>
      </c>
      <c r="CQ817" s="7">
        <v>0.53333299999999995</v>
      </c>
      <c r="CR817" s="7">
        <v>0.98360700000000001</v>
      </c>
      <c r="CS817" s="7">
        <v>35.555556000000003</v>
      </c>
      <c r="CT817" s="7">
        <v>50</v>
      </c>
      <c r="CU817" s="4" t="s">
        <v>124</v>
      </c>
      <c r="CV817" s="4" t="s">
        <v>124</v>
      </c>
      <c r="CW817" s="4" t="s">
        <v>124</v>
      </c>
      <c r="CX817" s="4" t="s">
        <v>124</v>
      </c>
      <c r="CY817" s="4" t="s">
        <v>124</v>
      </c>
      <c r="CZ817" s="4" t="s">
        <v>124</v>
      </c>
      <c r="DA817" s="7">
        <v>15.314097</v>
      </c>
      <c r="DB817" s="7">
        <v>17.400950000000002</v>
      </c>
      <c r="DC817" s="7">
        <v>16.332519999999999</v>
      </c>
      <c r="DD817" s="4" t="s">
        <v>124</v>
      </c>
      <c r="DE817" s="7">
        <v>0</v>
      </c>
      <c r="DF817" s="6"/>
      <c r="DG817" s="6"/>
      <c r="DH817" s="4" t="s">
        <v>331</v>
      </c>
      <c r="DI817" s="4" t="s">
        <v>332</v>
      </c>
      <c r="DJ817" s="7">
        <v>1</v>
      </c>
      <c r="DK817" s="7">
        <v>0</v>
      </c>
      <c r="DL817" s="7">
        <v>0</v>
      </c>
      <c r="DM817" s="7">
        <v>0</v>
      </c>
      <c r="DN817" s="7">
        <v>0</v>
      </c>
      <c r="DO817" s="7">
        <v>0</v>
      </c>
      <c r="DP817" s="6"/>
      <c r="DQ817" s="4" t="s">
        <v>125</v>
      </c>
    </row>
    <row r="818" spans="1:121" ht="20" customHeight="1" x14ac:dyDescent="0.15">
      <c r="A818" s="5">
        <v>2018</v>
      </c>
      <c r="B818" s="3" t="s">
        <v>246</v>
      </c>
      <c r="C818" s="4" t="str">
        <f t="shared" si="246"/>
        <v>1180011</v>
      </c>
      <c r="D818" s="4" t="s">
        <v>974</v>
      </c>
      <c r="E818" s="4" t="str">
        <f>"1185211"</f>
        <v>1185211</v>
      </c>
      <c r="F818" s="4" t="s">
        <v>327</v>
      </c>
      <c r="G818" s="7">
        <v>6</v>
      </c>
      <c r="H818" s="7">
        <v>8</v>
      </c>
      <c r="I818" s="6"/>
      <c r="J818" s="4" t="s">
        <v>330</v>
      </c>
      <c r="K818" s="7">
        <v>645.17861000000005</v>
      </c>
      <c r="L818" s="7">
        <v>900</v>
      </c>
      <c r="M818" s="7">
        <v>71.686511999999993</v>
      </c>
      <c r="N818" s="7">
        <v>3</v>
      </c>
      <c r="O818" s="7">
        <v>1</v>
      </c>
      <c r="P818" s="7">
        <v>81.543801000000002</v>
      </c>
      <c r="Q818" s="7">
        <v>50</v>
      </c>
      <c r="R818" s="7">
        <v>50</v>
      </c>
      <c r="S818" s="7">
        <v>63.254623000000002</v>
      </c>
      <c r="T818" s="7">
        <v>75</v>
      </c>
      <c r="U818" s="7">
        <v>42.169749000000003</v>
      </c>
      <c r="V818" s="7">
        <v>50</v>
      </c>
      <c r="W818" s="7">
        <v>77.425201999999999</v>
      </c>
      <c r="X818" s="7">
        <v>50</v>
      </c>
      <c r="Y818" s="7">
        <v>50</v>
      </c>
      <c r="Z818" s="7">
        <v>75</v>
      </c>
      <c r="AA818" s="7">
        <v>56.901822000000003</v>
      </c>
      <c r="AB818" s="7">
        <v>37.934547999999999</v>
      </c>
      <c r="AC818" s="7">
        <v>50</v>
      </c>
      <c r="AD818" s="7">
        <v>74.567098999999999</v>
      </c>
      <c r="AE818" s="7">
        <v>49.711399</v>
      </c>
      <c r="AF818" s="7">
        <v>50</v>
      </c>
      <c r="AG818" s="7">
        <v>49.635468000000003</v>
      </c>
      <c r="AH818" s="7">
        <v>75</v>
      </c>
      <c r="AI818" s="7">
        <v>33.090311999999997</v>
      </c>
      <c r="AJ818" s="7">
        <v>50</v>
      </c>
      <c r="AK818" s="7">
        <v>11.74</v>
      </c>
      <c r="AL818" s="7">
        <v>18.09</v>
      </c>
      <c r="AM818" s="7">
        <v>25.36</v>
      </c>
      <c r="AN818" s="7">
        <v>0.61228499999999997</v>
      </c>
      <c r="AO818" s="7">
        <v>61.228513</v>
      </c>
      <c r="AP818" s="7">
        <v>100</v>
      </c>
      <c r="AQ818" s="7">
        <v>0.71985200000000005</v>
      </c>
      <c r="AR818" s="7">
        <v>71.985214999999997</v>
      </c>
      <c r="AS818" s="7">
        <v>100</v>
      </c>
      <c r="AT818" s="7">
        <v>0.47484100000000001</v>
      </c>
      <c r="AU818" s="7">
        <v>0.64494499999999999</v>
      </c>
      <c r="AV818" s="7">
        <v>47.484107000000002</v>
      </c>
      <c r="AW818" s="7">
        <v>100</v>
      </c>
      <c r="AX818" s="7">
        <v>0.49738500000000002</v>
      </c>
      <c r="AY818" s="7">
        <v>0.77268800000000004</v>
      </c>
      <c r="AZ818" s="7">
        <v>49.738486999999999</v>
      </c>
      <c r="BA818" s="7">
        <v>100</v>
      </c>
      <c r="BB818" s="4" t="s">
        <v>124</v>
      </c>
      <c r="BC818" s="4" t="s">
        <v>124</v>
      </c>
      <c r="BD818" s="4" t="s">
        <v>124</v>
      </c>
      <c r="BE818" s="4" t="s">
        <v>124</v>
      </c>
      <c r="BF818" s="4" t="s">
        <v>124</v>
      </c>
      <c r="BG818" s="4" t="s">
        <v>124</v>
      </c>
      <c r="BH818" s="7">
        <v>1</v>
      </c>
      <c r="BI818" s="7">
        <v>0.96557999999999999</v>
      </c>
      <c r="BJ818" s="7">
        <v>0.93913000000000002</v>
      </c>
      <c r="BK818" s="7">
        <v>0.97253999999999996</v>
      </c>
      <c r="BL818" s="7">
        <v>0.95833299999999999</v>
      </c>
      <c r="BM818" s="7">
        <v>0.93913000000000002</v>
      </c>
      <c r="BN818" s="7">
        <v>0.96338699999999999</v>
      </c>
      <c r="BO818" s="7">
        <v>0.94674599999999998</v>
      </c>
      <c r="BP818" s="7">
        <v>0.85294099999999995</v>
      </c>
      <c r="BQ818" s="7">
        <v>0.97036999999999995</v>
      </c>
      <c r="BR818" s="7">
        <v>8.1670000000000006E-2</v>
      </c>
      <c r="BS818" s="7">
        <v>43.666061999999997</v>
      </c>
      <c r="BT818" s="7">
        <v>50</v>
      </c>
      <c r="BU818" s="7">
        <v>0.12612599999999999</v>
      </c>
      <c r="BV818" s="7">
        <v>34.774774999999998</v>
      </c>
      <c r="BW818" s="7">
        <v>50</v>
      </c>
      <c r="BX818" s="4" t="s">
        <v>124</v>
      </c>
      <c r="BY818" s="4" t="s">
        <v>124</v>
      </c>
      <c r="BZ818" s="4" t="s">
        <v>124</v>
      </c>
      <c r="CA818" s="4" t="s">
        <v>124</v>
      </c>
      <c r="CB818" s="4" t="s">
        <v>124</v>
      </c>
      <c r="CC818" s="4" t="s">
        <v>124</v>
      </c>
      <c r="CD818" s="7">
        <v>0.99295800000000001</v>
      </c>
      <c r="CE818" s="7">
        <v>50</v>
      </c>
      <c r="CF818" s="7">
        <v>50</v>
      </c>
      <c r="CG818" s="4" t="s">
        <v>124</v>
      </c>
      <c r="CH818" s="4" t="s">
        <v>124</v>
      </c>
      <c r="CI818" s="4" t="s">
        <v>124</v>
      </c>
      <c r="CJ818" s="4" t="s">
        <v>124</v>
      </c>
      <c r="CK818" s="4" t="s">
        <v>124</v>
      </c>
      <c r="CL818" s="4" t="s">
        <v>124</v>
      </c>
      <c r="CM818" s="4" t="s">
        <v>124</v>
      </c>
      <c r="CN818" s="4" t="s">
        <v>124</v>
      </c>
      <c r="CO818" s="4" t="s">
        <v>124</v>
      </c>
      <c r="CP818" s="4" t="s">
        <v>124</v>
      </c>
      <c r="CQ818" s="7">
        <v>0.70186300000000001</v>
      </c>
      <c r="CR818" s="7">
        <v>0.875</v>
      </c>
      <c r="CS818" s="7">
        <v>23.395444999999999</v>
      </c>
      <c r="CT818" s="7">
        <v>50</v>
      </c>
      <c r="CU818" s="4" t="s">
        <v>124</v>
      </c>
      <c r="CV818" s="4" t="s">
        <v>124</v>
      </c>
      <c r="CW818" s="4" t="s">
        <v>124</v>
      </c>
      <c r="CX818" s="4" t="s">
        <v>124</v>
      </c>
      <c r="CY818" s="4" t="s">
        <v>124</v>
      </c>
      <c r="CZ818" s="4" t="s">
        <v>124</v>
      </c>
      <c r="DA818" s="7">
        <v>15.314097</v>
      </c>
      <c r="DB818" s="7">
        <v>17.400950000000002</v>
      </c>
      <c r="DC818" s="7">
        <v>16.332519999999999</v>
      </c>
      <c r="DD818" s="4" t="s">
        <v>124</v>
      </c>
      <c r="DE818" s="7">
        <v>1</v>
      </c>
      <c r="DF818" s="6"/>
      <c r="DG818" s="6"/>
      <c r="DH818" s="6"/>
      <c r="DI818" s="6"/>
      <c r="DJ818" s="7">
        <v>0</v>
      </c>
      <c r="DK818" s="7">
        <v>0</v>
      </c>
      <c r="DL818" s="7">
        <v>0</v>
      </c>
      <c r="DM818" s="7">
        <v>0</v>
      </c>
      <c r="DN818" s="7">
        <v>0</v>
      </c>
      <c r="DO818" s="7">
        <v>0</v>
      </c>
      <c r="DP818" s="6"/>
      <c r="DQ818" s="4" t="s">
        <v>125</v>
      </c>
    </row>
    <row r="819" spans="1:121" ht="20" customHeight="1" x14ac:dyDescent="0.15">
      <c r="A819" s="5">
        <v>2018</v>
      </c>
      <c r="B819" s="3" t="s">
        <v>246</v>
      </c>
      <c r="C819" s="4" t="str">
        <f t="shared" si="246"/>
        <v>1180011</v>
      </c>
      <c r="D819" s="4" t="s">
        <v>975</v>
      </c>
      <c r="E819" s="4" t="str">
        <f>"1180211"</f>
        <v>1180211</v>
      </c>
      <c r="F819" s="4" t="s">
        <v>327</v>
      </c>
      <c r="G819" s="4" t="s">
        <v>328</v>
      </c>
      <c r="H819" s="7">
        <v>5</v>
      </c>
      <c r="I819" s="4" t="s">
        <v>329</v>
      </c>
      <c r="J819" s="4" t="s">
        <v>330</v>
      </c>
      <c r="K819" s="7">
        <v>710.05985899999996</v>
      </c>
      <c r="L819" s="7">
        <v>800</v>
      </c>
      <c r="M819" s="7">
        <v>88.757481999999996</v>
      </c>
      <c r="N819" s="7">
        <v>2</v>
      </c>
      <c r="O819" s="7">
        <v>0</v>
      </c>
      <c r="P819" s="7">
        <v>82.329971999999998</v>
      </c>
      <c r="Q819" s="7">
        <v>50</v>
      </c>
      <c r="R819" s="7">
        <v>50</v>
      </c>
      <c r="S819" s="7">
        <v>69.548398000000006</v>
      </c>
      <c r="T819" s="7">
        <v>75</v>
      </c>
      <c r="U819" s="7">
        <v>46.365597999999999</v>
      </c>
      <c r="V819" s="7">
        <v>50</v>
      </c>
      <c r="W819" s="7">
        <v>81.193286000000001</v>
      </c>
      <c r="X819" s="7">
        <v>50</v>
      </c>
      <c r="Y819" s="7">
        <v>50</v>
      </c>
      <c r="Z819" s="7">
        <v>75</v>
      </c>
      <c r="AA819" s="7">
        <v>67.154746000000003</v>
      </c>
      <c r="AB819" s="7">
        <v>44.769831000000003</v>
      </c>
      <c r="AC819" s="7">
        <v>50</v>
      </c>
      <c r="AD819" s="7">
        <v>74.645161000000002</v>
      </c>
      <c r="AE819" s="7">
        <v>49.763441</v>
      </c>
      <c r="AF819" s="7">
        <v>50</v>
      </c>
      <c r="AG819" s="4" t="s">
        <v>124</v>
      </c>
      <c r="AH819" s="7">
        <v>75</v>
      </c>
      <c r="AI819" s="4" t="s">
        <v>124</v>
      </c>
      <c r="AJ819" s="4" t="s">
        <v>124</v>
      </c>
      <c r="AK819" s="7">
        <v>5.45</v>
      </c>
      <c r="AL819" s="7">
        <v>7.84</v>
      </c>
      <c r="AM819" s="4" t="s">
        <v>124</v>
      </c>
      <c r="AN819" s="7">
        <v>0.86429999999999996</v>
      </c>
      <c r="AO819" s="7">
        <v>86.430031999999997</v>
      </c>
      <c r="AP819" s="7">
        <v>100</v>
      </c>
      <c r="AQ819" s="7">
        <v>0.93016600000000005</v>
      </c>
      <c r="AR819" s="7">
        <v>93.016613000000007</v>
      </c>
      <c r="AS819" s="7">
        <v>100</v>
      </c>
      <c r="AT819" s="7">
        <v>0.74447399999999997</v>
      </c>
      <c r="AU819" s="7">
        <v>0.90205400000000002</v>
      </c>
      <c r="AV819" s="7">
        <v>74.447395999999998</v>
      </c>
      <c r="AW819" s="7">
        <v>100</v>
      </c>
      <c r="AX819" s="7">
        <v>0.74711399999999994</v>
      </c>
      <c r="AY819" s="7">
        <v>0.98864099999999999</v>
      </c>
      <c r="AZ819" s="7">
        <v>74.711391000000006</v>
      </c>
      <c r="BA819" s="7">
        <v>100</v>
      </c>
      <c r="BB819" s="4" t="s">
        <v>124</v>
      </c>
      <c r="BC819" s="4" t="s">
        <v>124</v>
      </c>
      <c r="BD819" s="4" t="s">
        <v>124</v>
      </c>
      <c r="BE819" s="4" t="s">
        <v>124</v>
      </c>
      <c r="BF819" s="4" t="s">
        <v>124</v>
      </c>
      <c r="BG819" s="4" t="s">
        <v>124</v>
      </c>
      <c r="BH819" s="7">
        <v>1</v>
      </c>
      <c r="BI819" s="7">
        <v>0.97435899999999998</v>
      </c>
      <c r="BJ819" s="7">
        <v>0.93478300000000003</v>
      </c>
      <c r="BK819" s="7">
        <v>0.99090900000000004</v>
      </c>
      <c r="BL819" s="7">
        <v>0.96794899999999995</v>
      </c>
      <c r="BM819" s="7">
        <v>0.93478300000000003</v>
      </c>
      <c r="BN819" s="7">
        <v>0.98181799999999997</v>
      </c>
      <c r="BO819" s="7">
        <v>0.95</v>
      </c>
      <c r="BP819" s="7">
        <v>0.90476199999999996</v>
      </c>
      <c r="BQ819" s="7">
        <v>0.97435899999999998</v>
      </c>
      <c r="BR819" s="7">
        <v>4.2403000000000003E-2</v>
      </c>
      <c r="BS819" s="7">
        <v>50</v>
      </c>
      <c r="BT819" s="7">
        <v>50</v>
      </c>
      <c r="BU819" s="7">
        <v>9.7222000000000003E-2</v>
      </c>
      <c r="BV819" s="7">
        <v>40.555556000000003</v>
      </c>
      <c r="BW819" s="7">
        <v>50</v>
      </c>
      <c r="BX819" s="4" t="s">
        <v>124</v>
      </c>
      <c r="BY819" s="4" t="s">
        <v>124</v>
      </c>
      <c r="BZ819" s="4" t="s">
        <v>124</v>
      </c>
      <c r="CA819" s="4" t="s">
        <v>124</v>
      </c>
      <c r="CB819" s="4" t="s">
        <v>124</v>
      </c>
      <c r="CC819" s="4" t="s">
        <v>124</v>
      </c>
      <c r="CD819" s="4" t="s">
        <v>124</v>
      </c>
      <c r="CE819" s="4" t="s">
        <v>124</v>
      </c>
      <c r="CF819" s="4" t="s">
        <v>124</v>
      </c>
      <c r="CG819" s="4" t="s">
        <v>124</v>
      </c>
      <c r="CH819" s="4" t="s">
        <v>124</v>
      </c>
      <c r="CI819" s="4" t="s">
        <v>124</v>
      </c>
      <c r="CJ819" s="4" t="s">
        <v>124</v>
      </c>
      <c r="CK819" s="4" t="s">
        <v>124</v>
      </c>
      <c r="CL819" s="4" t="s">
        <v>124</v>
      </c>
      <c r="CM819" s="4" t="s">
        <v>124</v>
      </c>
      <c r="CN819" s="4" t="s">
        <v>124</v>
      </c>
      <c r="CO819" s="4" t="s">
        <v>124</v>
      </c>
      <c r="CP819" s="4" t="s">
        <v>124</v>
      </c>
      <c r="CQ819" s="7">
        <v>0.76</v>
      </c>
      <c r="CR819" s="7">
        <v>1</v>
      </c>
      <c r="CS819" s="7">
        <v>50</v>
      </c>
      <c r="CT819" s="7">
        <v>50</v>
      </c>
      <c r="CU819" s="4" t="s">
        <v>124</v>
      </c>
      <c r="CV819" s="4" t="s">
        <v>124</v>
      </c>
      <c r="CW819" s="4" t="s">
        <v>124</v>
      </c>
      <c r="CX819" s="4" t="s">
        <v>124</v>
      </c>
      <c r="CY819" s="4" t="s">
        <v>124</v>
      </c>
      <c r="CZ819" s="4" t="s">
        <v>124</v>
      </c>
      <c r="DA819" s="7">
        <v>15.314097</v>
      </c>
      <c r="DB819" s="7">
        <v>17.400950000000002</v>
      </c>
      <c r="DC819" s="7">
        <v>16.332519999999999</v>
      </c>
      <c r="DD819" s="4" t="s">
        <v>124</v>
      </c>
      <c r="DE819" s="7">
        <v>1</v>
      </c>
      <c r="DF819" s="6"/>
      <c r="DG819" s="6"/>
      <c r="DH819" s="6"/>
      <c r="DI819" s="6"/>
      <c r="DJ819" s="7">
        <v>0</v>
      </c>
      <c r="DK819" s="7">
        <v>0</v>
      </c>
      <c r="DL819" s="7">
        <v>0</v>
      </c>
      <c r="DM819" s="7">
        <v>0</v>
      </c>
      <c r="DN819" s="7">
        <v>0</v>
      </c>
      <c r="DO819" s="7">
        <v>0</v>
      </c>
      <c r="DP819" s="6"/>
      <c r="DQ819" s="4" t="s">
        <v>125</v>
      </c>
    </row>
    <row r="820" spans="1:121" ht="20" customHeight="1" x14ac:dyDescent="0.15">
      <c r="A820" s="5">
        <v>2018</v>
      </c>
      <c r="B820" s="3" t="s">
        <v>249</v>
      </c>
      <c r="C820" s="4" t="str">
        <f t="shared" si="124"/>
        <v>1190011</v>
      </c>
      <c r="D820" s="4" t="s">
        <v>976</v>
      </c>
      <c r="E820" s="4" t="str">
        <f>"1195111"</f>
        <v>1195111</v>
      </c>
      <c r="F820" s="4" t="s">
        <v>327</v>
      </c>
      <c r="G820" s="7">
        <v>5</v>
      </c>
      <c r="H820" s="7">
        <v>8</v>
      </c>
      <c r="I820" s="4" t="s">
        <v>329</v>
      </c>
      <c r="J820" s="4" t="s">
        <v>330</v>
      </c>
      <c r="K820" s="7">
        <v>700.48120800000004</v>
      </c>
      <c r="L820" s="7">
        <v>900</v>
      </c>
      <c r="M820" s="7">
        <v>77.831244999999996</v>
      </c>
      <c r="N820" s="7">
        <v>2</v>
      </c>
      <c r="O820" s="7">
        <v>0</v>
      </c>
      <c r="P820" s="7">
        <v>80.705421000000001</v>
      </c>
      <c r="Q820" s="7">
        <v>50</v>
      </c>
      <c r="R820" s="7">
        <v>50</v>
      </c>
      <c r="S820" s="7">
        <v>67.411985000000001</v>
      </c>
      <c r="T820" s="7">
        <v>75</v>
      </c>
      <c r="U820" s="7">
        <v>44.941322999999997</v>
      </c>
      <c r="V820" s="7">
        <v>50</v>
      </c>
      <c r="W820" s="7">
        <v>73.765490999999997</v>
      </c>
      <c r="X820" s="7">
        <v>49.176994000000001</v>
      </c>
      <c r="Y820" s="7">
        <v>50</v>
      </c>
      <c r="Z820" s="7">
        <v>75</v>
      </c>
      <c r="AA820" s="7">
        <v>59.76314</v>
      </c>
      <c r="AB820" s="7">
        <v>39.842092999999998</v>
      </c>
      <c r="AC820" s="7">
        <v>50</v>
      </c>
      <c r="AD820" s="7">
        <v>76.014334000000005</v>
      </c>
      <c r="AE820" s="7">
        <v>50</v>
      </c>
      <c r="AF820" s="7">
        <v>50</v>
      </c>
      <c r="AG820" s="7">
        <v>67.964539000000002</v>
      </c>
      <c r="AH820" s="7">
        <v>75</v>
      </c>
      <c r="AI820" s="7">
        <v>45.309693000000003</v>
      </c>
      <c r="AJ820" s="7">
        <v>50</v>
      </c>
      <c r="AK820" s="7">
        <v>7.58</v>
      </c>
      <c r="AL820" s="7">
        <v>15.23</v>
      </c>
      <c r="AM820" s="7">
        <v>7.03</v>
      </c>
      <c r="AN820" s="7">
        <v>0.69354000000000005</v>
      </c>
      <c r="AO820" s="7">
        <v>69.353982999999999</v>
      </c>
      <c r="AP820" s="7">
        <v>100</v>
      </c>
      <c r="AQ820" s="7">
        <v>0.68528199999999995</v>
      </c>
      <c r="AR820" s="7">
        <v>68.528210000000001</v>
      </c>
      <c r="AS820" s="7">
        <v>100</v>
      </c>
      <c r="AT820" s="7">
        <v>0.60516999999999999</v>
      </c>
      <c r="AU820" s="7">
        <v>0.72137099999999998</v>
      </c>
      <c r="AV820" s="7">
        <v>60.517023999999999</v>
      </c>
      <c r="AW820" s="7">
        <v>100</v>
      </c>
      <c r="AX820" s="7">
        <v>0.53823100000000001</v>
      </c>
      <c r="AY820" s="7">
        <v>0.73125700000000005</v>
      </c>
      <c r="AZ820" s="7">
        <v>53.823090000000001</v>
      </c>
      <c r="BA820" s="7">
        <v>100</v>
      </c>
      <c r="BB820" s="4" t="s">
        <v>124</v>
      </c>
      <c r="BC820" s="4" t="s">
        <v>124</v>
      </c>
      <c r="BD820" s="4" t="s">
        <v>124</v>
      </c>
      <c r="BE820" s="4" t="s">
        <v>124</v>
      </c>
      <c r="BF820" s="4" t="s">
        <v>124</v>
      </c>
      <c r="BG820" s="4" t="s">
        <v>124</v>
      </c>
      <c r="BH820" s="7">
        <v>0</v>
      </c>
      <c r="BI820" s="7">
        <v>0.99678999999999995</v>
      </c>
      <c r="BJ820" s="7">
        <v>1</v>
      </c>
      <c r="BK820" s="7">
        <v>0.995305</v>
      </c>
      <c r="BL820" s="7">
        <v>0.99679499999999999</v>
      </c>
      <c r="BM820" s="7">
        <v>1</v>
      </c>
      <c r="BN820" s="7">
        <v>0.995305</v>
      </c>
      <c r="BO820" s="7">
        <v>0.99170100000000005</v>
      </c>
      <c r="BP820" s="7">
        <v>1</v>
      </c>
      <c r="BQ820" s="7">
        <v>0.98773</v>
      </c>
      <c r="BR820" s="7">
        <v>7.2581000000000007E-2</v>
      </c>
      <c r="BS820" s="7">
        <v>45.483871000000001</v>
      </c>
      <c r="BT820" s="7">
        <v>50</v>
      </c>
      <c r="BU820" s="7">
        <v>0.122449</v>
      </c>
      <c r="BV820" s="7">
        <v>35.510204000000002</v>
      </c>
      <c r="BW820" s="7">
        <v>50</v>
      </c>
      <c r="BX820" s="4" t="s">
        <v>124</v>
      </c>
      <c r="BY820" s="4" t="s">
        <v>124</v>
      </c>
      <c r="BZ820" s="4" t="s">
        <v>124</v>
      </c>
      <c r="CA820" s="4" t="s">
        <v>124</v>
      </c>
      <c r="CB820" s="4" t="s">
        <v>124</v>
      </c>
      <c r="CC820" s="4" t="s">
        <v>124</v>
      </c>
      <c r="CD820" s="7">
        <v>0.98816599999999999</v>
      </c>
      <c r="CE820" s="7">
        <v>50</v>
      </c>
      <c r="CF820" s="7">
        <v>50</v>
      </c>
      <c r="CG820" s="4" t="s">
        <v>124</v>
      </c>
      <c r="CH820" s="4" t="s">
        <v>124</v>
      </c>
      <c r="CI820" s="4" t="s">
        <v>124</v>
      </c>
      <c r="CJ820" s="4" t="s">
        <v>124</v>
      </c>
      <c r="CK820" s="4" t="s">
        <v>124</v>
      </c>
      <c r="CL820" s="4" t="s">
        <v>124</v>
      </c>
      <c r="CM820" s="4" t="s">
        <v>124</v>
      </c>
      <c r="CN820" s="4" t="s">
        <v>124</v>
      </c>
      <c r="CO820" s="4" t="s">
        <v>124</v>
      </c>
      <c r="CP820" s="4" t="s">
        <v>124</v>
      </c>
      <c r="CQ820" s="7">
        <v>0.56992100000000001</v>
      </c>
      <c r="CR820" s="7">
        <v>0.99736800000000003</v>
      </c>
      <c r="CS820" s="7">
        <v>37.994723</v>
      </c>
      <c r="CT820" s="7">
        <v>50</v>
      </c>
      <c r="CU820" s="4" t="s">
        <v>124</v>
      </c>
      <c r="CV820" s="4" t="s">
        <v>124</v>
      </c>
      <c r="CW820" s="4" t="s">
        <v>124</v>
      </c>
      <c r="CX820" s="4" t="s">
        <v>124</v>
      </c>
      <c r="CY820" s="4" t="s">
        <v>124</v>
      </c>
      <c r="CZ820" s="4" t="s">
        <v>124</v>
      </c>
      <c r="DA820" s="7">
        <v>15.314097</v>
      </c>
      <c r="DB820" s="7">
        <v>17.400950000000002</v>
      </c>
      <c r="DC820" s="7">
        <v>16.332519999999999</v>
      </c>
      <c r="DD820" s="4" t="s">
        <v>124</v>
      </c>
      <c r="DE820" s="7">
        <v>0</v>
      </c>
      <c r="DF820" s="6"/>
      <c r="DG820" s="6"/>
      <c r="DH820" s="6"/>
      <c r="DI820" s="6"/>
      <c r="DJ820" s="7">
        <v>0</v>
      </c>
      <c r="DK820" s="7">
        <v>0</v>
      </c>
      <c r="DL820" s="7">
        <v>0</v>
      </c>
      <c r="DM820" s="7">
        <v>0</v>
      </c>
      <c r="DN820" s="7">
        <v>0</v>
      </c>
      <c r="DO820" s="7">
        <v>0</v>
      </c>
      <c r="DP820" s="6"/>
      <c r="DQ820" s="4" t="s">
        <v>125</v>
      </c>
    </row>
    <row r="821" spans="1:121" ht="20" customHeight="1" x14ac:dyDescent="0.15">
      <c r="A821" s="5">
        <v>2018</v>
      </c>
      <c r="B821" s="3" t="s">
        <v>249</v>
      </c>
      <c r="C821" s="4" t="str">
        <f t="shared" ref="C821:C823" si="247">"1190011"</f>
        <v>1190011</v>
      </c>
      <c r="D821" s="4" t="s">
        <v>977</v>
      </c>
      <c r="E821" s="4" t="str">
        <f>"1190411"</f>
        <v>1190411</v>
      </c>
      <c r="F821" s="4" t="s">
        <v>327</v>
      </c>
      <c r="G821" s="4" t="s">
        <v>328</v>
      </c>
      <c r="H821" s="7">
        <v>5</v>
      </c>
      <c r="I821" s="4" t="s">
        <v>329</v>
      </c>
      <c r="J821" s="4" t="s">
        <v>330</v>
      </c>
      <c r="K821" s="7">
        <v>731.22595000000001</v>
      </c>
      <c r="L821" s="7">
        <v>950</v>
      </c>
      <c r="M821" s="7">
        <v>76.971153000000001</v>
      </c>
      <c r="N821" s="7">
        <v>2</v>
      </c>
      <c r="O821" s="7">
        <v>0</v>
      </c>
      <c r="P821" s="7">
        <v>75.799381999999994</v>
      </c>
      <c r="Q821" s="7">
        <v>50</v>
      </c>
      <c r="R821" s="7">
        <v>50</v>
      </c>
      <c r="S821" s="7">
        <v>66.514488</v>
      </c>
      <c r="T821" s="7">
        <v>75</v>
      </c>
      <c r="U821" s="7">
        <v>44.342992000000002</v>
      </c>
      <c r="V821" s="7">
        <v>50</v>
      </c>
      <c r="W821" s="7">
        <v>73.656143999999998</v>
      </c>
      <c r="X821" s="7">
        <v>49.104095999999998</v>
      </c>
      <c r="Y821" s="7">
        <v>50</v>
      </c>
      <c r="Z821" s="7">
        <v>75</v>
      </c>
      <c r="AA821" s="7">
        <v>63.551833000000002</v>
      </c>
      <c r="AB821" s="7">
        <v>42.367888000000001</v>
      </c>
      <c r="AC821" s="7">
        <v>50</v>
      </c>
      <c r="AD821" s="7">
        <v>66.938350999999997</v>
      </c>
      <c r="AE821" s="7">
        <v>44.625568000000001</v>
      </c>
      <c r="AF821" s="7">
        <v>50</v>
      </c>
      <c r="AG821" s="7">
        <v>59.460828999999997</v>
      </c>
      <c r="AH821" s="7">
        <v>73.481183000000001</v>
      </c>
      <c r="AI821" s="7">
        <v>39.640552999999997</v>
      </c>
      <c r="AJ821" s="7">
        <v>50</v>
      </c>
      <c r="AK821" s="7">
        <v>8.48</v>
      </c>
      <c r="AL821" s="7">
        <v>11.44</v>
      </c>
      <c r="AM821" s="7">
        <v>14.02</v>
      </c>
      <c r="AN821" s="7">
        <v>0.74704999999999999</v>
      </c>
      <c r="AO821" s="7">
        <v>74.704992000000004</v>
      </c>
      <c r="AP821" s="7">
        <v>100</v>
      </c>
      <c r="AQ821" s="7">
        <v>0.82693000000000005</v>
      </c>
      <c r="AR821" s="7">
        <v>82.693042000000005</v>
      </c>
      <c r="AS821" s="7">
        <v>100</v>
      </c>
      <c r="AT821" s="7">
        <v>0.64605100000000004</v>
      </c>
      <c r="AU821" s="7">
        <v>0.81676599999999999</v>
      </c>
      <c r="AV821" s="7">
        <v>64.605136000000002</v>
      </c>
      <c r="AW821" s="7">
        <v>100</v>
      </c>
      <c r="AX821" s="7">
        <v>0.753637</v>
      </c>
      <c r="AY821" s="7">
        <v>0.87797400000000003</v>
      </c>
      <c r="AZ821" s="7">
        <v>75.363714999999999</v>
      </c>
      <c r="BA821" s="7">
        <v>100</v>
      </c>
      <c r="BB821" s="7">
        <v>0.641046</v>
      </c>
      <c r="BC821" s="7">
        <v>32.052287999999997</v>
      </c>
      <c r="BD821" s="7">
        <v>50</v>
      </c>
      <c r="BE821" s="7">
        <v>0.48427799999999999</v>
      </c>
      <c r="BF821" s="7">
        <v>24.213875999999999</v>
      </c>
      <c r="BG821" s="7">
        <v>50</v>
      </c>
      <c r="BH821" s="7">
        <v>0</v>
      </c>
      <c r="BI821" s="7">
        <v>0.99668900000000005</v>
      </c>
      <c r="BJ821" s="7">
        <v>0.99259299999999995</v>
      </c>
      <c r="BK821" s="7">
        <v>1</v>
      </c>
      <c r="BL821" s="7">
        <v>0.99667799999999995</v>
      </c>
      <c r="BM821" s="7">
        <v>0.99259299999999995</v>
      </c>
      <c r="BN821" s="7">
        <v>1</v>
      </c>
      <c r="BO821" s="7">
        <v>1</v>
      </c>
      <c r="BP821" s="7">
        <v>1</v>
      </c>
      <c r="BQ821" s="7">
        <v>1</v>
      </c>
      <c r="BR821" s="7">
        <v>5.6799000000000002E-2</v>
      </c>
      <c r="BS821" s="7">
        <v>48.640275000000003</v>
      </c>
      <c r="BT821" s="7">
        <v>50</v>
      </c>
      <c r="BU821" s="7">
        <v>8.2031000000000007E-2</v>
      </c>
      <c r="BV821" s="7">
        <v>43.59375</v>
      </c>
      <c r="BW821" s="7">
        <v>50</v>
      </c>
      <c r="BX821" s="4" t="s">
        <v>124</v>
      </c>
      <c r="BY821" s="4" t="s">
        <v>124</v>
      </c>
      <c r="BZ821" s="4" t="s">
        <v>124</v>
      </c>
      <c r="CA821" s="4" t="s">
        <v>124</v>
      </c>
      <c r="CB821" s="4" t="s">
        <v>124</v>
      </c>
      <c r="CC821" s="4" t="s">
        <v>124</v>
      </c>
      <c r="CD821" s="4" t="s">
        <v>124</v>
      </c>
      <c r="CE821" s="4" t="s">
        <v>124</v>
      </c>
      <c r="CF821" s="4" t="s">
        <v>124</v>
      </c>
      <c r="CG821" s="4" t="s">
        <v>124</v>
      </c>
      <c r="CH821" s="4" t="s">
        <v>124</v>
      </c>
      <c r="CI821" s="4" t="s">
        <v>124</v>
      </c>
      <c r="CJ821" s="4" t="s">
        <v>124</v>
      </c>
      <c r="CK821" s="4" t="s">
        <v>124</v>
      </c>
      <c r="CL821" s="4" t="s">
        <v>124</v>
      </c>
      <c r="CM821" s="4" t="s">
        <v>124</v>
      </c>
      <c r="CN821" s="4" t="s">
        <v>124</v>
      </c>
      <c r="CO821" s="4" t="s">
        <v>124</v>
      </c>
      <c r="CP821" s="4" t="s">
        <v>124</v>
      </c>
      <c r="CQ821" s="7">
        <v>0.45833299999999999</v>
      </c>
      <c r="CR821" s="7">
        <v>0.88888900000000004</v>
      </c>
      <c r="CS821" s="7">
        <v>15.277778</v>
      </c>
      <c r="CT821" s="7">
        <v>50</v>
      </c>
      <c r="CU821" s="4" t="s">
        <v>124</v>
      </c>
      <c r="CV821" s="4" t="s">
        <v>124</v>
      </c>
      <c r="CW821" s="4" t="s">
        <v>124</v>
      </c>
      <c r="CX821" s="4" t="s">
        <v>124</v>
      </c>
      <c r="CY821" s="4" t="s">
        <v>124</v>
      </c>
      <c r="CZ821" s="4" t="s">
        <v>124</v>
      </c>
      <c r="DA821" s="7">
        <v>15.314097</v>
      </c>
      <c r="DB821" s="7">
        <v>17.400950000000002</v>
      </c>
      <c r="DC821" s="7">
        <v>16.332519999999999</v>
      </c>
      <c r="DD821" s="4" t="s">
        <v>124</v>
      </c>
      <c r="DE821" s="7">
        <v>0</v>
      </c>
      <c r="DF821" s="6"/>
      <c r="DG821" s="6"/>
      <c r="DH821" s="6"/>
      <c r="DI821" s="6"/>
      <c r="DJ821" s="7">
        <v>0</v>
      </c>
      <c r="DK821" s="7">
        <v>0</v>
      </c>
      <c r="DL821" s="7">
        <v>0</v>
      </c>
      <c r="DM821" s="7">
        <v>0</v>
      </c>
      <c r="DN821" s="7">
        <v>0</v>
      </c>
      <c r="DO821" s="7">
        <v>0</v>
      </c>
      <c r="DP821" s="6"/>
      <c r="DQ821" s="4" t="s">
        <v>125</v>
      </c>
    </row>
    <row r="822" spans="1:121" ht="20" customHeight="1" x14ac:dyDescent="0.15">
      <c r="A822" s="5">
        <v>2018</v>
      </c>
      <c r="B822" s="3" t="s">
        <v>249</v>
      </c>
      <c r="C822" s="4" t="str">
        <f t="shared" si="247"/>
        <v>1190011</v>
      </c>
      <c r="D822" s="4" t="s">
        <v>978</v>
      </c>
      <c r="E822" s="4" t="str">
        <f>"1196111"</f>
        <v>1196111</v>
      </c>
      <c r="F822" s="4" t="s">
        <v>327</v>
      </c>
      <c r="G822" s="7">
        <v>9</v>
      </c>
      <c r="H822" s="7">
        <v>12</v>
      </c>
      <c r="I822" s="4" t="s">
        <v>329</v>
      </c>
      <c r="J822" s="4" t="s">
        <v>330</v>
      </c>
      <c r="K822" s="7">
        <v>1182.8492209999999</v>
      </c>
      <c r="L822" s="7">
        <v>1450</v>
      </c>
      <c r="M822" s="7">
        <v>81.575807999999995</v>
      </c>
      <c r="N822" s="7">
        <v>3</v>
      </c>
      <c r="O822" s="7">
        <v>1</v>
      </c>
      <c r="P822" s="7">
        <v>60.840277999999998</v>
      </c>
      <c r="Q822" s="7">
        <v>121.680556</v>
      </c>
      <c r="R822" s="7">
        <v>150</v>
      </c>
      <c r="S822" s="7">
        <v>49.489279000000003</v>
      </c>
      <c r="T822" s="7">
        <v>66.277310999999997</v>
      </c>
      <c r="U822" s="7">
        <v>98.978558000000007</v>
      </c>
      <c r="V822" s="7">
        <v>150</v>
      </c>
      <c r="W822" s="7">
        <v>59.59375</v>
      </c>
      <c r="X822" s="7">
        <v>119.1875</v>
      </c>
      <c r="Y822" s="7">
        <v>150</v>
      </c>
      <c r="Z822" s="7">
        <v>64.890755999999996</v>
      </c>
      <c r="AA822" s="7">
        <v>48.535088000000002</v>
      </c>
      <c r="AB822" s="7">
        <v>97.070175000000006</v>
      </c>
      <c r="AC822" s="7">
        <v>150</v>
      </c>
      <c r="AD822" s="7">
        <v>64.444804000000005</v>
      </c>
      <c r="AE822" s="7">
        <v>85.926405000000003</v>
      </c>
      <c r="AF822" s="7">
        <v>100</v>
      </c>
      <c r="AG822" s="7">
        <v>54.597428999999998</v>
      </c>
      <c r="AH822" s="7">
        <v>69.078862000000001</v>
      </c>
      <c r="AI822" s="7">
        <v>72.796571999999998</v>
      </c>
      <c r="AJ822" s="7">
        <v>100</v>
      </c>
      <c r="AK822" s="7">
        <v>16.78</v>
      </c>
      <c r="AL822" s="7">
        <v>16.350000000000001</v>
      </c>
      <c r="AM822" s="7">
        <v>14.48</v>
      </c>
      <c r="AN822" s="4" t="s">
        <v>124</v>
      </c>
      <c r="AO822" s="4" t="s">
        <v>124</v>
      </c>
      <c r="AP822" s="4" t="s">
        <v>124</v>
      </c>
      <c r="AQ822" s="4" t="s">
        <v>124</v>
      </c>
      <c r="AR822" s="4" t="s">
        <v>124</v>
      </c>
      <c r="AS822" s="4" t="s">
        <v>124</v>
      </c>
      <c r="AT822" s="4" t="s">
        <v>124</v>
      </c>
      <c r="AU822" s="4" t="s">
        <v>124</v>
      </c>
      <c r="AV822" s="4" t="s">
        <v>124</v>
      </c>
      <c r="AW822" s="4" t="s">
        <v>124</v>
      </c>
      <c r="AX822" s="4" t="s">
        <v>124</v>
      </c>
      <c r="AY822" s="4" t="s">
        <v>124</v>
      </c>
      <c r="AZ822" s="4" t="s">
        <v>124</v>
      </c>
      <c r="BA822" s="4" t="s">
        <v>124</v>
      </c>
      <c r="BB822" s="4" t="s">
        <v>124</v>
      </c>
      <c r="BC822" s="4" t="s">
        <v>124</v>
      </c>
      <c r="BD822" s="4" t="s">
        <v>124</v>
      </c>
      <c r="BE822" s="4" t="s">
        <v>124</v>
      </c>
      <c r="BF822" s="4" t="s">
        <v>124</v>
      </c>
      <c r="BG822" s="4" t="s">
        <v>124</v>
      </c>
      <c r="BH822" s="7">
        <v>1</v>
      </c>
      <c r="BI822" s="7">
        <v>0.97814199999999996</v>
      </c>
      <c r="BJ822" s="7">
        <v>0.95161300000000004</v>
      </c>
      <c r="BK822" s="7">
        <v>0.99173599999999995</v>
      </c>
      <c r="BL822" s="7">
        <v>0.97814199999999996</v>
      </c>
      <c r="BM822" s="7">
        <v>0.95161300000000004</v>
      </c>
      <c r="BN822" s="7">
        <v>0.99173599999999995</v>
      </c>
      <c r="BO822" s="7">
        <v>0.97267800000000004</v>
      </c>
      <c r="BP822" s="7">
        <v>0.93548399999999998</v>
      </c>
      <c r="BQ822" s="7">
        <v>0.99173599999999995</v>
      </c>
      <c r="BR822" s="7">
        <v>8.0380999999999994E-2</v>
      </c>
      <c r="BS822" s="7">
        <v>43.923706000000003</v>
      </c>
      <c r="BT822" s="7">
        <v>50</v>
      </c>
      <c r="BU822" s="7">
        <v>0.12851399999999999</v>
      </c>
      <c r="BV822" s="7">
        <v>34.297189000000003</v>
      </c>
      <c r="BW822" s="7">
        <v>50</v>
      </c>
      <c r="BX822" s="7">
        <v>0.79347800000000002</v>
      </c>
      <c r="BY822" s="7">
        <v>50</v>
      </c>
      <c r="BZ822" s="7">
        <v>50</v>
      </c>
      <c r="CA822" s="7">
        <v>0.48913000000000001</v>
      </c>
      <c r="CB822" s="7">
        <v>32.608696000000002</v>
      </c>
      <c r="CC822" s="7">
        <v>50</v>
      </c>
      <c r="CD822" s="7">
        <v>0.97058800000000001</v>
      </c>
      <c r="CE822" s="7">
        <v>50</v>
      </c>
      <c r="CF822" s="7">
        <v>50</v>
      </c>
      <c r="CG822" s="7">
        <v>0.96067400000000003</v>
      </c>
      <c r="CH822" s="7">
        <v>100</v>
      </c>
      <c r="CI822" s="7">
        <v>100</v>
      </c>
      <c r="CJ822" s="7">
        <v>0</v>
      </c>
      <c r="CK822" s="7">
        <v>0.91666700000000001</v>
      </c>
      <c r="CL822" s="7">
        <v>97.51773</v>
      </c>
      <c r="CM822" s="7">
        <v>100</v>
      </c>
      <c r="CN822" s="7">
        <v>0.85955099999999995</v>
      </c>
      <c r="CO822" s="7">
        <v>100</v>
      </c>
      <c r="CP822" s="7">
        <v>100</v>
      </c>
      <c r="CQ822" s="7">
        <v>0.60221000000000002</v>
      </c>
      <c r="CR822" s="7">
        <v>0.92346899999999998</v>
      </c>
      <c r="CS822" s="7">
        <v>40.147329999999997</v>
      </c>
      <c r="CT822" s="7">
        <v>50</v>
      </c>
      <c r="CU822" s="7">
        <v>0.46457799999999999</v>
      </c>
      <c r="CV822" s="7">
        <v>38.714804999999998</v>
      </c>
      <c r="CW822" s="7">
        <v>50</v>
      </c>
      <c r="CX822" s="7">
        <v>0.91666700000000001</v>
      </c>
      <c r="CY822" s="7">
        <v>0.94</v>
      </c>
      <c r="CZ822" s="7">
        <v>2.3333E-2</v>
      </c>
      <c r="DA822" s="7">
        <v>15.314097</v>
      </c>
      <c r="DB822" s="7">
        <v>17.400950000000002</v>
      </c>
      <c r="DC822" s="7">
        <v>16.332519999999999</v>
      </c>
      <c r="DD822" s="7">
        <v>7.9891730000000001</v>
      </c>
      <c r="DE822" s="7">
        <v>1</v>
      </c>
      <c r="DF822" s="6"/>
      <c r="DG822" s="6"/>
      <c r="DH822" s="6"/>
      <c r="DI822" s="6"/>
      <c r="DJ822" s="7">
        <v>0</v>
      </c>
      <c r="DK822" s="7">
        <v>0</v>
      </c>
      <c r="DL822" s="7">
        <v>0</v>
      </c>
      <c r="DM822" s="7">
        <v>0</v>
      </c>
      <c r="DN822" s="7">
        <v>0</v>
      </c>
      <c r="DO822" s="7">
        <v>0</v>
      </c>
      <c r="DP822" s="6"/>
      <c r="DQ822" s="4" t="s">
        <v>125</v>
      </c>
    </row>
    <row r="823" spans="1:121" ht="20" customHeight="1" x14ac:dyDescent="0.15">
      <c r="A823" s="5">
        <v>2018</v>
      </c>
      <c r="B823" s="3" t="s">
        <v>249</v>
      </c>
      <c r="C823" s="4" t="str">
        <f t="shared" si="247"/>
        <v>1190011</v>
      </c>
      <c r="D823" s="4" t="s">
        <v>979</v>
      </c>
      <c r="E823" s="4" t="str">
        <f>"1190511"</f>
        <v>1190511</v>
      </c>
      <c r="F823" s="4" t="s">
        <v>327</v>
      </c>
      <c r="G823" s="4" t="s">
        <v>328</v>
      </c>
      <c r="H823" s="7">
        <v>5</v>
      </c>
      <c r="I823" s="6"/>
      <c r="J823" s="4" t="s">
        <v>330</v>
      </c>
      <c r="K823" s="7">
        <v>808.20667900000001</v>
      </c>
      <c r="L823" s="7">
        <v>950</v>
      </c>
      <c r="M823" s="7">
        <v>85.074387000000002</v>
      </c>
      <c r="N823" s="7">
        <v>1</v>
      </c>
      <c r="O823" s="7">
        <v>0</v>
      </c>
      <c r="P823" s="7">
        <v>81.661801999999994</v>
      </c>
      <c r="Q823" s="7">
        <v>50</v>
      </c>
      <c r="R823" s="7">
        <v>50</v>
      </c>
      <c r="S823" s="7">
        <v>73.761199000000005</v>
      </c>
      <c r="T823" s="7">
        <v>75</v>
      </c>
      <c r="U823" s="7">
        <v>49.174132</v>
      </c>
      <c r="V823" s="7">
        <v>50</v>
      </c>
      <c r="W823" s="7">
        <v>81.109323000000003</v>
      </c>
      <c r="X823" s="7">
        <v>50</v>
      </c>
      <c r="Y823" s="7">
        <v>50</v>
      </c>
      <c r="Z823" s="7">
        <v>75</v>
      </c>
      <c r="AA823" s="7">
        <v>72.648059000000003</v>
      </c>
      <c r="AB823" s="7">
        <v>48.432039000000003</v>
      </c>
      <c r="AC823" s="7">
        <v>50</v>
      </c>
      <c r="AD823" s="7">
        <v>78.150828000000004</v>
      </c>
      <c r="AE823" s="7">
        <v>50</v>
      </c>
      <c r="AF823" s="7">
        <v>50</v>
      </c>
      <c r="AG823" s="7">
        <v>70.456773999999996</v>
      </c>
      <c r="AH823" s="7">
        <v>75</v>
      </c>
      <c r="AI823" s="7">
        <v>46.971183000000003</v>
      </c>
      <c r="AJ823" s="7">
        <v>50</v>
      </c>
      <c r="AK823" s="7">
        <v>1.23</v>
      </c>
      <c r="AL823" s="7">
        <v>2.35</v>
      </c>
      <c r="AM823" s="7">
        <v>4.54</v>
      </c>
      <c r="AN823" s="7">
        <v>0.73602400000000001</v>
      </c>
      <c r="AO823" s="7">
        <v>73.602363999999994</v>
      </c>
      <c r="AP823" s="7">
        <v>100</v>
      </c>
      <c r="AQ823" s="7">
        <v>0.80642599999999998</v>
      </c>
      <c r="AR823" s="7">
        <v>80.642633000000004</v>
      </c>
      <c r="AS823" s="7">
        <v>100</v>
      </c>
      <c r="AT823" s="7">
        <v>0.80893999999999999</v>
      </c>
      <c r="AU823" s="7">
        <v>0.71635499999999996</v>
      </c>
      <c r="AV823" s="7">
        <v>80.894029000000003</v>
      </c>
      <c r="AW823" s="7">
        <v>100</v>
      </c>
      <c r="AX823" s="7">
        <v>0.69784100000000004</v>
      </c>
      <c r="AY823" s="7">
        <v>0.83500099999999999</v>
      </c>
      <c r="AZ823" s="7">
        <v>69.784093999999996</v>
      </c>
      <c r="BA823" s="7">
        <v>100</v>
      </c>
      <c r="BB823" s="7">
        <v>0.93002600000000002</v>
      </c>
      <c r="BC823" s="7">
        <v>46.501297999999998</v>
      </c>
      <c r="BD823" s="7">
        <v>50</v>
      </c>
      <c r="BE823" s="7">
        <v>0.68854300000000002</v>
      </c>
      <c r="BF823" s="7">
        <v>34.427128000000003</v>
      </c>
      <c r="BG823" s="7">
        <v>50</v>
      </c>
      <c r="BH823" s="7">
        <v>0</v>
      </c>
      <c r="BI823" s="7">
        <v>0.99721400000000004</v>
      </c>
      <c r="BJ823" s="7">
        <v>0.99315100000000001</v>
      </c>
      <c r="BK823" s="7">
        <v>1</v>
      </c>
      <c r="BL823" s="7">
        <v>0.99720699999999995</v>
      </c>
      <c r="BM823" s="7">
        <v>0.99305600000000005</v>
      </c>
      <c r="BN823" s="7">
        <v>1</v>
      </c>
      <c r="BO823" s="7">
        <v>0.98780500000000004</v>
      </c>
      <c r="BP823" s="7">
        <v>0.96875</v>
      </c>
      <c r="BQ823" s="7">
        <v>1</v>
      </c>
      <c r="BR823" s="7">
        <v>2.7737000000000001E-2</v>
      </c>
      <c r="BS823" s="7">
        <v>50</v>
      </c>
      <c r="BT823" s="7">
        <v>50</v>
      </c>
      <c r="BU823" s="7">
        <v>4.2735000000000002E-2</v>
      </c>
      <c r="BV823" s="7">
        <v>50</v>
      </c>
      <c r="BW823" s="7">
        <v>50</v>
      </c>
      <c r="BX823" s="4" t="s">
        <v>124</v>
      </c>
      <c r="BY823" s="4" t="s">
        <v>124</v>
      </c>
      <c r="BZ823" s="4" t="s">
        <v>124</v>
      </c>
      <c r="CA823" s="4" t="s">
        <v>124</v>
      </c>
      <c r="CB823" s="4" t="s">
        <v>124</v>
      </c>
      <c r="CC823" s="4" t="s">
        <v>124</v>
      </c>
      <c r="CD823" s="4" t="s">
        <v>124</v>
      </c>
      <c r="CE823" s="4" t="s">
        <v>124</v>
      </c>
      <c r="CF823" s="4" t="s">
        <v>124</v>
      </c>
      <c r="CG823" s="4" t="s">
        <v>124</v>
      </c>
      <c r="CH823" s="4" t="s">
        <v>124</v>
      </c>
      <c r="CI823" s="4" t="s">
        <v>124</v>
      </c>
      <c r="CJ823" s="4" t="s">
        <v>124</v>
      </c>
      <c r="CK823" s="4" t="s">
        <v>124</v>
      </c>
      <c r="CL823" s="4" t="s">
        <v>124</v>
      </c>
      <c r="CM823" s="4" t="s">
        <v>124</v>
      </c>
      <c r="CN823" s="4" t="s">
        <v>124</v>
      </c>
      <c r="CO823" s="4" t="s">
        <v>124</v>
      </c>
      <c r="CP823" s="4" t="s">
        <v>124</v>
      </c>
      <c r="CQ823" s="7">
        <v>0.41666700000000001</v>
      </c>
      <c r="CR823" s="7">
        <v>1</v>
      </c>
      <c r="CS823" s="7">
        <v>27.777778000000001</v>
      </c>
      <c r="CT823" s="7">
        <v>50</v>
      </c>
      <c r="CU823" s="4" t="s">
        <v>124</v>
      </c>
      <c r="CV823" s="4" t="s">
        <v>124</v>
      </c>
      <c r="CW823" s="4" t="s">
        <v>124</v>
      </c>
      <c r="CX823" s="4" t="s">
        <v>124</v>
      </c>
      <c r="CY823" s="4" t="s">
        <v>124</v>
      </c>
      <c r="CZ823" s="4" t="s">
        <v>124</v>
      </c>
      <c r="DA823" s="7">
        <v>15.314097</v>
      </c>
      <c r="DB823" s="7">
        <v>17.400950000000002</v>
      </c>
      <c r="DC823" s="7">
        <v>16.332519999999999</v>
      </c>
      <c r="DD823" s="4" t="s">
        <v>124</v>
      </c>
      <c r="DE823" s="7">
        <v>0</v>
      </c>
      <c r="DF823" s="6"/>
      <c r="DG823" s="6"/>
      <c r="DH823" s="4" t="s">
        <v>331</v>
      </c>
      <c r="DI823" s="4" t="s">
        <v>523</v>
      </c>
      <c r="DJ823" s="7">
        <v>0</v>
      </c>
      <c r="DK823" s="7">
        <v>0</v>
      </c>
      <c r="DL823" s="7">
        <v>0</v>
      </c>
      <c r="DM823" s="7">
        <v>1</v>
      </c>
      <c r="DN823" s="7">
        <v>0</v>
      </c>
      <c r="DO823" s="7">
        <v>0</v>
      </c>
      <c r="DP823" s="6"/>
      <c r="DQ823" s="4" t="s">
        <v>125</v>
      </c>
    </row>
    <row r="824" spans="1:121" ht="20" customHeight="1" x14ac:dyDescent="0.15">
      <c r="A824" s="5">
        <v>2018</v>
      </c>
      <c r="B824" s="3" t="s">
        <v>274</v>
      </c>
      <c r="C824" s="4" t="str">
        <f t="shared" si="146"/>
        <v>1210011</v>
      </c>
      <c r="D824" s="4" t="s">
        <v>980</v>
      </c>
      <c r="E824" s="4" t="str">
        <f>"1210111"</f>
        <v>1210111</v>
      </c>
      <c r="F824" s="4" t="s">
        <v>327</v>
      </c>
      <c r="G824" s="4" t="s">
        <v>328</v>
      </c>
      <c r="H824" s="7">
        <v>8</v>
      </c>
      <c r="I824" s="4" t="s">
        <v>329</v>
      </c>
      <c r="J824" s="4" t="s">
        <v>330</v>
      </c>
      <c r="K824" s="7">
        <v>721.388149</v>
      </c>
      <c r="L824" s="7">
        <v>900</v>
      </c>
      <c r="M824" s="7">
        <v>80.154239000000004</v>
      </c>
      <c r="N824" s="7">
        <v>2</v>
      </c>
      <c r="O824" s="7">
        <v>0</v>
      </c>
      <c r="P824" s="7">
        <v>80.226870000000005</v>
      </c>
      <c r="Q824" s="7">
        <v>50</v>
      </c>
      <c r="R824" s="7">
        <v>50</v>
      </c>
      <c r="S824" s="7">
        <v>65.401242999999994</v>
      </c>
      <c r="T824" s="7">
        <v>75</v>
      </c>
      <c r="U824" s="7">
        <v>43.600828999999997</v>
      </c>
      <c r="V824" s="7">
        <v>50</v>
      </c>
      <c r="W824" s="7">
        <v>76.317972999999995</v>
      </c>
      <c r="X824" s="7">
        <v>50</v>
      </c>
      <c r="Y824" s="7">
        <v>50</v>
      </c>
      <c r="Z824" s="7">
        <v>75</v>
      </c>
      <c r="AA824" s="7">
        <v>60.737057</v>
      </c>
      <c r="AB824" s="7">
        <v>40.491371000000001</v>
      </c>
      <c r="AC824" s="7">
        <v>50</v>
      </c>
      <c r="AD824" s="7">
        <v>78.825384</v>
      </c>
      <c r="AE824" s="7">
        <v>50</v>
      </c>
      <c r="AF824" s="7">
        <v>50</v>
      </c>
      <c r="AG824" s="7">
        <v>67.453401999999997</v>
      </c>
      <c r="AH824" s="7">
        <v>75</v>
      </c>
      <c r="AI824" s="7">
        <v>44.968935000000002</v>
      </c>
      <c r="AJ824" s="7">
        <v>50</v>
      </c>
      <c r="AK824" s="7">
        <v>9.59</v>
      </c>
      <c r="AL824" s="7">
        <v>14.26</v>
      </c>
      <c r="AM824" s="7">
        <v>7.54</v>
      </c>
      <c r="AN824" s="7">
        <v>0.67071099999999995</v>
      </c>
      <c r="AO824" s="7">
        <v>67.071084999999997</v>
      </c>
      <c r="AP824" s="7">
        <v>100</v>
      </c>
      <c r="AQ824" s="7">
        <v>0.74013099999999998</v>
      </c>
      <c r="AR824" s="7">
        <v>74.013076999999996</v>
      </c>
      <c r="AS824" s="7">
        <v>100</v>
      </c>
      <c r="AT824" s="7">
        <v>0.55702499999999999</v>
      </c>
      <c r="AU824" s="7">
        <v>0.71263299999999996</v>
      </c>
      <c r="AV824" s="7">
        <v>55.702480999999999</v>
      </c>
      <c r="AW824" s="7">
        <v>100</v>
      </c>
      <c r="AX824" s="7">
        <v>0.62207000000000001</v>
      </c>
      <c r="AY824" s="7">
        <v>0.78292799999999996</v>
      </c>
      <c r="AZ824" s="7">
        <v>62.207037999999997</v>
      </c>
      <c r="BA824" s="7">
        <v>100</v>
      </c>
      <c r="BB824" s="4" t="s">
        <v>124</v>
      </c>
      <c r="BC824" s="4" t="s">
        <v>124</v>
      </c>
      <c r="BD824" s="4" t="s">
        <v>124</v>
      </c>
      <c r="BE824" s="4" t="s">
        <v>124</v>
      </c>
      <c r="BF824" s="4" t="s">
        <v>124</v>
      </c>
      <c r="BG824" s="4" t="s">
        <v>124</v>
      </c>
      <c r="BH824" s="7">
        <v>0</v>
      </c>
      <c r="BI824" s="7">
        <v>0.99642900000000001</v>
      </c>
      <c r="BJ824" s="7">
        <v>1</v>
      </c>
      <c r="BK824" s="7">
        <v>0.99504999999999999</v>
      </c>
      <c r="BL824" s="7">
        <v>0.99285699999999999</v>
      </c>
      <c r="BM824" s="7">
        <v>0.98717900000000003</v>
      </c>
      <c r="BN824" s="7">
        <v>0.99504999999999999</v>
      </c>
      <c r="BO824" s="7">
        <v>1</v>
      </c>
      <c r="BP824" s="7">
        <v>1</v>
      </c>
      <c r="BQ824" s="7">
        <v>1</v>
      </c>
      <c r="BR824" s="7">
        <v>3.5088000000000001E-2</v>
      </c>
      <c r="BS824" s="7">
        <v>50</v>
      </c>
      <c r="BT824" s="7">
        <v>50</v>
      </c>
      <c r="BU824" s="7">
        <v>3.5714000000000003E-2</v>
      </c>
      <c r="BV824" s="7">
        <v>50</v>
      </c>
      <c r="BW824" s="7">
        <v>50</v>
      </c>
      <c r="BX824" s="4" t="s">
        <v>124</v>
      </c>
      <c r="BY824" s="4" t="s">
        <v>124</v>
      </c>
      <c r="BZ824" s="4" t="s">
        <v>124</v>
      </c>
      <c r="CA824" s="4" t="s">
        <v>124</v>
      </c>
      <c r="CB824" s="4" t="s">
        <v>124</v>
      </c>
      <c r="CC824" s="4" t="s">
        <v>124</v>
      </c>
      <c r="CD824" s="7">
        <v>1</v>
      </c>
      <c r="CE824" s="7">
        <v>50</v>
      </c>
      <c r="CF824" s="7">
        <v>50</v>
      </c>
      <c r="CG824" s="4" t="s">
        <v>124</v>
      </c>
      <c r="CH824" s="4" t="s">
        <v>124</v>
      </c>
      <c r="CI824" s="4" t="s">
        <v>124</v>
      </c>
      <c r="CJ824" s="4" t="s">
        <v>124</v>
      </c>
      <c r="CK824" s="4" t="s">
        <v>124</v>
      </c>
      <c r="CL824" s="4" t="s">
        <v>124</v>
      </c>
      <c r="CM824" s="4" t="s">
        <v>124</v>
      </c>
      <c r="CN824" s="4" t="s">
        <v>124</v>
      </c>
      <c r="CO824" s="4" t="s">
        <v>124</v>
      </c>
      <c r="CP824" s="4" t="s">
        <v>124</v>
      </c>
      <c r="CQ824" s="7">
        <v>0.5</v>
      </c>
      <c r="CR824" s="7">
        <v>0.98630099999999998</v>
      </c>
      <c r="CS824" s="7">
        <v>33.333333000000003</v>
      </c>
      <c r="CT824" s="7">
        <v>50</v>
      </c>
      <c r="CU824" s="4" t="s">
        <v>124</v>
      </c>
      <c r="CV824" s="4" t="s">
        <v>124</v>
      </c>
      <c r="CW824" s="4" t="s">
        <v>124</v>
      </c>
      <c r="CX824" s="4" t="s">
        <v>124</v>
      </c>
      <c r="CY824" s="4" t="s">
        <v>124</v>
      </c>
      <c r="CZ824" s="4" t="s">
        <v>124</v>
      </c>
      <c r="DA824" s="7">
        <v>15.314097</v>
      </c>
      <c r="DB824" s="7">
        <v>17.400950000000002</v>
      </c>
      <c r="DC824" s="7">
        <v>16.332519999999999</v>
      </c>
      <c r="DD824" s="4" t="s">
        <v>124</v>
      </c>
      <c r="DE824" s="7">
        <v>0</v>
      </c>
      <c r="DF824" s="6"/>
      <c r="DG824" s="6"/>
      <c r="DH824" s="6"/>
      <c r="DI824" s="6"/>
      <c r="DJ824" s="7">
        <v>0</v>
      </c>
      <c r="DK824" s="7">
        <v>0</v>
      </c>
      <c r="DL824" s="7">
        <v>0</v>
      </c>
      <c r="DM824" s="7">
        <v>0</v>
      </c>
      <c r="DN824" s="7">
        <v>0</v>
      </c>
      <c r="DO824" s="7">
        <v>0</v>
      </c>
      <c r="DP824" s="6"/>
      <c r="DQ824" s="4" t="s">
        <v>125</v>
      </c>
    </row>
    <row r="825" spans="1:121" ht="20" customHeight="1" x14ac:dyDescent="0.15">
      <c r="A825" s="5">
        <v>2018</v>
      </c>
      <c r="B825" s="3" t="s">
        <v>275</v>
      </c>
      <c r="C825" s="4" t="str">
        <f t="shared" si="147"/>
        <v>1220011</v>
      </c>
      <c r="D825" s="4" t="s">
        <v>981</v>
      </c>
      <c r="E825" s="4" t="str">
        <f>"1220111"</f>
        <v>1220111</v>
      </c>
      <c r="F825" s="4" t="s">
        <v>327</v>
      </c>
      <c r="G825" s="4" t="s">
        <v>328</v>
      </c>
      <c r="H825" s="7">
        <v>8</v>
      </c>
      <c r="I825" s="6"/>
      <c r="J825" s="4" t="s">
        <v>330</v>
      </c>
      <c r="K825" s="7">
        <v>668.54507799999999</v>
      </c>
      <c r="L825" s="7">
        <v>850</v>
      </c>
      <c r="M825" s="7">
        <v>78.652361999999997</v>
      </c>
      <c r="N825" s="7">
        <v>2</v>
      </c>
      <c r="O825" s="7">
        <v>0</v>
      </c>
      <c r="P825" s="7">
        <v>81.548004000000006</v>
      </c>
      <c r="Q825" s="7">
        <v>50</v>
      </c>
      <c r="R825" s="7">
        <v>50</v>
      </c>
      <c r="S825" s="7">
        <v>73.037687000000005</v>
      </c>
      <c r="T825" s="7">
        <v>75</v>
      </c>
      <c r="U825" s="7">
        <v>48.691792</v>
      </c>
      <c r="V825" s="7">
        <v>50</v>
      </c>
      <c r="W825" s="7">
        <v>70.553837999999999</v>
      </c>
      <c r="X825" s="7">
        <v>47.035891999999997</v>
      </c>
      <c r="Y825" s="7">
        <v>50</v>
      </c>
      <c r="Z825" s="7">
        <v>75</v>
      </c>
      <c r="AA825" s="7">
        <v>61.857250999999998</v>
      </c>
      <c r="AB825" s="7">
        <v>41.238166999999997</v>
      </c>
      <c r="AC825" s="7">
        <v>50</v>
      </c>
      <c r="AD825" s="7">
        <v>76.813744</v>
      </c>
      <c r="AE825" s="7">
        <v>50</v>
      </c>
      <c r="AF825" s="7">
        <v>50</v>
      </c>
      <c r="AG825" s="4" t="s">
        <v>124</v>
      </c>
      <c r="AH825" s="7">
        <v>75</v>
      </c>
      <c r="AI825" s="4" t="s">
        <v>124</v>
      </c>
      <c r="AJ825" s="4" t="s">
        <v>124</v>
      </c>
      <c r="AK825" s="7">
        <v>1.96</v>
      </c>
      <c r="AL825" s="7">
        <v>13.14</v>
      </c>
      <c r="AM825" s="4" t="s">
        <v>124</v>
      </c>
      <c r="AN825" s="7">
        <v>0.70958100000000002</v>
      </c>
      <c r="AO825" s="7">
        <v>70.958106999999998</v>
      </c>
      <c r="AP825" s="7">
        <v>100</v>
      </c>
      <c r="AQ825" s="7">
        <v>0.63417199999999996</v>
      </c>
      <c r="AR825" s="7">
        <v>63.417236000000003</v>
      </c>
      <c r="AS825" s="7">
        <v>100</v>
      </c>
      <c r="AT825" s="7">
        <v>0.75270800000000004</v>
      </c>
      <c r="AU825" s="7">
        <v>0.68826600000000004</v>
      </c>
      <c r="AV825" s="7">
        <v>75.270770999999996</v>
      </c>
      <c r="AW825" s="7">
        <v>100</v>
      </c>
      <c r="AX825" s="7">
        <v>0.61167700000000003</v>
      </c>
      <c r="AY825" s="7">
        <v>0.64529099999999995</v>
      </c>
      <c r="AZ825" s="7">
        <v>61.167676</v>
      </c>
      <c r="BA825" s="7">
        <v>100</v>
      </c>
      <c r="BB825" s="4" t="s">
        <v>124</v>
      </c>
      <c r="BC825" s="4" t="s">
        <v>124</v>
      </c>
      <c r="BD825" s="4" t="s">
        <v>124</v>
      </c>
      <c r="BE825" s="4" t="s">
        <v>124</v>
      </c>
      <c r="BF825" s="4" t="s">
        <v>124</v>
      </c>
      <c r="BG825" s="4" t="s">
        <v>124</v>
      </c>
      <c r="BH825" s="7">
        <v>0</v>
      </c>
      <c r="BI825" s="7">
        <v>0.98901099999999997</v>
      </c>
      <c r="BJ825" s="7">
        <v>0.98507500000000003</v>
      </c>
      <c r="BK825" s="7">
        <v>0.99130399999999996</v>
      </c>
      <c r="BL825" s="7">
        <v>0.98901099999999997</v>
      </c>
      <c r="BM825" s="7">
        <v>0.98507500000000003</v>
      </c>
      <c r="BN825" s="7">
        <v>0.99130399999999996</v>
      </c>
      <c r="BO825" s="7">
        <v>0.96551699999999996</v>
      </c>
      <c r="BP825" s="4" t="s">
        <v>124</v>
      </c>
      <c r="BQ825" s="7">
        <v>0.97674399999999995</v>
      </c>
      <c r="BR825" s="7">
        <v>6.5934000000000006E-2</v>
      </c>
      <c r="BS825" s="7">
        <v>46.813186999999999</v>
      </c>
      <c r="BT825" s="7">
        <v>50</v>
      </c>
      <c r="BU825" s="7">
        <v>0.12903200000000001</v>
      </c>
      <c r="BV825" s="7">
        <v>34.193548</v>
      </c>
      <c r="BW825" s="7">
        <v>50</v>
      </c>
      <c r="BX825" s="4" t="s">
        <v>124</v>
      </c>
      <c r="BY825" s="4" t="s">
        <v>124</v>
      </c>
      <c r="BZ825" s="4" t="s">
        <v>124</v>
      </c>
      <c r="CA825" s="4" t="s">
        <v>124</v>
      </c>
      <c r="CB825" s="4" t="s">
        <v>124</v>
      </c>
      <c r="CC825" s="4" t="s">
        <v>124</v>
      </c>
      <c r="CD825" s="7">
        <v>0.88</v>
      </c>
      <c r="CE825" s="7">
        <v>46.808511000000003</v>
      </c>
      <c r="CF825" s="7">
        <v>50</v>
      </c>
      <c r="CG825" s="4" t="s">
        <v>124</v>
      </c>
      <c r="CH825" s="4" t="s">
        <v>124</v>
      </c>
      <c r="CI825" s="4" t="s">
        <v>124</v>
      </c>
      <c r="CJ825" s="4" t="s">
        <v>124</v>
      </c>
      <c r="CK825" s="4" t="s">
        <v>124</v>
      </c>
      <c r="CL825" s="4" t="s">
        <v>124</v>
      </c>
      <c r="CM825" s="4" t="s">
        <v>124</v>
      </c>
      <c r="CN825" s="4" t="s">
        <v>124</v>
      </c>
      <c r="CO825" s="4" t="s">
        <v>124</v>
      </c>
      <c r="CP825" s="4" t="s">
        <v>124</v>
      </c>
      <c r="CQ825" s="7">
        <v>0.494253</v>
      </c>
      <c r="CR825" s="7">
        <v>0.96666700000000005</v>
      </c>
      <c r="CS825" s="7">
        <v>32.950192000000001</v>
      </c>
      <c r="CT825" s="7">
        <v>50</v>
      </c>
      <c r="CU825" s="4" t="s">
        <v>124</v>
      </c>
      <c r="CV825" s="4" t="s">
        <v>124</v>
      </c>
      <c r="CW825" s="4" t="s">
        <v>124</v>
      </c>
      <c r="CX825" s="4" t="s">
        <v>124</v>
      </c>
      <c r="CY825" s="4" t="s">
        <v>124</v>
      </c>
      <c r="CZ825" s="4" t="s">
        <v>124</v>
      </c>
      <c r="DA825" s="7">
        <v>15.314097</v>
      </c>
      <c r="DB825" s="7">
        <v>17.400950000000002</v>
      </c>
      <c r="DC825" s="7">
        <v>16.332519999999999</v>
      </c>
      <c r="DD825" s="4" t="s">
        <v>124</v>
      </c>
      <c r="DE825" s="7">
        <v>0</v>
      </c>
      <c r="DF825" s="6"/>
      <c r="DG825" s="6"/>
      <c r="DH825" s="6"/>
      <c r="DI825" s="6"/>
      <c r="DJ825" s="7">
        <v>0</v>
      </c>
      <c r="DK825" s="7">
        <v>0</v>
      </c>
      <c r="DL825" s="7">
        <v>0</v>
      </c>
      <c r="DM825" s="7">
        <v>0</v>
      </c>
      <c r="DN825" s="7">
        <v>0</v>
      </c>
      <c r="DO825" s="7">
        <v>0</v>
      </c>
      <c r="DP825" s="6"/>
      <c r="DQ825" s="4" t="s">
        <v>125</v>
      </c>
    </row>
    <row r="826" spans="1:121" ht="20" customHeight="1" x14ac:dyDescent="0.15">
      <c r="A826" s="5">
        <v>2018</v>
      </c>
      <c r="B826" s="3" t="s">
        <v>276</v>
      </c>
      <c r="C826" s="4" t="str">
        <f t="shared" si="148"/>
        <v>1230011</v>
      </c>
      <c r="D826" s="4" t="s">
        <v>973</v>
      </c>
      <c r="E826" s="4" t="str">
        <f>"1230111"</f>
        <v>1230111</v>
      </c>
      <c r="F826" s="4" t="s">
        <v>327</v>
      </c>
      <c r="G826" s="4" t="s">
        <v>328</v>
      </c>
      <c r="H826" s="7">
        <v>6</v>
      </c>
      <c r="I826" s="4" t="s">
        <v>335</v>
      </c>
      <c r="J826" s="4" t="s">
        <v>330</v>
      </c>
      <c r="K826" s="7">
        <v>394.75178199999999</v>
      </c>
      <c r="L826" s="7">
        <v>450</v>
      </c>
      <c r="M826" s="7">
        <v>87.722617999999997</v>
      </c>
      <c r="N826" s="7">
        <v>1</v>
      </c>
      <c r="O826" s="7">
        <v>0</v>
      </c>
      <c r="P826" s="7">
        <v>76.522161999999994</v>
      </c>
      <c r="Q826" s="7">
        <v>50</v>
      </c>
      <c r="R826" s="7">
        <v>50</v>
      </c>
      <c r="S826" s="4" t="s">
        <v>124</v>
      </c>
      <c r="T826" s="7">
        <v>75</v>
      </c>
      <c r="U826" s="4" t="s">
        <v>124</v>
      </c>
      <c r="V826" s="4" t="s">
        <v>124</v>
      </c>
      <c r="W826" s="7">
        <v>70.923062000000002</v>
      </c>
      <c r="X826" s="7">
        <v>47.282041999999997</v>
      </c>
      <c r="Y826" s="7">
        <v>50</v>
      </c>
      <c r="Z826" s="7">
        <v>75</v>
      </c>
      <c r="AA826" s="4" t="s">
        <v>124</v>
      </c>
      <c r="AB826" s="4" t="s">
        <v>124</v>
      </c>
      <c r="AC826" s="4" t="s">
        <v>124</v>
      </c>
      <c r="AD826" s="4" t="s">
        <v>124</v>
      </c>
      <c r="AE826" s="4" t="s">
        <v>124</v>
      </c>
      <c r="AF826" s="4" t="s">
        <v>124</v>
      </c>
      <c r="AG826" s="4" t="s">
        <v>124</v>
      </c>
      <c r="AH826" s="4" t="s">
        <v>124</v>
      </c>
      <c r="AI826" s="4" t="s">
        <v>124</v>
      </c>
      <c r="AJ826" s="4" t="s">
        <v>124</v>
      </c>
      <c r="AK826" s="4" t="s">
        <v>124</v>
      </c>
      <c r="AL826" s="4" t="s">
        <v>124</v>
      </c>
      <c r="AM826" s="4" t="s">
        <v>124</v>
      </c>
      <c r="AN826" s="7">
        <v>0.67613299999999998</v>
      </c>
      <c r="AO826" s="7">
        <v>67.613259999999997</v>
      </c>
      <c r="AP826" s="7">
        <v>100</v>
      </c>
      <c r="AQ826" s="7">
        <v>0.923126</v>
      </c>
      <c r="AR826" s="7">
        <v>92.312619999999995</v>
      </c>
      <c r="AS826" s="7">
        <v>100</v>
      </c>
      <c r="AT826" s="4" t="s">
        <v>124</v>
      </c>
      <c r="AU826" s="7">
        <v>0.74214899999999995</v>
      </c>
      <c r="AV826" s="4" t="s">
        <v>124</v>
      </c>
      <c r="AW826" s="4" t="s">
        <v>124</v>
      </c>
      <c r="AX826" s="4" t="s">
        <v>124</v>
      </c>
      <c r="AY826" s="7">
        <v>0.99383500000000002</v>
      </c>
      <c r="AZ826" s="4" t="s">
        <v>124</v>
      </c>
      <c r="BA826" s="4" t="s">
        <v>124</v>
      </c>
      <c r="BB826" s="4" t="s">
        <v>124</v>
      </c>
      <c r="BC826" s="4" t="s">
        <v>124</v>
      </c>
      <c r="BD826" s="4" t="s">
        <v>124</v>
      </c>
      <c r="BE826" s="4" t="s">
        <v>124</v>
      </c>
      <c r="BF826" s="4" t="s">
        <v>124</v>
      </c>
      <c r="BG826" s="4" t="s">
        <v>124</v>
      </c>
      <c r="BH826" s="7">
        <v>0</v>
      </c>
      <c r="BI826" s="7">
        <v>0.97872300000000001</v>
      </c>
      <c r="BJ826" s="4" t="s">
        <v>124</v>
      </c>
      <c r="BK826" s="7">
        <v>1</v>
      </c>
      <c r="BL826" s="7">
        <v>0.97872300000000001</v>
      </c>
      <c r="BM826" s="4" t="s">
        <v>124</v>
      </c>
      <c r="BN826" s="7">
        <v>1</v>
      </c>
      <c r="BO826" s="4" t="s">
        <v>124</v>
      </c>
      <c r="BP826" s="4" t="s">
        <v>124</v>
      </c>
      <c r="BQ826" s="4" t="s">
        <v>124</v>
      </c>
      <c r="BR826" s="7">
        <v>3.4091000000000003E-2</v>
      </c>
      <c r="BS826" s="7">
        <v>50</v>
      </c>
      <c r="BT826" s="7">
        <v>50</v>
      </c>
      <c r="BU826" s="7">
        <v>7.8947000000000003E-2</v>
      </c>
      <c r="BV826" s="7">
        <v>44.210526000000002</v>
      </c>
      <c r="BW826" s="7">
        <v>50</v>
      </c>
      <c r="BX826" s="4" t="s">
        <v>124</v>
      </c>
      <c r="BY826" s="4" t="s">
        <v>124</v>
      </c>
      <c r="BZ826" s="4" t="s">
        <v>124</v>
      </c>
      <c r="CA826" s="4" t="s">
        <v>124</v>
      </c>
      <c r="CB826" s="4" t="s">
        <v>124</v>
      </c>
      <c r="CC826" s="4" t="s">
        <v>124</v>
      </c>
      <c r="CD826" s="4" t="s">
        <v>124</v>
      </c>
      <c r="CE826" s="4" t="s">
        <v>124</v>
      </c>
      <c r="CF826" s="4" t="s">
        <v>124</v>
      </c>
      <c r="CG826" s="4" t="s">
        <v>124</v>
      </c>
      <c r="CH826" s="4" t="s">
        <v>124</v>
      </c>
      <c r="CI826" s="4" t="s">
        <v>124</v>
      </c>
      <c r="CJ826" s="4" t="s">
        <v>124</v>
      </c>
      <c r="CK826" s="4" t="s">
        <v>124</v>
      </c>
      <c r="CL826" s="4" t="s">
        <v>124</v>
      </c>
      <c r="CM826" s="4" t="s">
        <v>124</v>
      </c>
      <c r="CN826" s="4" t="s">
        <v>124</v>
      </c>
      <c r="CO826" s="4" t="s">
        <v>124</v>
      </c>
      <c r="CP826" s="4" t="s">
        <v>124</v>
      </c>
      <c r="CQ826" s="7">
        <v>0.65</v>
      </c>
      <c r="CR826" s="7">
        <v>1</v>
      </c>
      <c r="CS826" s="7">
        <v>43.333333000000003</v>
      </c>
      <c r="CT826" s="7">
        <v>50</v>
      </c>
      <c r="CU826" s="4" t="s">
        <v>124</v>
      </c>
      <c r="CV826" s="4" t="s">
        <v>124</v>
      </c>
      <c r="CW826" s="4" t="s">
        <v>124</v>
      </c>
      <c r="CX826" s="4" t="s">
        <v>124</v>
      </c>
      <c r="CY826" s="4" t="s">
        <v>124</v>
      </c>
      <c r="CZ826" s="4" t="s">
        <v>124</v>
      </c>
      <c r="DA826" s="7">
        <v>15.314097</v>
      </c>
      <c r="DB826" s="7">
        <v>17.400950000000002</v>
      </c>
      <c r="DC826" s="7">
        <v>16.332519999999999</v>
      </c>
      <c r="DD826" s="4" t="s">
        <v>124</v>
      </c>
      <c r="DE826" s="7">
        <v>0</v>
      </c>
      <c r="DF826" s="6"/>
      <c r="DG826" s="6"/>
      <c r="DH826" s="4" t="s">
        <v>331</v>
      </c>
      <c r="DI826" s="4" t="s">
        <v>545</v>
      </c>
      <c r="DJ826" s="7">
        <v>1</v>
      </c>
      <c r="DK826" s="7">
        <v>0</v>
      </c>
      <c r="DL826" s="7">
        <v>1</v>
      </c>
      <c r="DM826" s="7">
        <v>0</v>
      </c>
      <c r="DN826" s="7">
        <v>0</v>
      </c>
      <c r="DO826" s="7">
        <v>0</v>
      </c>
      <c r="DP826" s="6"/>
      <c r="DQ826" s="4" t="s">
        <v>125</v>
      </c>
    </row>
    <row r="827" spans="1:121" ht="20" customHeight="1" x14ac:dyDescent="0.15">
      <c r="A827" s="5">
        <v>2018</v>
      </c>
      <c r="B827" s="3" t="s">
        <v>277</v>
      </c>
      <c r="C827" s="4" t="str">
        <f t="shared" si="149"/>
        <v>1240011</v>
      </c>
      <c r="D827" s="4" t="s">
        <v>982</v>
      </c>
      <c r="E827" s="4" t="str">
        <f>"1240111"</f>
        <v>1240111</v>
      </c>
      <c r="F827" s="4" t="s">
        <v>327</v>
      </c>
      <c r="G827" s="4" t="s">
        <v>338</v>
      </c>
      <c r="H827" s="7">
        <v>5</v>
      </c>
      <c r="I827" s="4" t="s">
        <v>329</v>
      </c>
      <c r="J827" s="4" t="s">
        <v>330</v>
      </c>
      <c r="K827" s="7">
        <v>679.996756</v>
      </c>
      <c r="L827" s="7">
        <v>850</v>
      </c>
      <c r="M827" s="7">
        <v>79.999617999999998</v>
      </c>
      <c r="N827" s="7">
        <v>2</v>
      </c>
      <c r="O827" s="7">
        <v>0</v>
      </c>
      <c r="P827" s="7">
        <v>73.994534000000002</v>
      </c>
      <c r="Q827" s="7">
        <v>49.329689000000002</v>
      </c>
      <c r="R827" s="7">
        <v>50</v>
      </c>
      <c r="S827" s="7">
        <v>65.901770999999997</v>
      </c>
      <c r="T827" s="7">
        <v>75</v>
      </c>
      <c r="U827" s="7">
        <v>43.934514</v>
      </c>
      <c r="V827" s="7">
        <v>50</v>
      </c>
      <c r="W827" s="7">
        <v>69.539248000000001</v>
      </c>
      <c r="X827" s="7">
        <v>46.359498000000002</v>
      </c>
      <c r="Y827" s="7">
        <v>50</v>
      </c>
      <c r="Z827" s="7">
        <v>74.530344999999997</v>
      </c>
      <c r="AA827" s="7">
        <v>62.052602</v>
      </c>
      <c r="AB827" s="7">
        <v>41.368400999999999</v>
      </c>
      <c r="AC827" s="7">
        <v>50</v>
      </c>
      <c r="AD827" s="7">
        <v>67.490686999999994</v>
      </c>
      <c r="AE827" s="7">
        <v>44.993791999999999</v>
      </c>
      <c r="AF827" s="7">
        <v>50</v>
      </c>
      <c r="AG827" s="7">
        <v>63.304054000000001</v>
      </c>
      <c r="AH827" s="7">
        <v>70.786547999999996</v>
      </c>
      <c r="AI827" s="7">
        <v>42.202703</v>
      </c>
      <c r="AJ827" s="7">
        <v>50</v>
      </c>
      <c r="AK827" s="7">
        <v>9.09</v>
      </c>
      <c r="AL827" s="7">
        <v>12.47</v>
      </c>
      <c r="AM827" s="7">
        <v>7.48</v>
      </c>
      <c r="AN827" s="7">
        <v>0.65809200000000001</v>
      </c>
      <c r="AO827" s="7">
        <v>65.809218000000001</v>
      </c>
      <c r="AP827" s="7">
        <v>100</v>
      </c>
      <c r="AQ827" s="7">
        <v>0.825098</v>
      </c>
      <c r="AR827" s="7">
        <v>82.509749999999997</v>
      </c>
      <c r="AS827" s="7">
        <v>100</v>
      </c>
      <c r="AT827" s="7">
        <v>0.55022199999999999</v>
      </c>
      <c r="AU827" s="7">
        <v>0.72537799999999997</v>
      </c>
      <c r="AV827" s="7">
        <v>55.022176999999999</v>
      </c>
      <c r="AW827" s="7">
        <v>100</v>
      </c>
      <c r="AX827" s="7">
        <v>0.75180000000000002</v>
      </c>
      <c r="AY827" s="7">
        <v>0.87081799999999998</v>
      </c>
      <c r="AZ827" s="7">
        <v>75.179996000000003</v>
      </c>
      <c r="BA827" s="7">
        <v>100</v>
      </c>
      <c r="BB827" s="4" t="s">
        <v>124</v>
      </c>
      <c r="BC827" s="4" t="s">
        <v>124</v>
      </c>
      <c r="BD827" s="4" t="s">
        <v>124</v>
      </c>
      <c r="BE827" s="4" t="s">
        <v>124</v>
      </c>
      <c r="BF827" s="4" t="s">
        <v>124</v>
      </c>
      <c r="BG827" s="4" t="s">
        <v>124</v>
      </c>
      <c r="BH827" s="7">
        <v>0</v>
      </c>
      <c r="BI827" s="7">
        <v>0.9869</v>
      </c>
      <c r="BJ827" s="7">
        <v>0.97826100000000005</v>
      </c>
      <c r="BK827" s="7">
        <v>0.99270099999999994</v>
      </c>
      <c r="BL827" s="7">
        <v>0.99126599999999998</v>
      </c>
      <c r="BM827" s="7">
        <v>0.98912999999999995</v>
      </c>
      <c r="BN827" s="7">
        <v>0.99270099999999994</v>
      </c>
      <c r="BO827" s="7">
        <v>1</v>
      </c>
      <c r="BP827" s="7">
        <v>1</v>
      </c>
      <c r="BQ827" s="7">
        <v>1</v>
      </c>
      <c r="BR827" s="7">
        <v>6.1224000000000001E-2</v>
      </c>
      <c r="BS827" s="7">
        <v>47.755102000000001</v>
      </c>
      <c r="BT827" s="7">
        <v>50</v>
      </c>
      <c r="BU827" s="7">
        <v>0.12234</v>
      </c>
      <c r="BV827" s="7">
        <v>35.531914999999998</v>
      </c>
      <c r="BW827" s="7">
        <v>50</v>
      </c>
      <c r="BX827" s="4" t="s">
        <v>124</v>
      </c>
      <c r="BY827" s="4" t="s">
        <v>124</v>
      </c>
      <c r="BZ827" s="4" t="s">
        <v>124</v>
      </c>
      <c r="CA827" s="4" t="s">
        <v>124</v>
      </c>
      <c r="CB827" s="4" t="s">
        <v>124</v>
      </c>
      <c r="CC827" s="4" t="s">
        <v>124</v>
      </c>
      <c r="CD827" s="4" t="s">
        <v>124</v>
      </c>
      <c r="CE827" s="4" t="s">
        <v>124</v>
      </c>
      <c r="CF827" s="4" t="s">
        <v>124</v>
      </c>
      <c r="CG827" s="4" t="s">
        <v>124</v>
      </c>
      <c r="CH827" s="4" t="s">
        <v>124</v>
      </c>
      <c r="CI827" s="4" t="s">
        <v>124</v>
      </c>
      <c r="CJ827" s="4" t="s">
        <v>124</v>
      </c>
      <c r="CK827" s="4" t="s">
        <v>124</v>
      </c>
      <c r="CL827" s="4" t="s">
        <v>124</v>
      </c>
      <c r="CM827" s="4" t="s">
        <v>124</v>
      </c>
      <c r="CN827" s="4" t="s">
        <v>124</v>
      </c>
      <c r="CO827" s="4" t="s">
        <v>124</v>
      </c>
      <c r="CP827" s="4" t="s">
        <v>124</v>
      </c>
      <c r="CQ827" s="7">
        <v>0.77011499999999999</v>
      </c>
      <c r="CR827" s="7">
        <v>0.98863599999999996</v>
      </c>
      <c r="CS827" s="7">
        <v>50</v>
      </c>
      <c r="CT827" s="7">
        <v>50</v>
      </c>
      <c r="CU827" s="4" t="s">
        <v>124</v>
      </c>
      <c r="CV827" s="4" t="s">
        <v>124</v>
      </c>
      <c r="CW827" s="4" t="s">
        <v>124</v>
      </c>
      <c r="CX827" s="4" t="s">
        <v>124</v>
      </c>
      <c r="CY827" s="4" t="s">
        <v>124</v>
      </c>
      <c r="CZ827" s="4" t="s">
        <v>124</v>
      </c>
      <c r="DA827" s="7">
        <v>15.314097</v>
      </c>
      <c r="DB827" s="7">
        <v>17.400950000000002</v>
      </c>
      <c r="DC827" s="7">
        <v>16.332519999999999</v>
      </c>
      <c r="DD827" s="4" t="s">
        <v>124</v>
      </c>
      <c r="DE827" s="7">
        <v>0</v>
      </c>
      <c r="DF827" s="6"/>
      <c r="DG827" s="6"/>
      <c r="DH827" s="6"/>
      <c r="DI827" s="6"/>
      <c r="DJ827" s="7">
        <v>0</v>
      </c>
      <c r="DK827" s="7">
        <v>0</v>
      </c>
      <c r="DL827" s="7">
        <v>0</v>
      </c>
      <c r="DM827" s="7">
        <v>0</v>
      </c>
      <c r="DN827" s="7">
        <v>0</v>
      </c>
      <c r="DO827" s="7">
        <v>0</v>
      </c>
      <c r="DP827" s="6"/>
      <c r="DQ827" s="4" t="s">
        <v>125</v>
      </c>
    </row>
    <row r="828" spans="1:121" ht="20" customHeight="1" x14ac:dyDescent="0.15">
      <c r="A828" s="5">
        <v>2018</v>
      </c>
      <c r="B828" s="3" t="s">
        <v>277</v>
      </c>
      <c r="C828" s="4" t="str">
        <f>"1240011"</f>
        <v>1240011</v>
      </c>
      <c r="D828" s="4" t="s">
        <v>983</v>
      </c>
      <c r="E828" s="4" t="str">
        <f>"1240211"</f>
        <v>1240211</v>
      </c>
      <c r="F828" s="4" t="s">
        <v>327</v>
      </c>
      <c r="G828" s="4" t="s">
        <v>328</v>
      </c>
      <c r="H828" s="7">
        <v>5</v>
      </c>
      <c r="I828" s="4" t="s">
        <v>329</v>
      </c>
      <c r="J828" s="4" t="s">
        <v>330</v>
      </c>
      <c r="K828" s="7">
        <v>660.72047299999997</v>
      </c>
      <c r="L828" s="7">
        <v>850</v>
      </c>
      <c r="M828" s="7">
        <v>77.731819999999999</v>
      </c>
      <c r="N828" s="7">
        <v>2</v>
      </c>
      <c r="O828" s="7">
        <v>0</v>
      </c>
      <c r="P828" s="7">
        <v>70.319990000000004</v>
      </c>
      <c r="Q828" s="7">
        <v>46.879994000000003</v>
      </c>
      <c r="R828" s="7">
        <v>50</v>
      </c>
      <c r="S828" s="7">
        <v>63.513764000000002</v>
      </c>
      <c r="T828" s="7">
        <v>75</v>
      </c>
      <c r="U828" s="7">
        <v>42.342509</v>
      </c>
      <c r="V828" s="7">
        <v>50</v>
      </c>
      <c r="W828" s="7">
        <v>66.635677999999999</v>
      </c>
      <c r="X828" s="7">
        <v>44.423785000000002</v>
      </c>
      <c r="Y828" s="7">
        <v>50</v>
      </c>
      <c r="Z828" s="7">
        <v>75</v>
      </c>
      <c r="AA828" s="7">
        <v>58.397444</v>
      </c>
      <c r="AB828" s="7">
        <v>38.931629000000001</v>
      </c>
      <c r="AC828" s="7">
        <v>50</v>
      </c>
      <c r="AD828" s="7">
        <v>65.981020000000001</v>
      </c>
      <c r="AE828" s="7">
        <v>43.987347</v>
      </c>
      <c r="AF828" s="7">
        <v>50</v>
      </c>
      <c r="AG828" s="7">
        <v>59.979154000000001</v>
      </c>
      <c r="AH828" s="7">
        <v>72.896213000000003</v>
      </c>
      <c r="AI828" s="7">
        <v>39.986103</v>
      </c>
      <c r="AJ828" s="7">
        <v>50</v>
      </c>
      <c r="AK828" s="7">
        <v>11.48</v>
      </c>
      <c r="AL828" s="7">
        <v>16.600000000000001</v>
      </c>
      <c r="AM828" s="7">
        <v>12.91</v>
      </c>
      <c r="AN828" s="7">
        <v>0.61960400000000004</v>
      </c>
      <c r="AO828" s="7">
        <v>61.960402000000002</v>
      </c>
      <c r="AP828" s="7">
        <v>100</v>
      </c>
      <c r="AQ828" s="7">
        <v>0.74405200000000005</v>
      </c>
      <c r="AR828" s="7">
        <v>74.405243999999996</v>
      </c>
      <c r="AS828" s="7">
        <v>100</v>
      </c>
      <c r="AT828" s="7">
        <v>0.57289000000000001</v>
      </c>
      <c r="AU828" s="7">
        <v>0.67543299999999995</v>
      </c>
      <c r="AV828" s="7">
        <v>57.288991000000003</v>
      </c>
      <c r="AW828" s="7">
        <v>100</v>
      </c>
      <c r="AX828" s="7">
        <v>0.68763399999999997</v>
      </c>
      <c r="AY828" s="7">
        <v>0.81147899999999995</v>
      </c>
      <c r="AZ828" s="7">
        <v>68.763419999999996</v>
      </c>
      <c r="BA828" s="7">
        <v>100</v>
      </c>
      <c r="BB828" s="4" t="s">
        <v>124</v>
      </c>
      <c r="BC828" s="4" t="s">
        <v>124</v>
      </c>
      <c r="BD828" s="4" t="s">
        <v>124</v>
      </c>
      <c r="BE828" s="4" t="s">
        <v>124</v>
      </c>
      <c r="BF828" s="4" t="s">
        <v>124</v>
      </c>
      <c r="BG828" s="4" t="s">
        <v>124</v>
      </c>
      <c r="BH828" s="7">
        <v>0</v>
      </c>
      <c r="BI828" s="7">
        <v>1</v>
      </c>
      <c r="BJ828" s="7">
        <v>1</v>
      </c>
      <c r="BK828" s="7">
        <v>1</v>
      </c>
      <c r="BL828" s="7">
        <v>1</v>
      </c>
      <c r="BM828" s="7">
        <v>1</v>
      </c>
      <c r="BN828" s="7">
        <v>1</v>
      </c>
      <c r="BO828" s="7">
        <v>1</v>
      </c>
      <c r="BP828" s="7">
        <v>1</v>
      </c>
      <c r="BQ828" s="7">
        <v>1</v>
      </c>
      <c r="BR828" s="7">
        <v>5.7034000000000001E-2</v>
      </c>
      <c r="BS828" s="7">
        <v>48.593156</v>
      </c>
      <c r="BT828" s="7">
        <v>50</v>
      </c>
      <c r="BU828" s="7">
        <v>8.4210999999999994E-2</v>
      </c>
      <c r="BV828" s="7">
        <v>43.157895000000003</v>
      </c>
      <c r="BW828" s="7">
        <v>50</v>
      </c>
      <c r="BX828" s="4" t="s">
        <v>124</v>
      </c>
      <c r="BY828" s="4" t="s">
        <v>124</v>
      </c>
      <c r="BZ828" s="4" t="s">
        <v>124</v>
      </c>
      <c r="CA828" s="4" t="s">
        <v>124</v>
      </c>
      <c r="CB828" s="4" t="s">
        <v>124</v>
      </c>
      <c r="CC828" s="4" t="s">
        <v>124</v>
      </c>
      <c r="CD828" s="4" t="s">
        <v>124</v>
      </c>
      <c r="CE828" s="4" t="s">
        <v>124</v>
      </c>
      <c r="CF828" s="4" t="s">
        <v>124</v>
      </c>
      <c r="CG828" s="4" t="s">
        <v>124</v>
      </c>
      <c r="CH828" s="4" t="s">
        <v>124</v>
      </c>
      <c r="CI828" s="4" t="s">
        <v>124</v>
      </c>
      <c r="CJ828" s="4" t="s">
        <v>124</v>
      </c>
      <c r="CK828" s="4" t="s">
        <v>124</v>
      </c>
      <c r="CL828" s="4" t="s">
        <v>124</v>
      </c>
      <c r="CM828" s="4" t="s">
        <v>124</v>
      </c>
      <c r="CN828" s="4" t="s">
        <v>124</v>
      </c>
      <c r="CO828" s="4" t="s">
        <v>124</v>
      </c>
      <c r="CP828" s="4" t="s">
        <v>124</v>
      </c>
      <c r="CQ828" s="7">
        <v>0.79775300000000005</v>
      </c>
      <c r="CR828" s="7">
        <v>1</v>
      </c>
      <c r="CS828" s="7">
        <v>50</v>
      </c>
      <c r="CT828" s="7">
        <v>50</v>
      </c>
      <c r="CU828" s="4" t="s">
        <v>124</v>
      </c>
      <c r="CV828" s="4" t="s">
        <v>124</v>
      </c>
      <c r="CW828" s="4" t="s">
        <v>124</v>
      </c>
      <c r="CX828" s="4" t="s">
        <v>124</v>
      </c>
      <c r="CY828" s="4" t="s">
        <v>124</v>
      </c>
      <c r="CZ828" s="4" t="s">
        <v>124</v>
      </c>
      <c r="DA828" s="7">
        <v>15.314097</v>
      </c>
      <c r="DB828" s="7">
        <v>17.400950000000002</v>
      </c>
      <c r="DC828" s="7">
        <v>16.332519999999999</v>
      </c>
      <c r="DD828" s="4" t="s">
        <v>124</v>
      </c>
      <c r="DE828" s="7">
        <v>0</v>
      </c>
      <c r="DF828" s="6"/>
      <c r="DG828" s="6"/>
      <c r="DH828" s="6"/>
      <c r="DI828" s="6"/>
      <c r="DJ828" s="7">
        <v>0</v>
      </c>
      <c r="DK828" s="7">
        <v>0</v>
      </c>
      <c r="DL828" s="7">
        <v>0</v>
      </c>
      <c r="DM828" s="7">
        <v>0</v>
      </c>
      <c r="DN828" s="7">
        <v>0</v>
      </c>
      <c r="DO828" s="7">
        <v>0</v>
      </c>
      <c r="DP828" s="6"/>
      <c r="DQ828" s="4" t="s">
        <v>125</v>
      </c>
    </row>
    <row r="829" spans="1:121" ht="20" customHeight="1" x14ac:dyDescent="0.15">
      <c r="A829" s="5">
        <v>2018</v>
      </c>
      <c r="B829" s="3" t="s">
        <v>277</v>
      </c>
      <c r="C829" s="4" t="str">
        <f>"1240011"</f>
        <v>1240011</v>
      </c>
      <c r="D829" s="4" t="s">
        <v>984</v>
      </c>
      <c r="E829" s="4" t="str">
        <f>"1246111"</f>
        <v>1246111</v>
      </c>
      <c r="F829" s="4" t="s">
        <v>327</v>
      </c>
      <c r="G829" s="7">
        <v>9</v>
      </c>
      <c r="H829" s="7">
        <v>12</v>
      </c>
      <c r="I829" s="4" t="s">
        <v>329</v>
      </c>
      <c r="J829" s="4" t="s">
        <v>330</v>
      </c>
      <c r="K829" s="7">
        <v>1056.656309</v>
      </c>
      <c r="L829" s="7">
        <v>1450</v>
      </c>
      <c r="M829" s="7">
        <v>72.872849000000002</v>
      </c>
      <c r="N829" s="7">
        <v>3</v>
      </c>
      <c r="O829" s="7">
        <v>0</v>
      </c>
      <c r="P829" s="7">
        <v>57.2</v>
      </c>
      <c r="Q829" s="7">
        <v>114.4</v>
      </c>
      <c r="R829" s="7">
        <v>150</v>
      </c>
      <c r="S829" s="7">
        <v>47.919539999999998</v>
      </c>
      <c r="T829" s="7">
        <v>62.749141000000002</v>
      </c>
      <c r="U829" s="7">
        <v>95.839079999999996</v>
      </c>
      <c r="V829" s="7">
        <v>150</v>
      </c>
      <c r="W829" s="7">
        <v>53.580644999999997</v>
      </c>
      <c r="X829" s="7">
        <v>107.16128999999999</v>
      </c>
      <c r="Y829" s="7">
        <v>150</v>
      </c>
      <c r="Z829" s="7">
        <v>57.967354</v>
      </c>
      <c r="AA829" s="7">
        <v>46.244253</v>
      </c>
      <c r="AB829" s="7">
        <v>92.488506000000001</v>
      </c>
      <c r="AC829" s="7">
        <v>150</v>
      </c>
      <c r="AD829" s="7">
        <v>53.680667999999997</v>
      </c>
      <c r="AE829" s="7">
        <v>71.574224000000001</v>
      </c>
      <c r="AF829" s="7">
        <v>100</v>
      </c>
      <c r="AG829" s="7">
        <v>45.415385000000001</v>
      </c>
      <c r="AH829" s="7">
        <v>58.367168999999997</v>
      </c>
      <c r="AI829" s="7">
        <v>60.553846</v>
      </c>
      <c r="AJ829" s="7">
        <v>100</v>
      </c>
      <c r="AK829" s="7">
        <v>14.82</v>
      </c>
      <c r="AL829" s="7">
        <v>11.72</v>
      </c>
      <c r="AM829" s="7">
        <v>12.95</v>
      </c>
      <c r="AN829" s="4" t="s">
        <v>124</v>
      </c>
      <c r="AO829" s="4" t="s">
        <v>124</v>
      </c>
      <c r="AP829" s="4" t="s">
        <v>124</v>
      </c>
      <c r="AQ829" s="4" t="s">
        <v>124</v>
      </c>
      <c r="AR829" s="4" t="s">
        <v>124</v>
      </c>
      <c r="AS829" s="4" t="s">
        <v>124</v>
      </c>
      <c r="AT829" s="4" t="s">
        <v>124</v>
      </c>
      <c r="AU829" s="4" t="s">
        <v>124</v>
      </c>
      <c r="AV829" s="4" t="s">
        <v>124</v>
      </c>
      <c r="AW829" s="4" t="s">
        <v>124</v>
      </c>
      <c r="AX829" s="4" t="s">
        <v>124</v>
      </c>
      <c r="AY829" s="4" t="s">
        <v>124</v>
      </c>
      <c r="AZ829" s="4" t="s">
        <v>124</v>
      </c>
      <c r="BA829" s="4" t="s">
        <v>124</v>
      </c>
      <c r="BB829" s="4" t="s">
        <v>124</v>
      </c>
      <c r="BC829" s="4" t="s">
        <v>124</v>
      </c>
      <c r="BD829" s="4" t="s">
        <v>124</v>
      </c>
      <c r="BE829" s="4" t="s">
        <v>124</v>
      </c>
      <c r="BF829" s="4" t="s">
        <v>124</v>
      </c>
      <c r="BG829" s="4" t="s">
        <v>124</v>
      </c>
      <c r="BH829" s="7">
        <v>1</v>
      </c>
      <c r="BI829" s="7">
        <v>0.98765400000000003</v>
      </c>
      <c r="BJ829" s="7">
        <v>0.96875</v>
      </c>
      <c r="BK829" s="7">
        <v>1</v>
      </c>
      <c r="BL829" s="7">
        <v>0.98765400000000003</v>
      </c>
      <c r="BM829" s="7">
        <v>0.96875</v>
      </c>
      <c r="BN829" s="7">
        <v>1</v>
      </c>
      <c r="BO829" s="7">
        <v>0.969136</v>
      </c>
      <c r="BP829" s="7">
        <v>0.921875</v>
      </c>
      <c r="BQ829" s="7">
        <v>1</v>
      </c>
      <c r="BR829" s="7">
        <v>0.21179999999999999</v>
      </c>
      <c r="BS829" s="7">
        <v>17.639938999999998</v>
      </c>
      <c r="BT829" s="7">
        <v>50</v>
      </c>
      <c r="BU829" s="7">
        <v>0.30249100000000001</v>
      </c>
      <c r="BV829" s="7">
        <v>0</v>
      </c>
      <c r="BW829" s="7">
        <v>50</v>
      </c>
      <c r="BX829" s="7">
        <v>0.80538900000000002</v>
      </c>
      <c r="BY829" s="7">
        <v>50</v>
      </c>
      <c r="BZ829" s="7">
        <v>50</v>
      </c>
      <c r="CA829" s="7">
        <v>0.404192</v>
      </c>
      <c r="CB829" s="7">
        <v>26.946107999999999</v>
      </c>
      <c r="CC829" s="7">
        <v>50</v>
      </c>
      <c r="CD829" s="7">
        <v>0.97385600000000005</v>
      </c>
      <c r="CE829" s="7">
        <v>50</v>
      </c>
      <c r="CF829" s="7">
        <v>50</v>
      </c>
      <c r="CG829" s="7">
        <v>0.94267500000000004</v>
      </c>
      <c r="CH829" s="7">
        <v>100</v>
      </c>
      <c r="CI829" s="7">
        <v>100</v>
      </c>
      <c r="CJ829" s="7">
        <v>0</v>
      </c>
      <c r="CK829" s="7">
        <v>0.95</v>
      </c>
      <c r="CL829" s="7">
        <v>100</v>
      </c>
      <c r="CM829" s="7">
        <v>100</v>
      </c>
      <c r="CN829" s="7">
        <v>0.74834400000000001</v>
      </c>
      <c r="CO829" s="7">
        <v>99.779248999999993</v>
      </c>
      <c r="CP829" s="7">
        <v>100</v>
      </c>
      <c r="CQ829" s="7">
        <v>0.61805600000000005</v>
      </c>
      <c r="CR829" s="7">
        <v>0.82758600000000004</v>
      </c>
      <c r="CS829" s="7">
        <v>20.601852000000001</v>
      </c>
      <c r="CT829" s="7">
        <v>50</v>
      </c>
      <c r="CU829" s="7">
        <v>0.59606700000000001</v>
      </c>
      <c r="CV829" s="7">
        <v>49.672213999999997</v>
      </c>
      <c r="CW829" s="7">
        <v>50</v>
      </c>
      <c r="CX829" s="7">
        <v>0.95</v>
      </c>
      <c r="CY829" s="7">
        <v>0.94</v>
      </c>
      <c r="CZ829" s="7">
        <v>-0.01</v>
      </c>
      <c r="DA829" s="7">
        <v>15.314097</v>
      </c>
      <c r="DB829" s="7">
        <v>17.400950000000002</v>
      </c>
      <c r="DC829" s="7">
        <v>16.332519999999999</v>
      </c>
      <c r="DD829" s="7">
        <v>7.9891730000000001</v>
      </c>
      <c r="DE829" s="7">
        <v>1</v>
      </c>
      <c r="DF829" s="6"/>
      <c r="DG829" s="6"/>
      <c r="DH829" s="6"/>
      <c r="DI829" s="6"/>
      <c r="DJ829" s="7">
        <v>0</v>
      </c>
      <c r="DK829" s="7">
        <v>0</v>
      </c>
      <c r="DL829" s="7">
        <v>0</v>
      </c>
      <c r="DM829" s="7">
        <v>0</v>
      </c>
      <c r="DN829" s="7">
        <v>0</v>
      </c>
      <c r="DO829" s="7">
        <v>0</v>
      </c>
      <c r="DP829" s="6"/>
      <c r="DQ829" s="4" t="s">
        <v>125</v>
      </c>
    </row>
    <row r="830" spans="1:121" ht="20" customHeight="1" x14ac:dyDescent="0.15">
      <c r="A830" s="5">
        <v>2018</v>
      </c>
      <c r="B830" s="3" t="s">
        <v>277</v>
      </c>
      <c r="C830" s="4" t="str">
        <f>"1240011"</f>
        <v>1240011</v>
      </c>
      <c r="D830" s="4" t="s">
        <v>985</v>
      </c>
      <c r="E830" s="4" t="str">
        <f>"1245111"</f>
        <v>1245111</v>
      </c>
      <c r="F830" s="4" t="s">
        <v>327</v>
      </c>
      <c r="G830" s="7">
        <v>6</v>
      </c>
      <c r="H830" s="7">
        <v>8</v>
      </c>
      <c r="I830" s="4" t="s">
        <v>329</v>
      </c>
      <c r="J830" s="4" t="s">
        <v>330</v>
      </c>
      <c r="K830" s="7">
        <v>599.90883499999995</v>
      </c>
      <c r="L830" s="7">
        <v>900</v>
      </c>
      <c r="M830" s="7">
        <v>66.656537</v>
      </c>
      <c r="N830" s="7">
        <v>3</v>
      </c>
      <c r="O830" s="7">
        <v>1</v>
      </c>
      <c r="P830" s="7">
        <v>65.790763999999996</v>
      </c>
      <c r="Q830" s="7">
        <v>43.860509999999998</v>
      </c>
      <c r="R830" s="7">
        <v>50</v>
      </c>
      <c r="S830" s="7">
        <v>57.193232999999999</v>
      </c>
      <c r="T830" s="7">
        <v>72.741960000000006</v>
      </c>
      <c r="U830" s="7">
        <v>38.128822</v>
      </c>
      <c r="V830" s="7">
        <v>50</v>
      </c>
      <c r="W830" s="7">
        <v>63.950648000000001</v>
      </c>
      <c r="X830" s="7">
        <v>42.633764999999997</v>
      </c>
      <c r="Y830" s="7">
        <v>50</v>
      </c>
      <c r="Z830" s="7">
        <v>71.521237999999997</v>
      </c>
      <c r="AA830" s="7">
        <v>54.545774000000002</v>
      </c>
      <c r="AB830" s="7">
        <v>36.363849000000002</v>
      </c>
      <c r="AC830" s="7">
        <v>50</v>
      </c>
      <c r="AD830" s="7">
        <v>68.805549999999997</v>
      </c>
      <c r="AE830" s="7">
        <v>45.870367000000002</v>
      </c>
      <c r="AF830" s="7">
        <v>50</v>
      </c>
      <c r="AG830" s="7">
        <v>59.536135999999999</v>
      </c>
      <c r="AH830" s="7">
        <v>75</v>
      </c>
      <c r="AI830" s="7">
        <v>39.690756999999998</v>
      </c>
      <c r="AJ830" s="7">
        <v>50</v>
      </c>
      <c r="AK830" s="7">
        <v>15.54</v>
      </c>
      <c r="AL830" s="7">
        <v>16.97</v>
      </c>
      <c r="AM830" s="7">
        <v>15.46</v>
      </c>
      <c r="AN830" s="7">
        <v>0.49373400000000001</v>
      </c>
      <c r="AO830" s="7">
        <v>49.373412999999999</v>
      </c>
      <c r="AP830" s="7">
        <v>100</v>
      </c>
      <c r="AQ830" s="7">
        <v>0.52651599999999998</v>
      </c>
      <c r="AR830" s="7">
        <v>52.651648999999999</v>
      </c>
      <c r="AS830" s="7">
        <v>100</v>
      </c>
      <c r="AT830" s="7">
        <v>0.44814500000000002</v>
      </c>
      <c r="AU830" s="7">
        <v>0.52607199999999998</v>
      </c>
      <c r="AV830" s="7">
        <v>44.814546999999997</v>
      </c>
      <c r="AW830" s="7">
        <v>100</v>
      </c>
      <c r="AX830" s="7">
        <v>0.47203899999999999</v>
      </c>
      <c r="AY830" s="7">
        <v>0.564971</v>
      </c>
      <c r="AZ830" s="7">
        <v>47.203932000000002</v>
      </c>
      <c r="BA830" s="7">
        <v>100</v>
      </c>
      <c r="BB830" s="4" t="s">
        <v>124</v>
      </c>
      <c r="BC830" s="4" t="s">
        <v>124</v>
      </c>
      <c r="BD830" s="4" t="s">
        <v>124</v>
      </c>
      <c r="BE830" s="4" t="s">
        <v>124</v>
      </c>
      <c r="BF830" s="4" t="s">
        <v>124</v>
      </c>
      <c r="BG830" s="4" t="s">
        <v>124</v>
      </c>
      <c r="BH830" s="7">
        <v>0</v>
      </c>
      <c r="BI830" s="7">
        <v>0.99621199999999999</v>
      </c>
      <c r="BJ830" s="7">
        <v>1</v>
      </c>
      <c r="BK830" s="7">
        <v>0.993031</v>
      </c>
      <c r="BL830" s="7">
        <v>0.99431800000000004</v>
      </c>
      <c r="BM830" s="7">
        <v>0.99585100000000004</v>
      </c>
      <c r="BN830" s="7">
        <v>0.993031</v>
      </c>
      <c r="BO830" s="7">
        <v>1</v>
      </c>
      <c r="BP830" s="7">
        <v>1</v>
      </c>
      <c r="BQ830" s="7">
        <v>1</v>
      </c>
      <c r="BR830" s="7">
        <v>7.9545000000000005E-2</v>
      </c>
      <c r="BS830" s="7">
        <v>44.090909000000003</v>
      </c>
      <c r="BT830" s="7">
        <v>50</v>
      </c>
      <c r="BU830" s="7">
        <v>0.15189900000000001</v>
      </c>
      <c r="BV830" s="7">
        <v>29.620253000000002</v>
      </c>
      <c r="BW830" s="7">
        <v>50</v>
      </c>
      <c r="BX830" s="4" t="s">
        <v>124</v>
      </c>
      <c r="BY830" s="4" t="s">
        <v>124</v>
      </c>
      <c r="BZ830" s="4" t="s">
        <v>124</v>
      </c>
      <c r="CA830" s="4" t="s">
        <v>124</v>
      </c>
      <c r="CB830" s="4" t="s">
        <v>124</v>
      </c>
      <c r="CC830" s="4" t="s">
        <v>124</v>
      </c>
      <c r="CD830" s="7">
        <v>0.97660800000000003</v>
      </c>
      <c r="CE830" s="7">
        <v>50</v>
      </c>
      <c r="CF830" s="7">
        <v>50</v>
      </c>
      <c r="CG830" s="4" t="s">
        <v>124</v>
      </c>
      <c r="CH830" s="4" t="s">
        <v>124</v>
      </c>
      <c r="CI830" s="4" t="s">
        <v>124</v>
      </c>
      <c r="CJ830" s="4" t="s">
        <v>124</v>
      </c>
      <c r="CK830" s="4" t="s">
        <v>124</v>
      </c>
      <c r="CL830" s="4" t="s">
        <v>124</v>
      </c>
      <c r="CM830" s="4" t="s">
        <v>124</v>
      </c>
      <c r="CN830" s="4" t="s">
        <v>124</v>
      </c>
      <c r="CO830" s="4" t="s">
        <v>124</v>
      </c>
      <c r="CP830" s="4" t="s">
        <v>124</v>
      </c>
      <c r="CQ830" s="7">
        <v>0.53409099999999998</v>
      </c>
      <c r="CR830" s="7">
        <v>0.96174899999999997</v>
      </c>
      <c r="CS830" s="7">
        <v>35.606060999999997</v>
      </c>
      <c r="CT830" s="7">
        <v>50</v>
      </c>
      <c r="CU830" s="4" t="s">
        <v>124</v>
      </c>
      <c r="CV830" s="4" t="s">
        <v>124</v>
      </c>
      <c r="CW830" s="4" t="s">
        <v>124</v>
      </c>
      <c r="CX830" s="4" t="s">
        <v>124</v>
      </c>
      <c r="CY830" s="4" t="s">
        <v>124</v>
      </c>
      <c r="CZ830" s="4" t="s">
        <v>124</v>
      </c>
      <c r="DA830" s="7">
        <v>15.314097</v>
      </c>
      <c r="DB830" s="7">
        <v>17.400950000000002</v>
      </c>
      <c r="DC830" s="7">
        <v>16.332519999999999</v>
      </c>
      <c r="DD830" s="4" t="s">
        <v>124</v>
      </c>
      <c r="DE830" s="7">
        <v>1</v>
      </c>
      <c r="DF830" s="6"/>
      <c r="DG830" s="6"/>
      <c r="DH830" s="6"/>
      <c r="DI830" s="6"/>
      <c r="DJ830" s="7">
        <v>0</v>
      </c>
      <c r="DK830" s="7">
        <v>0</v>
      </c>
      <c r="DL830" s="7">
        <v>0</v>
      </c>
      <c r="DM830" s="7">
        <v>0</v>
      </c>
      <c r="DN830" s="7">
        <v>0</v>
      </c>
      <c r="DO830" s="7">
        <v>0</v>
      </c>
      <c r="DP830" s="6"/>
      <c r="DQ830" s="4" t="s">
        <v>125</v>
      </c>
    </row>
    <row r="831" spans="1:121" ht="20" customHeight="1" x14ac:dyDescent="0.15">
      <c r="A831" s="5">
        <v>2018</v>
      </c>
      <c r="B831" s="3" t="s">
        <v>278</v>
      </c>
      <c r="C831" s="4" t="str">
        <f t="shared" si="150"/>
        <v>1250011</v>
      </c>
      <c r="D831" s="4" t="s">
        <v>986</v>
      </c>
      <c r="E831" s="4" t="str">
        <f>"1250111"</f>
        <v>1250111</v>
      </c>
      <c r="F831" s="4" t="s">
        <v>327</v>
      </c>
      <c r="G831" s="4" t="s">
        <v>328</v>
      </c>
      <c r="H831" s="7">
        <v>8</v>
      </c>
      <c r="I831" s="4" t="s">
        <v>329</v>
      </c>
      <c r="J831" s="4" t="s">
        <v>330</v>
      </c>
      <c r="K831" s="7">
        <v>674.75871700000005</v>
      </c>
      <c r="L831" s="7">
        <v>800</v>
      </c>
      <c r="M831" s="7">
        <v>84.344840000000005</v>
      </c>
      <c r="N831" s="7">
        <v>2</v>
      </c>
      <c r="O831" s="7">
        <v>0</v>
      </c>
      <c r="P831" s="7">
        <v>75.064696999999995</v>
      </c>
      <c r="Q831" s="7">
        <v>50</v>
      </c>
      <c r="R831" s="7">
        <v>50</v>
      </c>
      <c r="S831" s="7">
        <v>66.677358999999996</v>
      </c>
      <c r="T831" s="7">
        <v>75</v>
      </c>
      <c r="U831" s="7">
        <v>44.451573000000003</v>
      </c>
      <c r="V831" s="7">
        <v>50</v>
      </c>
      <c r="W831" s="7">
        <v>66.759618000000003</v>
      </c>
      <c r="X831" s="7">
        <v>44.506411999999997</v>
      </c>
      <c r="Y831" s="7">
        <v>50</v>
      </c>
      <c r="Z831" s="7">
        <v>72.569918000000001</v>
      </c>
      <c r="AA831" s="7">
        <v>60.792282999999998</v>
      </c>
      <c r="AB831" s="7">
        <v>40.528188</v>
      </c>
      <c r="AC831" s="7">
        <v>50</v>
      </c>
      <c r="AD831" s="7">
        <v>76.404359999999997</v>
      </c>
      <c r="AE831" s="7">
        <v>50</v>
      </c>
      <c r="AF831" s="7">
        <v>50</v>
      </c>
      <c r="AG831" s="4" t="s">
        <v>124</v>
      </c>
      <c r="AH831" s="4" t="s">
        <v>124</v>
      </c>
      <c r="AI831" s="4" t="s">
        <v>124</v>
      </c>
      <c r="AJ831" s="4" t="s">
        <v>124</v>
      </c>
      <c r="AK831" s="7">
        <v>8.32</v>
      </c>
      <c r="AL831" s="7">
        <v>11.77</v>
      </c>
      <c r="AM831" s="4" t="s">
        <v>124</v>
      </c>
      <c r="AN831" s="7">
        <v>0.789744</v>
      </c>
      <c r="AO831" s="7">
        <v>78.974383000000003</v>
      </c>
      <c r="AP831" s="7">
        <v>100</v>
      </c>
      <c r="AQ831" s="7">
        <v>0.75256299999999998</v>
      </c>
      <c r="AR831" s="7">
        <v>75.256260999999995</v>
      </c>
      <c r="AS831" s="7">
        <v>100</v>
      </c>
      <c r="AT831" s="7">
        <v>0.66395199999999999</v>
      </c>
      <c r="AU831" s="7">
        <v>0.90410000000000001</v>
      </c>
      <c r="AV831" s="7">
        <v>66.395182000000005</v>
      </c>
      <c r="AW831" s="7">
        <v>100</v>
      </c>
      <c r="AX831" s="7">
        <v>0.82715099999999997</v>
      </c>
      <c r="AY831" s="7">
        <v>0.691137</v>
      </c>
      <c r="AZ831" s="7">
        <v>82.715123000000006</v>
      </c>
      <c r="BA831" s="7">
        <v>100</v>
      </c>
      <c r="BB831" s="4" t="s">
        <v>124</v>
      </c>
      <c r="BC831" s="4" t="s">
        <v>124</v>
      </c>
      <c r="BD831" s="4" t="s">
        <v>124</v>
      </c>
      <c r="BE831" s="4" t="s">
        <v>124</v>
      </c>
      <c r="BF831" s="4" t="s">
        <v>124</v>
      </c>
      <c r="BG831" s="4" t="s">
        <v>124</v>
      </c>
      <c r="BH831" s="7">
        <v>0</v>
      </c>
      <c r="BI831" s="7">
        <v>0.98750000000000004</v>
      </c>
      <c r="BJ831" s="7">
        <v>1</v>
      </c>
      <c r="BK831" s="7">
        <v>0.97499999999999998</v>
      </c>
      <c r="BL831" s="7">
        <v>0.98750000000000004</v>
      </c>
      <c r="BM831" s="7">
        <v>0.97499999999999998</v>
      </c>
      <c r="BN831" s="7">
        <v>1</v>
      </c>
      <c r="BO831" s="7">
        <v>0.96296300000000001</v>
      </c>
      <c r="BP831" s="4" t="s">
        <v>124</v>
      </c>
      <c r="BQ831" s="4" t="s">
        <v>124</v>
      </c>
      <c r="BR831" s="7">
        <v>5.1723999999999999E-2</v>
      </c>
      <c r="BS831" s="7">
        <v>49.655172</v>
      </c>
      <c r="BT831" s="7">
        <v>50</v>
      </c>
      <c r="BU831" s="7">
        <v>4.9180000000000001E-2</v>
      </c>
      <c r="BV831" s="7">
        <v>50</v>
      </c>
      <c r="BW831" s="7">
        <v>50</v>
      </c>
      <c r="BX831" s="4" t="s">
        <v>124</v>
      </c>
      <c r="BY831" s="4" t="s">
        <v>124</v>
      </c>
      <c r="BZ831" s="4" t="s">
        <v>124</v>
      </c>
      <c r="CA831" s="4" t="s">
        <v>124</v>
      </c>
      <c r="CB831" s="4" t="s">
        <v>124</v>
      </c>
      <c r="CC831" s="4" t="s">
        <v>124</v>
      </c>
      <c r="CD831" s="4" t="s">
        <v>124</v>
      </c>
      <c r="CE831" s="4" t="s">
        <v>124</v>
      </c>
      <c r="CF831" s="4" t="s">
        <v>124</v>
      </c>
      <c r="CG831" s="4" t="s">
        <v>124</v>
      </c>
      <c r="CH831" s="4" t="s">
        <v>124</v>
      </c>
      <c r="CI831" s="4" t="s">
        <v>124</v>
      </c>
      <c r="CJ831" s="4" t="s">
        <v>124</v>
      </c>
      <c r="CK831" s="4" t="s">
        <v>124</v>
      </c>
      <c r="CL831" s="4" t="s">
        <v>124</v>
      </c>
      <c r="CM831" s="4" t="s">
        <v>124</v>
      </c>
      <c r="CN831" s="4" t="s">
        <v>124</v>
      </c>
      <c r="CO831" s="4" t="s">
        <v>124</v>
      </c>
      <c r="CP831" s="4" t="s">
        <v>124</v>
      </c>
      <c r="CQ831" s="7">
        <v>0.63414599999999999</v>
      </c>
      <c r="CR831" s="7">
        <v>0.911111</v>
      </c>
      <c r="CS831" s="7">
        <v>42.276423000000001</v>
      </c>
      <c r="CT831" s="7">
        <v>50</v>
      </c>
      <c r="CU831" s="4" t="s">
        <v>124</v>
      </c>
      <c r="CV831" s="4" t="s">
        <v>124</v>
      </c>
      <c r="CW831" s="4" t="s">
        <v>124</v>
      </c>
      <c r="CX831" s="4" t="s">
        <v>124</v>
      </c>
      <c r="CY831" s="4" t="s">
        <v>124</v>
      </c>
      <c r="CZ831" s="4" t="s">
        <v>124</v>
      </c>
      <c r="DA831" s="7">
        <v>15.314097</v>
      </c>
      <c r="DB831" s="7">
        <v>17.400950000000002</v>
      </c>
      <c r="DC831" s="7">
        <v>16.332519999999999</v>
      </c>
      <c r="DD831" s="4" t="s">
        <v>124</v>
      </c>
      <c r="DE831" s="7">
        <v>0</v>
      </c>
      <c r="DF831" s="6"/>
      <c r="DG831" s="6"/>
      <c r="DH831" s="6"/>
      <c r="DI831" s="6"/>
      <c r="DJ831" s="7">
        <v>0</v>
      </c>
      <c r="DK831" s="7">
        <v>0</v>
      </c>
      <c r="DL831" s="7">
        <v>0</v>
      </c>
      <c r="DM831" s="7">
        <v>0</v>
      </c>
      <c r="DN831" s="7">
        <v>0</v>
      </c>
      <c r="DO831" s="7">
        <v>0</v>
      </c>
      <c r="DP831" s="6"/>
      <c r="DQ831" s="4" t="s">
        <v>125</v>
      </c>
    </row>
    <row r="832" spans="1:121" ht="20" customHeight="1" x14ac:dyDescent="0.15">
      <c r="A832" s="5">
        <v>2018</v>
      </c>
      <c r="B832" s="3" t="s">
        <v>279</v>
      </c>
      <c r="C832" s="4" t="str">
        <f t="shared" si="151"/>
        <v>1260011</v>
      </c>
      <c r="D832" s="4" t="s">
        <v>987</v>
      </c>
      <c r="E832" s="4" t="str">
        <f>"1261011"</f>
        <v>1261011</v>
      </c>
      <c r="F832" s="4" t="s">
        <v>327</v>
      </c>
      <c r="G832" s="4" t="s">
        <v>338</v>
      </c>
      <c r="H832" s="7">
        <v>4</v>
      </c>
      <c r="I832" s="6"/>
      <c r="J832" s="4" t="s">
        <v>330</v>
      </c>
      <c r="K832" s="7">
        <v>631.35210400000005</v>
      </c>
      <c r="L832" s="7">
        <v>850</v>
      </c>
      <c r="M832" s="7">
        <v>74.276718000000002</v>
      </c>
      <c r="N832" s="7">
        <v>2</v>
      </c>
      <c r="O832" s="7">
        <v>0</v>
      </c>
      <c r="P832" s="7">
        <v>80.231294000000005</v>
      </c>
      <c r="Q832" s="7">
        <v>50</v>
      </c>
      <c r="R832" s="7">
        <v>50</v>
      </c>
      <c r="S832" s="7">
        <v>71.380654000000007</v>
      </c>
      <c r="T832" s="7">
        <v>75</v>
      </c>
      <c r="U832" s="7">
        <v>47.587102999999999</v>
      </c>
      <c r="V832" s="7">
        <v>50</v>
      </c>
      <c r="W832" s="7">
        <v>76.453450000000004</v>
      </c>
      <c r="X832" s="7">
        <v>50</v>
      </c>
      <c r="Y832" s="7">
        <v>50</v>
      </c>
      <c r="Z832" s="7">
        <v>75</v>
      </c>
      <c r="AA832" s="7">
        <v>66.568544000000003</v>
      </c>
      <c r="AB832" s="7">
        <v>44.379029000000003</v>
      </c>
      <c r="AC832" s="7">
        <v>50</v>
      </c>
      <c r="AD832" s="4" t="s">
        <v>124</v>
      </c>
      <c r="AE832" s="4" t="s">
        <v>124</v>
      </c>
      <c r="AF832" s="4" t="s">
        <v>124</v>
      </c>
      <c r="AG832" s="4" t="s">
        <v>124</v>
      </c>
      <c r="AH832" s="4" t="s">
        <v>124</v>
      </c>
      <c r="AI832" s="4" t="s">
        <v>124</v>
      </c>
      <c r="AJ832" s="4" t="s">
        <v>124</v>
      </c>
      <c r="AK832" s="7">
        <v>3.61</v>
      </c>
      <c r="AL832" s="7">
        <v>8.43</v>
      </c>
      <c r="AM832" s="4" t="s">
        <v>124</v>
      </c>
      <c r="AN832" s="7">
        <v>0.62389799999999995</v>
      </c>
      <c r="AO832" s="7">
        <v>62.389772000000001</v>
      </c>
      <c r="AP832" s="7">
        <v>100</v>
      </c>
      <c r="AQ832" s="7">
        <v>0.76422900000000005</v>
      </c>
      <c r="AR832" s="7">
        <v>76.422926000000004</v>
      </c>
      <c r="AS832" s="7">
        <v>100</v>
      </c>
      <c r="AT832" s="7">
        <v>0.40995500000000001</v>
      </c>
      <c r="AU832" s="7">
        <v>0.70647199999999999</v>
      </c>
      <c r="AV832" s="7">
        <v>40.995538000000003</v>
      </c>
      <c r="AW832" s="7">
        <v>100</v>
      </c>
      <c r="AX832" s="7">
        <v>0.61293900000000001</v>
      </c>
      <c r="AY832" s="7">
        <v>0.82262199999999996</v>
      </c>
      <c r="AZ832" s="7">
        <v>61.293939000000002</v>
      </c>
      <c r="BA832" s="7">
        <v>100</v>
      </c>
      <c r="BB832" s="7">
        <v>0.682558</v>
      </c>
      <c r="BC832" s="7">
        <v>34.127907</v>
      </c>
      <c r="BD832" s="7">
        <v>50</v>
      </c>
      <c r="BE832" s="7">
        <v>0.53901399999999999</v>
      </c>
      <c r="BF832" s="7">
        <v>26.950707000000001</v>
      </c>
      <c r="BG832" s="7">
        <v>50</v>
      </c>
      <c r="BH832" s="7">
        <v>0</v>
      </c>
      <c r="BI832" s="7">
        <v>1</v>
      </c>
      <c r="BJ832" s="7">
        <v>1</v>
      </c>
      <c r="BK832" s="7">
        <v>1</v>
      </c>
      <c r="BL832" s="7">
        <v>1</v>
      </c>
      <c r="BM832" s="7">
        <v>1</v>
      </c>
      <c r="BN832" s="7">
        <v>1</v>
      </c>
      <c r="BO832" s="4" t="s">
        <v>124</v>
      </c>
      <c r="BP832" s="4" t="s">
        <v>124</v>
      </c>
      <c r="BQ832" s="4" t="s">
        <v>124</v>
      </c>
      <c r="BR832" s="7">
        <v>5.2786E-2</v>
      </c>
      <c r="BS832" s="7">
        <v>49.442815000000003</v>
      </c>
      <c r="BT832" s="7">
        <v>50</v>
      </c>
      <c r="BU832" s="7">
        <v>8.7378999999999998E-2</v>
      </c>
      <c r="BV832" s="7">
        <v>42.524272000000003</v>
      </c>
      <c r="BW832" s="7">
        <v>50</v>
      </c>
      <c r="BX832" s="4" t="s">
        <v>124</v>
      </c>
      <c r="BY832" s="4" t="s">
        <v>124</v>
      </c>
      <c r="BZ832" s="4" t="s">
        <v>124</v>
      </c>
      <c r="CA832" s="4" t="s">
        <v>124</v>
      </c>
      <c r="CB832" s="4" t="s">
        <v>124</v>
      </c>
      <c r="CC832" s="4" t="s">
        <v>124</v>
      </c>
      <c r="CD832" s="4" t="s">
        <v>124</v>
      </c>
      <c r="CE832" s="4" t="s">
        <v>124</v>
      </c>
      <c r="CF832" s="4" t="s">
        <v>124</v>
      </c>
      <c r="CG832" s="4" t="s">
        <v>124</v>
      </c>
      <c r="CH832" s="4" t="s">
        <v>124</v>
      </c>
      <c r="CI832" s="4" t="s">
        <v>124</v>
      </c>
      <c r="CJ832" s="4" t="s">
        <v>124</v>
      </c>
      <c r="CK832" s="4" t="s">
        <v>124</v>
      </c>
      <c r="CL832" s="4" t="s">
        <v>124</v>
      </c>
      <c r="CM832" s="4" t="s">
        <v>124</v>
      </c>
      <c r="CN832" s="4" t="s">
        <v>124</v>
      </c>
      <c r="CO832" s="4" t="s">
        <v>124</v>
      </c>
      <c r="CP832" s="4" t="s">
        <v>124</v>
      </c>
      <c r="CQ832" s="7">
        <v>0.67857100000000004</v>
      </c>
      <c r="CR832" s="7">
        <v>1.037037</v>
      </c>
      <c r="CS832" s="7">
        <v>45.238095000000001</v>
      </c>
      <c r="CT832" s="7">
        <v>50</v>
      </c>
      <c r="CU832" s="4" t="s">
        <v>124</v>
      </c>
      <c r="CV832" s="4" t="s">
        <v>124</v>
      </c>
      <c r="CW832" s="4" t="s">
        <v>124</v>
      </c>
      <c r="CX832" s="4" t="s">
        <v>124</v>
      </c>
      <c r="CY832" s="4" t="s">
        <v>124</v>
      </c>
      <c r="CZ832" s="4" t="s">
        <v>124</v>
      </c>
      <c r="DA832" s="7">
        <v>15.314097</v>
      </c>
      <c r="DB832" s="7">
        <v>17.400950000000002</v>
      </c>
      <c r="DC832" s="7">
        <v>16.332519999999999</v>
      </c>
      <c r="DD832" s="4" t="s">
        <v>124</v>
      </c>
      <c r="DE832" s="7">
        <v>0</v>
      </c>
      <c r="DF832" s="6"/>
      <c r="DG832" s="6"/>
      <c r="DH832" s="6"/>
      <c r="DI832" s="6"/>
      <c r="DJ832" s="7">
        <v>0</v>
      </c>
      <c r="DK832" s="7">
        <v>0</v>
      </c>
      <c r="DL832" s="7">
        <v>0</v>
      </c>
      <c r="DM832" s="7">
        <v>0</v>
      </c>
      <c r="DN832" s="7">
        <v>0</v>
      </c>
      <c r="DO832" s="7">
        <v>0</v>
      </c>
      <c r="DP832" s="6"/>
      <c r="DQ832" s="4" t="s">
        <v>125</v>
      </c>
    </row>
    <row r="833" spans="1:121" ht="20" customHeight="1" x14ac:dyDescent="0.15">
      <c r="A833" s="5">
        <v>2018</v>
      </c>
      <c r="B833" s="3" t="s">
        <v>279</v>
      </c>
      <c r="C833" s="4" t="str">
        <f>"1260011"</f>
        <v>1260011</v>
      </c>
      <c r="D833" s="4" t="s">
        <v>988</v>
      </c>
      <c r="E833" s="4" t="str">
        <f>"1260511"</f>
        <v>1260511</v>
      </c>
      <c r="F833" s="4" t="s">
        <v>327</v>
      </c>
      <c r="G833" s="4" t="s">
        <v>338</v>
      </c>
      <c r="H833" s="7">
        <v>4</v>
      </c>
      <c r="I833" s="6"/>
      <c r="J833" s="4" t="s">
        <v>330</v>
      </c>
      <c r="K833" s="7">
        <v>638.49187900000004</v>
      </c>
      <c r="L833" s="7">
        <v>850</v>
      </c>
      <c r="M833" s="7">
        <v>75.116692</v>
      </c>
      <c r="N833" s="7">
        <v>2</v>
      </c>
      <c r="O833" s="7">
        <v>0</v>
      </c>
      <c r="P833" s="7">
        <v>77.152495000000002</v>
      </c>
      <c r="Q833" s="7">
        <v>50</v>
      </c>
      <c r="R833" s="7">
        <v>50</v>
      </c>
      <c r="S833" s="7">
        <v>67.863664</v>
      </c>
      <c r="T833" s="7">
        <v>75</v>
      </c>
      <c r="U833" s="7">
        <v>45.242443000000002</v>
      </c>
      <c r="V833" s="7">
        <v>50</v>
      </c>
      <c r="W833" s="7">
        <v>70.895314999999997</v>
      </c>
      <c r="X833" s="7">
        <v>47.263542999999999</v>
      </c>
      <c r="Y833" s="7">
        <v>50</v>
      </c>
      <c r="Z833" s="7">
        <v>75</v>
      </c>
      <c r="AA833" s="7">
        <v>59.988947000000003</v>
      </c>
      <c r="AB833" s="7">
        <v>39.992631000000003</v>
      </c>
      <c r="AC833" s="7">
        <v>50</v>
      </c>
      <c r="AD833" s="4" t="s">
        <v>124</v>
      </c>
      <c r="AE833" s="4" t="s">
        <v>124</v>
      </c>
      <c r="AF833" s="4" t="s">
        <v>124</v>
      </c>
      <c r="AG833" s="4" t="s">
        <v>124</v>
      </c>
      <c r="AH833" s="4" t="s">
        <v>124</v>
      </c>
      <c r="AI833" s="4" t="s">
        <v>124</v>
      </c>
      <c r="AJ833" s="4" t="s">
        <v>124</v>
      </c>
      <c r="AK833" s="7">
        <v>7.13</v>
      </c>
      <c r="AL833" s="7">
        <v>15.01</v>
      </c>
      <c r="AM833" s="4" t="s">
        <v>124</v>
      </c>
      <c r="AN833" s="7">
        <v>0.70178499999999999</v>
      </c>
      <c r="AO833" s="7">
        <v>70.178469000000007</v>
      </c>
      <c r="AP833" s="7">
        <v>100</v>
      </c>
      <c r="AQ833" s="7">
        <v>0.62889300000000004</v>
      </c>
      <c r="AR833" s="7">
        <v>62.889288000000001</v>
      </c>
      <c r="AS833" s="7">
        <v>100</v>
      </c>
      <c r="AT833" s="7">
        <v>0.67315999999999998</v>
      </c>
      <c r="AU833" s="7">
        <v>0.71828000000000003</v>
      </c>
      <c r="AV833" s="7">
        <v>67.316001999999997</v>
      </c>
      <c r="AW833" s="7">
        <v>100</v>
      </c>
      <c r="AX833" s="7">
        <v>0.53065600000000002</v>
      </c>
      <c r="AY833" s="7">
        <v>0.685504</v>
      </c>
      <c r="AZ833" s="7">
        <v>53.065556999999998</v>
      </c>
      <c r="BA833" s="7">
        <v>100</v>
      </c>
      <c r="BB833" s="7">
        <v>0.69709100000000002</v>
      </c>
      <c r="BC833" s="7">
        <v>34.854574999999997</v>
      </c>
      <c r="BD833" s="7">
        <v>50</v>
      </c>
      <c r="BE833" s="7">
        <v>0.53434300000000001</v>
      </c>
      <c r="BF833" s="7">
        <v>26.717148000000002</v>
      </c>
      <c r="BG833" s="7">
        <v>50</v>
      </c>
      <c r="BH833" s="7">
        <v>0</v>
      </c>
      <c r="BI833" s="7">
        <v>0.99453599999999998</v>
      </c>
      <c r="BJ833" s="7">
        <v>0.98630099999999998</v>
      </c>
      <c r="BK833" s="7">
        <v>1</v>
      </c>
      <c r="BL833" s="7">
        <v>0.99453599999999998</v>
      </c>
      <c r="BM833" s="7">
        <v>0.98630099999999998</v>
      </c>
      <c r="BN833" s="7">
        <v>1</v>
      </c>
      <c r="BO833" s="4" t="s">
        <v>124</v>
      </c>
      <c r="BP833" s="4" t="s">
        <v>124</v>
      </c>
      <c r="BQ833" s="4" t="s">
        <v>124</v>
      </c>
      <c r="BR833" s="7">
        <v>2.1142000000000001E-2</v>
      </c>
      <c r="BS833" s="7">
        <v>50</v>
      </c>
      <c r="BT833" s="7">
        <v>50</v>
      </c>
      <c r="BU833" s="7">
        <v>4.0697999999999998E-2</v>
      </c>
      <c r="BV833" s="7">
        <v>50</v>
      </c>
      <c r="BW833" s="7">
        <v>50</v>
      </c>
      <c r="BX833" s="4" t="s">
        <v>124</v>
      </c>
      <c r="BY833" s="4" t="s">
        <v>124</v>
      </c>
      <c r="BZ833" s="4" t="s">
        <v>124</v>
      </c>
      <c r="CA833" s="4" t="s">
        <v>124</v>
      </c>
      <c r="CB833" s="4" t="s">
        <v>124</v>
      </c>
      <c r="CC833" s="4" t="s">
        <v>124</v>
      </c>
      <c r="CD833" s="4" t="s">
        <v>124</v>
      </c>
      <c r="CE833" s="4" t="s">
        <v>124</v>
      </c>
      <c r="CF833" s="4" t="s">
        <v>124</v>
      </c>
      <c r="CG833" s="4" t="s">
        <v>124</v>
      </c>
      <c r="CH833" s="4" t="s">
        <v>124</v>
      </c>
      <c r="CI833" s="4" t="s">
        <v>124</v>
      </c>
      <c r="CJ833" s="4" t="s">
        <v>124</v>
      </c>
      <c r="CK833" s="4" t="s">
        <v>124</v>
      </c>
      <c r="CL833" s="4" t="s">
        <v>124</v>
      </c>
      <c r="CM833" s="4" t="s">
        <v>124</v>
      </c>
      <c r="CN833" s="4" t="s">
        <v>124</v>
      </c>
      <c r="CO833" s="4" t="s">
        <v>124</v>
      </c>
      <c r="CP833" s="4" t="s">
        <v>124</v>
      </c>
      <c r="CQ833" s="7">
        <v>0.61458299999999999</v>
      </c>
      <c r="CR833" s="7">
        <v>1</v>
      </c>
      <c r="CS833" s="7">
        <v>40.972222000000002</v>
      </c>
      <c r="CT833" s="7">
        <v>50</v>
      </c>
      <c r="CU833" s="4" t="s">
        <v>124</v>
      </c>
      <c r="CV833" s="4" t="s">
        <v>124</v>
      </c>
      <c r="CW833" s="4" t="s">
        <v>124</v>
      </c>
      <c r="CX833" s="4" t="s">
        <v>124</v>
      </c>
      <c r="CY833" s="4" t="s">
        <v>124</v>
      </c>
      <c r="CZ833" s="4" t="s">
        <v>124</v>
      </c>
      <c r="DA833" s="7">
        <v>15.314097</v>
      </c>
      <c r="DB833" s="7">
        <v>17.400950000000002</v>
      </c>
      <c r="DC833" s="7">
        <v>16.332519999999999</v>
      </c>
      <c r="DD833" s="4" t="s">
        <v>124</v>
      </c>
      <c r="DE833" s="7">
        <v>0</v>
      </c>
      <c r="DF833" s="6"/>
      <c r="DG833" s="6"/>
      <c r="DH833" s="6"/>
      <c r="DI833" s="6"/>
      <c r="DJ833" s="7">
        <v>0</v>
      </c>
      <c r="DK833" s="7">
        <v>0</v>
      </c>
      <c r="DL833" s="7">
        <v>0</v>
      </c>
      <c r="DM833" s="7">
        <v>0</v>
      </c>
      <c r="DN833" s="7">
        <v>0</v>
      </c>
      <c r="DO833" s="7">
        <v>0</v>
      </c>
      <c r="DP833" s="6"/>
      <c r="DQ833" s="4" t="s">
        <v>125</v>
      </c>
    </row>
    <row r="834" spans="1:121" ht="20" customHeight="1" x14ac:dyDescent="0.15">
      <c r="A834" s="5">
        <v>2018</v>
      </c>
      <c r="B834" s="3" t="s">
        <v>279</v>
      </c>
      <c r="C834" s="4" t="str">
        <f t="shared" ref="C834:C839" si="248">"1260011"</f>
        <v>1260011</v>
      </c>
      <c r="D834" s="4" t="s">
        <v>989</v>
      </c>
      <c r="E834" s="4" t="str">
        <f>"1265111"</f>
        <v>1265111</v>
      </c>
      <c r="F834" s="4" t="s">
        <v>327</v>
      </c>
      <c r="G834" s="7">
        <v>7</v>
      </c>
      <c r="H834" s="7">
        <v>8</v>
      </c>
      <c r="I834" s="6"/>
      <c r="J834" s="4" t="s">
        <v>330</v>
      </c>
      <c r="K834" s="7">
        <v>655.710959</v>
      </c>
      <c r="L834" s="7">
        <v>900</v>
      </c>
      <c r="M834" s="7">
        <v>72.856773000000004</v>
      </c>
      <c r="N834" s="7">
        <v>3</v>
      </c>
      <c r="O834" s="7">
        <v>1</v>
      </c>
      <c r="P834" s="7">
        <v>73.383453000000003</v>
      </c>
      <c r="Q834" s="7">
        <v>48.922302000000002</v>
      </c>
      <c r="R834" s="7">
        <v>50</v>
      </c>
      <c r="S834" s="7">
        <v>63.541910000000001</v>
      </c>
      <c r="T834" s="7">
        <v>75</v>
      </c>
      <c r="U834" s="7">
        <v>42.361272999999997</v>
      </c>
      <c r="V834" s="7">
        <v>50</v>
      </c>
      <c r="W834" s="7">
        <v>68.328368999999995</v>
      </c>
      <c r="X834" s="7">
        <v>45.552245999999997</v>
      </c>
      <c r="Y834" s="7">
        <v>50</v>
      </c>
      <c r="Z834" s="7">
        <v>75</v>
      </c>
      <c r="AA834" s="7">
        <v>55.719507999999998</v>
      </c>
      <c r="AB834" s="7">
        <v>37.146338999999998</v>
      </c>
      <c r="AC834" s="7">
        <v>50</v>
      </c>
      <c r="AD834" s="7">
        <v>68.123806000000002</v>
      </c>
      <c r="AE834" s="7">
        <v>45.415869999999998</v>
      </c>
      <c r="AF834" s="7">
        <v>50</v>
      </c>
      <c r="AG834" s="7">
        <v>59.484999999999999</v>
      </c>
      <c r="AH834" s="7">
        <v>73.735337000000001</v>
      </c>
      <c r="AI834" s="7">
        <v>39.656666999999999</v>
      </c>
      <c r="AJ834" s="7">
        <v>50</v>
      </c>
      <c r="AK834" s="7">
        <v>11.45</v>
      </c>
      <c r="AL834" s="7">
        <v>19.28</v>
      </c>
      <c r="AM834" s="7">
        <v>14.25</v>
      </c>
      <c r="AN834" s="7">
        <v>0.582283</v>
      </c>
      <c r="AO834" s="7">
        <v>58.228326000000003</v>
      </c>
      <c r="AP834" s="7">
        <v>100</v>
      </c>
      <c r="AQ834" s="7">
        <v>0.62523499999999999</v>
      </c>
      <c r="AR834" s="7">
        <v>62.523488999999998</v>
      </c>
      <c r="AS834" s="7">
        <v>100</v>
      </c>
      <c r="AT834" s="7">
        <v>0.56461799999999995</v>
      </c>
      <c r="AU834" s="7">
        <v>0.59250999999999998</v>
      </c>
      <c r="AV834" s="7">
        <v>56.461824</v>
      </c>
      <c r="AW834" s="7">
        <v>100</v>
      </c>
      <c r="AX834" s="7">
        <v>0.51627000000000001</v>
      </c>
      <c r="AY834" s="7">
        <v>0.68859800000000004</v>
      </c>
      <c r="AZ834" s="7">
        <v>51.626956</v>
      </c>
      <c r="BA834" s="7">
        <v>100</v>
      </c>
      <c r="BB834" s="4" t="s">
        <v>124</v>
      </c>
      <c r="BC834" s="4" t="s">
        <v>124</v>
      </c>
      <c r="BD834" s="4" t="s">
        <v>124</v>
      </c>
      <c r="BE834" s="4" t="s">
        <v>124</v>
      </c>
      <c r="BF834" s="4" t="s">
        <v>124</v>
      </c>
      <c r="BG834" s="4" t="s">
        <v>124</v>
      </c>
      <c r="BH834" s="7">
        <v>0</v>
      </c>
      <c r="BI834" s="7">
        <v>0.99870599999999998</v>
      </c>
      <c r="BJ834" s="7">
        <v>0.99671100000000001</v>
      </c>
      <c r="BK834" s="7">
        <v>1</v>
      </c>
      <c r="BL834" s="7">
        <v>0.99741299999999999</v>
      </c>
      <c r="BM834" s="7">
        <v>1</v>
      </c>
      <c r="BN834" s="7">
        <v>0.99573599999999995</v>
      </c>
      <c r="BO834" s="7">
        <v>1</v>
      </c>
      <c r="BP834" s="7">
        <v>1</v>
      </c>
      <c r="BQ834" s="7">
        <v>1</v>
      </c>
      <c r="BR834" s="7">
        <v>7.0129999999999998E-2</v>
      </c>
      <c r="BS834" s="7">
        <v>45.974026000000002</v>
      </c>
      <c r="BT834" s="7">
        <v>50</v>
      </c>
      <c r="BU834" s="7">
        <v>0.12751699999999999</v>
      </c>
      <c r="BV834" s="7">
        <v>34.496644000000003</v>
      </c>
      <c r="BW834" s="7">
        <v>50</v>
      </c>
      <c r="BX834" s="4" t="s">
        <v>124</v>
      </c>
      <c r="BY834" s="4" t="s">
        <v>124</v>
      </c>
      <c r="BZ834" s="4" t="s">
        <v>124</v>
      </c>
      <c r="CA834" s="4" t="s">
        <v>124</v>
      </c>
      <c r="CB834" s="4" t="s">
        <v>124</v>
      </c>
      <c r="CC834" s="4" t="s">
        <v>124</v>
      </c>
      <c r="CD834" s="7">
        <v>0.91317400000000004</v>
      </c>
      <c r="CE834" s="7">
        <v>48.573067000000002</v>
      </c>
      <c r="CF834" s="7">
        <v>50</v>
      </c>
      <c r="CG834" s="4" t="s">
        <v>124</v>
      </c>
      <c r="CH834" s="4" t="s">
        <v>124</v>
      </c>
      <c r="CI834" s="4" t="s">
        <v>124</v>
      </c>
      <c r="CJ834" s="4" t="s">
        <v>124</v>
      </c>
      <c r="CK834" s="4" t="s">
        <v>124</v>
      </c>
      <c r="CL834" s="4" t="s">
        <v>124</v>
      </c>
      <c r="CM834" s="4" t="s">
        <v>124</v>
      </c>
      <c r="CN834" s="4" t="s">
        <v>124</v>
      </c>
      <c r="CO834" s="4" t="s">
        <v>124</v>
      </c>
      <c r="CP834" s="4" t="s">
        <v>124</v>
      </c>
      <c r="CQ834" s="7">
        <v>0.58157899999999996</v>
      </c>
      <c r="CR834" s="7">
        <v>0.96202500000000002</v>
      </c>
      <c r="CS834" s="7">
        <v>38.771929999999998</v>
      </c>
      <c r="CT834" s="7">
        <v>50</v>
      </c>
      <c r="CU834" s="4" t="s">
        <v>124</v>
      </c>
      <c r="CV834" s="4" t="s">
        <v>124</v>
      </c>
      <c r="CW834" s="4" t="s">
        <v>124</v>
      </c>
      <c r="CX834" s="4" t="s">
        <v>124</v>
      </c>
      <c r="CY834" s="4" t="s">
        <v>124</v>
      </c>
      <c r="CZ834" s="4" t="s">
        <v>124</v>
      </c>
      <c r="DA834" s="7">
        <v>15.314097</v>
      </c>
      <c r="DB834" s="7">
        <v>17.400950000000002</v>
      </c>
      <c r="DC834" s="7">
        <v>16.332519999999999</v>
      </c>
      <c r="DD834" s="4" t="s">
        <v>124</v>
      </c>
      <c r="DE834" s="7">
        <v>1</v>
      </c>
      <c r="DF834" s="6"/>
      <c r="DG834" s="6"/>
      <c r="DH834" s="6"/>
      <c r="DI834" s="6"/>
      <c r="DJ834" s="7">
        <v>0</v>
      </c>
      <c r="DK834" s="7">
        <v>0</v>
      </c>
      <c r="DL834" s="7">
        <v>0</v>
      </c>
      <c r="DM834" s="7">
        <v>0</v>
      </c>
      <c r="DN834" s="7">
        <v>0</v>
      </c>
      <c r="DO834" s="7">
        <v>0</v>
      </c>
      <c r="DP834" s="6"/>
      <c r="DQ834" s="4" t="s">
        <v>125</v>
      </c>
    </row>
    <row r="835" spans="1:121" ht="20" customHeight="1" x14ac:dyDescent="0.15">
      <c r="A835" s="5">
        <v>2018</v>
      </c>
      <c r="B835" s="3" t="s">
        <v>279</v>
      </c>
      <c r="C835" s="4" t="str">
        <f t="shared" si="248"/>
        <v>1260011</v>
      </c>
      <c r="D835" s="4" t="s">
        <v>990</v>
      </c>
      <c r="E835" s="4" t="str">
        <f>"1260811"</f>
        <v>1260811</v>
      </c>
      <c r="F835" s="4" t="s">
        <v>327</v>
      </c>
      <c r="G835" s="4" t="s">
        <v>338</v>
      </c>
      <c r="H835" s="7">
        <v>4</v>
      </c>
      <c r="I835" s="4" t="s">
        <v>329</v>
      </c>
      <c r="J835" s="4" t="s">
        <v>330</v>
      </c>
      <c r="K835" s="7">
        <v>696.98474699999997</v>
      </c>
      <c r="L835" s="7">
        <v>850</v>
      </c>
      <c r="M835" s="7">
        <v>81.998205999999996</v>
      </c>
      <c r="N835" s="7">
        <v>2</v>
      </c>
      <c r="O835" s="7">
        <v>0</v>
      </c>
      <c r="P835" s="7">
        <v>75.744039000000001</v>
      </c>
      <c r="Q835" s="7">
        <v>50</v>
      </c>
      <c r="R835" s="7">
        <v>50</v>
      </c>
      <c r="S835" s="7">
        <v>71.616316999999995</v>
      </c>
      <c r="T835" s="7">
        <v>75</v>
      </c>
      <c r="U835" s="7">
        <v>47.744211</v>
      </c>
      <c r="V835" s="7">
        <v>50</v>
      </c>
      <c r="W835" s="7">
        <v>69.785713000000001</v>
      </c>
      <c r="X835" s="7">
        <v>46.523809</v>
      </c>
      <c r="Y835" s="7">
        <v>50</v>
      </c>
      <c r="Z835" s="7">
        <v>75</v>
      </c>
      <c r="AA835" s="7">
        <v>66.661375000000007</v>
      </c>
      <c r="AB835" s="7">
        <v>44.440916999999999</v>
      </c>
      <c r="AC835" s="7">
        <v>50</v>
      </c>
      <c r="AD835" s="4" t="s">
        <v>124</v>
      </c>
      <c r="AE835" s="4" t="s">
        <v>124</v>
      </c>
      <c r="AF835" s="4" t="s">
        <v>124</v>
      </c>
      <c r="AG835" s="4" t="s">
        <v>124</v>
      </c>
      <c r="AH835" s="4" t="s">
        <v>124</v>
      </c>
      <c r="AI835" s="4" t="s">
        <v>124</v>
      </c>
      <c r="AJ835" s="4" t="s">
        <v>124</v>
      </c>
      <c r="AK835" s="7">
        <v>3.38</v>
      </c>
      <c r="AL835" s="7">
        <v>8.33</v>
      </c>
      <c r="AM835" s="4" t="s">
        <v>124</v>
      </c>
      <c r="AN835" s="7">
        <v>0.65174299999999996</v>
      </c>
      <c r="AO835" s="7">
        <v>65.174267</v>
      </c>
      <c r="AP835" s="7">
        <v>100</v>
      </c>
      <c r="AQ835" s="7">
        <v>0.80613000000000001</v>
      </c>
      <c r="AR835" s="7">
        <v>80.612955999999997</v>
      </c>
      <c r="AS835" s="7">
        <v>100</v>
      </c>
      <c r="AT835" s="7">
        <v>0.67942199999999997</v>
      </c>
      <c r="AU835" s="7">
        <v>0.60809400000000002</v>
      </c>
      <c r="AV835" s="7">
        <v>67.942248000000006</v>
      </c>
      <c r="AW835" s="7">
        <v>100</v>
      </c>
      <c r="AX835" s="7">
        <v>0.79813100000000003</v>
      </c>
      <c r="AY835" s="7">
        <v>0.81874199999999997</v>
      </c>
      <c r="AZ835" s="7">
        <v>79.813124000000002</v>
      </c>
      <c r="BA835" s="7">
        <v>100</v>
      </c>
      <c r="BB835" s="7">
        <v>0.78082300000000004</v>
      </c>
      <c r="BC835" s="7">
        <v>39.041139999999999</v>
      </c>
      <c r="BD835" s="7">
        <v>50</v>
      </c>
      <c r="BE835" s="7">
        <v>0.658327</v>
      </c>
      <c r="BF835" s="7">
        <v>32.916367000000001</v>
      </c>
      <c r="BG835" s="7">
        <v>50</v>
      </c>
      <c r="BH835" s="7">
        <v>0</v>
      </c>
      <c r="BI835" s="7">
        <v>0.98648599999999997</v>
      </c>
      <c r="BJ835" s="7">
        <v>1</v>
      </c>
      <c r="BK835" s="7">
        <v>0.96226400000000001</v>
      </c>
      <c r="BL835" s="7">
        <v>0.98648599999999997</v>
      </c>
      <c r="BM835" s="7">
        <v>1</v>
      </c>
      <c r="BN835" s="7">
        <v>0.96226400000000001</v>
      </c>
      <c r="BO835" s="4" t="s">
        <v>124</v>
      </c>
      <c r="BP835" s="4" t="s">
        <v>124</v>
      </c>
      <c r="BQ835" s="4" t="s">
        <v>124</v>
      </c>
      <c r="BR835" s="7">
        <v>4.3715999999999998E-2</v>
      </c>
      <c r="BS835" s="7">
        <v>50</v>
      </c>
      <c r="BT835" s="7">
        <v>50</v>
      </c>
      <c r="BU835" s="7">
        <v>5.5300000000000002E-2</v>
      </c>
      <c r="BV835" s="7">
        <v>48.940092</v>
      </c>
      <c r="BW835" s="7">
        <v>50</v>
      </c>
      <c r="BX835" s="4" t="s">
        <v>124</v>
      </c>
      <c r="BY835" s="4" t="s">
        <v>124</v>
      </c>
      <c r="BZ835" s="4" t="s">
        <v>124</v>
      </c>
      <c r="CA835" s="4" t="s">
        <v>124</v>
      </c>
      <c r="CB835" s="4" t="s">
        <v>124</v>
      </c>
      <c r="CC835" s="4" t="s">
        <v>124</v>
      </c>
      <c r="CD835" s="4" t="s">
        <v>124</v>
      </c>
      <c r="CE835" s="4" t="s">
        <v>124</v>
      </c>
      <c r="CF835" s="4" t="s">
        <v>124</v>
      </c>
      <c r="CG835" s="4" t="s">
        <v>124</v>
      </c>
      <c r="CH835" s="4" t="s">
        <v>124</v>
      </c>
      <c r="CI835" s="4" t="s">
        <v>124</v>
      </c>
      <c r="CJ835" s="4" t="s">
        <v>124</v>
      </c>
      <c r="CK835" s="4" t="s">
        <v>124</v>
      </c>
      <c r="CL835" s="4" t="s">
        <v>124</v>
      </c>
      <c r="CM835" s="4" t="s">
        <v>124</v>
      </c>
      <c r="CN835" s="4" t="s">
        <v>124</v>
      </c>
      <c r="CO835" s="4" t="s">
        <v>124</v>
      </c>
      <c r="CP835" s="4" t="s">
        <v>124</v>
      </c>
      <c r="CQ835" s="7">
        <v>0.65753399999999995</v>
      </c>
      <c r="CR835" s="7">
        <v>1.013889</v>
      </c>
      <c r="CS835" s="7">
        <v>43.835616000000002</v>
      </c>
      <c r="CT835" s="7">
        <v>50</v>
      </c>
      <c r="CU835" s="4" t="s">
        <v>124</v>
      </c>
      <c r="CV835" s="4" t="s">
        <v>124</v>
      </c>
      <c r="CW835" s="4" t="s">
        <v>124</v>
      </c>
      <c r="CX835" s="4" t="s">
        <v>124</v>
      </c>
      <c r="CY835" s="4" t="s">
        <v>124</v>
      </c>
      <c r="CZ835" s="4" t="s">
        <v>124</v>
      </c>
      <c r="DA835" s="7">
        <v>15.314097</v>
      </c>
      <c r="DB835" s="7">
        <v>17.400950000000002</v>
      </c>
      <c r="DC835" s="7">
        <v>16.332519999999999</v>
      </c>
      <c r="DD835" s="4" t="s">
        <v>124</v>
      </c>
      <c r="DE835" s="7">
        <v>0</v>
      </c>
      <c r="DF835" s="6"/>
      <c r="DG835" s="6"/>
      <c r="DH835" s="4" t="s">
        <v>331</v>
      </c>
      <c r="DI835" s="4" t="s">
        <v>431</v>
      </c>
      <c r="DJ835" s="7">
        <v>0</v>
      </c>
      <c r="DK835" s="7">
        <v>0</v>
      </c>
      <c r="DL835" s="7">
        <v>0</v>
      </c>
      <c r="DM835" s="7">
        <v>0</v>
      </c>
      <c r="DN835" s="7">
        <v>1</v>
      </c>
      <c r="DO835" s="7">
        <v>0</v>
      </c>
      <c r="DP835" s="6"/>
      <c r="DQ835" s="4" t="s">
        <v>125</v>
      </c>
    </row>
    <row r="836" spans="1:121" ht="20" customHeight="1" x14ac:dyDescent="0.15">
      <c r="A836" s="5">
        <v>2018</v>
      </c>
      <c r="B836" s="3" t="s">
        <v>279</v>
      </c>
      <c r="C836" s="4" t="str">
        <f t="shared" si="248"/>
        <v>1260011</v>
      </c>
      <c r="D836" s="4" t="s">
        <v>784</v>
      </c>
      <c r="E836" s="4" t="str">
        <f>"1260911"</f>
        <v>1260911</v>
      </c>
      <c r="F836" s="4" t="s">
        <v>327</v>
      </c>
      <c r="G836" s="4" t="s">
        <v>328</v>
      </c>
      <c r="H836" s="7">
        <v>4</v>
      </c>
      <c r="I836" s="6"/>
      <c r="J836" s="4" t="s">
        <v>330</v>
      </c>
      <c r="K836" s="7">
        <v>430.77315900000002</v>
      </c>
      <c r="L836" s="7">
        <v>550</v>
      </c>
      <c r="M836" s="7">
        <v>78.322391999999994</v>
      </c>
      <c r="N836" s="7">
        <v>2</v>
      </c>
      <c r="O836" s="7">
        <v>0</v>
      </c>
      <c r="P836" s="7">
        <v>81.737708999999995</v>
      </c>
      <c r="Q836" s="7">
        <v>50</v>
      </c>
      <c r="R836" s="7">
        <v>50</v>
      </c>
      <c r="S836" s="7">
        <v>68.700518000000002</v>
      </c>
      <c r="T836" s="7">
        <v>75</v>
      </c>
      <c r="U836" s="7">
        <v>45.800345</v>
      </c>
      <c r="V836" s="7">
        <v>50</v>
      </c>
      <c r="W836" s="7">
        <v>76.435682</v>
      </c>
      <c r="X836" s="7">
        <v>50</v>
      </c>
      <c r="Y836" s="7">
        <v>50</v>
      </c>
      <c r="Z836" s="7">
        <v>75</v>
      </c>
      <c r="AA836" s="7">
        <v>64.612784000000005</v>
      </c>
      <c r="AB836" s="7">
        <v>43.075189000000002</v>
      </c>
      <c r="AC836" s="7">
        <v>50</v>
      </c>
      <c r="AD836" s="4" t="s">
        <v>124</v>
      </c>
      <c r="AE836" s="4" t="s">
        <v>124</v>
      </c>
      <c r="AF836" s="4" t="s">
        <v>124</v>
      </c>
      <c r="AG836" s="4" t="s">
        <v>124</v>
      </c>
      <c r="AH836" s="4" t="s">
        <v>124</v>
      </c>
      <c r="AI836" s="4" t="s">
        <v>124</v>
      </c>
      <c r="AJ836" s="4" t="s">
        <v>124</v>
      </c>
      <c r="AK836" s="7">
        <v>6.29</v>
      </c>
      <c r="AL836" s="7">
        <v>10.38</v>
      </c>
      <c r="AM836" s="4" t="s">
        <v>124</v>
      </c>
      <c r="AN836" s="7">
        <v>0.61097299999999999</v>
      </c>
      <c r="AO836" s="7">
        <v>61.097254</v>
      </c>
      <c r="AP836" s="7">
        <v>100</v>
      </c>
      <c r="AQ836" s="7">
        <v>0.49059700000000001</v>
      </c>
      <c r="AR836" s="7">
        <v>49.059744000000002</v>
      </c>
      <c r="AS836" s="7">
        <v>100</v>
      </c>
      <c r="AT836" s="4" t="s">
        <v>124</v>
      </c>
      <c r="AU836" s="7">
        <v>0.70450900000000005</v>
      </c>
      <c r="AV836" s="4" t="s">
        <v>124</v>
      </c>
      <c r="AW836" s="4" t="s">
        <v>124</v>
      </c>
      <c r="AX836" s="4" t="s">
        <v>124</v>
      </c>
      <c r="AY836" s="7">
        <v>0.44979000000000002</v>
      </c>
      <c r="AZ836" s="4" t="s">
        <v>124</v>
      </c>
      <c r="BA836" s="4" t="s">
        <v>124</v>
      </c>
      <c r="BB836" s="4" t="s">
        <v>124</v>
      </c>
      <c r="BC836" s="4" t="s">
        <v>124</v>
      </c>
      <c r="BD836" s="4" t="s">
        <v>124</v>
      </c>
      <c r="BE836" s="4" t="s">
        <v>124</v>
      </c>
      <c r="BF836" s="4" t="s">
        <v>124</v>
      </c>
      <c r="BG836" s="4" t="s">
        <v>124</v>
      </c>
      <c r="BH836" s="7">
        <v>0</v>
      </c>
      <c r="BI836" s="7">
        <v>1</v>
      </c>
      <c r="BJ836" s="7">
        <v>1</v>
      </c>
      <c r="BK836" s="7">
        <v>1</v>
      </c>
      <c r="BL836" s="7">
        <v>1</v>
      </c>
      <c r="BM836" s="7">
        <v>1</v>
      </c>
      <c r="BN836" s="7">
        <v>1</v>
      </c>
      <c r="BO836" s="4" t="s">
        <v>124</v>
      </c>
      <c r="BP836" s="4" t="s">
        <v>124</v>
      </c>
      <c r="BQ836" s="4" t="s">
        <v>124</v>
      </c>
      <c r="BR836" s="7">
        <v>4.6099000000000001E-2</v>
      </c>
      <c r="BS836" s="7">
        <v>50</v>
      </c>
      <c r="BT836" s="7">
        <v>50</v>
      </c>
      <c r="BU836" s="7">
        <v>7.8431000000000001E-2</v>
      </c>
      <c r="BV836" s="7">
        <v>44.313724999999998</v>
      </c>
      <c r="BW836" s="7">
        <v>50</v>
      </c>
      <c r="BX836" s="4" t="s">
        <v>124</v>
      </c>
      <c r="BY836" s="4" t="s">
        <v>124</v>
      </c>
      <c r="BZ836" s="4" t="s">
        <v>124</v>
      </c>
      <c r="CA836" s="4" t="s">
        <v>124</v>
      </c>
      <c r="CB836" s="4" t="s">
        <v>124</v>
      </c>
      <c r="CC836" s="4" t="s">
        <v>124</v>
      </c>
      <c r="CD836" s="4" t="s">
        <v>124</v>
      </c>
      <c r="CE836" s="4" t="s">
        <v>124</v>
      </c>
      <c r="CF836" s="4" t="s">
        <v>124</v>
      </c>
      <c r="CG836" s="4" t="s">
        <v>124</v>
      </c>
      <c r="CH836" s="4" t="s">
        <v>124</v>
      </c>
      <c r="CI836" s="4" t="s">
        <v>124</v>
      </c>
      <c r="CJ836" s="4" t="s">
        <v>124</v>
      </c>
      <c r="CK836" s="4" t="s">
        <v>124</v>
      </c>
      <c r="CL836" s="4" t="s">
        <v>124</v>
      </c>
      <c r="CM836" s="4" t="s">
        <v>124</v>
      </c>
      <c r="CN836" s="4" t="s">
        <v>124</v>
      </c>
      <c r="CO836" s="4" t="s">
        <v>124</v>
      </c>
      <c r="CP836" s="4" t="s">
        <v>124</v>
      </c>
      <c r="CQ836" s="7">
        <v>0.56140400000000001</v>
      </c>
      <c r="CR836" s="7">
        <v>1.017857</v>
      </c>
      <c r="CS836" s="7">
        <v>37.426901000000001</v>
      </c>
      <c r="CT836" s="7">
        <v>50</v>
      </c>
      <c r="CU836" s="4" t="s">
        <v>124</v>
      </c>
      <c r="CV836" s="4" t="s">
        <v>124</v>
      </c>
      <c r="CW836" s="4" t="s">
        <v>124</v>
      </c>
      <c r="CX836" s="4" t="s">
        <v>124</v>
      </c>
      <c r="CY836" s="4" t="s">
        <v>124</v>
      </c>
      <c r="CZ836" s="4" t="s">
        <v>124</v>
      </c>
      <c r="DA836" s="7">
        <v>15.314097</v>
      </c>
      <c r="DB836" s="7">
        <v>17.400950000000002</v>
      </c>
      <c r="DC836" s="7">
        <v>16.332519999999999</v>
      </c>
      <c r="DD836" s="4" t="s">
        <v>124</v>
      </c>
      <c r="DE836" s="7">
        <v>0</v>
      </c>
      <c r="DF836" s="6"/>
      <c r="DG836" s="6"/>
      <c r="DH836" s="6"/>
      <c r="DI836" s="6"/>
      <c r="DJ836" s="7">
        <v>0</v>
      </c>
      <c r="DK836" s="7">
        <v>0</v>
      </c>
      <c r="DL836" s="7">
        <v>0</v>
      </c>
      <c r="DM836" s="7">
        <v>0</v>
      </c>
      <c r="DN836" s="7">
        <v>0</v>
      </c>
      <c r="DO836" s="7">
        <v>0</v>
      </c>
      <c r="DP836" s="6"/>
      <c r="DQ836" s="4" t="s">
        <v>125</v>
      </c>
    </row>
    <row r="837" spans="1:121" ht="20" customHeight="1" x14ac:dyDescent="0.15">
      <c r="A837" s="5">
        <v>2018</v>
      </c>
      <c r="B837" s="3" t="s">
        <v>279</v>
      </c>
      <c r="C837" s="4" t="str">
        <f t="shared" si="248"/>
        <v>1260011</v>
      </c>
      <c r="D837" s="4" t="s">
        <v>991</v>
      </c>
      <c r="E837" s="4" t="str">
        <f>"1261111"</f>
        <v>1261111</v>
      </c>
      <c r="F837" s="4" t="s">
        <v>327</v>
      </c>
      <c r="G837" s="7">
        <v>5</v>
      </c>
      <c r="H837" s="7">
        <v>6</v>
      </c>
      <c r="I837" s="4" t="s">
        <v>329</v>
      </c>
      <c r="J837" s="4" t="s">
        <v>330</v>
      </c>
      <c r="K837" s="7">
        <v>746.16003599999999</v>
      </c>
      <c r="L837" s="7">
        <v>950</v>
      </c>
      <c r="M837" s="7">
        <v>78.543161999999995</v>
      </c>
      <c r="N837" s="7">
        <v>2</v>
      </c>
      <c r="O837" s="7">
        <v>0</v>
      </c>
      <c r="P837" s="7">
        <v>78.379649999999998</v>
      </c>
      <c r="Q837" s="7">
        <v>50</v>
      </c>
      <c r="R837" s="7">
        <v>50</v>
      </c>
      <c r="S837" s="7">
        <v>70.266767000000002</v>
      </c>
      <c r="T837" s="7">
        <v>75</v>
      </c>
      <c r="U837" s="7">
        <v>46.844512000000002</v>
      </c>
      <c r="V837" s="7">
        <v>50</v>
      </c>
      <c r="W837" s="7">
        <v>73.512587999999994</v>
      </c>
      <c r="X837" s="7">
        <v>49.008392000000001</v>
      </c>
      <c r="Y837" s="7">
        <v>50</v>
      </c>
      <c r="Z837" s="7">
        <v>75</v>
      </c>
      <c r="AA837" s="7">
        <v>64.840969999999999</v>
      </c>
      <c r="AB837" s="7">
        <v>43.227314</v>
      </c>
      <c r="AC837" s="7">
        <v>50</v>
      </c>
      <c r="AD837" s="7">
        <v>75.173914999999994</v>
      </c>
      <c r="AE837" s="7">
        <v>50</v>
      </c>
      <c r="AF837" s="7">
        <v>50</v>
      </c>
      <c r="AG837" s="7">
        <v>70.111485999999999</v>
      </c>
      <c r="AH837" s="7">
        <v>75</v>
      </c>
      <c r="AI837" s="7">
        <v>46.740991000000001</v>
      </c>
      <c r="AJ837" s="7">
        <v>50</v>
      </c>
      <c r="AK837" s="7">
        <v>4.7300000000000004</v>
      </c>
      <c r="AL837" s="7">
        <v>10.15</v>
      </c>
      <c r="AM837" s="7">
        <v>4.88</v>
      </c>
      <c r="AN837" s="7">
        <v>0.65834800000000004</v>
      </c>
      <c r="AO837" s="7">
        <v>65.834779999999995</v>
      </c>
      <c r="AP837" s="7">
        <v>100</v>
      </c>
      <c r="AQ837" s="7">
        <v>0.717727</v>
      </c>
      <c r="AR837" s="7">
        <v>71.772707999999994</v>
      </c>
      <c r="AS837" s="7">
        <v>100</v>
      </c>
      <c r="AT837" s="7">
        <v>0.57226399999999999</v>
      </c>
      <c r="AU837" s="7">
        <v>0.71721400000000002</v>
      </c>
      <c r="AV837" s="7">
        <v>57.226429000000003</v>
      </c>
      <c r="AW837" s="7">
        <v>100</v>
      </c>
      <c r="AX837" s="7">
        <v>0.62396399999999996</v>
      </c>
      <c r="AY837" s="7">
        <v>0.78184500000000001</v>
      </c>
      <c r="AZ837" s="7">
        <v>62.396369999999997</v>
      </c>
      <c r="BA837" s="7">
        <v>100</v>
      </c>
      <c r="BB837" s="7">
        <v>0.61831800000000003</v>
      </c>
      <c r="BC837" s="7">
        <v>30.915901999999999</v>
      </c>
      <c r="BD837" s="7">
        <v>50</v>
      </c>
      <c r="BE837" s="7">
        <v>0.60621899999999995</v>
      </c>
      <c r="BF837" s="7">
        <v>30.310936000000002</v>
      </c>
      <c r="BG837" s="7">
        <v>50</v>
      </c>
      <c r="BH837" s="7">
        <v>0</v>
      </c>
      <c r="BI837" s="7">
        <v>0.99865000000000004</v>
      </c>
      <c r="BJ837" s="7">
        <v>0.99700599999999995</v>
      </c>
      <c r="BK837" s="7">
        <v>1</v>
      </c>
      <c r="BL837" s="7">
        <v>0.99865000000000004</v>
      </c>
      <c r="BM837" s="7">
        <v>0.99700599999999995</v>
      </c>
      <c r="BN837" s="7">
        <v>1</v>
      </c>
      <c r="BO837" s="7">
        <v>0.99715100000000001</v>
      </c>
      <c r="BP837" s="7">
        <v>0.99375000000000002</v>
      </c>
      <c r="BQ837" s="7">
        <v>1</v>
      </c>
      <c r="BR837" s="7">
        <v>3.6485999999999998E-2</v>
      </c>
      <c r="BS837" s="7">
        <v>50</v>
      </c>
      <c r="BT837" s="7">
        <v>50</v>
      </c>
      <c r="BU837" s="7">
        <v>5.8824000000000001E-2</v>
      </c>
      <c r="BV837" s="7">
        <v>48.235294000000003</v>
      </c>
      <c r="BW837" s="7">
        <v>50</v>
      </c>
      <c r="BX837" s="4" t="s">
        <v>124</v>
      </c>
      <c r="BY837" s="4" t="s">
        <v>124</v>
      </c>
      <c r="BZ837" s="4" t="s">
        <v>124</v>
      </c>
      <c r="CA837" s="4" t="s">
        <v>124</v>
      </c>
      <c r="CB837" s="4" t="s">
        <v>124</v>
      </c>
      <c r="CC837" s="4" t="s">
        <v>124</v>
      </c>
      <c r="CD837" s="4" t="s">
        <v>124</v>
      </c>
      <c r="CE837" s="4" t="s">
        <v>124</v>
      </c>
      <c r="CF837" s="4" t="s">
        <v>124</v>
      </c>
      <c r="CG837" s="4" t="s">
        <v>124</v>
      </c>
      <c r="CH837" s="4" t="s">
        <v>124</v>
      </c>
      <c r="CI837" s="4" t="s">
        <v>124</v>
      </c>
      <c r="CJ837" s="4" t="s">
        <v>124</v>
      </c>
      <c r="CK837" s="4" t="s">
        <v>124</v>
      </c>
      <c r="CL837" s="4" t="s">
        <v>124</v>
      </c>
      <c r="CM837" s="4" t="s">
        <v>124</v>
      </c>
      <c r="CN837" s="4" t="s">
        <v>124</v>
      </c>
      <c r="CO837" s="4" t="s">
        <v>124</v>
      </c>
      <c r="CP837" s="4" t="s">
        <v>124</v>
      </c>
      <c r="CQ837" s="7">
        <v>0.65469599999999994</v>
      </c>
      <c r="CR837" s="7">
        <v>0.93059099999999995</v>
      </c>
      <c r="CS837" s="7">
        <v>43.646408999999998</v>
      </c>
      <c r="CT837" s="7">
        <v>50</v>
      </c>
      <c r="CU837" s="4" t="s">
        <v>124</v>
      </c>
      <c r="CV837" s="4" t="s">
        <v>124</v>
      </c>
      <c r="CW837" s="4" t="s">
        <v>124</v>
      </c>
      <c r="CX837" s="4" t="s">
        <v>124</v>
      </c>
      <c r="CY837" s="4" t="s">
        <v>124</v>
      </c>
      <c r="CZ837" s="4" t="s">
        <v>124</v>
      </c>
      <c r="DA837" s="7">
        <v>15.314097</v>
      </c>
      <c r="DB837" s="7">
        <v>17.400950000000002</v>
      </c>
      <c r="DC837" s="7">
        <v>16.332519999999999</v>
      </c>
      <c r="DD837" s="4" t="s">
        <v>124</v>
      </c>
      <c r="DE837" s="7">
        <v>0</v>
      </c>
      <c r="DF837" s="6"/>
      <c r="DG837" s="6"/>
      <c r="DH837" s="6"/>
      <c r="DI837" s="6"/>
      <c r="DJ837" s="7">
        <v>0</v>
      </c>
      <c r="DK837" s="7">
        <v>0</v>
      </c>
      <c r="DL837" s="7">
        <v>0</v>
      </c>
      <c r="DM837" s="7">
        <v>0</v>
      </c>
      <c r="DN837" s="7">
        <v>0</v>
      </c>
      <c r="DO837" s="7">
        <v>0</v>
      </c>
      <c r="DP837" s="6"/>
      <c r="DQ837" s="4" t="s">
        <v>125</v>
      </c>
    </row>
    <row r="838" spans="1:121" ht="20" customHeight="1" x14ac:dyDescent="0.15">
      <c r="A838" s="5">
        <v>2018</v>
      </c>
      <c r="B838" s="3" t="s">
        <v>279</v>
      </c>
      <c r="C838" s="4" t="str">
        <f>"1260011"</f>
        <v>1260011</v>
      </c>
      <c r="D838" s="4" t="s">
        <v>992</v>
      </c>
      <c r="E838" s="4" t="str">
        <f>"1266111"</f>
        <v>1266111</v>
      </c>
      <c r="F838" s="4" t="s">
        <v>327</v>
      </c>
      <c r="G838" s="7">
        <v>9</v>
      </c>
      <c r="H838" s="7">
        <v>12</v>
      </c>
      <c r="I838" s="6"/>
      <c r="J838" s="4" t="s">
        <v>330</v>
      </c>
      <c r="K838" s="7">
        <v>1165.9344940000001</v>
      </c>
      <c r="L838" s="7">
        <v>1450</v>
      </c>
      <c r="M838" s="7">
        <v>80.409274999999994</v>
      </c>
      <c r="N838" s="7">
        <v>3</v>
      </c>
      <c r="O838" s="7">
        <v>0</v>
      </c>
      <c r="P838" s="7">
        <v>61.493482</v>
      </c>
      <c r="Q838" s="7">
        <v>122.986965</v>
      </c>
      <c r="R838" s="7">
        <v>150</v>
      </c>
      <c r="S838" s="7">
        <v>52.555556000000003</v>
      </c>
      <c r="T838" s="7">
        <v>65.832642000000007</v>
      </c>
      <c r="U838" s="7">
        <v>105.11111099999999</v>
      </c>
      <c r="V838" s="7">
        <v>150</v>
      </c>
      <c r="W838" s="7">
        <v>60.348075999999999</v>
      </c>
      <c r="X838" s="7">
        <v>120.696151</v>
      </c>
      <c r="Y838" s="7">
        <v>150</v>
      </c>
      <c r="Z838" s="7">
        <v>64.273167000000001</v>
      </c>
      <c r="AA838" s="7">
        <v>52.263058000000001</v>
      </c>
      <c r="AB838" s="7">
        <v>104.526116</v>
      </c>
      <c r="AC838" s="7">
        <v>150</v>
      </c>
      <c r="AD838" s="7">
        <v>64.336252000000002</v>
      </c>
      <c r="AE838" s="7">
        <v>85.781670000000005</v>
      </c>
      <c r="AF838" s="7">
        <v>100</v>
      </c>
      <c r="AG838" s="7">
        <v>54.881397999999997</v>
      </c>
      <c r="AH838" s="7">
        <v>68.924051000000006</v>
      </c>
      <c r="AI838" s="7">
        <v>73.175197999999995</v>
      </c>
      <c r="AJ838" s="7">
        <v>100</v>
      </c>
      <c r="AK838" s="7">
        <v>13.27</v>
      </c>
      <c r="AL838" s="7">
        <v>12.01</v>
      </c>
      <c r="AM838" s="7">
        <v>14.04</v>
      </c>
      <c r="AN838" s="4" t="s">
        <v>124</v>
      </c>
      <c r="AO838" s="4" t="s">
        <v>124</v>
      </c>
      <c r="AP838" s="4" t="s">
        <v>124</v>
      </c>
      <c r="AQ838" s="4" t="s">
        <v>124</v>
      </c>
      <c r="AR838" s="4" t="s">
        <v>124</v>
      </c>
      <c r="AS838" s="4" t="s">
        <v>124</v>
      </c>
      <c r="AT838" s="4" t="s">
        <v>124</v>
      </c>
      <c r="AU838" s="4" t="s">
        <v>124</v>
      </c>
      <c r="AV838" s="4" t="s">
        <v>124</v>
      </c>
      <c r="AW838" s="4" t="s">
        <v>124</v>
      </c>
      <c r="AX838" s="4" t="s">
        <v>124</v>
      </c>
      <c r="AY838" s="4" t="s">
        <v>124</v>
      </c>
      <c r="AZ838" s="4" t="s">
        <v>124</v>
      </c>
      <c r="BA838" s="4" t="s">
        <v>124</v>
      </c>
      <c r="BB838" s="4" t="s">
        <v>124</v>
      </c>
      <c r="BC838" s="4" t="s">
        <v>124</v>
      </c>
      <c r="BD838" s="4" t="s">
        <v>124</v>
      </c>
      <c r="BE838" s="4" t="s">
        <v>124</v>
      </c>
      <c r="BF838" s="4" t="s">
        <v>124</v>
      </c>
      <c r="BG838" s="4" t="s">
        <v>124</v>
      </c>
      <c r="BH838" s="7">
        <v>1</v>
      </c>
      <c r="BI838" s="7">
        <v>0.98108099999999998</v>
      </c>
      <c r="BJ838" s="7">
        <v>0.959677</v>
      </c>
      <c r="BK838" s="7">
        <v>0.99187000000000003</v>
      </c>
      <c r="BL838" s="7">
        <v>0.98108099999999998</v>
      </c>
      <c r="BM838" s="7">
        <v>0.959677</v>
      </c>
      <c r="BN838" s="7">
        <v>0.99187000000000003</v>
      </c>
      <c r="BO838" s="7">
        <v>0.96216199999999996</v>
      </c>
      <c r="BP838" s="7">
        <v>0.94354800000000005</v>
      </c>
      <c r="BQ838" s="7">
        <v>0.97154499999999999</v>
      </c>
      <c r="BR838" s="7">
        <v>0.118364</v>
      </c>
      <c r="BS838" s="7">
        <v>36.327115999999997</v>
      </c>
      <c r="BT838" s="7">
        <v>50</v>
      </c>
      <c r="BU838" s="7">
        <v>0.18997900000000001</v>
      </c>
      <c r="BV838" s="7">
        <v>22.004175</v>
      </c>
      <c r="BW838" s="7">
        <v>50</v>
      </c>
      <c r="BX838" s="7">
        <v>0.83516500000000005</v>
      </c>
      <c r="BY838" s="7">
        <v>50</v>
      </c>
      <c r="BZ838" s="7">
        <v>50</v>
      </c>
      <c r="CA838" s="7">
        <v>0.53159299999999998</v>
      </c>
      <c r="CB838" s="7">
        <v>35.43956</v>
      </c>
      <c r="CC838" s="7">
        <v>50</v>
      </c>
      <c r="CD838" s="7">
        <v>0.89759</v>
      </c>
      <c r="CE838" s="7">
        <v>47.744168000000002</v>
      </c>
      <c r="CF838" s="7">
        <v>50</v>
      </c>
      <c r="CG838" s="7">
        <v>0.92528699999999997</v>
      </c>
      <c r="CH838" s="7">
        <v>98.434825000000004</v>
      </c>
      <c r="CI838" s="7">
        <v>100</v>
      </c>
      <c r="CJ838" s="7">
        <v>0</v>
      </c>
      <c r="CK838" s="7">
        <v>0.9</v>
      </c>
      <c r="CL838" s="7">
        <v>95.744681</v>
      </c>
      <c r="CM838" s="7">
        <v>100</v>
      </c>
      <c r="CN838" s="7">
        <v>0.76758400000000004</v>
      </c>
      <c r="CO838" s="7">
        <v>100</v>
      </c>
      <c r="CP838" s="7">
        <v>100</v>
      </c>
      <c r="CQ838" s="7">
        <v>0.63924099999999995</v>
      </c>
      <c r="CR838" s="7">
        <v>0.93215300000000001</v>
      </c>
      <c r="CS838" s="7">
        <v>42.616033999999999</v>
      </c>
      <c r="CT838" s="7">
        <v>50</v>
      </c>
      <c r="CU838" s="7">
        <v>0.30416100000000001</v>
      </c>
      <c r="CV838" s="7">
        <v>25.346723999999998</v>
      </c>
      <c r="CW838" s="7">
        <v>50</v>
      </c>
      <c r="CX838" s="7">
        <v>0.9</v>
      </c>
      <c r="CY838" s="7">
        <v>0.94</v>
      </c>
      <c r="CZ838" s="7">
        <v>0.04</v>
      </c>
      <c r="DA838" s="7">
        <v>15.314097</v>
      </c>
      <c r="DB838" s="7">
        <v>17.400950000000002</v>
      </c>
      <c r="DC838" s="7">
        <v>16.332519999999999</v>
      </c>
      <c r="DD838" s="7">
        <v>7.9891730000000001</v>
      </c>
      <c r="DE838" s="7">
        <v>1</v>
      </c>
      <c r="DF838" s="6"/>
      <c r="DG838" s="6"/>
      <c r="DH838" s="6"/>
      <c r="DI838" s="6"/>
      <c r="DJ838" s="7">
        <v>0</v>
      </c>
      <c r="DK838" s="7">
        <v>0</v>
      </c>
      <c r="DL838" s="7">
        <v>0</v>
      </c>
      <c r="DM838" s="7">
        <v>0</v>
      </c>
      <c r="DN838" s="7">
        <v>0</v>
      </c>
      <c r="DO838" s="7">
        <v>0</v>
      </c>
      <c r="DP838" s="6"/>
      <c r="DQ838" s="4" t="s">
        <v>125</v>
      </c>
    </row>
    <row r="839" spans="1:121" ht="20" customHeight="1" x14ac:dyDescent="0.15">
      <c r="A839" s="5">
        <v>2018</v>
      </c>
      <c r="B839" s="3" t="s">
        <v>279</v>
      </c>
      <c r="C839" s="4" t="str">
        <f t="shared" si="248"/>
        <v>1260011</v>
      </c>
      <c r="D839" s="4" t="s">
        <v>993</v>
      </c>
      <c r="E839" s="4" t="str">
        <f>"1260611"</f>
        <v>1260611</v>
      </c>
      <c r="F839" s="4" t="s">
        <v>327</v>
      </c>
      <c r="G839" s="4" t="s">
        <v>338</v>
      </c>
      <c r="H839" s="7">
        <v>4</v>
      </c>
      <c r="I839" s="4" t="s">
        <v>329</v>
      </c>
      <c r="J839" s="4" t="s">
        <v>330</v>
      </c>
      <c r="K839" s="7">
        <v>500.09380700000003</v>
      </c>
      <c r="L839" s="7">
        <v>550</v>
      </c>
      <c r="M839" s="7">
        <v>90.926147</v>
      </c>
      <c r="N839" s="7">
        <v>1</v>
      </c>
      <c r="O839" s="7">
        <v>0</v>
      </c>
      <c r="P839" s="7">
        <v>77.972373000000005</v>
      </c>
      <c r="Q839" s="7">
        <v>50</v>
      </c>
      <c r="R839" s="7">
        <v>50</v>
      </c>
      <c r="S839" s="7">
        <v>73.442081000000002</v>
      </c>
      <c r="T839" s="7">
        <v>75</v>
      </c>
      <c r="U839" s="7">
        <v>48.961387000000002</v>
      </c>
      <c r="V839" s="7">
        <v>50</v>
      </c>
      <c r="W839" s="7">
        <v>73.336326999999997</v>
      </c>
      <c r="X839" s="7">
        <v>48.890884</v>
      </c>
      <c r="Y839" s="7">
        <v>50</v>
      </c>
      <c r="Z839" s="7">
        <v>75</v>
      </c>
      <c r="AA839" s="7">
        <v>70.46611</v>
      </c>
      <c r="AB839" s="7">
        <v>46.977406999999999</v>
      </c>
      <c r="AC839" s="7">
        <v>50</v>
      </c>
      <c r="AD839" s="4" t="s">
        <v>124</v>
      </c>
      <c r="AE839" s="4" t="s">
        <v>124</v>
      </c>
      <c r="AF839" s="4" t="s">
        <v>124</v>
      </c>
      <c r="AG839" s="4" t="s">
        <v>124</v>
      </c>
      <c r="AH839" s="4" t="s">
        <v>124</v>
      </c>
      <c r="AI839" s="4" t="s">
        <v>124</v>
      </c>
      <c r="AJ839" s="4" t="s">
        <v>124</v>
      </c>
      <c r="AK839" s="7">
        <v>1.55</v>
      </c>
      <c r="AL839" s="7">
        <v>4.53</v>
      </c>
      <c r="AM839" s="4" t="s">
        <v>124</v>
      </c>
      <c r="AN839" s="7">
        <v>0.85562800000000006</v>
      </c>
      <c r="AO839" s="7">
        <v>85.562841000000006</v>
      </c>
      <c r="AP839" s="7">
        <v>100</v>
      </c>
      <c r="AQ839" s="7">
        <v>0.92679999999999996</v>
      </c>
      <c r="AR839" s="7">
        <v>92.680025999999998</v>
      </c>
      <c r="AS839" s="7">
        <v>100</v>
      </c>
      <c r="AT839" s="4" t="s">
        <v>124</v>
      </c>
      <c r="AU839" s="7">
        <v>0.82145400000000002</v>
      </c>
      <c r="AV839" s="4" t="s">
        <v>124</v>
      </c>
      <c r="AW839" s="4" t="s">
        <v>124</v>
      </c>
      <c r="AX839" s="4" t="s">
        <v>124</v>
      </c>
      <c r="AY839" s="7">
        <v>0.89570399999999994</v>
      </c>
      <c r="AZ839" s="4" t="s">
        <v>124</v>
      </c>
      <c r="BA839" s="4" t="s">
        <v>124</v>
      </c>
      <c r="BB839" s="4" t="s">
        <v>124</v>
      </c>
      <c r="BC839" s="4" t="s">
        <v>124</v>
      </c>
      <c r="BD839" s="4" t="s">
        <v>124</v>
      </c>
      <c r="BE839" s="4" t="s">
        <v>124</v>
      </c>
      <c r="BF839" s="4" t="s">
        <v>124</v>
      </c>
      <c r="BG839" s="4" t="s">
        <v>124</v>
      </c>
      <c r="BH839" s="7">
        <v>0</v>
      </c>
      <c r="BI839" s="7">
        <v>1</v>
      </c>
      <c r="BJ839" s="7">
        <v>1</v>
      </c>
      <c r="BK839" s="7">
        <v>1</v>
      </c>
      <c r="BL839" s="7">
        <v>1</v>
      </c>
      <c r="BM839" s="7">
        <v>1</v>
      </c>
      <c r="BN839" s="7">
        <v>1</v>
      </c>
      <c r="BO839" s="4" t="s">
        <v>124</v>
      </c>
      <c r="BP839" s="4" t="s">
        <v>124</v>
      </c>
      <c r="BQ839" s="4" t="s">
        <v>124</v>
      </c>
      <c r="BR839" s="7">
        <v>7.9295000000000004E-2</v>
      </c>
      <c r="BS839" s="7">
        <v>44.140968999999998</v>
      </c>
      <c r="BT839" s="7">
        <v>50</v>
      </c>
      <c r="BU839" s="7">
        <v>0.110236</v>
      </c>
      <c r="BV839" s="7">
        <v>37.952756000000001</v>
      </c>
      <c r="BW839" s="7">
        <v>50</v>
      </c>
      <c r="BX839" s="4" t="s">
        <v>124</v>
      </c>
      <c r="BY839" s="4" t="s">
        <v>124</v>
      </c>
      <c r="BZ839" s="4" t="s">
        <v>124</v>
      </c>
      <c r="CA839" s="4" t="s">
        <v>124</v>
      </c>
      <c r="CB839" s="4" t="s">
        <v>124</v>
      </c>
      <c r="CC839" s="4" t="s">
        <v>124</v>
      </c>
      <c r="CD839" s="4" t="s">
        <v>124</v>
      </c>
      <c r="CE839" s="4" t="s">
        <v>124</v>
      </c>
      <c r="CF839" s="4" t="s">
        <v>124</v>
      </c>
      <c r="CG839" s="4" t="s">
        <v>124</v>
      </c>
      <c r="CH839" s="4" t="s">
        <v>124</v>
      </c>
      <c r="CI839" s="4" t="s">
        <v>124</v>
      </c>
      <c r="CJ839" s="4" t="s">
        <v>124</v>
      </c>
      <c r="CK839" s="4" t="s">
        <v>124</v>
      </c>
      <c r="CL839" s="4" t="s">
        <v>124</v>
      </c>
      <c r="CM839" s="4" t="s">
        <v>124</v>
      </c>
      <c r="CN839" s="4" t="s">
        <v>124</v>
      </c>
      <c r="CO839" s="4" t="s">
        <v>124</v>
      </c>
      <c r="CP839" s="4" t="s">
        <v>124</v>
      </c>
      <c r="CQ839" s="7">
        <v>0.67391299999999998</v>
      </c>
      <c r="CR839" s="7">
        <v>0.97872300000000001</v>
      </c>
      <c r="CS839" s="7">
        <v>44.927536000000003</v>
      </c>
      <c r="CT839" s="7">
        <v>50</v>
      </c>
      <c r="CU839" s="4" t="s">
        <v>124</v>
      </c>
      <c r="CV839" s="4" t="s">
        <v>124</v>
      </c>
      <c r="CW839" s="4" t="s">
        <v>124</v>
      </c>
      <c r="CX839" s="4" t="s">
        <v>124</v>
      </c>
      <c r="CY839" s="4" t="s">
        <v>124</v>
      </c>
      <c r="CZ839" s="4" t="s">
        <v>124</v>
      </c>
      <c r="DA839" s="7">
        <v>15.314097</v>
      </c>
      <c r="DB839" s="7">
        <v>17.400950000000002</v>
      </c>
      <c r="DC839" s="7">
        <v>16.332519999999999</v>
      </c>
      <c r="DD839" s="4" t="s">
        <v>124</v>
      </c>
      <c r="DE839" s="7">
        <v>0</v>
      </c>
      <c r="DF839" s="6"/>
      <c r="DG839" s="6"/>
      <c r="DH839" s="4" t="s">
        <v>331</v>
      </c>
      <c r="DI839" s="4" t="s">
        <v>497</v>
      </c>
      <c r="DJ839" s="7">
        <v>1</v>
      </c>
      <c r="DK839" s="7">
        <v>1</v>
      </c>
      <c r="DL839" s="7">
        <v>1</v>
      </c>
      <c r="DM839" s="7">
        <v>0</v>
      </c>
      <c r="DN839" s="7">
        <v>0</v>
      </c>
      <c r="DO839" s="7">
        <v>0</v>
      </c>
      <c r="DP839" s="6"/>
      <c r="DQ839" s="4" t="s">
        <v>125</v>
      </c>
    </row>
    <row r="840" spans="1:121" ht="20" customHeight="1" x14ac:dyDescent="0.15">
      <c r="A840" s="5">
        <v>2018</v>
      </c>
      <c r="B840" s="3" t="s">
        <v>280</v>
      </c>
      <c r="C840" s="4" t="str">
        <f t="shared" si="152"/>
        <v>1270011</v>
      </c>
      <c r="D840" s="4" t="s">
        <v>579</v>
      </c>
      <c r="E840" s="4" t="str">
        <f>"1270111"</f>
        <v>1270111</v>
      </c>
      <c r="F840" s="4" t="s">
        <v>327</v>
      </c>
      <c r="G840" s="4" t="s">
        <v>328</v>
      </c>
      <c r="H840" s="7">
        <v>8</v>
      </c>
      <c r="I840" s="4" t="s">
        <v>329</v>
      </c>
      <c r="J840" s="4" t="s">
        <v>330</v>
      </c>
      <c r="K840" s="7">
        <v>655.75992099999996</v>
      </c>
      <c r="L840" s="7">
        <v>850</v>
      </c>
      <c r="M840" s="7">
        <v>77.148225999999994</v>
      </c>
      <c r="N840" s="7">
        <v>3</v>
      </c>
      <c r="O840" s="7">
        <v>0</v>
      </c>
      <c r="P840" s="7">
        <v>73.349384999999998</v>
      </c>
      <c r="Q840" s="7">
        <v>48.899590000000003</v>
      </c>
      <c r="R840" s="7">
        <v>50</v>
      </c>
      <c r="S840" s="7">
        <v>61.605902</v>
      </c>
      <c r="T840" s="7">
        <v>75</v>
      </c>
      <c r="U840" s="7">
        <v>41.070601000000003</v>
      </c>
      <c r="V840" s="7">
        <v>50</v>
      </c>
      <c r="W840" s="7">
        <v>70.800359</v>
      </c>
      <c r="X840" s="7">
        <v>47.200239000000003</v>
      </c>
      <c r="Y840" s="7">
        <v>50</v>
      </c>
      <c r="Z840" s="7">
        <v>74.182822000000002</v>
      </c>
      <c r="AA840" s="7">
        <v>58.071615000000001</v>
      </c>
      <c r="AB840" s="7">
        <v>38.714410000000001</v>
      </c>
      <c r="AC840" s="7">
        <v>50</v>
      </c>
      <c r="AD840" s="7">
        <v>69.436706999999998</v>
      </c>
      <c r="AE840" s="7">
        <v>46.291137999999997</v>
      </c>
      <c r="AF840" s="7">
        <v>50</v>
      </c>
      <c r="AG840" s="4" t="s">
        <v>124</v>
      </c>
      <c r="AH840" s="7">
        <v>72.196111999999999</v>
      </c>
      <c r="AI840" s="4" t="s">
        <v>124</v>
      </c>
      <c r="AJ840" s="4" t="s">
        <v>124</v>
      </c>
      <c r="AK840" s="7">
        <v>13.39</v>
      </c>
      <c r="AL840" s="7">
        <v>16.11</v>
      </c>
      <c r="AM840" s="4" t="s">
        <v>124</v>
      </c>
      <c r="AN840" s="7">
        <v>0.60003799999999996</v>
      </c>
      <c r="AO840" s="7">
        <v>60.003833999999998</v>
      </c>
      <c r="AP840" s="7">
        <v>100</v>
      </c>
      <c r="AQ840" s="7">
        <v>0.67798199999999997</v>
      </c>
      <c r="AR840" s="7">
        <v>67.798162000000005</v>
      </c>
      <c r="AS840" s="7">
        <v>100</v>
      </c>
      <c r="AT840" s="7">
        <v>0.66543799999999997</v>
      </c>
      <c r="AU840" s="7">
        <v>0.58468399999999998</v>
      </c>
      <c r="AV840" s="7">
        <v>66.543805000000006</v>
      </c>
      <c r="AW840" s="7">
        <v>100</v>
      </c>
      <c r="AX840" s="7">
        <v>0.56957400000000002</v>
      </c>
      <c r="AY840" s="7">
        <v>0.70249099999999998</v>
      </c>
      <c r="AZ840" s="7">
        <v>56.957439999999998</v>
      </c>
      <c r="BA840" s="7">
        <v>100</v>
      </c>
      <c r="BB840" s="4" t="s">
        <v>124</v>
      </c>
      <c r="BC840" s="4" t="s">
        <v>124</v>
      </c>
      <c r="BD840" s="4" t="s">
        <v>124</v>
      </c>
      <c r="BE840" s="4" t="s">
        <v>124</v>
      </c>
      <c r="BF840" s="4" t="s">
        <v>124</v>
      </c>
      <c r="BG840" s="4" t="s">
        <v>124</v>
      </c>
      <c r="BH840" s="7">
        <v>1</v>
      </c>
      <c r="BI840" s="7">
        <v>0.93846200000000002</v>
      </c>
      <c r="BJ840" s="7">
        <v>0.97435899999999998</v>
      </c>
      <c r="BK840" s="7">
        <v>0.92948699999999995</v>
      </c>
      <c r="BL840" s="7">
        <v>0.93846200000000002</v>
      </c>
      <c r="BM840" s="7">
        <v>0.97435899999999998</v>
      </c>
      <c r="BN840" s="7">
        <v>0.92948699999999995</v>
      </c>
      <c r="BO840" s="7">
        <v>0.91666700000000001</v>
      </c>
      <c r="BP840" s="4" t="s">
        <v>124</v>
      </c>
      <c r="BQ840" s="7">
        <v>0.92</v>
      </c>
      <c r="BR840" s="7">
        <v>2.6315999999999999E-2</v>
      </c>
      <c r="BS840" s="7">
        <v>50</v>
      </c>
      <c r="BT840" s="7">
        <v>50</v>
      </c>
      <c r="BU840" s="7">
        <v>4.0815999999999998E-2</v>
      </c>
      <c r="BV840" s="7">
        <v>50</v>
      </c>
      <c r="BW840" s="7">
        <v>50</v>
      </c>
      <c r="BX840" s="4" t="s">
        <v>124</v>
      </c>
      <c r="BY840" s="4" t="s">
        <v>124</v>
      </c>
      <c r="BZ840" s="4" t="s">
        <v>124</v>
      </c>
      <c r="CA840" s="4" t="s">
        <v>124</v>
      </c>
      <c r="CB840" s="4" t="s">
        <v>124</v>
      </c>
      <c r="CC840" s="4" t="s">
        <v>124</v>
      </c>
      <c r="CD840" s="7">
        <v>0.97058800000000001</v>
      </c>
      <c r="CE840" s="7">
        <v>50</v>
      </c>
      <c r="CF840" s="7">
        <v>50</v>
      </c>
      <c r="CG840" s="4" t="s">
        <v>124</v>
      </c>
      <c r="CH840" s="4" t="s">
        <v>124</v>
      </c>
      <c r="CI840" s="4" t="s">
        <v>124</v>
      </c>
      <c r="CJ840" s="4" t="s">
        <v>124</v>
      </c>
      <c r="CK840" s="4" t="s">
        <v>124</v>
      </c>
      <c r="CL840" s="4" t="s">
        <v>124</v>
      </c>
      <c r="CM840" s="4" t="s">
        <v>124</v>
      </c>
      <c r="CN840" s="4" t="s">
        <v>124</v>
      </c>
      <c r="CO840" s="4" t="s">
        <v>124</v>
      </c>
      <c r="CP840" s="4" t="s">
        <v>124</v>
      </c>
      <c r="CQ840" s="7">
        <v>0.484211</v>
      </c>
      <c r="CR840" s="7">
        <v>0.97938099999999995</v>
      </c>
      <c r="CS840" s="7">
        <v>32.280701999999998</v>
      </c>
      <c r="CT840" s="7">
        <v>50</v>
      </c>
      <c r="CU840" s="4" t="s">
        <v>124</v>
      </c>
      <c r="CV840" s="4" t="s">
        <v>124</v>
      </c>
      <c r="CW840" s="4" t="s">
        <v>124</v>
      </c>
      <c r="CX840" s="4" t="s">
        <v>124</v>
      </c>
      <c r="CY840" s="4" t="s">
        <v>124</v>
      </c>
      <c r="CZ840" s="4" t="s">
        <v>124</v>
      </c>
      <c r="DA840" s="7">
        <v>15.314097</v>
      </c>
      <c r="DB840" s="7">
        <v>17.400950000000002</v>
      </c>
      <c r="DC840" s="7">
        <v>16.332519999999999</v>
      </c>
      <c r="DD840" s="4" t="s">
        <v>124</v>
      </c>
      <c r="DE840" s="7">
        <v>1</v>
      </c>
      <c r="DF840" s="6"/>
      <c r="DG840" s="6"/>
      <c r="DH840" s="6"/>
      <c r="DI840" s="6"/>
      <c r="DJ840" s="7">
        <v>0</v>
      </c>
      <c r="DK840" s="7">
        <v>0</v>
      </c>
      <c r="DL840" s="7">
        <v>0</v>
      </c>
      <c r="DM840" s="7">
        <v>0</v>
      </c>
      <c r="DN840" s="7">
        <v>0</v>
      </c>
      <c r="DO840" s="7">
        <v>0</v>
      </c>
      <c r="DP840" s="6"/>
      <c r="DQ840" s="4" t="s">
        <v>125</v>
      </c>
    </row>
    <row r="841" spans="1:121" ht="20" customHeight="1" x14ac:dyDescent="0.15">
      <c r="A841" s="5">
        <v>2018</v>
      </c>
      <c r="B841" s="3" t="s">
        <v>281</v>
      </c>
      <c r="C841" s="4" t="str">
        <f t="shared" si="153"/>
        <v>1280011</v>
      </c>
      <c r="D841" s="4" t="s">
        <v>994</v>
      </c>
      <c r="E841" s="4" t="str">
        <f>"1280111"</f>
        <v>1280111</v>
      </c>
      <c r="F841" s="4" t="s">
        <v>327</v>
      </c>
      <c r="G841" s="4" t="s">
        <v>338</v>
      </c>
      <c r="H841" s="7">
        <v>6</v>
      </c>
      <c r="I841" s="6"/>
      <c r="J841" s="4" t="s">
        <v>330</v>
      </c>
      <c r="K841" s="7">
        <v>663.59148600000003</v>
      </c>
      <c r="L841" s="7">
        <v>800</v>
      </c>
      <c r="M841" s="7">
        <v>82.948936000000003</v>
      </c>
      <c r="N841" s="7">
        <v>2</v>
      </c>
      <c r="O841" s="7">
        <v>0</v>
      </c>
      <c r="P841" s="7">
        <v>85.747055000000003</v>
      </c>
      <c r="Q841" s="7">
        <v>50</v>
      </c>
      <c r="R841" s="7">
        <v>50</v>
      </c>
      <c r="S841" s="7">
        <v>75.188394000000002</v>
      </c>
      <c r="T841" s="7">
        <v>75</v>
      </c>
      <c r="U841" s="7">
        <v>50</v>
      </c>
      <c r="V841" s="7">
        <v>50</v>
      </c>
      <c r="W841" s="7">
        <v>79.030253999999999</v>
      </c>
      <c r="X841" s="7">
        <v>50</v>
      </c>
      <c r="Y841" s="7">
        <v>50</v>
      </c>
      <c r="Z841" s="7">
        <v>75</v>
      </c>
      <c r="AA841" s="7">
        <v>71.062528999999998</v>
      </c>
      <c r="AB841" s="7">
        <v>47.375019000000002</v>
      </c>
      <c r="AC841" s="7">
        <v>50</v>
      </c>
      <c r="AD841" s="7">
        <v>84.899017999999998</v>
      </c>
      <c r="AE841" s="7">
        <v>50</v>
      </c>
      <c r="AF841" s="7">
        <v>50</v>
      </c>
      <c r="AG841" s="4" t="s">
        <v>124</v>
      </c>
      <c r="AH841" s="7">
        <v>75</v>
      </c>
      <c r="AI841" s="4" t="s">
        <v>124</v>
      </c>
      <c r="AJ841" s="4" t="s">
        <v>124</v>
      </c>
      <c r="AK841" s="7">
        <v>-0.18</v>
      </c>
      <c r="AL841" s="7">
        <v>3.93</v>
      </c>
      <c r="AM841" s="4" t="s">
        <v>124</v>
      </c>
      <c r="AN841" s="7">
        <v>0.71875699999999998</v>
      </c>
      <c r="AO841" s="7">
        <v>71.875698</v>
      </c>
      <c r="AP841" s="7">
        <v>100</v>
      </c>
      <c r="AQ841" s="7">
        <v>0.79482399999999997</v>
      </c>
      <c r="AR841" s="7">
        <v>79.482440999999994</v>
      </c>
      <c r="AS841" s="7">
        <v>100</v>
      </c>
      <c r="AT841" s="7">
        <v>0.53925800000000002</v>
      </c>
      <c r="AU841" s="7">
        <v>0.76363199999999998</v>
      </c>
      <c r="AV841" s="7">
        <v>53.925789000000002</v>
      </c>
      <c r="AW841" s="7">
        <v>100</v>
      </c>
      <c r="AX841" s="7">
        <v>0.686334</v>
      </c>
      <c r="AY841" s="7">
        <v>0.82194699999999998</v>
      </c>
      <c r="AZ841" s="7">
        <v>68.633352000000002</v>
      </c>
      <c r="BA841" s="7">
        <v>100</v>
      </c>
      <c r="BB841" s="4" t="s">
        <v>124</v>
      </c>
      <c r="BC841" s="4" t="s">
        <v>124</v>
      </c>
      <c r="BD841" s="4" t="s">
        <v>124</v>
      </c>
      <c r="BE841" s="4" t="s">
        <v>124</v>
      </c>
      <c r="BF841" s="4" t="s">
        <v>124</v>
      </c>
      <c r="BG841" s="4" t="s">
        <v>124</v>
      </c>
      <c r="BH841" s="7">
        <v>0</v>
      </c>
      <c r="BI841" s="7">
        <v>0.99541299999999999</v>
      </c>
      <c r="BJ841" s="7">
        <v>0.98039200000000004</v>
      </c>
      <c r="BK841" s="7">
        <v>1</v>
      </c>
      <c r="BL841" s="7">
        <v>0.99541299999999999</v>
      </c>
      <c r="BM841" s="7">
        <v>0.98039200000000004</v>
      </c>
      <c r="BN841" s="7">
        <v>1</v>
      </c>
      <c r="BO841" s="7">
        <v>1</v>
      </c>
      <c r="BP841" s="4" t="s">
        <v>124</v>
      </c>
      <c r="BQ841" s="7">
        <v>1</v>
      </c>
      <c r="BR841" s="7">
        <v>2.6525E-2</v>
      </c>
      <c r="BS841" s="7">
        <v>50</v>
      </c>
      <c r="BT841" s="7">
        <v>50</v>
      </c>
      <c r="BU841" s="7">
        <v>7.3171E-2</v>
      </c>
      <c r="BV841" s="7">
        <v>45.365853999999999</v>
      </c>
      <c r="BW841" s="7">
        <v>50</v>
      </c>
      <c r="BX841" s="4" t="s">
        <v>124</v>
      </c>
      <c r="BY841" s="4" t="s">
        <v>124</v>
      </c>
      <c r="BZ841" s="4" t="s">
        <v>124</v>
      </c>
      <c r="CA841" s="4" t="s">
        <v>124</v>
      </c>
      <c r="CB841" s="4" t="s">
        <v>124</v>
      </c>
      <c r="CC841" s="4" t="s">
        <v>124</v>
      </c>
      <c r="CD841" s="4" t="s">
        <v>124</v>
      </c>
      <c r="CE841" s="4" t="s">
        <v>124</v>
      </c>
      <c r="CF841" s="4" t="s">
        <v>124</v>
      </c>
      <c r="CG841" s="4" t="s">
        <v>124</v>
      </c>
      <c r="CH841" s="4" t="s">
        <v>124</v>
      </c>
      <c r="CI841" s="4" t="s">
        <v>124</v>
      </c>
      <c r="CJ841" s="4" t="s">
        <v>124</v>
      </c>
      <c r="CK841" s="4" t="s">
        <v>124</v>
      </c>
      <c r="CL841" s="4" t="s">
        <v>124</v>
      </c>
      <c r="CM841" s="4" t="s">
        <v>124</v>
      </c>
      <c r="CN841" s="4" t="s">
        <v>124</v>
      </c>
      <c r="CO841" s="4" t="s">
        <v>124</v>
      </c>
      <c r="CP841" s="4" t="s">
        <v>124</v>
      </c>
      <c r="CQ841" s="7">
        <v>0.70399999999999996</v>
      </c>
      <c r="CR841" s="7">
        <v>0.98425200000000002</v>
      </c>
      <c r="CS841" s="7">
        <v>46.933332999999998</v>
      </c>
      <c r="CT841" s="7">
        <v>50</v>
      </c>
      <c r="CU841" s="4" t="s">
        <v>124</v>
      </c>
      <c r="CV841" s="4" t="s">
        <v>124</v>
      </c>
      <c r="CW841" s="4" t="s">
        <v>124</v>
      </c>
      <c r="CX841" s="4" t="s">
        <v>124</v>
      </c>
      <c r="CY841" s="4" t="s">
        <v>124</v>
      </c>
      <c r="CZ841" s="4" t="s">
        <v>124</v>
      </c>
      <c r="DA841" s="7">
        <v>15.314097</v>
      </c>
      <c r="DB841" s="7">
        <v>17.400950000000002</v>
      </c>
      <c r="DC841" s="7">
        <v>16.332519999999999</v>
      </c>
      <c r="DD841" s="4" t="s">
        <v>124</v>
      </c>
      <c r="DE841" s="7">
        <v>0</v>
      </c>
      <c r="DF841" s="6"/>
      <c r="DG841" s="6"/>
      <c r="DH841" s="6"/>
      <c r="DI841" s="6"/>
      <c r="DJ841" s="7">
        <v>0</v>
      </c>
      <c r="DK841" s="7">
        <v>0</v>
      </c>
      <c r="DL841" s="7">
        <v>0</v>
      </c>
      <c r="DM841" s="7">
        <v>0</v>
      </c>
      <c r="DN841" s="7">
        <v>0</v>
      </c>
      <c r="DO841" s="7">
        <v>0</v>
      </c>
      <c r="DP841" s="6"/>
      <c r="DQ841" s="4" t="s">
        <v>125</v>
      </c>
    </row>
    <row r="842" spans="1:121" ht="20" customHeight="1" x14ac:dyDescent="0.15">
      <c r="A842" s="5">
        <v>2018</v>
      </c>
      <c r="B842" s="3" t="s">
        <v>281</v>
      </c>
      <c r="C842" s="4" t="str">
        <f t="shared" ref="C842:C846" si="249">"1280011"</f>
        <v>1280011</v>
      </c>
      <c r="D842" s="4" t="s">
        <v>995</v>
      </c>
      <c r="E842" s="4" t="str">
        <f>"1285111"</f>
        <v>1285111</v>
      </c>
      <c r="F842" s="4" t="s">
        <v>327</v>
      </c>
      <c r="G842" s="7">
        <v>7</v>
      </c>
      <c r="H842" s="7">
        <v>8</v>
      </c>
      <c r="I842" s="4" t="s">
        <v>335</v>
      </c>
      <c r="J842" s="4" t="s">
        <v>330</v>
      </c>
      <c r="K842" s="7">
        <v>673.78060100000005</v>
      </c>
      <c r="L842" s="7">
        <v>900</v>
      </c>
      <c r="M842" s="7">
        <v>74.864510999999993</v>
      </c>
      <c r="N842" s="7">
        <v>3</v>
      </c>
      <c r="O842" s="7">
        <v>1</v>
      </c>
      <c r="P842" s="7">
        <v>82.172523999999996</v>
      </c>
      <c r="Q842" s="7">
        <v>50</v>
      </c>
      <c r="R842" s="7">
        <v>50</v>
      </c>
      <c r="S842" s="7">
        <v>66.810827000000003</v>
      </c>
      <c r="T842" s="7">
        <v>75</v>
      </c>
      <c r="U842" s="7">
        <v>44.540551000000001</v>
      </c>
      <c r="V842" s="7">
        <v>50</v>
      </c>
      <c r="W842" s="7">
        <v>74.343502000000001</v>
      </c>
      <c r="X842" s="7">
        <v>49.562334</v>
      </c>
      <c r="Y842" s="7">
        <v>50</v>
      </c>
      <c r="Z842" s="7">
        <v>75</v>
      </c>
      <c r="AA842" s="7">
        <v>56.827838</v>
      </c>
      <c r="AB842" s="7">
        <v>37.885224999999998</v>
      </c>
      <c r="AC842" s="7">
        <v>50</v>
      </c>
      <c r="AD842" s="7">
        <v>77.831142</v>
      </c>
      <c r="AE842" s="7">
        <v>50</v>
      </c>
      <c r="AF842" s="7">
        <v>50</v>
      </c>
      <c r="AG842" s="7">
        <v>62.741289999999999</v>
      </c>
      <c r="AH842" s="7">
        <v>75</v>
      </c>
      <c r="AI842" s="7">
        <v>41.827525999999999</v>
      </c>
      <c r="AJ842" s="7">
        <v>50</v>
      </c>
      <c r="AK842" s="7">
        <v>8.18</v>
      </c>
      <c r="AL842" s="7">
        <v>18.170000000000002</v>
      </c>
      <c r="AM842" s="7">
        <v>12.25</v>
      </c>
      <c r="AN842" s="7">
        <v>0.63897099999999996</v>
      </c>
      <c r="AO842" s="7">
        <v>63.897050999999998</v>
      </c>
      <c r="AP842" s="7">
        <v>100</v>
      </c>
      <c r="AQ842" s="7">
        <v>0.60694599999999999</v>
      </c>
      <c r="AR842" s="7">
        <v>60.694611000000002</v>
      </c>
      <c r="AS842" s="7">
        <v>100</v>
      </c>
      <c r="AT842" s="7">
        <v>0.519451</v>
      </c>
      <c r="AU842" s="7">
        <v>0.67346300000000003</v>
      </c>
      <c r="AV842" s="7">
        <v>51.945104000000001</v>
      </c>
      <c r="AW842" s="7">
        <v>100</v>
      </c>
      <c r="AX842" s="7">
        <v>0.43505100000000002</v>
      </c>
      <c r="AY842" s="7">
        <v>0.65666500000000005</v>
      </c>
      <c r="AZ842" s="7">
        <v>43.505147999999998</v>
      </c>
      <c r="BA842" s="7">
        <v>100</v>
      </c>
      <c r="BB842" s="4" t="s">
        <v>124</v>
      </c>
      <c r="BC842" s="4" t="s">
        <v>124</v>
      </c>
      <c r="BD842" s="4" t="s">
        <v>124</v>
      </c>
      <c r="BE842" s="4" t="s">
        <v>124</v>
      </c>
      <c r="BF842" s="4" t="s">
        <v>124</v>
      </c>
      <c r="BG842" s="4" t="s">
        <v>124</v>
      </c>
      <c r="BH842" s="7">
        <v>1</v>
      </c>
      <c r="BI842" s="7">
        <v>0.98507500000000003</v>
      </c>
      <c r="BJ842" s="7">
        <v>0.94557800000000003</v>
      </c>
      <c r="BK842" s="7">
        <v>0.997807</v>
      </c>
      <c r="BL842" s="7">
        <v>0.98673299999999997</v>
      </c>
      <c r="BM842" s="7">
        <v>0.94557800000000003</v>
      </c>
      <c r="BN842" s="7">
        <v>1</v>
      </c>
      <c r="BO842" s="7">
        <v>0.98688500000000001</v>
      </c>
      <c r="BP842" s="7">
        <v>0.95522399999999996</v>
      </c>
      <c r="BQ842" s="7">
        <v>0.99579799999999996</v>
      </c>
      <c r="BR842" s="7">
        <v>6.4783999999999994E-2</v>
      </c>
      <c r="BS842" s="7">
        <v>47.043188999999998</v>
      </c>
      <c r="BT842" s="7">
        <v>50</v>
      </c>
      <c r="BU842" s="7">
        <v>0.13103400000000001</v>
      </c>
      <c r="BV842" s="7">
        <v>33.793103000000002</v>
      </c>
      <c r="BW842" s="7">
        <v>50</v>
      </c>
      <c r="BX842" s="4" t="s">
        <v>124</v>
      </c>
      <c r="BY842" s="4" t="s">
        <v>124</v>
      </c>
      <c r="BZ842" s="4" t="s">
        <v>124</v>
      </c>
      <c r="CA842" s="4" t="s">
        <v>124</v>
      </c>
      <c r="CB842" s="4" t="s">
        <v>124</v>
      </c>
      <c r="CC842" s="4" t="s">
        <v>124</v>
      </c>
      <c r="CD842" s="7">
        <v>0.98750000000000004</v>
      </c>
      <c r="CE842" s="7">
        <v>50</v>
      </c>
      <c r="CF842" s="7">
        <v>50</v>
      </c>
      <c r="CG842" s="4" t="s">
        <v>124</v>
      </c>
      <c r="CH842" s="4" t="s">
        <v>124</v>
      </c>
      <c r="CI842" s="4" t="s">
        <v>124</v>
      </c>
      <c r="CJ842" s="4" t="s">
        <v>124</v>
      </c>
      <c r="CK842" s="4" t="s">
        <v>124</v>
      </c>
      <c r="CL842" s="4" t="s">
        <v>124</v>
      </c>
      <c r="CM842" s="4" t="s">
        <v>124</v>
      </c>
      <c r="CN842" s="4" t="s">
        <v>124</v>
      </c>
      <c r="CO842" s="4" t="s">
        <v>124</v>
      </c>
      <c r="CP842" s="4" t="s">
        <v>124</v>
      </c>
      <c r="CQ842" s="7">
        <v>0.73630099999999998</v>
      </c>
      <c r="CR842" s="7">
        <v>0.96052599999999999</v>
      </c>
      <c r="CS842" s="7">
        <v>49.086758000000003</v>
      </c>
      <c r="CT842" s="7">
        <v>50</v>
      </c>
      <c r="CU842" s="4" t="s">
        <v>124</v>
      </c>
      <c r="CV842" s="4" t="s">
        <v>124</v>
      </c>
      <c r="CW842" s="4" t="s">
        <v>124</v>
      </c>
      <c r="CX842" s="4" t="s">
        <v>124</v>
      </c>
      <c r="CY842" s="4" t="s">
        <v>124</v>
      </c>
      <c r="CZ842" s="4" t="s">
        <v>124</v>
      </c>
      <c r="DA842" s="7">
        <v>15.314097</v>
      </c>
      <c r="DB842" s="7">
        <v>17.400950000000002</v>
      </c>
      <c r="DC842" s="7">
        <v>16.332519999999999</v>
      </c>
      <c r="DD842" s="4" t="s">
        <v>124</v>
      </c>
      <c r="DE842" s="7">
        <v>1</v>
      </c>
      <c r="DF842" s="6"/>
      <c r="DG842" s="6"/>
      <c r="DH842" s="6"/>
      <c r="DI842" s="6"/>
      <c r="DJ842" s="7">
        <v>0</v>
      </c>
      <c r="DK842" s="7">
        <v>0</v>
      </c>
      <c r="DL842" s="7">
        <v>0</v>
      </c>
      <c r="DM842" s="7">
        <v>0</v>
      </c>
      <c r="DN842" s="7">
        <v>0</v>
      </c>
      <c r="DO842" s="7">
        <v>0</v>
      </c>
      <c r="DP842" s="6"/>
      <c r="DQ842" s="4" t="s">
        <v>125</v>
      </c>
    </row>
    <row r="843" spans="1:121" ht="20" customHeight="1" x14ac:dyDescent="0.15">
      <c r="A843" s="5">
        <v>2018</v>
      </c>
      <c r="B843" s="3" t="s">
        <v>281</v>
      </c>
      <c r="C843" s="4" t="str">
        <f t="shared" si="249"/>
        <v>1280011</v>
      </c>
      <c r="D843" s="4" t="s">
        <v>996</v>
      </c>
      <c r="E843" s="4" t="str">
        <f>"1280611"</f>
        <v>1280611</v>
      </c>
      <c r="F843" s="4" t="s">
        <v>327</v>
      </c>
      <c r="G843" s="4" t="s">
        <v>338</v>
      </c>
      <c r="H843" s="7">
        <v>6</v>
      </c>
      <c r="I843" s="4" t="s">
        <v>335</v>
      </c>
      <c r="J843" s="4" t="s">
        <v>330</v>
      </c>
      <c r="K843" s="7">
        <v>650.81332799999996</v>
      </c>
      <c r="L843" s="7">
        <v>800</v>
      </c>
      <c r="M843" s="7">
        <v>81.351665999999994</v>
      </c>
      <c r="N843" s="7">
        <v>2</v>
      </c>
      <c r="O843" s="7">
        <v>0</v>
      </c>
      <c r="P843" s="7">
        <v>81.910285000000002</v>
      </c>
      <c r="Q843" s="7">
        <v>50</v>
      </c>
      <c r="R843" s="7">
        <v>50</v>
      </c>
      <c r="S843" s="7">
        <v>68.092675999999997</v>
      </c>
      <c r="T843" s="7">
        <v>75</v>
      </c>
      <c r="U843" s="7">
        <v>45.395116999999999</v>
      </c>
      <c r="V843" s="7">
        <v>50</v>
      </c>
      <c r="W843" s="7">
        <v>74.527604999999994</v>
      </c>
      <c r="X843" s="7">
        <v>49.685070000000003</v>
      </c>
      <c r="Y843" s="7">
        <v>50</v>
      </c>
      <c r="Z843" s="7">
        <v>75</v>
      </c>
      <c r="AA843" s="7">
        <v>58.787303000000001</v>
      </c>
      <c r="AB843" s="7">
        <v>39.191535999999999</v>
      </c>
      <c r="AC843" s="7">
        <v>50</v>
      </c>
      <c r="AD843" s="7">
        <v>77.625191999999998</v>
      </c>
      <c r="AE843" s="7">
        <v>50</v>
      </c>
      <c r="AF843" s="7">
        <v>50</v>
      </c>
      <c r="AG843" s="4" t="s">
        <v>124</v>
      </c>
      <c r="AH843" s="7">
        <v>75</v>
      </c>
      <c r="AI843" s="4" t="s">
        <v>124</v>
      </c>
      <c r="AJ843" s="4" t="s">
        <v>124</v>
      </c>
      <c r="AK843" s="7">
        <v>6.9</v>
      </c>
      <c r="AL843" s="7">
        <v>16.21</v>
      </c>
      <c r="AM843" s="4" t="s">
        <v>124</v>
      </c>
      <c r="AN843" s="7">
        <v>0.69048299999999996</v>
      </c>
      <c r="AO843" s="7">
        <v>69.048272999999995</v>
      </c>
      <c r="AP843" s="7">
        <v>100</v>
      </c>
      <c r="AQ843" s="7">
        <v>0.77354900000000004</v>
      </c>
      <c r="AR843" s="7">
        <v>77.354933000000003</v>
      </c>
      <c r="AS843" s="7">
        <v>100</v>
      </c>
      <c r="AT843" s="7">
        <v>0.62894700000000003</v>
      </c>
      <c r="AU843" s="7">
        <v>0.70918999999999999</v>
      </c>
      <c r="AV843" s="7">
        <v>62.894689999999997</v>
      </c>
      <c r="AW843" s="7">
        <v>100</v>
      </c>
      <c r="AX843" s="7">
        <v>0.71177199999999996</v>
      </c>
      <c r="AY843" s="7">
        <v>0.79232999999999998</v>
      </c>
      <c r="AZ843" s="7">
        <v>71.177223999999995</v>
      </c>
      <c r="BA843" s="7">
        <v>100</v>
      </c>
      <c r="BB843" s="4" t="s">
        <v>124</v>
      </c>
      <c r="BC843" s="4" t="s">
        <v>124</v>
      </c>
      <c r="BD843" s="4" t="s">
        <v>124</v>
      </c>
      <c r="BE843" s="4" t="s">
        <v>124</v>
      </c>
      <c r="BF843" s="4" t="s">
        <v>124</v>
      </c>
      <c r="BG843" s="4" t="s">
        <v>124</v>
      </c>
      <c r="BH843" s="7">
        <v>0</v>
      </c>
      <c r="BI843" s="7">
        <v>0.995475</v>
      </c>
      <c r="BJ843" s="7">
        <v>1</v>
      </c>
      <c r="BK843" s="7">
        <v>0.993865</v>
      </c>
      <c r="BL843" s="7">
        <v>0.995475</v>
      </c>
      <c r="BM843" s="7">
        <v>1</v>
      </c>
      <c r="BN843" s="7">
        <v>0.993865</v>
      </c>
      <c r="BO843" s="7">
        <v>1</v>
      </c>
      <c r="BP843" s="4" t="s">
        <v>124</v>
      </c>
      <c r="BQ843" s="7">
        <v>1</v>
      </c>
      <c r="BR843" s="7">
        <v>3.6584999999999999E-2</v>
      </c>
      <c r="BS843" s="7">
        <v>50</v>
      </c>
      <c r="BT843" s="7">
        <v>50</v>
      </c>
      <c r="BU843" s="7">
        <v>6.7308000000000007E-2</v>
      </c>
      <c r="BV843" s="7">
        <v>46.538462000000003</v>
      </c>
      <c r="BW843" s="7">
        <v>50</v>
      </c>
      <c r="BX843" s="4" t="s">
        <v>124</v>
      </c>
      <c r="BY843" s="4" t="s">
        <v>124</v>
      </c>
      <c r="BZ843" s="4" t="s">
        <v>124</v>
      </c>
      <c r="CA843" s="4" t="s">
        <v>124</v>
      </c>
      <c r="CB843" s="4" t="s">
        <v>124</v>
      </c>
      <c r="CC843" s="4" t="s">
        <v>124</v>
      </c>
      <c r="CD843" s="4" t="s">
        <v>124</v>
      </c>
      <c r="CE843" s="4" t="s">
        <v>124</v>
      </c>
      <c r="CF843" s="4" t="s">
        <v>124</v>
      </c>
      <c r="CG843" s="4" t="s">
        <v>124</v>
      </c>
      <c r="CH843" s="4" t="s">
        <v>124</v>
      </c>
      <c r="CI843" s="4" t="s">
        <v>124</v>
      </c>
      <c r="CJ843" s="4" t="s">
        <v>124</v>
      </c>
      <c r="CK843" s="4" t="s">
        <v>124</v>
      </c>
      <c r="CL843" s="4" t="s">
        <v>124</v>
      </c>
      <c r="CM843" s="4" t="s">
        <v>124</v>
      </c>
      <c r="CN843" s="4" t="s">
        <v>124</v>
      </c>
      <c r="CO843" s="4" t="s">
        <v>124</v>
      </c>
      <c r="CP843" s="4" t="s">
        <v>124</v>
      </c>
      <c r="CQ843" s="7">
        <v>0.59292</v>
      </c>
      <c r="CR843" s="7">
        <v>1.008929</v>
      </c>
      <c r="CS843" s="7">
        <v>39.528024000000002</v>
      </c>
      <c r="CT843" s="7">
        <v>50</v>
      </c>
      <c r="CU843" s="4" t="s">
        <v>124</v>
      </c>
      <c r="CV843" s="4" t="s">
        <v>124</v>
      </c>
      <c r="CW843" s="4" t="s">
        <v>124</v>
      </c>
      <c r="CX843" s="4" t="s">
        <v>124</v>
      </c>
      <c r="CY843" s="4" t="s">
        <v>124</v>
      </c>
      <c r="CZ843" s="4" t="s">
        <v>124</v>
      </c>
      <c r="DA843" s="7">
        <v>15.314097</v>
      </c>
      <c r="DB843" s="7">
        <v>17.400950000000002</v>
      </c>
      <c r="DC843" s="7">
        <v>16.332519999999999</v>
      </c>
      <c r="DD843" s="4" t="s">
        <v>124</v>
      </c>
      <c r="DE843" s="7">
        <v>0</v>
      </c>
      <c r="DF843" s="6"/>
      <c r="DG843" s="6"/>
      <c r="DH843" s="6"/>
      <c r="DI843" s="6"/>
      <c r="DJ843" s="7">
        <v>0</v>
      </c>
      <c r="DK843" s="7">
        <v>0</v>
      </c>
      <c r="DL843" s="7">
        <v>0</v>
      </c>
      <c r="DM843" s="7">
        <v>0</v>
      </c>
      <c r="DN843" s="7">
        <v>0</v>
      </c>
      <c r="DO843" s="7">
        <v>0</v>
      </c>
      <c r="DP843" s="6"/>
      <c r="DQ843" s="4" t="s">
        <v>125</v>
      </c>
    </row>
    <row r="844" spans="1:121" ht="20" customHeight="1" x14ac:dyDescent="0.15">
      <c r="A844" s="5">
        <v>2018</v>
      </c>
      <c r="B844" s="3" t="s">
        <v>281</v>
      </c>
      <c r="C844" s="4" t="str">
        <f t="shared" si="249"/>
        <v>1280011</v>
      </c>
      <c r="D844" s="4" t="s">
        <v>997</v>
      </c>
      <c r="E844" s="4" t="str">
        <f>"1286111"</f>
        <v>1286111</v>
      </c>
      <c r="F844" s="4" t="s">
        <v>327</v>
      </c>
      <c r="G844" s="7">
        <v>9</v>
      </c>
      <c r="H844" s="7">
        <v>12</v>
      </c>
      <c r="I844" s="6"/>
      <c r="J844" s="4" t="s">
        <v>330</v>
      </c>
      <c r="K844" s="7">
        <v>1279.8801089999999</v>
      </c>
      <c r="L844" s="7">
        <v>1450</v>
      </c>
      <c r="M844" s="7">
        <v>88.267594000000003</v>
      </c>
      <c r="N844" s="7">
        <v>2</v>
      </c>
      <c r="O844" s="7">
        <v>1</v>
      </c>
      <c r="P844" s="7">
        <v>71.439578999999995</v>
      </c>
      <c r="Q844" s="7">
        <v>142.87915899999999</v>
      </c>
      <c r="R844" s="7">
        <v>150</v>
      </c>
      <c r="S844" s="7">
        <v>54.249206000000001</v>
      </c>
      <c r="T844" s="7">
        <v>75</v>
      </c>
      <c r="U844" s="7">
        <v>108.498413</v>
      </c>
      <c r="V844" s="7">
        <v>150</v>
      </c>
      <c r="W844" s="7">
        <v>69.454330999999996</v>
      </c>
      <c r="X844" s="7">
        <v>138.90866299999999</v>
      </c>
      <c r="Y844" s="7">
        <v>150</v>
      </c>
      <c r="Z844" s="7">
        <v>73.752933999999996</v>
      </c>
      <c r="AA844" s="7">
        <v>52.014285999999998</v>
      </c>
      <c r="AB844" s="7">
        <v>104.028571</v>
      </c>
      <c r="AC844" s="7">
        <v>150</v>
      </c>
      <c r="AD844" s="7">
        <v>81.049904999999995</v>
      </c>
      <c r="AE844" s="7">
        <v>100</v>
      </c>
      <c r="AF844" s="7">
        <v>100</v>
      </c>
      <c r="AG844" s="7">
        <v>61.710230000000003</v>
      </c>
      <c r="AH844" s="7">
        <v>75</v>
      </c>
      <c r="AI844" s="7">
        <v>82.280306999999993</v>
      </c>
      <c r="AJ844" s="7">
        <v>100</v>
      </c>
      <c r="AK844" s="7">
        <v>20.75</v>
      </c>
      <c r="AL844" s="7">
        <v>21.73</v>
      </c>
      <c r="AM844" s="7">
        <v>13.28</v>
      </c>
      <c r="AN844" s="4" t="s">
        <v>124</v>
      </c>
      <c r="AO844" s="4" t="s">
        <v>124</v>
      </c>
      <c r="AP844" s="4" t="s">
        <v>124</v>
      </c>
      <c r="AQ844" s="4" t="s">
        <v>124</v>
      </c>
      <c r="AR844" s="4" t="s">
        <v>124</v>
      </c>
      <c r="AS844" s="4" t="s">
        <v>124</v>
      </c>
      <c r="AT844" s="4" t="s">
        <v>124</v>
      </c>
      <c r="AU844" s="4" t="s">
        <v>124</v>
      </c>
      <c r="AV844" s="4" t="s">
        <v>124</v>
      </c>
      <c r="AW844" s="4" t="s">
        <v>124</v>
      </c>
      <c r="AX844" s="4" t="s">
        <v>124</v>
      </c>
      <c r="AY844" s="4" t="s">
        <v>124</v>
      </c>
      <c r="AZ844" s="4" t="s">
        <v>124</v>
      </c>
      <c r="BA844" s="4" t="s">
        <v>124</v>
      </c>
      <c r="BB844" s="4" t="s">
        <v>124</v>
      </c>
      <c r="BC844" s="4" t="s">
        <v>124</v>
      </c>
      <c r="BD844" s="4" t="s">
        <v>124</v>
      </c>
      <c r="BE844" s="4" t="s">
        <v>124</v>
      </c>
      <c r="BF844" s="4" t="s">
        <v>124</v>
      </c>
      <c r="BG844" s="4" t="s">
        <v>124</v>
      </c>
      <c r="BH844" s="7">
        <v>0</v>
      </c>
      <c r="BI844" s="7">
        <v>0.98895</v>
      </c>
      <c r="BJ844" s="7">
        <v>0.96</v>
      </c>
      <c r="BK844" s="7">
        <v>0.99651599999999996</v>
      </c>
      <c r="BL844" s="7">
        <v>0.98895</v>
      </c>
      <c r="BM844" s="7">
        <v>0.96</v>
      </c>
      <c r="BN844" s="7">
        <v>0.99651599999999996</v>
      </c>
      <c r="BO844" s="7">
        <v>0.99446000000000001</v>
      </c>
      <c r="BP844" s="7">
        <v>0.973333</v>
      </c>
      <c r="BQ844" s="7">
        <v>1</v>
      </c>
      <c r="BR844" s="7">
        <v>8.7832999999999994E-2</v>
      </c>
      <c r="BS844" s="7">
        <v>42.433405</v>
      </c>
      <c r="BT844" s="7">
        <v>50</v>
      </c>
      <c r="BU844" s="7">
        <v>0.177258</v>
      </c>
      <c r="BV844" s="7">
        <v>24.548494999999999</v>
      </c>
      <c r="BW844" s="7">
        <v>50</v>
      </c>
      <c r="BX844" s="7">
        <v>0.87359600000000004</v>
      </c>
      <c r="BY844" s="7">
        <v>50</v>
      </c>
      <c r="BZ844" s="7">
        <v>50</v>
      </c>
      <c r="CA844" s="7">
        <v>0.75421300000000002</v>
      </c>
      <c r="CB844" s="7">
        <v>50</v>
      </c>
      <c r="CC844" s="7">
        <v>50</v>
      </c>
      <c r="CD844" s="7">
        <v>0.98235300000000003</v>
      </c>
      <c r="CE844" s="7">
        <v>50</v>
      </c>
      <c r="CF844" s="7">
        <v>50</v>
      </c>
      <c r="CG844" s="7">
        <v>0.98470899999999995</v>
      </c>
      <c r="CH844" s="7">
        <v>100</v>
      </c>
      <c r="CI844" s="7">
        <v>100</v>
      </c>
      <c r="CJ844" s="7">
        <v>0</v>
      </c>
      <c r="CK844" s="7">
        <v>0.97058800000000001</v>
      </c>
      <c r="CL844" s="7">
        <v>100</v>
      </c>
      <c r="CM844" s="7">
        <v>100</v>
      </c>
      <c r="CN844" s="7">
        <v>0.87156</v>
      </c>
      <c r="CO844" s="7">
        <v>100</v>
      </c>
      <c r="CP844" s="7">
        <v>100</v>
      </c>
      <c r="CQ844" s="7">
        <v>0.625</v>
      </c>
      <c r="CR844" s="7">
        <v>0.92581599999999997</v>
      </c>
      <c r="CS844" s="7">
        <v>41.666666999999997</v>
      </c>
      <c r="CT844" s="7">
        <v>50</v>
      </c>
      <c r="CU844" s="7">
        <v>0.53563700000000003</v>
      </c>
      <c r="CV844" s="7">
        <v>44.636429</v>
      </c>
      <c r="CW844" s="7">
        <v>50</v>
      </c>
      <c r="CX844" s="7">
        <v>0.97058800000000001</v>
      </c>
      <c r="CY844" s="7">
        <v>0.94</v>
      </c>
      <c r="CZ844" s="7">
        <v>-3.0588000000000001E-2</v>
      </c>
      <c r="DA844" s="7">
        <v>15.314097</v>
      </c>
      <c r="DB844" s="7">
        <v>17.400950000000002</v>
      </c>
      <c r="DC844" s="7">
        <v>16.332519999999999</v>
      </c>
      <c r="DD844" s="7">
        <v>7.9891730000000001</v>
      </c>
      <c r="DE844" s="7">
        <v>1</v>
      </c>
      <c r="DF844" s="6"/>
      <c r="DG844" s="6"/>
      <c r="DH844" s="6"/>
      <c r="DI844" s="6"/>
      <c r="DJ844" s="7">
        <v>0</v>
      </c>
      <c r="DK844" s="7">
        <v>0</v>
      </c>
      <c r="DL844" s="7">
        <v>0</v>
      </c>
      <c r="DM844" s="7">
        <v>0</v>
      </c>
      <c r="DN844" s="7">
        <v>0</v>
      </c>
      <c r="DO844" s="7">
        <v>0</v>
      </c>
      <c r="DP844" s="6"/>
      <c r="DQ844" s="4" t="s">
        <v>125</v>
      </c>
    </row>
    <row r="845" spans="1:121" ht="20" customHeight="1" x14ac:dyDescent="0.15">
      <c r="A845" s="5">
        <v>2018</v>
      </c>
      <c r="B845" s="3" t="s">
        <v>281</v>
      </c>
      <c r="C845" s="4" t="str">
        <f>"1280011"</f>
        <v>1280011</v>
      </c>
      <c r="D845" s="4" t="s">
        <v>998</v>
      </c>
      <c r="E845" s="4" t="str">
        <f>"1280711"</f>
        <v>1280711</v>
      </c>
      <c r="F845" s="4" t="s">
        <v>327</v>
      </c>
      <c r="G845" s="4" t="s">
        <v>328</v>
      </c>
      <c r="H845" s="7">
        <v>6</v>
      </c>
      <c r="I845" s="6"/>
      <c r="J845" s="4" t="s">
        <v>330</v>
      </c>
      <c r="K845" s="7">
        <v>699.34762599999999</v>
      </c>
      <c r="L845" s="7">
        <v>850</v>
      </c>
      <c r="M845" s="7">
        <v>82.276190999999997</v>
      </c>
      <c r="N845" s="7">
        <v>2</v>
      </c>
      <c r="O845" s="7">
        <v>0</v>
      </c>
      <c r="P845" s="7">
        <v>84.105795999999998</v>
      </c>
      <c r="Q845" s="7">
        <v>50</v>
      </c>
      <c r="R845" s="7">
        <v>50</v>
      </c>
      <c r="S845" s="7">
        <v>73.249307999999999</v>
      </c>
      <c r="T845" s="7">
        <v>75</v>
      </c>
      <c r="U845" s="7">
        <v>48.832872000000002</v>
      </c>
      <c r="V845" s="7">
        <v>50</v>
      </c>
      <c r="W845" s="7">
        <v>76.296621000000002</v>
      </c>
      <c r="X845" s="7">
        <v>50</v>
      </c>
      <c r="Y845" s="7">
        <v>50</v>
      </c>
      <c r="Z845" s="7">
        <v>75</v>
      </c>
      <c r="AA845" s="7">
        <v>63.541530000000002</v>
      </c>
      <c r="AB845" s="7">
        <v>42.361020000000003</v>
      </c>
      <c r="AC845" s="7">
        <v>50</v>
      </c>
      <c r="AD845" s="7">
        <v>78.632688999999999</v>
      </c>
      <c r="AE845" s="7">
        <v>50</v>
      </c>
      <c r="AF845" s="7">
        <v>50</v>
      </c>
      <c r="AG845" s="7">
        <v>61.905914000000003</v>
      </c>
      <c r="AH845" s="7">
        <v>75</v>
      </c>
      <c r="AI845" s="7">
        <v>41.270609</v>
      </c>
      <c r="AJ845" s="7">
        <v>50</v>
      </c>
      <c r="AK845" s="7">
        <v>1.75</v>
      </c>
      <c r="AL845" s="7">
        <v>11.45</v>
      </c>
      <c r="AM845" s="7">
        <v>13.09</v>
      </c>
      <c r="AN845" s="7">
        <v>0.71375200000000005</v>
      </c>
      <c r="AO845" s="7">
        <v>71.375245000000007</v>
      </c>
      <c r="AP845" s="7">
        <v>100</v>
      </c>
      <c r="AQ845" s="7">
        <v>0.76319700000000001</v>
      </c>
      <c r="AR845" s="7">
        <v>76.319706999999994</v>
      </c>
      <c r="AS845" s="7">
        <v>100</v>
      </c>
      <c r="AT845" s="7">
        <v>0.60549200000000003</v>
      </c>
      <c r="AU845" s="7">
        <v>0.74509099999999995</v>
      </c>
      <c r="AV845" s="7">
        <v>60.549171000000001</v>
      </c>
      <c r="AW845" s="7">
        <v>100</v>
      </c>
      <c r="AX845" s="7">
        <v>0.722611</v>
      </c>
      <c r="AY845" s="7">
        <v>0.77494600000000002</v>
      </c>
      <c r="AZ845" s="7">
        <v>72.261080000000007</v>
      </c>
      <c r="BA845" s="7">
        <v>100</v>
      </c>
      <c r="BB845" s="4" t="s">
        <v>124</v>
      </c>
      <c r="BC845" s="4" t="s">
        <v>124</v>
      </c>
      <c r="BD845" s="4" t="s">
        <v>124</v>
      </c>
      <c r="BE845" s="4" t="s">
        <v>124</v>
      </c>
      <c r="BF845" s="4" t="s">
        <v>124</v>
      </c>
      <c r="BG845" s="4" t="s">
        <v>124</v>
      </c>
      <c r="BH845" s="7">
        <v>0</v>
      </c>
      <c r="BI845" s="7">
        <v>0.99418600000000001</v>
      </c>
      <c r="BJ845" s="7">
        <v>0.97826100000000005</v>
      </c>
      <c r="BK845" s="7">
        <v>1</v>
      </c>
      <c r="BL845" s="7">
        <v>0.99418600000000001</v>
      </c>
      <c r="BM845" s="7">
        <v>0.97826100000000005</v>
      </c>
      <c r="BN845" s="7">
        <v>1</v>
      </c>
      <c r="BO845" s="7">
        <v>1</v>
      </c>
      <c r="BP845" s="7">
        <v>1</v>
      </c>
      <c r="BQ845" s="7">
        <v>1</v>
      </c>
      <c r="BR845" s="7">
        <v>3.7543E-2</v>
      </c>
      <c r="BS845" s="7">
        <v>50</v>
      </c>
      <c r="BT845" s="7">
        <v>50</v>
      </c>
      <c r="BU845" s="7">
        <v>7.0422999999999999E-2</v>
      </c>
      <c r="BV845" s="7">
        <v>45.915492999999998</v>
      </c>
      <c r="BW845" s="7">
        <v>50</v>
      </c>
      <c r="BX845" s="4" t="s">
        <v>124</v>
      </c>
      <c r="BY845" s="4" t="s">
        <v>124</v>
      </c>
      <c r="BZ845" s="4" t="s">
        <v>124</v>
      </c>
      <c r="CA845" s="4" t="s">
        <v>124</v>
      </c>
      <c r="CB845" s="4" t="s">
        <v>124</v>
      </c>
      <c r="CC845" s="4" t="s">
        <v>124</v>
      </c>
      <c r="CD845" s="4" t="s">
        <v>124</v>
      </c>
      <c r="CE845" s="4" t="s">
        <v>124</v>
      </c>
      <c r="CF845" s="4" t="s">
        <v>124</v>
      </c>
      <c r="CG845" s="4" t="s">
        <v>124</v>
      </c>
      <c r="CH845" s="4" t="s">
        <v>124</v>
      </c>
      <c r="CI845" s="4" t="s">
        <v>124</v>
      </c>
      <c r="CJ845" s="4" t="s">
        <v>124</v>
      </c>
      <c r="CK845" s="4" t="s">
        <v>124</v>
      </c>
      <c r="CL845" s="4" t="s">
        <v>124</v>
      </c>
      <c r="CM845" s="4" t="s">
        <v>124</v>
      </c>
      <c r="CN845" s="4" t="s">
        <v>124</v>
      </c>
      <c r="CO845" s="4" t="s">
        <v>124</v>
      </c>
      <c r="CP845" s="4" t="s">
        <v>124</v>
      </c>
      <c r="CQ845" s="7">
        <v>0.60693600000000003</v>
      </c>
      <c r="CR845" s="7">
        <v>0.98295500000000002</v>
      </c>
      <c r="CS845" s="7">
        <v>40.462428000000003</v>
      </c>
      <c r="CT845" s="7">
        <v>50</v>
      </c>
      <c r="CU845" s="4" t="s">
        <v>124</v>
      </c>
      <c r="CV845" s="4" t="s">
        <v>124</v>
      </c>
      <c r="CW845" s="4" t="s">
        <v>124</v>
      </c>
      <c r="CX845" s="4" t="s">
        <v>124</v>
      </c>
      <c r="CY845" s="4" t="s">
        <v>124</v>
      </c>
      <c r="CZ845" s="4" t="s">
        <v>124</v>
      </c>
      <c r="DA845" s="7">
        <v>15.314097</v>
      </c>
      <c r="DB845" s="7">
        <v>17.400950000000002</v>
      </c>
      <c r="DC845" s="7">
        <v>16.332519999999999</v>
      </c>
      <c r="DD845" s="4" t="s">
        <v>124</v>
      </c>
      <c r="DE845" s="7">
        <v>0</v>
      </c>
      <c r="DF845" s="6"/>
      <c r="DG845" s="6"/>
      <c r="DH845" s="6"/>
      <c r="DI845" s="6"/>
      <c r="DJ845" s="7">
        <v>0</v>
      </c>
      <c r="DK845" s="7">
        <v>0</v>
      </c>
      <c r="DL845" s="7">
        <v>0</v>
      </c>
      <c r="DM845" s="7">
        <v>0</v>
      </c>
      <c r="DN845" s="7">
        <v>0</v>
      </c>
      <c r="DO845" s="7">
        <v>0</v>
      </c>
      <c r="DP845" s="6"/>
      <c r="DQ845" s="4" t="s">
        <v>125</v>
      </c>
    </row>
    <row r="846" spans="1:121" ht="20" customHeight="1" x14ac:dyDescent="0.15">
      <c r="A846" s="5">
        <v>2018</v>
      </c>
      <c r="B846" s="3" t="s">
        <v>281</v>
      </c>
      <c r="C846" s="4" t="str">
        <f t="shared" si="249"/>
        <v>1280011</v>
      </c>
      <c r="D846" s="4" t="s">
        <v>999</v>
      </c>
      <c r="E846" s="4" t="str">
        <f>"1280311"</f>
        <v>1280311</v>
      </c>
      <c r="F846" s="4" t="s">
        <v>327</v>
      </c>
      <c r="G846" s="4" t="s">
        <v>338</v>
      </c>
      <c r="H846" s="7">
        <v>6</v>
      </c>
      <c r="I846" s="4" t="s">
        <v>335</v>
      </c>
      <c r="J846" s="4" t="s">
        <v>330</v>
      </c>
      <c r="K846" s="7">
        <v>682.660212</v>
      </c>
      <c r="L846" s="7">
        <v>800</v>
      </c>
      <c r="M846" s="7">
        <v>85.332526000000001</v>
      </c>
      <c r="N846" s="7">
        <v>1</v>
      </c>
      <c r="O846" s="7">
        <v>0</v>
      </c>
      <c r="P846" s="7">
        <v>81.928128999999998</v>
      </c>
      <c r="Q846" s="7">
        <v>50</v>
      </c>
      <c r="R846" s="7">
        <v>50</v>
      </c>
      <c r="S846" s="7">
        <v>75.698993000000002</v>
      </c>
      <c r="T846" s="7">
        <v>75</v>
      </c>
      <c r="U846" s="7">
        <v>50</v>
      </c>
      <c r="V846" s="7">
        <v>50</v>
      </c>
      <c r="W846" s="7">
        <v>75.944879</v>
      </c>
      <c r="X846" s="7">
        <v>50</v>
      </c>
      <c r="Y846" s="7">
        <v>50</v>
      </c>
      <c r="Z846" s="7">
        <v>75</v>
      </c>
      <c r="AA846" s="7">
        <v>68.664063999999996</v>
      </c>
      <c r="AB846" s="7">
        <v>45.776043000000001</v>
      </c>
      <c r="AC846" s="7">
        <v>50</v>
      </c>
      <c r="AD846" s="7">
        <v>73.157604000000006</v>
      </c>
      <c r="AE846" s="7">
        <v>48.771735999999997</v>
      </c>
      <c r="AF846" s="7">
        <v>50</v>
      </c>
      <c r="AG846" s="4" t="s">
        <v>124</v>
      </c>
      <c r="AH846" s="7">
        <v>75</v>
      </c>
      <c r="AI846" s="4" t="s">
        <v>124</v>
      </c>
      <c r="AJ846" s="4" t="s">
        <v>124</v>
      </c>
      <c r="AK846" s="7">
        <v>-0.69</v>
      </c>
      <c r="AL846" s="7">
        <v>6.33</v>
      </c>
      <c r="AM846" s="4" t="s">
        <v>124</v>
      </c>
      <c r="AN846" s="7">
        <v>0.78871000000000002</v>
      </c>
      <c r="AO846" s="7">
        <v>78.871013000000005</v>
      </c>
      <c r="AP846" s="7">
        <v>100</v>
      </c>
      <c r="AQ846" s="7">
        <v>0.77558499999999997</v>
      </c>
      <c r="AR846" s="7">
        <v>77.558546000000007</v>
      </c>
      <c r="AS846" s="7">
        <v>100</v>
      </c>
      <c r="AT846" s="7">
        <v>0.77415999999999996</v>
      </c>
      <c r="AU846" s="7">
        <v>0.80246600000000001</v>
      </c>
      <c r="AV846" s="7">
        <v>77.416042000000004</v>
      </c>
      <c r="AW846" s="7">
        <v>100</v>
      </c>
      <c r="AX846" s="7">
        <v>0.74537100000000001</v>
      </c>
      <c r="AY846" s="7">
        <v>0.80415199999999998</v>
      </c>
      <c r="AZ846" s="7">
        <v>74.537102000000004</v>
      </c>
      <c r="BA846" s="7">
        <v>100</v>
      </c>
      <c r="BB846" s="4" t="s">
        <v>124</v>
      </c>
      <c r="BC846" s="4" t="s">
        <v>124</v>
      </c>
      <c r="BD846" s="4" t="s">
        <v>124</v>
      </c>
      <c r="BE846" s="4" t="s">
        <v>124</v>
      </c>
      <c r="BF846" s="4" t="s">
        <v>124</v>
      </c>
      <c r="BG846" s="4" t="s">
        <v>124</v>
      </c>
      <c r="BH846" s="7">
        <v>0</v>
      </c>
      <c r="BI846" s="7">
        <v>0.99328899999999998</v>
      </c>
      <c r="BJ846" s="7">
        <v>0.98571399999999998</v>
      </c>
      <c r="BK846" s="7">
        <v>1</v>
      </c>
      <c r="BL846" s="7">
        <v>0.99328899999999998</v>
      </c>
      <c r="BM846" s="7">
        <v>0.98571399999999998</v>
      </c>
      <c r="BN846" s="7">
        <v>1</v>
      </c>
      <c r="BO846" s="7">
        <v>0.97297299999999998</v>
      </c>
      <c r="BP846" s="4" t="s">
        <v>124</v>
      </c>
      <c r="BQ846" s="7">
        <v>1</v>
      </c>
      <c r="BR846" s="7">
        <v>3.1746000000000003E-2</v>
      </c>
      <c r="BS846" s="7">
        <v>50</v>
      </c>
      <c r="BT846" s="7">
        <v>50</v>
      </c>
      <c r="BU846" s="7">
        <v>2.8036999999999999E-2</v>
      </c>
      <c r="BV846" s="7">
        <v>50</v>
      </c>
      <c r="BW846" s="7">
        <v>50</v>
      </c>
      <c r="BX846" s="4" t="s">
        <v>124</v>
      </c>
      <c r="BY846" s="4" t="s">
        <v>124</v>
      </c>
      <c r="BZ846" s="4" t="s">
        <v>124</v>
      </c>
      <c r="CA846" s="4" t="s">
        <v>124</v>
      </c>
      <c r="CB846" s="4" t="s">
        <v>124</v>
      </c>
      <c r="CC846" s="4" t="s">
        <v>124</v>
      </c>
      <c r="CD846" s="4" t="s">
        <v>124</v>
      </c>
      <c r="CE846" s="4" t="s">
        <v>124</v>
      </c>
      <c r="CF846" s="4" t="s">
        <v>124</v>
      </c>
      <c r="CG846" s="4" t="s">
        <v>124</v>
      </c>
      <c r="CH846" s="4" t="s">
        <v>124</v>
      </c>
      <c r="CI846" s="4" t="s">
        <v>124</v>
      </c>
      <c r="CJ846" s="4" t="s">
        <v>124</v>
      </c>
      <c r="CK846" s="4" t="s">
        <v>124</v>
      </c>
      <c r="CL846" s="4" t="s">
        <v>124</v>
      </c>
      <c r="CM846" s="4" t="s">
        <v>124</v>
      </c>
      <c r="CN846" s="4" t="s">
        <v>124</v>
      </c>
      <c r="CO846" s="4" t="s">
        <v>124</v>
      </c>
      <c r="CP846" s="4" t="s">
        <v>124</v>
      </c>
      <c r="CQ846" s="7">
        <v>0.44594600000000001</v>
      </c>
      <c r="CR846" s="7">
        <v>0.97368399999999999</v>
      </c>
      <c r="CS846" s="7">
        <v>29.72973</v>
      </c>
      <c r="CT846" s="7">
        <v>50</v>
      </c>
      <c r="CU846" s="4" t="s">
        <v>124</v>
      </c>
      <c r="CV846" s="4" t="s">
        <v>124</v>
      </c>
      <c r="CW846" s="4" t="s">
        <v>124</v>
      </c>
      <c r="CX846" s="4" t="s">
        <v>124</v>
      </c>
      <c r="CY846" s="4" t="s">
        <v>124</v>
      </c>
      <c r="CZ846" s="4" t="s">
        <v>124</v>
      </c>
      <c r="DA846" s="7">
        <v>15.314097</v>
      </c>
      <c r="DB846" s="7">
        <v>17.400950000000002</v>
      </c>
      <c r="DC846" s="7">
        <v>16.332519999999999</v>
      </c>
      <c r="DD846" s="4" t="s">
        <v>124</v>
      </c>
      <c r="DE846" s="7">
        <v>0</v>
      </c>
      <c r="DF846" s="6"/>
      <c r="DG846" s="6"/>
      <c r="DH846" s="4" t="s">
        <v>331</v>
      </c>
      <c r="DI846" s="4" t="s">
        <v>528</v>
      </c>
      <c r="DJ846" s="7">
        <v>0</v>
      </c>
      <c r="DK846" s="7">
        <v>1</v>
      </c>
      <c r="DL846" s="7">
        <v>0</v>
      </c>
      <c r="DM846" s="7">
        <v>1</v>
      </c>
      <c r="DN846" s="7">
        <v>0</v>
      </c>
      <c r="DO846" s="7">
        <v>0</v>
      </c>
      <c r="DP846" s="6"/>
      <c r="DQ846" s="4" t="s">
        <v>125</v>
      </c>
    </row>
    <row r="847" spans="1:121" ht="20" customHeight="1" x14ac:dyDescent="0.15">
      <c r="A847" s="5">
        <v>2018</v>
      </c>
      <c r="B847" s="3" t="s">
        <v>281</v>
      </c>
      <c r="C847" s="4" t="str">
        <f>"1280011"</f>
        <v>1280011</v>
      </c>
      <c r="D847" s="4" t="s">
        <v>1000</v>
      </c>
      <c r="E847" s="4" t="str">
        <f>"1280411"</f>
        <v>1280411</v>
      </c>
      <c r="F847" s="4" t="s">
        <v>327</v>
      </c>
      <c r="G847" s="4" t="s">
        <v>338</v>
      </c>
      <c r="H847" s="7">
        <v>6</v>
      </c>
      <c r="I847" s="6"/>
      <c r="J847" s="4" t="s">
        <v>330</v>
      </c>
      <c r="K847" s="7">
        <v>663.03376000000003</v>
      </c>
      <c r="L847" s="7">
        <v>800</v>
      </c>
      <c r="M847" s="7">
        <v>82.879220000000004</v>
      </c>
      <c r="N847" s="7">
        <v>2</v>
      </c>
      <c r="O847" s="7">
        <v>0</v>
      </c>
      <c r="P847" s="7">
        <v>83.132923000000005</v>
      </c>
      <c r="Q847" s="7">
        <v>50</v>
      </c>
      <c r="R847" s="7">
        <v>50</v>
      </c>
      <c r="S847" s="7">
        <v>68.844342999999995</v>
      </c>
      <c r="T847" s="7">
        <v>75</v>
      </c>
      <c r="U847" s="7">
        <v>45.896228999999998</v>
      </c>
      <c r="V847" s="7">
        <v>50</v>
      </c>
      <c r="W847" s="7">
        <v>77.206864999999993</v>
      </c>
      <c r="X847" s="7">
        <v>50</v>
      </c>
      <c r="Y847" s="7">
        <v>50</v>
      </c>
      <c r="Z847" s="7">
        <v>75</v>
      </c>
      <c r="AA847" s="7">
        <v>61.181424999999997</v>
      </c>
      <c r="AB847" s="7">
        <v>40.787616999999997</v>
      </c>
      <c r="AC847" s="7">
        <v>50</v>
      </c>
      <c r="AD847" s="7">
        <v>84.036518999999998</v>
      </c>
      <c r="AE847" s="7">
        <v>50</v>
      </c>
      <c r="AF847" s="7">
        <v>50</v>
      </c>
      <c r="AG847" s="4" t="s">
        <v>124</v>
      </c>
      <c r="AH847" s="7">
        <v>75</v>
      </c>
      <c r="AI847" s="4" t="s">
        <v>124</v>
      </c>
      <c r="AJ847" s="4" t="s">
        <v>124</v>
      </c>
      <c r="AK847" s="7">
        <v>6.15</v>
      </c>
      <c r="AL847" s="7">
        <v>13.81</v>
      </c>
      <c r="AM847" s="4" t="s">
        <v>124</v>
      </c>
      <c r="AN847" s="7">
        <v>0.77546800000000005</v>
      </c>
      <c r="AO847" s="7">
        <v>77.546819999999997</v>
      </c>
      <c r="AP847" s="7">
        <v>100</v>
      </c>
      <c r="AQ847" s="7">
        <v>0.890818</v>
      </c>
      <c r="AR847" s="7">
        <v>89.081830999999994</v>
      </c>
      <c r="AS847" s="7">
        <v>100</v>
      </c>
      <c r="AT847" s="7">
        <v>0.67546899999999999</v>
      </c>
      <c r="AU847" s="7">
        <v>0.79769000000000001</v>
      </c>
      <c r="AV847" s="7">
        <v>67.546914000000001</v>
      </c>
      <c r="AW847" s="7">
        <v>100</v>
      </c>
      <c r="AX847" s="7">
        <v>0.80672699999999997</v>
      </c>
      <c r="AY847" s="7">
        <v>0.90950500000000001</v>
      </c>
      <c r="AZ847" s="7">
        <v>80.672690000000003</v>
      </c>
      <c r="BA847" s="7">
        <v>100</v>
      </c>
      <c r="BB847" s="4" t="s">
        <v>124</v>
      </c>
      <c r="BC847" s="4" t="s">
        <v>124</v>
      </c>
      <c r="BD847" s="4" t="s">
        <v>124</v>
      </c>
      <c r="BE847" s="4" t="s">
        <v>124</v>
      </c>
      <c r="BF847" s="4" t="s">
        <v>124</v>
      </c>
      <c r="BG847" s="4" t="s">
        <v>124</v>
      </c>
      <c r="BH847" s="7">
        <v>0</v>
      </c>
      <c r="BI847" s="7">
        <v>0.99532699999999996</v>
      </c>
      <c r="BJ847" s="7">
        <v>0.97727299999999995</v>
      </c>
      <c r="BK847" s="7">
        <v>1</v>
      </c>
      <c r="BL847" s="7">
        <v>0.99532699999999996</v>
      </c>
      <c r="BM847" s="7">
        <v>0.97727299999999995</v>
      </c>
      <c r="BN847" s="7">
        <v>1</v>
      </c>
      <c r="BO847" s="7">
        <v>1</v>
      </c>
      <c r="BP847" s="4" t="s">
        <v>124</v>
      </c>
      <c r="BQ847" s="7">
        <v>1</v>
      </c>
      <c r="BR847" s="7">
        <v>3.252E-2</v>
      </c>
      <c r="BS847" s="7">
        <v>50</v>
      </c>
      <c r="BT847" s="7">
        <v>50</v>
      </c>
      <c r="BU847" s="7">
        <v>0.108434</v>
      </c>
      <c r="BV847" s="7">
        <v>38.313253000000003</v>
      </c>
      <c r="BW847" s="7">
        <v>50</v>
      </c>
      <c r="BX847" s="4" t="s">
        <v>124</v>
      </c>
      <c r="BY847" s="4" t="s">
        <v>124</v>
      </c>
      <c r="BZ847" s="4" t="s">
        <v>124</v>
      </c>
      <c r="CA847" s="4" t="s">
        <v>124</v>
      </c>
      <c r="CB847" s="4" t="s">
        <v>124</v>
      </c>
      <c r="CC847" s="4" t="s">
        <v>124</v>
      </c>
      <c r="CD847" s="4" t="s">
        <v>124</v>
      </c>
      <c r="CE847" s="4" t="s">
        <v>124</v>
      </c>
      <c r="CF847" s="4" t="s">
        <v>124</v>
      </c>
      <c r="CG847" s="4" t="s">
        <v>124</v>
      </c>
      <c r="CH847" s="4" t="s">
        <v>124</v>
      </c>
      <c r="CI847" s="4" t="s">
        <v>124</v>
      </c>
      <c r="CJ847" s="4" t="s">
        <v>124</v>
      </c>
      <c r="CK847" s="4" t="s">
        <v>124</v>
      </c>
      <c r="CL847" s="4" t="s">
        <v>124</v>
      </c>
      <c r="CM847" s="4" t="s">
        <v>124</v>
      </c>
      <c r="CN847" s="4" t="s">
        <v>124</v>
      </c>
      <c r="CO847" s="4" t="s">
        <v>124</v>
      </c>
      <c r="CP847" s="4" t="s">
        <v>124</v>
      </c>
      <c r="CQ847" s="7">
        <v>0.34782600000000002</v>
      </c>
      <c r="CR847" s="7">
        <v>0.98290599999999995</v>
      </c>
      <c r="CS847" s="7">
        <v>23.188406000000001</v>
      </c>
      <c r="CT847" s="7">
        <v>50</v>
      </c>
      <c r="CU847" s="4" t="s">
        <v>124</v>
      </c>
      <c r="CV847" s="4" t="s">
        <v>124</v>
      </c>
      <c r="CW847" s="4" t="s">
        <v>124</v>
      </c>
      <c r="CX847" s="4" t="s">
        <v>124</v>
      </c>
      <c r="CY847" s="4" t="s">
        <v>124</v>
      </c>
      <c r="CZ847" s="4" t="s">
        <v>124</v>
      </c>
      <c r="DA847" s="7">
        <v>15.314097</v>
      </c>
      <c r="DB847" s="7">
        <v>17.400950000000002</v>
      </c>
      <c r="DC847" s="7">
        <v>16.332519999999999</v>
      </c>
      <c r="DD847" s="4" t="s">
        <v>124</v>
      </c>
      <c r="DE847" s="7">
        <v>0</v>
      </c>
      <c r="DF847" s="6"/>
      <c r="DG847" s="6"/>
      <c r="DH847" s="4" t="s">
        <v>331</v>
      </c>
      <c r="DI847" s="4" t="s">
        <v>452</v>
      </c>
      <c r="DJ847" s="7">
        <v>0</v>
      </c>
      <c r="DK847" s="7">
        <v>0</v>
      </c>
      <c r="DL847" s="7">
        <v>1</v>
      </c>
      <c r="DM847" s="7">
        <v>0</v>
      </c>
      <c r="DN847" s="7">
        <v>1</v>
      </c>
      <c r="DO847" s="7">
        <v>0</v>
      </c>
      <c r="DP847" s="6"/>
      <c r="DQ847" s="4" t="s">
        <v>125</v>
      </c>
    </row>
    <row r="848" spans="1:121" ht="20" customHeight="1" x14ac:dyDescent="0.15">
      <c r="A848" s="5">
        <v>2018</v>
      </c>
      <c r="B848" s="3" t="s">
        <v>282</v>
      </c>
      <c r="C848" s="4" t="str">
        <f t="shared" si="154"/>
        <v>1290011</v>
      </c>
      <c r="D848" s="4" t="s">
        <v>1001</v>
      </c>
      <c r="E848" s="4" t="str">
        <f>"1295111"</f>
        <v>1295111</v>
      </c>
      <c r="F848" s="4" t="s">
        <v>327</v>
      </c>
      <c r="G848" s="7">
        <v>6</v>
      </c>
      <c r="H848" s="7">
        <v>8</v>
      </c>
      <c r="I848" s="4" t="s">
        <v>329</v>
      </c>
      <c r="J848" s="4" t="s">
        <v>330</v>
      </c>
      <c r="K848" s="7">
        <v>540.04541500000005</v>
      </c>
      <c r="L848" s="7">
        <v>850</v>
      </c>
      <c r="M848" s="7">
        <v>63.534754999999997</v>
      </c>
      <c r="N848" s="7">
        <v>4</v>
      </c>
      <c r="O848" s="7">
        <v>1</v>
      </c>
      <c r="P848" s="7">
        <v>68.028758999999994</v>
      </c>
      <c r="Q848" s="7">
        <v>45.352505999999998</v>
      </c>
      <c r="R848" s="7">
        <v>50</v>
      </c>
      <c r="S848" s="7">
        <v>49.797725</v>
      </c>
      <c r="T848" s="7">
        <v>72.513005000000007</v>
      </c>
      <c r="U848" s="7">
        <v>33.198483000000003</v>
      </c>
      <c r="V848" s="7">
        <v>50</v>
      </c>
      <c r="W848" s="7">
        <v>66.694894000000005</v>
      </c>
      <c r="X848" s="7">
        <v>44.463262999999998</v>
      </c>
      <c r="Y848" s="7">
        <v>50</v>
      </c>
      <c r="Z848" s="7">
        <v>70.565402000000006</v>
      </c>
      <c r="AA848" s="7">
        <v>51.022508000000002</v>
      </c>
      <c r="AB848" s="7">
        <v>34.015005000000002</v>
      </c>
      <c r="AC848" s="7">
        <v>50</v>
      </c>
      <c r="AD848" s="7">
        <v>68.132123000000007</v>
      </c>
      <c r="AE848" s="7">
        <v>45.421416000000001</v>
      </c>
      <c r="AF848" s="7">
        <v>50</v>
      </c>
      <c r="AG848" s="4" t="s">
        <v>124</v>
      </c>
      <c r="AH848" s="7">
        <v>71.210526000000002</v>
      </c>
      <c r="AI848" s="4" t="s">
        <v>124</v>
      </c>
      <c r="AJ848" s="4" t="s">
        <v>124</v>
      </c>
      <c r="AK848" s="7">
        <v>22.71</v>
      </c>
      <c r="AL848" s="7">
        <v>19.54</v>
      </c>
      <c r="AM848" s="4" t="s">
        <v>124</v>
      </c>
      <c r="AN848" s="7">
        <v>0.52697099999999997</v>
      </c>
      <c r="AO848" s="7">
        <v>52.697082999999999</v>
      </c>
      <c r="AP848" s="7">
        <v>100</v>
      </c>
      <c r="AQ848" s="7">
        <v>0.64635399999999998</v>
      </c>
      <c r="AR848" s="7">
        <v>64.635447999999997</v>
      </c>
      <c r="AS848" s="7">
        <v>100</v>
      </c>
      <c r="AT848" s="7">
        <v>0.430948</v>
      </c>
      <c r="AU848" s="7">
        <v>0.550589</v>
      </c>
      <c r="AV848" s="7">
        <v>43.094796000000002</v>
      </c>
      <c r="AW848" s="7">
        <v>100</v>
      </c>
      <c r="AX848" s="7">
        <v>0.60240499999999997</v>
      </c>
      <c r="AY848" s="7">
        <v>0.65725299999999998</v>
      </c>
      <c r="AZ848" s="7">
        <v>60.240479999999998</v>
      </c>
      <c r="BA848" s="7">
        <v>100</v>
      </c>
      <c r="BB848" s="4" t="s">
        <v>124</v>
      </c>
      <c r="BC848" s="4" t="s">
        <v>124</v>
      </c>
      <c r="BD848" s="4" t="s">
        <v>124</v>
      </c>
      <c r="BE848" s="4" t="s">
        <v>124</v>
      </c>
      <c r="BF848" s="4" t="s">
        <v>124</v>
      </c>
      <c r="BG848" s="4" t="s">
        <v>124</v>
      </c>
      <c r="BH848" s="7">
        <v>1</v>
      </c>
      <c r="BI848" s="7">
        <v>0.9375</v>
      </c>
      <c r="BJ848" s="7">
        <v>0.90410999999999997</v>
      </c>
      <c r="BK848" s="7">
        <v>0.94676800000000005</v>
      </c>
      <c r="BL848" s="7">
        <v>0.931751</v>
      </c>
      <c r="BM848" s="7">
        <v>0.89189200000000002</v>
      </c>
      <c r="BN848" s="7">
        <v>0.94296599999999997</v>
      </c>
      <c r="BO848" s="7">
        <v>0.85714299999999999</v>
      </c>
      <c r="BP848" s="7">
        <v>0.8</v>
      </c>
      <c r="BQ848" s="7">
        <v>0.87356299999999998</v>
      </c>
      <c r="BR848" s="7">
        <v>0.14881</v>
      </c>
      <c r="BS848" s="7">
        <v>30.238095000000001</v>
      </c>
      <c r="BT848" s="7">
        <v>50</v>
      </c>
      <c r="BU848" s="7">
        <v>0.228571</v>
      </c>
      <c r="BV848" s="7">
        <v>14.285714</v>
      </c>
      <c r="BW848" s="7">
        <v>50</v>
      </c>
      <c r="BX848" s="4" t="s">
        <v>124</v>
      </c>
      <c r="BY848" s="4" t="s">
        <v>124</v>
      </c>
      <c r="BZ848" s="4" t="s">
        <v>124</v>
      </c>
      <c r="CA848" s="4" t="s">
        <v>124</v>
      </c>
      <c r="CB848" s="4" t="s">
        <v>124</v>
      </c>
      <c r="CC848" s="4" t="s">
        <v>124</v>
      </c>
      <c r="CD848" s="7">
        <v>0.60177000000000003</v>
      </c>
      <c r="CE848" s="7">
        <v>32.009037999999997</v>
      </c>
      <c r="CF848" s="7">
        <v>50</v>
      </c>
      <c r="CG848" s="4" t="s">
        <v>124</v>
      </c>
      <c r="CH848" s="4" t="s">
        <v>124</v>
      </c>
      <c r="CI848" s="4" t="s">
        <v>124</v>
      </c>
      <c r="CJ848" s="4" t="s">
        <v>124</v>
      </c>
      <c r="CK848" s="4" t="s">
        <v>124</v>
      </c>
      <c r="CL848" s="4" t="s">
        <v>124</v>
      </c>
      <c r="CM848" s="4" t="s">
        <v>124</v>
      </c>
      <c r="CN848" s="4" t="s">
        <v>124</v>
      </c>
      <c r="CO848" s="4" t="s">
        <v>124</v>
      </c>
      <c r="CP848" s="4" t="s">
        <v>124</v>
      </c>
      <c r="CQ848" s="7">
        <v>0.60591099999999998</v>
      </c>
      <c r="CR848" s="7">
        <v>0.93981499999999996</v>
      </c>
      <c r="CS848" s="7">
        <v>40.394089000000001</v>
      </c>
      <c r="CT848" s="7">
        <v>50</v>
      </c>
      <c r="CU848" s="4" t="s">
        <v>124</v>
      </c>
      <c r="CV848" s="4" t="s">
        <v>124</v>
      </c>
      <c r="CW848" s="4" t="s">
        <v>124</v>
      </c>
      <c r="CX848" s="4" t="s">
        <v>124</v>
      </c>
      <c r="CY848" s="4" t="s">
        <v>124</v>
      </c>
      <c r="CZ848" s="4" t="s">
        <v>124</v>
      </c>
      <c r="DA848" s="7">
        <v>15.314097</v>
      </c>
      <c r="DB848" s="7">
        <v>17.400950000000002</v>
      </c>
      <c r="DC848" s="7">
        <v>16.332519999999999</v>
      </c>
      <c r="DD848" s="4" t="s">
        <v>124</v>
      </c>
      <c r="DE848" s="7">
        <v>1</v>
      </c>
      <c r="DF848" s="4" t="s">
        <v>384</v>
      </c>
      <c r="DG848" s="4" t="s">
        <v>647</v>
      </c>
      <c r="DH848" s="6"/>
      <c r="DI848" s="6"/>
      <c r="DJ848" s="7">
        <v>0</v>
      </c>
      <c r="DK848" s="7">
        <v>0</v>
      </c>
      <c r="DL848" s="7">
        <v>0</v>
      </c>
      <c r="DM848" s="7">
        <v>0</v>
      </c>
      <c r="DN848" s="7">
        <v>0</v>
      </c>
      <c r="DO848" s="7">
        <v>0</v>
      </c>
      <c r="DP848" s="6"/>
      <c r="DQ848" s="4" t="s">
        <v>125</v>
      </c>
    </row>
    <row r="849" spans="1:121" ht="20" customHeight="1" x14ac:dyDescent="0.15">
      <c r="A849" s="5">
        <v>2018</v>
      </c>
      <c r="B849" s="3" t="s">
        <v>282</v>
      </c>
      <c r="C849" s="4" t="str">
        <f>"1290011"</f>
        <v>1290011</v>
      </c>
      <c r="D849" s="4" t="s">
        <v>1002</v>
      </c>
      <c r="E849" s="4" t="str">
        <f>"1290411"</f>
        <v>1290411</v>
      </c>
      <c r="F849" s="4" t="s">
        <v>327</v>
      </c>
      <c r="G849" s="4" t="s">
        <v>328</v>
      </c>
      <c r="H849" s="7">
        <v>5</v>
      </c>
      <c r="I849" s="4" t="s">
        <v>329</v>
      </c>
      <c r="J849" s="4" t="s">
        <v>330</v>
      </c>
      <c r="K849" s="7">
        <v>679.89408000000003</v>
      </c>
      <c r="L849" s="7">
        <v>850</v>
      </c>
      <c r="M849" s="7">
        <v>79.987538999999998</v>
      </c>
      <c r="N849" s="7">
        <v>2</v>
      </c>
      <c r="O849" s="7">
        <v>0</v>
      </c>
      <c r="P849" s="7">
        <v>74.043594999999996</v>
      </c>
      <c r="Q849" s="7">
        <v>49.362397000000001</v>
      </c>
      <c r="R849" s="7">
        <v>50</v>
      </c>
      <c r="S849" s="7">
        <v>62.422674999999998</v>
      </c>
      <c r="T849" s="7">
        <v>75</v>
      </c>
      <c r="U849" s="7">
        <v>41.615116</v>
      </c>
      <c r="V849" s="7">
        <v>50</v>
      </c>
      <c r="W849" s="7">
        <v>68.651568999999995</v>
      </c>
      <c r="X849" s="7">
        <v>45.767712000000003</v>
      </c>
      <c r="Y849" s="7">
        <v>50</v>
      </c>
      <c r="Z849" s="7">
        <v>72.487341000000001</v>
      </c>
      <c r="AA849" s="7">
        <v>56.718055</v>
      </c>
      <c r="AB849" s="7">
        <v>37.812035999999999</v>
      </c>
      <c r="AC849" s="7">
        <v>50</v>
      </c>
      <c r="AD849" s="7">
        <v>74.428515000000004</v>
      </c>
      <c r="AE849" s="7">
        <v>49.619010000000003</v>
      </c>
      <c r="AF849" s="7">
        <v>50</v>
      </c>
      <c r="AG849" s="7">
        <v>60.854838999999998</v>
      </c>
      <c r="AH849" s="7">
        <v>75</v>
      </c>
      <c r="AI849" s="7">
        <v>40.569892000000003</v>
      </c>
      <c r="AJ849" s="7">
        <v>50</v>
      </c>
      <c r="AK849" s="7">
        <v>12.57</v>
      </c>
      <c r="AL849" s="7">
        <v>15.76</v>
      </c>
      <c r="AM849" s="7">
        <v>14.14</v>
      </c>
      <c r="AN849" s="7">
        <v>0.71051500000000001</v>
      </c>
      <c r="AO849" s="7">
        <v>71.051461000000003</v>
      </c>
      <c r="AP849" s="7">
        <v>100</v>
      </c>
      <c r="AQ849" s="7">
        <v>0.78993500000000005</v>
      </c>
      <c r="AR849" s="7">
        <v>78.993537000000003</v>
      </c>
      <c r="AS849" s="7">
        <v>100</v>
      </c>
      <c r="AT849" s="7">
        <v>0.67752900000000005</v>
      </c>
      <c r="AU849" s="7">
        <v>0.72109900000000005</v>
      </c>
      <c r="AV849" s="7">
        <v>67.752949999999998</v>
      </c>
      <c r="AW849" s="7">
        <v>100</v>
      </c>
      <c r="AX849" s="7">
        <v>0.78709799999999996</v>
      </c>
      <c r="AY849" s="7">
        <v>0.79086000000000001</v>
      </c>
      <c r="AZ849" s="7">
        <v>78.709787000000006</v>
      </c>
      <c r="BA849" s="7">
        <v>100</v>
      </c>
      <c r="BB849" s="4" t="s">
        <v>124</v>
      </c>
      <c r="BC849" s="4" t="s">
        <v>124</v>
      </c>
      <c r="BD849" s="4" t="s">
        <v>124</v>
      </c>
      <c r="BE849" s="4" t="s">
        <v>124</v>
      </c>
      <c r="BF849" s="4" t="s">
        <v>124</v>
      </c>
      <c r="BG849" s="4" t="s">
        <v>124</v>
      </c>
      <c r="BH849" s="7">
        <v>0</v>
      </c>
      <c r="BI849" s="7">
        <v>0.992537</v>
      </c>
      <c r="BJ849" s="7">
        <v>1</v>
      </c>
      <c r="BK849" s="7">
        <v>0.99014800000000003</v>
      </c>
      <c r="BL849" s="7">
        <v>0.98880599999999996</v>
      </c>
      <c r="BM849" s="7">
        <v>1</v>
      </c>
      <c r="BN849" s="7">
        <v>0.98522200000000004</v>
      </c>
      <c r="BO849" s="7">
        <v>1</v>
      </c>
      <c r="BP849" s="7">
        <v>1</v>
      </c>
      <c r="BQ849" s="7">
        <v>1</v>
      </c>
      <c r="BR849" s="7">
        <v>3.5249999999999997E-2</v>
      </c>
      <c r="BS849" s="7">
        <v>50</v>
      </c>
      <c r="BT849" s="7">
        <v>50</v>
      </c>
      <c r="BU849" s="7">
        <v>8.5271E-2</v>
      </c>
      <c r="BV849" s="7">
        <v>42.945735999999997</v>
      </c>
      <c r="BW849" s="7">
        <v>50</v>
      </c>
      <c r="BX849" s="4" t="s">
        <v>124</v>
      </c>
      <c r="BY849" s="4" t="s">
        <v>124</v>
      </c>
      <c r="BZ849" s="4" t="s">
        <v>124</v>
      </c>
      <c r="CA849" s="4" t="s">
        <v>124</v>
      </c>
      <c r="CB849" s="4" t="s">
        <v>124</v>
      </c>
      <c r="CC849" s="4" t="s">
        <v>124</v>
      </c>
      <c r="CD849" s="4" t="s">
        <v>124</v>
      </c>
      <c r="CE849" s="4" t="s">
        <v>124</v>
      </c>
      <c r="CF849" s="4" t="s">
        <v>124</v>
      </c>
      <c r="CG849" s="4" t="s">
        <v>124</v>
      </c>
      <c r="CH849" s="4" t="s">
        <v>124</v>
      </c>
      <c r="CI849" s="4" t="s">
        <v>124</v>
      </c>
      <c r="CJ849" s="4" t="s">
        <v>124</v>
      </c>
      <c r="CK849" s="4" t="s">
        <v>124</v>
      </c>
      <c r="CL849" s="4" t="s">
        <v>124</v>
      </c>
      <c r="CM849" s="4" t="s">
        <v>124</v>
      </c>
      <c r="CN849" s="4" t="s">
        <v>124</v>
      </c>
      <c r="CO849" s="4" t="s">
        <v>124</v>
      </c>
      <c r="CP849" s="4" t="s">
        <v>124</v>
      </c>
      <c r="CQ849" s="7">
        <v>0.38541700000000001</v>
      </c>
      <c r="CR849" s="7">
        <v>0.94117600000000001</v>
      </c>
      <c r="CS849" s="7">
        <v>25.694444000000001</v>
      </c>
      <c r="CT849" s="7">
        <v>50</v>
      </c>
      <c r="CU849" s="4" t="s">
        <v>124</v>
      </c>
      <c r="CV849" s="4" t="s">
        <v>124</v>
      </c>
      <c r="CW849" s="4" t="s">
        <v>124</v>
      </c>
      <c r="CX849" s="4" t="s">
        <v>124</v>
      </c>
      <c r="CY849" s="4" t="s">
        <v>124</v>
      </c>
      <c r="CZ849" s="4" t="s">
        <v>124</v>
      </c>
      <c r="DA849" s="7">
        <v>15.314097</v>
      </c>
      <c r="DB849" s="7">
        <v>17.400950000000002</v>
      </c>
      <c r="DC849" s="7">
        <v>16.332519999999999</v>
      </c>
      <c r="DD849" s="4" t="s">
        <v>124</v>
      </c>
      <c r="DE849" s="7">
        <v>0</v>
      </c>
      <c r="DF849" s="6"/>
      <c r="DG849" s="6"/>
      <c r="DH849" s="4" t="s">
        <v>331</v>
      </c>
      <c r="DI849" s="4" t="s">
        <v>431</v>
      </c>
      <c r="DJ849" s="7">
        <v>0</v>
      </c>
      <c r="DK849" s="7">
        <v>0</v>
      </c>
      <c r="DL849" s="7">
        <v>0</v>
      </c>
      <c r="DM849" s="7">
        <v>0</v>
      </c>
      <c r="DN849" s="7">
        <v>1</v>
      </c>
      <c r="DO849" s="7">
        <v>0</v>
      </c>
      <c r="DP849" s="6"/>
      <c r="DQ849" s="4" t="s">
        <v>125</v>
      </c>
    </row>
    <row r="850" spans="1:121" ht="20" customHeight="1" x14ac:dyDescent="0.15">
      <c r="A850" s="5">
        <v>2018</v>
      </c>
      <c r="B850" s="3" t="s">
        <v>282</v>
      </c>
      <c r="C850" s="4" t="str">
        <f>"1290011"</f>
        <v>1290011</v>
      </c>
      <c r="D850" s="4" t="s">
        <v>1003</v>
      </c>
      <c r="E850" s="4" t="str">
        <f>"1296111"</f>
        <v>1296111</v>
      </c>
      <c r="F850" s="4" t="s">
        <v>327</v>
      </c>
      <c r="G850" s="7">
        <v>9</v>
      </c>
      <c r="H850" s="7">
        <v>12</v>
      </c>
      <c r="I850" s="4" t="s">
        <v>329</v>
      </c>
      <c r="J850" s="4" t="s">
        <v>330</v>
      </c>
      <c r="K850" s="7">
        <v>830.71819100000005</v>
      </c>
      <c r="L850" s="7">
        <v>1050</v>
      </c>
      <c r="M850" s="7">
        <v>79.116017999999997</v>
      </c>
      <c r="N850" s="7">
        <v>3</v>
      </c>
      <c r="O850" s="7">
        <v>0</v>
      </c>
      <c r="P850" s="7">
        <v>63.962963000000002</v>
      </c>
      <c r="Q850" s="7">
        <v>127.925926</v>
      </c>
      <c r="R850" s="7">
        <v>150</v>
      </c>
      <c r="S850" s="4" t="s">
        <v>124</v>
      </c>
      <c r="T850" s="7">
        <v>66.993976000000004</v>
      </c>
      <c r="U850" s="4" t="s">
        <v>124</v>
      </c>
      <c r="V850" s="4" t="s">
        <v>124</v>
      </c>
      <c r="W850" s="7">
        <v>59.129629999999999</v>
      </c>
      <c r="X850" s="7">
        <v>118.259259</v>
      </c>
      <c r="Y850" s="7">
        <v>150</v>
      </c>
      <c r="Z850" s="7">
        <v>61.714858999999997</v>
      </c>
      <c r="AA850" s="4" t="s">
        <v>124</v>
      </c>
      <c r="AB850" s="4" t="s">
        <v>124</v>
      </c>
      <c r="AC850" s="4" t="s">
        <v>124</v>
      </c>
      <c r="AD850" s="7">
        <v>57.464883</v>
      </c>
      <c r="AE850" s="7">
        <v>76.619844000000001</v>
      </c>
      <c r="AF850" s="7">
        <v>100</v>
      </c>
      <c r="AG850" s="4" t="s">
        <v>124</v>
      </c>
      <c r="AH850" s="7">
        <v>58.406036999999998</v>
      </c>
      <c r="AI850" s="4" t="s">
        <v>124</v>
      </c>
      <c r="AJ850" s="4" t="s">
        <v>124</v>
      </c>
      <c r="AK850" s="4" t="s">
        <v>124</v>
      </c>
      <c r="AL850" s="4" t="s">
        <v>124</v>
      </c>
      <c r="AM850" s="4" t="s">
        <v>124</v>
      </c>
      <c r="AN850" s="4" t="s">
        <v>124</v>
      </c>
      <c r="AO850" s="4" t="s">
        <v>124</v>
      </c>
      <c r="AP850" s="4" t="s">
        <v>124</v>
      </c>
      <c r="AQ850" s="4" t="s">
        <v>124</v>
      </c>
      <c r="AR850" s="4" t="s">
        <v>124</v>
      </c>
      <c r="AS850" s="4" t="s">
        <v>124</v>
      </c>
      <c r="AT850" s="4" t="s">
        <v>124</v>
      </c>
      <c r="AU850" s="4" t="s">
        <v>124</v>
      </c>
      <c r="AV850" s="4" t="s">
        <v>124</v>
      </c>
      <c r="AW850" s="4" t="s">
        <v>124</v>
      </c>
      <c r="AX850" s="4" t="s">
        <v>124</v>
      </c>
      <c r="AY850" s="4" t="s">
        <v>124</v>
      </c>
      <c r="AZ850" s="4" t="s">
        <v>124</v>
      </c>
      <c r="BA850" s="4" t="s">
        <v>124</v>
      </c>
      <c r="BB850" s="4" t="s">
        <v>124</v>
      </c>
      <c r="BC850" s="4" t="s">
        <v>124</v>
      </c>
      <c r="BD850" s="4" t="s">
        <v>124</v>
      </c>
      <c r="BE850" s="4" t="s">
        <v>124</v>
      </c>
      <c r="BF850" s="4" t="s">
        <v>124</v>
      </c>
      <c r="BG850" s="4" t="s">
        <v>124</v>
      </c>
      <c r="BH850" s="7">
        <v>1</v>
      </c>
      <c r="BI850" s="7">
        <v>0.97169799999999995</v>
      </c>
      <c r="BJ850" s="4" t="s">
        <v>124</v>
      </c>
      <c r="BK850" s="7">
        <v>0.96551699999999996</v>
      </c>
      <c r="BL850" s="7">
        <v>0.97169799999999995</v>
      </c>
      <c r="BM850" s="4" t="s">
        <v>124</v>
      </c>
      <c r="BN850" s="7">
        <v>0.96551699999999996</v>
      </c>
      <c r="BO850" s="7">
        <v>0.90566000000000002</v>
      </c>
      <c r="BP850" s="4" t="s">
        <v>124</v>
      </c>
      <c r="BQ850" s="7">
        <v>0.91954000000000002</v>
      </c>
      <c r="BR850" s="7">
        <v>0.20950299999999999</v>
      </c>
      <c r="BS850" s="7">
        <v>18.099352</v>
      </c>
      <c r="BT850" s="7">
        <v>50</v>
      </c>
      <c r="BU850" s="7">
        <v>0.38947399999999999</v>
      </c>
      <c r="BV850" s="7">
        <v>0</v>
      </c>
      <c r="BW850" s="7">
        <v>50</v>
      </c>
      <c r="BX850" s="7">
        <v>0.77586200000000005</v>
      </c>
      <c r="BY850" s="7">
        <v>50</v>
      </c>
      <c r="BZ850" s="7">
        <v>50</v>
      </c>
      <c r="CA850" s="7">
        <v>0.46982800000000002</v>
      </c>
      <c r="CB850" s="7">
        <v>31.321839000000001</v>
      </c>
      <c r="CC850" s="7">
        <v>50</v>
      </c>
      <c r="CD850" s="7">
        <v>0.543103</v>
      </c>
      <c r="CE850" s="7">
        <v>28.888480999999999</v>
      </c>
      <c r="CF850" s="7">
        <v>50</v>
      </c>
      <c r="CG850" s="7">
        <v>0.982456</v>
      </c>
      <c r="CH850" s="7">
        <v>100</v>
      </c>
      <c r="CI850" s="7">
        <v>100</v>
      </c>
      <c r="CJ850" s="7">
        <v>1</v>
      </c>
      <c r="CK850" s="7">
        <v>0.85714299999999999</v>
      </c>
      <c r="CL850" s="7">
        <v>91.185410000000005</v>
      </c>
      <c r="CM850" s="7">
        <v>100</v>
      </c>
      <c r="CN850" s="7">
        <v>0.82608700000000002</v>
      </c>
      <c r="CO850" s="7">
        <v>100</v>
      </c>
      <c r="CP850" s="7">
        <v>100</v>
      </c>
      <c r="CQ850" s="7">
        <v>0.57627099999999998</v>
      </c>
      <c r="CR850" s="7">
        <v>0.99159699999999995</v>
      </c>
      <c r="CS850" s="7">
        <v>38.418078999999999</v>
      </c>
      <c r="CT850" s="7">
        <v>50</v>
      </c>
      <c r="CU850" s="7">
        <v>0.77321799999999996</v>
      </c>
      <c r="CV850" s="7">
        <v>50</v>
      </c>
      <c r="CW850" s="7">
        <v>50</v>
      </c>
      <c r="CX850" s="7">
        <v>0.85714299999999999</v>
      </c>
      <c r="CY850" s="7">
        <v>0.94</v>
      </c>
      <c r="CZ850" s="7">
        <v>8.2857E-2</v>
      </c>
      <c r="DA850" s="7">
        <v>15.314097</v>
      </c>
      <c r="DB850" s="7">
        <v>17.400950000000002</v>
      </c>
      <c r="DC850" s="7">
        <v>16.332519999999999</v>
      </c>
      <c r="DD850" s="7">
        <v>7.9891730000000001</v>
      </c>
      <c r="DE850" s="7">
        <v>1</v>
      </c>
      <c r="DF850" s="6"/>
      <c r="DG850" s="6"/>
      <c r="DH850" s="6"/>
      <c r="DI850" s="6"/>
      <c r="DJ850" s="7">
        <v>0</v>
      </c>
      <c r="DK850" s="7">
        <v>0</v>
      </c>
      <c r="DL850" s="7">
        <v>0</v>
      </c>
      <c r="DM850" s="7">
        <v>0</v>
      </c>
      <c r="DN850" s="7">
        <v>0</v>
      </c>
      <c r="DO850" s="7">
        <v>0</v>
      </c>
      <c r="DP850" s="6"/>
      <c r="DQ850" s="4" t="s">
        <v>125</v>
      </c>
    </row>
    <row r="851" spans="1:121" ht="20" customHeight="1" x14ac:dyDescent="0.15">
      <c r="A851" s="5">
        <v>2018</v>
      </c>
      <c r="B851" s="3" t="s">
        <v>283</v>
      </c>
      <c r="C851" s="4" t="str">
        <f>"1310011"</f>
        <v>1310011</v>
      </c>
      <c r="D851" s="4" t="s">
        <v>1004</v>
      </c>
      <c r="E851" s="4" t="str">
        <f>"1311511"</f>
        <v>1311511</v>
      </c>
      <c r="F851" s="4" t="s">
        <v>327</v>
      </c>
      <c r="G851" s="4" t="s">
        <v>338</v>
      </c>
      <c r="H851" s="7">
        <v>5</v>
      </c>
      <c r="I851" s="4" t="s">
        <v>329</v>
      </c>
      <c r="J851" s="4" t="s">
        <v>330</v>
      </c>
      <c r="K851" s="7">
        <v>659.54553599999997</v>
      </c>
      <c r="L851" s="7">
        <v>850</v>
      </c>
      <c r="M851" s="7">
        <v>77.593592000000001</v>
      </c>
      <c r="N851" s="7">
        <v>2</v>
      </c>
      <c r="O851" s="7">
        <v>0</v>
      </c>
      <c r="P851" s="7">
        <v>75.856381999999996</v>
      </c>
      <c r="Q851" s="7">
        <v>50</v>
      </c>
      <c r="R851" s="7">
        <v>50</v>
      </c>
      <c r="S851" s="7">
        <v>66.478538999999998</v>
      </c>
      <c r="T851" s="7">
        <v>75</v>
      </c>
      <c r="U851" s="7">
        <v>44.319026000000001</v>
      </c>
      <c r="V851" s="7">
        <v>50</v>
      </c>
      <c r="W851" s="7">
        <v>73.664963999999998</v>
      </c>
      <c r="X851" s="7">
        <v>49.109976000000003</v>
      </c>
      <c r="Y851" s="7">
        <v>50</v>
      </c>
      <c r="Z851" s="7">
        <v>75</v>
      </c>
      <c r="AA851" s="7">
        <v>62.318106999999998</v>
      </c>
      <c r="AB851" s="7">
        <v>41.545405000000002</v>
      </c>
      <c r="AC851" s="7">
        <v>50</v>
      </c>
      <c r="AD851" s="7">
        <v>73.695565000000002</v>
      </c>
      <c r="AE851" s="7">
        <v>49.130375999999998</v>
      </c>
      <c r="AF851" s="7">
        <v>50</v>
      </c>
      <c r="AG851" s="7">
        <v>65.884917000000002</v>
      </c>
      <c r="AH851" s="7">
        <v>75</v>
      </c>
      <c r="AI851" s="7">
        <v>43.923278000000003</v>
      </c>
      <c r="AJ851" s="7">
        <v>50</v>
      </c>
      <c r="AK851" s="7">
        <v>8.52</v>
      </c>
      <c r="AL851" s="7">
        <v>12.68</v>
      </c>
      <c r="AM851" s="7">
        <v>9.11</v>
      </c>
      <c r="AN851" s="7">
        <v>0.57888899999999999</v>
      </c>
      <c r="AO851" s="7">
        <v>57.888858999999997</v>
      </c>
      <c r="AP851" s="7">
        <v>100</v>
      </c>
      <c r="AQ851" s="7">
        <v>0.71713700000000002</v>
      </c>
      <c r="AR851" s="7">
        <v>71.713667999999998</v>
      </c>
      <c r="AS851" s="7">
        <v>100</v>
      </c>
      <c r="AT851" s="7">
        <v>0.50939999999999996</v>
      </c>
      <c r="AU851" s="7">
        <v>0.62175100000000005</v>
      </c>
      <c r="AV851" s="7">
        <v>50.939950000000003</v>
      </c>
      <c r="AW851" s="7">
        <v>100</v>
      </c>
      <c r="AX851" s="7">
        <v>0.63247600000000004</v>
      </c>
      <c r="AY851" s="7">
        <v>0.76935699999999996</v>
      </c>
      <c r="AZ851" s="7">
        <v>63.247588</v>
      </c>
      <c r="BA851" s="7">
        <v>100</v>
      </c>
      <c r="BB851" s="4" t="s">
        <v>124</v>
      </c>
      <c r="BC851" s="4" t="s">
        <v>124</v>
      </c>
      <c r="BD851" s="4" t="s">
        <v>124</v>
      </c>
      <c r="BE851" s="4" t="s">
        <v>124</v>
      </c>
      <c r="BF851" s="4" t="s">
        <v>124</v>
      </c>
      <c r="BG851" s="4" t="s">
        <v>124</v>
      </c>
      <c r="BH851" s="7">
        <v>0</v>
      </c>
      <c r="BI851" s="7">
        <v>1</v>
      </c>
      <c r="BJ851" s="7">
        <v>1</v>
      </c>
      <c r="BK851" s="7">
        <v>1</v>
      </c>
      <c r="BL851" s="7">
        <v>1</v>
      </c>
      <c r="BM851" s="7">
        <v>1</v>
      </c>
      <c r="BN851" s="7">
        <v>1</v>
      </c>
      <c r="BO851" s="7">
        <v>1</v>
      </c>
      <c r="BP851" s="7">
        <v>1</v>
      </c>
      <c r="BQ851" s="7">
        <v>1</v>
      </c>
      <c r="BR851" s="7">
        <v>4.4859999999999997E-2</v>
      </c>
      <c r="BS851" s="7">
        <v>50</v>
      </c>
      <c r="BT851" s="7">
        <v>50</v>
      </c>
      <c r="BU851" s="7">
        <v>8.9005000000000001E-2</v>
      </c>
      <c r="BV851" s="7">
        <v>42.198953000000003</v>
      </c>
      <c r="BW851" s="7">
        <v>50</v>
      </c>
      <c r="BX851" s="4" t="s">
        <v>124</v>
      </c>
      <c r="BY851" s="4" t="s">
        <v>124</v>
      </c>
      <c r="BZ851" s="4" t="s">
        <v>124</v>
      </c>
      <c r="CA851" s="4" t="s">
        <v>124</v>
      </c>
      <c r="CB851" s="4" t="s">
        <v>124</v>
      </c>
      <c r="CC851" s="4" t="s">
        <v>124</v>
      </c>
      <c r="CD851" s="4" t="s">
        <v>124</v>
      </c>
      <c r="CE851" s="4" t="s">
        <v>124</v>
      </c>
      <c r="CF851" s="4" t="s">
        <v>124</v>
      </c>
      <c r="CG851" s="4" t="s">
        <v>124</v>
      </c>
      <c r="CH851" s="4" t="s">
        <v>124</v>
      </c>
      <c r="CI851" s="4" t="s">
        <v>124</v>
      </c>
      <c r="CJ851" s="4" t="s">
        <v>124</v>
      </c>
      <c r="CK851" s="4" t="s">
        <v>124</v>
      </c>
      <c r="CL851" s="4" t="s">
        <v>124</v>
      </c>
      <c r="CM851" s="4" t="s">
        <v>124</v>
      </c>
      <c r="CN851" s="4" t="s">
        <v>124</v>
      </c>
      <c r="CO851" s="4" t="s">
        <v>124</v>
      </c>
      <c r="CP851" s="4" t="s">
        <v>124</v>
      </c>
      <c r="CQ851" s="7">
        <v>0.68292699999999995</v>
      </c>
      <c r="CR851" s="7">
        <v>0.92134799999999994</v>
      </c>
      <c r="CS851" s="7">
        <v>45.528455000000001</v>
      </c>
      <c r="CT851" s="7">
        <v>50</v>
      </c>
      <c r="CU851" s="4" t="s">
        <v>124</v>
      </c>
      <c r="CV851" s="4" t="s">
        <v>124</v>
      </c>
      <c r="CW851" s="4" t="s">
        <v>124</v>
      </c>
      <c r="CX851" s="4" t="s">
        <v>124</v>
      </c>
      <c r="CY851" s="4" t="s">
        <v>124</v>
      </c>
      <c r="CZ851" s="4" t="s">
        <v>124</v>
      </c>
      <c r="DA851" s="7">
        <v>15.314097</v>
      </c>
      <c r="DB851" s="7">
        <v>17.400950000000002</v>
      </c>
      <c r="DC851" s="7">
        <v>16.332519999999999</v>
      </c>
      <c r="DD851" s="4" t="s">
        <v>124</v>
      </c>
      <c r="DE851" s="7">
        <v>0</v>
      </c>
      <c r="DF851" s="6"/>
      <c r="DG851" s="6"/>
      <c r="DH851" s="6"/>
      <c r="DI851" s="6"/>
      <c r="DJ851" s="7">
        <v>0</v>
      </c>
      <c r="DK851" s="7">
        <v>0</v>
      </c>
      <c r="DL851" s="7">
        <v>0</v>
      </c>
      <c r="DM851" s="7">
        <v>0</v>
      </c>
      <c r="DN851" s="7">
        <v>0</v>
      </c>
      <c r="DO851" s="7">
        <v>0</v>
      </c>
      <c r="DP851" s="6"/>
      <c r="DQ851" s="4" t="s">
        <v>125</v>
      </c>
    </row>
    <row r="852" spans="1:121" ht="20" customHeight="1" x14ac:dyDescent="0.15">
      <c r="A852" s="5">
        <v>2018</v>
      </c>
      <c r="B852" s="3" t="s">
        <v>283</v>
      </c>
      <c r="C852" s="4" t="str">
        <f t="shared" si="155"/>
        <v>1310011</v>
      </c>
      <c r="D852" s="4" t="s">
        <v>1005</v>
      </c>
      <c r="E852" s="4" t="str">
        <f>"1311311"</f>
        <v>1311311</v>
      </c>
      <c r="F852" s="4" t="s">
        <v>327</v>
      </c>
      <c r="G852" s="4" t="s">
        <v>338</v>
      </c>
      <c r="H852" s="7">
        <v>5</v>
      </c>
      <c r="I852" s="4" t="s">
        <v>329</v>
      </c>
      <c r="J852" s="4" t="s">
        <v>330</v>
      </c>
      <c r="K852" s="7">
        <v>663.44613400000003</v>
      </c>
      <c r="L852" s="7">
        <v>900</v>
      </c>
      <c r="M852" s="7">
        <v>73.716237000000007</v>
      </c>
      <c r="N852" s="7">
        <v>2</v>
      </c>
      <c r="O852" s="7">
        <v>0</v>
      </c>
      <c r="P852" s="7">
        <v>74.314385000000001</v>
      </c>
      <c r="Q852" s="7">
        <v>49.542923000000002</v>
      </c>
      <c r="R852" s="7">
        <v>50</v>
      </c>
      <c r="S852" s="7">
        <v>61.555348000000002</v>
      </c>
      <c r="T852" s="7">
        <v>75</v>
      </c>
      <c r="U852" s="7">
        <v>41.036898000000001</v>
      </c>
      <c r="V852" s="7">
        <v>50</v>
      </c>
      <c r="W852" s="7">
        <v>74.650919999999999</v>
      </c>
      <c r="X852" s="7">
        <v>49.76728</v>
      </c>
      <c r="Y852" s="7">
        <v>50</v>
      </c>
      <c r="Z852" s="7">
        <v>75</v>
      </c>
      <c r="AA852" s="7">
        <v>60.522354</v>
      </c>
      <c r="AB852" s="7">
        <v>40.348236</v>
      </c>
      <c r="AC852" s="7">
        <v>50</v>
      </c>
      <c r="AD852" s="7">
        <v>73.254480000000001</v>
      </c>
      <c r="AE852" s="7">
        <v>48.836320000000001</v>
      </c>
      <c r="AF852" s="7">
        <v>50</v>
      </c>
      <c r="AG852" s="4" t="s">
        <v>124</v>
      </c>
      <c r="AH852" s="7">
        <v>75</v>
      </c>
      <c r="AI852" s="4" t="s">
        <v>124</v>
      </c>
      <c r="AJ852" s="4" t="s">
        <v>124</v>
      </c>
      <c r="AK852" s="7">
        <v>13.44</v>
      </c>
      <c r="AL852" s="7">
        <v>14.47</v>
      </c>
      <c r="AM852" s="4" t="s">
        <v>124</v>
      </c>
      <c r="AN852" s="7">
        <v>0.61937399999999998</v>
      </c>
      <c r="AO852" s="7">
        <v>61.937393</v>
      </c>
      <c r="AP852" s="7">
        <v>100</v>
      </c>
      <c r="AQ852" s="7">
        <v>0.77100199999999997</v>
      </c>
      <c r="AR852" s="7">
        <v>77.100232000000005</v>
      </c>
      <c r="AS852" s="7">
        <v>100</v>
      </c>
      <c r="AT852" s="7">
        <v>0.50640099999999999</v>
      </c>
      <c r="AU852" s="7">
        <v>0.67188199999999998</v>
      </c>
      <c r="AV852" s="7">
        <v>50.640146000000001</v>
      </c>
      <c r="AW852" s="7">
        <v>100</v>
      </c>
      <c r="AX852" s="7">
        <v>0.70807299999999995</v>
      </c>
      <c r="AY852" s="7">
        <v>0.80025100000000005</v>
      </c>
      <c r="AZ852" s="7">
        <v>70.807311999999996</v>
      </c>
      <c r="BA852" s="7">
        <v>100</v>
      </c>
      <c r="BB852" s="7">
        <v>0.80725400000000003</v>
      </c>
      <c r="BC852" s="7">
        <v>40.362676999999998</v>
      </c>
      <c r="BD852" s="7">
        <v>50</v>
      </c>
      <c r="BE852" s="7">
        <v>0.50466800000000001</v>
      </c>
      <c r="BF852" s="7">
        <v>25.233378999999999</v>
      </c>
      <c r="BG852" s="7">
        <v>50</v>
      </c>
      <c r="BH852" s="7">
        <v>0</v>
      </c>
      <c r="BI852" s="7">
        <v>1</v>
      </c>
      <c r="BJ852" s="7">
        <v>1</v>
      </c>
      <c r="BK852" s="7">
        <v>1</v>
      </c>
      <c r="BL852" s="7">
        <v>1</v>
      </c>
      <c r="BM852" s="7">
        <v>1</v>
      </c>
      <c r="BN852" s="7">
        <v>1</v>
      </c>
      <c r="BO852" s="7">
        <v>1</v>
      </c>
      <c r="BP852" s="7">
        <v>1</v>
      </c>
      <c r="BQ852" s="7">
        <v>1</v>
      </c>
      <c r="BR852" s="7">
        <v>5.6939999999999998E-2</v>
      </c>
      <c r="BS852" s="7">
        <v>48.612099999999998</v>
      </c>
      <c r="BT852" s="7">
        <v>50</v>
      </c>
      <c r="BU852" s="7">
        <v>0.123894</v>
      </c>
      <c r="BV852" s="7">
        <v>35.221238999999997</v>
      </c>
      <c r="BW852" s="7">
        <v>50</v>
      </c>
      <c r="BX852" s="4" t="s">
        <v>124</v>
      </c>
      <c r="BY852" s="4" t="s">
        <v>124</v>
      </c>
      <c r="BZ852" s="4" t="s">
        <v>124</v>
      </c>
      <c r="CA852" s="4" t="s">
        <v>124</v>
      </c>
      <c r="CB852" s="4" t="s">
        <v>124</v>
      </c>
      <c r="CC852" s="4" t="s">
        <v>124</v>
      </c>
      <c r="CD852" s="4" t="s">
        <v>124</v>
      </c>
      <c r="CE852" s="4" t="s">
        <v>124</v>
      </c>
      <c r="CF852" s="4" t="s">
        <v>124</v>
      </c>
      <c r="CG852" s="4" t="s">
        <v>124</v>
      </c>
      <c r="CH852" s="4" t="s">
        <v>124</v>
      </c>
      <c r="CI852" s="4" t="s">
        <v>124</v>
      </c>
      <c r="CJ852" s="4" t="s">
        <v>124</v>
      </c>
      <c r="CK852" s="4" t="s">
        <v>124</v>
      </c>
      <c r="CL852" s="4" t="s">
        <v>124</v>
      </c>
      <c r="CM852" s="4" t="s">
        <v>124</v>
      </c>
      <c r="CN852" s="4" t="s">
        <v>124</v>
      </c>
      <c r="CO852" s="4" t="s">
        <v>124</v>
      </c>
      <c r="CP852" s="4" t="s">
        <v>124</v>
      </c>
      <c r="CQ852" s="7">
        <v>0.36</v>
      </c>
      <c r="CR852" s="7">
        <v>0.98039200000000004</v>
      </c>
      <c r="CS852" s="7">
        <v>24</v>
      </c>
      <c r="CT852" s="7">
        <v>50</v>
      </c>
      <c r="CU852" s="4" t="s">
        <v>124</v>
      </c>
      <c r="CV852" s="4" t="s">
        <v>124</v>
      </c>
      <c r="CW852" s="4" t="s">
        <v>124</v>
      </c>
      <c r="CX852" s="4" t="s">
        <v>124</v>
      </c>
      <c r="CY852" s="4" t="s">
        <v>124</v>
      </c>
      <c r="CZ852" s="4" t="s">
        <v>124</v>
      </c>
      <c r="DA852" s="7">
        <v>15.314097</v>
      </c>
      <c r="DB852" s="7">
        <v>17.400950000000002</v>
      </c>
      <c r="DC852" s="7">
        <v>16.332519999999999</v>
      </c>
      <c r="DD852" s="4" t="s">
        <v>124</v>
      </c>
      <c r="DE852" s="7">
        <v>0</v>
      </c>
      <c r="DF852" s="6"/>
      <c r="DG852" s="6"/>
      <c r="DH852" s="6"/>
      <c r="DI852" s="6"/>
      <c r="DJ852" s="7">
        <v>0</v>
      </c>
      <c r="DK852" s="7">
        <v>0</v>
      </c>
      <c r="DL852" s="7">
        <v>0</v>
      </c>
      <c r="DM852" s="7">
        <v>0</v>
      </c>
      <c r="DN852" s="7">
        <v>0</v>
      </c>
      <c r="DO852" s="7">
        <v>0</v>
      </c>
      <c r="DP852" s="6"/>
      <c r="DQ852" s="4" t="s">
        <v>125</v>
      </c>
    </row>
    <row r="853" spans="1:121" ht="20" customHeight="1" x14ac:dyDescent="0.15">
      <c r="A853" s="5">
        <v>2018</v>
      </c>
      <c r="B853" s="3" t="s">
        <v>283</v>
      </c>
      <c r="C853" s="4" t="str">
        <f t="shared" ref="C853:C861" si="250">"1310011"</f>
        <v>1310011</v>
      </c>
      <c r="D853" s="4" t="s">
        <v>1006</v>
      </c>
      <c r="E853" s="4" t="str">
        <f>"1310211"</f>
        <v>1310211</v>
      </c>
      <c r="F853" s="4" t="s">
        <v>327</v>
      </c>
      <c r="G853" s="4" t="s">
        <v>338</v>
      </c>
      <c r="H853" s="7">
        <v>5</v>
      </c>
      <c r="I853" s="4" t="s">
        <v>329</v>
      </c>
      <c r="J853" s="4" t="s">
        <v>330</v>
      </c>
      <c r="K853" s="7">
        <v>622.01006199999995</v>
      </c>
      <c r="L853" s="7">
        <v>800</v>
      </c>
      <c r="M853" s="7">
        <v>77.751258000000007</v>
      </c>
      <c r="N853" s="7">
        <v>2</v>
      </c>
      <c r="O853" s="7">
        <v>0</v>
      </c>
      <c r="P853" s="7">
        <v>74.264111</v>
      </c>
      <c r="Q853" s="7">
        <v>49.509407000000003</v>
      </c>
      <c r="R853" s="7">
        <v>50</v>
      </c>
      <c r="S853" s="7">
        <v>64.250546999999997</v>
      </c>
      <c r="T853" s="7">
        <v>75</v>
      </c>
      <c r="U853" s="7">
        <v>42.833697999999998</v>
      </c>
      <c r="V853" s="7">
        <v>50</v>
      </c>
      <c r="W853" s="7">
        <v>76.070160000000001</v>
      </c>
      <c r="X853" s="7">
        <v>50</v>
      </c>
      <c r="Y853" s="7">
        <v>50</v>
      </c>
      <c r="Z853" s="7">
        <v>75</v>
      </c>
      <c r="AA853" s="7">
        <v>68.995457000000002</v>
      </c>
      <c r="AB853" s="7">
        <v>45.996971000000002</v>
      </c>
      <c r="AC853" s="7">
        <v>50</v>
      </c>
      <c r="AD853" s="7">
        <v>69.338973999999993</v>
      </c>
      <c r="AE853" s="7">
        <v>46.225982999999999</v>
      </c>
      <c r="AF853" s="7">
        <v>50</v>
      </c>
      <c r="AG853" s="4" t="s">
        <v>124</v>
      </c>
      <c r="AH853" s="7">
        <v>73.485406999999995</v>
      </c>
      <c r="AI853" s="4" t="s">
        <v>124</v>
      </c>
      <c r="AJ853" s="4" t="s">
        <v>124</v>
      </c>
      <c r="AK853" s="7">
        <v>10.74</v>
      </c>
      <c r="AL853" s="7">
        <v>6</v>
      </c>
      <c r="AM853" s="4" t="s">
        <v>124</v>
      </c>
      <c r="AN853" s="7">
        <v>0.60387500000000005</v>
      </c>
      <c r="AO853" s="7">
        <v>60.387524999999997</v>
      </c>
      <c r="AP853" s="7">
        <v>100</v>
      </c>
      <c r="AQ853" s="7">
        <v>0.78708100000000003</v>
      </c>
      <c r="AR853" s="7">
        <v>78.708129999999997</v>
      </c>
      <c r="AS853" s="7">
        <v>100</v>
      </c>
      <c r="AT853" s="7">
        <v>0.55616699999999997</v>
      </c>
      <c r="AU853" s="7">
        <v>0.62365700000000002</v>
      </c>
      <c r="AV853" s="7">
        <v>55.616708000000003</v>
      </c>
      <c r="AW853" s="7">
        <v>100</v>
      </c>
      <c r="AX853" s="7">
        <v>0.76976</v>
      </c>
      <c r="AY853" s="7">
        <v>0.79426300000000005</v>
      </c>
      <c r="AZ853" s="7">
        <v>76.975989999999996</v>
      </c>
      <c r="BA853" s="7">
        <v>100</v>
      </c>
      <c r="BB853" s="4" t="s">
        <v>124</v>
      </c>
      <c r="BC853" s="4" t="s">
        <v>124</v>
      </c>
      <c r="BD853" s="4" t="s">
        <v>124</v>
      </c>
      <c r="BE853" s="4" t="s">
        <v>124</v>
      </c>
      <c r="BF853" s="4" t="s">
        <v>124</v>
      </c>
      <c r="BG853" s="4" t="s">
        <v>124</v>
      </c>
      <c r="BH853" s="7">
        <v>0</v>
      </c>
      <c r="BI853" s="7">
        <v>1</v>
      </c>
      <c r="BJ853" s="7">
        <v>1</v>
      </c>
      <c r="BK853" s="7">
        <v>1</v>
      </c>
      <c r="BL853" s="7">
        <v>1</v>
      </c>
      <c r="BM853" s="7">
        <v>1</v>
      </c>
      <c r="BN853" s="7">
        <v>1</v>
      </c>
      <c r="BO853" s="7">
        <v>1</v>
      </c>
      <c r="BP853" s="7">
        <v>1</v>
      </c>
      <c r="BQ853" s="7">
        <v>1</v>
      </c>
      <c r="BR853" s="7">
        <v>3.125E-2</v>
      </c>
      <c r="BS853" s="7">
        <v>50</v>
      </c>
      <c r="BT853" s="7">
        <v>50</v>
      </c>
      <c r="BU853" s="7">
        <v>7.2916999999999996E-2</v>
      </c>
      <c r="BV853" s="7">
        <v>45.416666999999997</v>
      </c>
      <c r="BW853" s="7">
        <v>50</v>
      </c>
      <c r="BX853" s="4" t="s">
        <v>124</v>
      </c>
      <c r="BY853" s="4" t="s">
        <v>124</v>
      </c>
      <c r="BZ853" s="4" t="s">
        <v>124</v>
      </c>
      <c r="CA853" s="4" t="s">
        <v>124</v>
      </c>
      <c r="CB853" s="4" t="s">
        <v>124</v>
      </c>
      <c r="CC853" s="4" t="s">
        <v>124</v>
      </c>
      <c r="CD853" s="4" t="s">
        <v>124</v>
      </c>
      <c r="CE853" s="4" t="s">
        <v>124</v>
      </c>
      <c r="CF853" s="4" t="s">
        <v>124</v>
      </c>
      <c r="CG853" s="4" t="s">
        <v>124</v>
      </c>
      <c r="CH853" s="4" t="s">
        <v>124</v>
      </c>
      <c r="CI853" s="4" t="s">
        <v>124</v>
      </c>
      <c r="CJ853" s="4" t="s">
        <v>124</v>
      </c>
      <c r="CK853" s="4" t="s">
        <v>124</v>
      </c>
      <c r="CL853" s="4" t="s">
        <v>124</v>
      </c>
      <c r="CM853" s="4" t="s">
        <v>124</v>
      </c>
      <c r="CN853" s="4" t="s">
        <v>124</v>
      </c>
      <c r="CO853" s="4" t="s">
        <v>124</v>
      </c>
      <c r="CP853" s="4" t="s">
        <v>124</v>
      </c>
      <c r="CQ853" s="7">
        <v>0.305085</v>
      </c>
      <c r="CR853" s="7">
        <v>1.035088</v>
      </c>
      <c r="CS853" s="7">
        <v>20.338982999999999</v>
      </c>
      <c r="CT853" s="7">
        <v>50</v>
      </c>
      <c r="CU853" s="4" t="s">
        <v>124</v>
      </c>
      <c r="CV853" s="4" t="s">
        <v>124</v>
      </c>
      <c r="CW853" s="4" t="s">
        <v>124</v>
      </c>
      <c r="CX853" s="4" t="s">
        <v>124</v>
      </c>
      <c r="CY853" s="4" t="s">
        <v>124</v>
      </c>
      <c r="CZ853" s="4" t="s">
        <v>124</v>
      </c>
      <c r="DA853" s="7">
        <v>15.314097</v>
      </c>
      <c r="DB853" s="7">
        <v>17.400950000000002</v>
      </c>
      <c r="DC853" s="7">
        <v>16.332519999999999</v>
      </c>
      <c r="DD853" s="4" t="s">
        <v>124</v>
      </c>
      <c r="DE853" s="7">
        <v>0</v>
      </c>
      <c r="DF853" s="6"/>
      <c r="DG853" s="6"/>
      <c r="DH853" s="6"/>
      <c r="DI853" s="6"/>
      <c r="DJ853" s="7">
        <v>0</v>
      </c>
      <c r="DK853" s="7">
        <v>0</v>
      </c>
      <c r="DL853" s="7">
        <v>0</v>
      </c>
      <c r="DM853" s="7">
        <v>0</v>
      </c>
      <c r="DN853" s="7">
        <v>0</v>
      </c>
      <c r="DO853" s="7">
        <v>0</v>
      </c>
      <c r="DP853" s="6"/>
      <c r="DQ853" s="4" t="s">
        <v>125</v>
      </c>
    </row>
    <row r="854" spans="1:121" ht="20" customHeight="1" x14ac:dyDescent="0.15">
      <c r="A854" s="5">
        <v>2018</v>
      </c>
      <c r="B854" s="3" t="s">
        <v>283</v>
      </c>
      <c r="C854" s="4" t="str">
        <f>"1310011"</f>
        <v>1310011</v>
      </c>
      <c r="D854" s="4" t="s">
        <v>562</v>
      </c>
      <c r="E854" s="4" t="str">
        <f>"1315311"</f>
        <v>1315311</v>
      </c>
      <c r="F854" s="4" t="s">
        <v>327</v>
      </c>
      <c r="G854" s="7">
        <v>6</v>
      </c>
      <c r="H854" s="7">
        <v>8</v>
      </c>
      <c r="I854" s="6"/>
      <c r="J854" s="4" t="s">
        <v>330</v>
      </c>
      <c r="K854" s="7">
        <v>673.05863299999999</v>
      </c>
      <c r="L854" s="7">
        <v>900</v>
      </c>
      <c r="M854" s="7">
        <v>74.784293000000005</v>
      </c>
      <c r="N854" s="7">
        <v>3</v>
      </c>
      <c r="O854" s="7">
        <v>1</v>
      </c>
      <c r="P854" s="7">
        <v>73.369583000000006</v>
      </c>
      <c r="Q854" s="7">
        <v>48.913055</v>
      </c>
      <c r="R854" s="7">
        <v>50</v>
      </c>
      <c r="S854" s="7">
        <v>62.302624000000002</v>
      </c>
      <c r="T854" s="7">
        <v>75</v>
      </c>
      <c r="U854" s="7">
        <v>41.535083</v>
      </c>
      <c r="V854" s="7">
        <v>50</v>
      </c>
      <c r="W854" s="7">
        <v>67.745504999999994</v>
      </c>
      <c r="X854" s="7">
        <v>45.163670000000003</v>
      </c>
      <c r="Y854" s="7">
        <v>50</v>
      </c>
      <c r="Z854" s="7">
        <v>73.128600000000006</v>
      </c>
      <c r="AA854" s="7">
        <v>54.840823999999998</v>
      </c>
      <c r="AB854" s="7">
        <v>36.560549000000002</v>
      </c>
      <c r="AC854" s="7">
        <v>50</v>
      </c>
      <c r="AD854" s="7">
        <v>71.462665999999999</v>
      </c>
      <c r="AE854" s="7">
        <v>47.641778000000002</v>
      </c>
      <c r="AF854" s="7">
        <v>50</v>
      </c>
      <c r="AG854" s="7">
        <v>60.979309999999998</v>
      </c>
      <c r="AH854" s="7">
        <v>74.360076000000007</v>
      </c>
      <c r="AI854" s="7">
        <v>40.652873999999997</v>
      </c>
      <c r="AJ854" s="7">
        <v>50</v>
      </c>
      <c r="AK854" s="7">
        <v>12.69</v>
      </c>
      <c r="AL854" s="7">
        <v>18.28</v>
      </c>
      <c r="AM854" s="7">
        <v>13.38</v>
      </c>
      <c r="AN854" s="7">
        <v>0.55128200000000005</v>
      </c>
      <c r="AO854" s="7">
        <v>55.128154000000002</v>
      </c>
      <c r="AP854" s="7">
        <v>100</v>
      </c>
      <c r="AQ854" s="7">
        <v>0.61583900000000003</v>
      </c>
      <c r="AR854" s="7">
        <v>61.583903999999997</v>
      </c>
      <c r="AS854" s="7">
        <v>100</v>
      </c>
      <c r="AT854" s="7">
        <v>0.57503400000000005</v>
      </c>
      <c r="AU854" s="7">
        <v>0.541771</v>
      </c>
      <c r="AV854" s="7">
        <v>57.503408</v>
      </c>
      <c r="AW854" s="7">
        <v>100</v>
      </c>
      <c r="AX854" s="7">
        <v>0.54122899999999996</v>
      </c>
      <c r="AY854" s="7">
        <v>0.64571100000000003</v>
      </c>
      <c r="AZ854" s="7">
        <v>54.122948000000001</v>
      </c>
      <c r="BA854" s="7">
        <v>100</v>
      </c>
      <c r="BB854" s="4" t="s">
        <v>124</v>
      </c>
      <c r="BC854" s="4" t="s">
        <v>124</v>
      </c>
      <c r="BD854" s="4" t="s">
        <v>124</v>
      </c>
      <c r="BE854" s="4" t="s">
        <v>124</v>
      </c>
      <c r="BF854" s="4" t="s">
        <v>124</v>
      </c>
      <c r="BG854" s="4" t="s">
        <v>124</v>
      </c>
      <c r="BH854" s="7">
        <v>1</v>
      </c>
      <c r="BI854" s="7">
        <v>0.98059499999999999</v>
      </c>
      <c r="BJ854" s="7">
        <v>0.96218499999999996</v>
      </c>
      <c r="BK854" s="7">
        <v>0.98878500000000003</v>
      </c>
      <c r="BL854" s="7">
        <v>0.97930099999999998</v>
      </c>
      <c r="BM854" s="7">
        <v>0.95798300000000003</v>
      </c>
      <c r="BN854" s="7">
        <v>0.98878500000000003</v>
      </c>
      <c r="BO854" s="7">
        <v>0.97014900000000004</v>
      </c>
      <c r="BP854" s="7">
        <v>0.92307700000000004</v>
      </c>
      <c r="BQ854" s="7">
        <v>0.98522200000000004</v>
      </c>
      <c r="BR854" s="7">
        <v>5.6994999999999997E-2</v>
      </c>
      <c r="BS854" s="7">
        <v>48.601036000000001</v>
      </c>
      <c r="BT854" s="7">
        <v>50</v>
      </c>
      <c r="BU854" s="7">
        <v>0.121739</v>
      </c>
      <c r="BV854" s="7">
        <v>35.652174000000002</v>
      </c>
      <c r="BW854" s="7">
        <v>50</v>
      </c>
      <c r="BX854" s="4" t="s">
        <v>124</v>
      </c>
      <c r="BY854" s="4" t="s">
        <v>124</v>
      </c>
      <c r="BZ854" s="4" t="s">
        <v>124</v>
      </c>
      <c r="CA854" s="4" t="s">
        <v>124</v>
      </c>
      <c r="CB854" s="4" t="s">
        <v>124</v>
      </c>
      <c r="CC854" s="4" t="s">
        <v>124</v>
      </c>
      <c r="CD854" s="7">
        <v>0.972549</v>
      </c>
      <c r="CE854" s="7">
        <v>50</v>
      </c>
      <c r="CF854" s="7">
        <v>50</v>
      </c>
      <c r="CG854" s="4" t="s">
        <v>124</v>
      </c>
      <c r="CH854" s="4" t="s">
        <v>124</v>
      </c>
      <c r="CI854" s="4" t="s">
        <v>124</v>
      </c>
      <c r="CJ854" s="4" t="s">
        <v>124</v>
      </c>
      <c r="CK854" s="4" t="s">
        <v>124</v>
      </c>
      <c r="CL854" s="4" t="s">
        <v>124</v>
      </c>
      <c r="CM854" s="4" t="s">
        <v>124</v>
      </c>
      <c r="CN854" s="4" t="s">
        <v>124</v>
      </c>
      <c r="CO854" s="4" t="s">
        <v>124</v>
      </c>
      <c r="CP854" s="4" t="s">
        <v>124</v>
      </c>
      <c r="CQ854" s="7">
        <v>0.76666699999999999</v>
      </c>
      <c r="CR854" s="7">
        <v>0.97142899999999999</v>
      </c>
      <c r="CS854" s="7">
        <v>50</v>
      </c>
      <c r="CT854" s="7">
        <v>50</v>
      </c>
      <c r="CU854" s="4" t="s">
        <v>124</v>
      </c>
      <c r="CV854" s="4" t="s">
        <v>124</v>
      </c>
      <c r="CW854" s="4" t="s">
        <v>124</v>
      </c>
      <c r="CX854" s="4" t="s">
        <v>124</v>
      </c>
      <c r="CY854" s="4" t="s">
        <v>124</v>
      </c>
      <c r="CZ854" s="4" t="s">
        <v>124</v>
      </c>
      <c r="DA854" s="7">
        <v>15.314097</v>
      </c>
      <c r="DB854" s="7">
        <v>17.400950000000002</v>
      </c>
      <c r="DC854" s="7">
        <v>16.332519999999999</v>
      </c>
      <c r="DD854" s="4" t="s">
        <v>124</v>
      </c>
      <c r="DE854" s="7">
        <v>1</v>
      </c>
      <c r="DF854" s="6"/>
      <c r="DG854" s="6"/>
      <c r="DH854" s="6"/>
      <c r="DI854" s="6"/>
      <c r="DJ854" s="7">
        <v>0</v>
      </c>
      <c r="DK854" s="7">
        <v>0</v>
      </c>
      <c r="DL854" s="7">
        <v>0</v>
      </c>
      <c r="DM854" s="7">
        <v>0</v>
      </c>
      <c r="DN854" s="7">
        <v>0</v>
      </c>
      <c r="DO854" s="7">
        <v>0</v>
      </c>
      <c r="DP854" s="6"/>
      <c r="DQ854" s="4" t="s">
        <v>125</v>
      </c>
    </row>
    <row r="855" spans="1:121" ht="20" customHeight="1" x14ac:dyDescent="0.15">
      <c r="A855" s="5">
        <v>2018</v>
      </c>
      <c r="B855" s="3" t="s">
        <v>283</v>
      </c>
      <c r="C855" s="4" t="str">
        <f t="shared" si="250"/>
        <v>1310011</v>
      </c>
      <c r="D855" s="4" t="s">
        <v>1007</v>
      </c>
      <c r="E855" s="4" t="str">
        <f>"1315111"</f>
        <v>1315111</v>
      </c>
      <c r="F855" s="4" t="s">
        <v>327</v>
      </c>
      <c r="G855" s="7">
        <v>6</v>
      </c>
      <c r="H855" s="7">
        <v>8</v>
      </c>
      <c r="I855" s="6"/>
      <c r="J855" s="4" t="s">
        <v>330</v>
      </c>
      <c r="K855" s="7">
        <v>673.15388600000006</v>
      </c>
      <c r="L855" s="7">
        <v>900</v>
      </c>
      <c r="M855" s="7">
        <v>74.794876000000002</v>
      </c>
      <c r="N855" s="7">
        <v>2</v>
      </c>
      <c r="O855" s="7">
        <v>0</v>
      </c>
      <c r="P855" s="7">
        <v>73.994439</v>
      </c>
      <c r="Q855" s="7">
        <v>49.329625999999998</v>
      </c>
      <c r="R855" s="7">
        <v>50</v>
      </c>
      <c r="S855" s="7">
        <v>63.623398999999999</v>
      </c>
      <c r="T855" s="7">
        <v>75</v>
      </c>
      <c r="U855" s="7">
        <v>42.415599</v>
      </c>
      <c r="V855" s="7">
        <v>50</v>
      </c>
      <c r="W855" s="7">
        <v>68.663669999999996</v>
      </c>
      <c r="X855" s="7">
        <v>45.775779999999997</v>
      </c>
      <c r="Y855" s="7">
        <v>50</v>
      </c>
      <c r="Z855" s="7">
        <v>74.210314999999994</v>
      </c>
      <c r="AA855" s="7">
        <v>57.501336000000002</v>
      </c>
      <c r="AB855" s="7">
        <v>38.334223999999999</v>
      </c>
      <c r="AC855" s="7">
        <v>50</v>
      </c>
      <c r="AD855" s="7">
        <v>71.928622000000004</v>
      </c>
      <c r="AE855" s="7">
        <v>47.952415000000002</v>
      </c>
      <c r="AF855" s="7">
        <v>50</v>
      </c>
      <c r="AG855" s="7">
        <v>62.636279999999999</v>
      </c>
      <c r="AH855" s="7">
        <v>75</v>
      </c>
      <c r="AI855" s="7">
        <v>41.75752</v>
      </c>
      <c r="AJ855" s="7">
        <v>50</v>
      </c>
      <c r="AK855" s="7">
        <v>11.37</v>
      </c>
      <c r="AL855" s="7">
        <v>16.7</v>
      </c>
      <c r="AM855" s="7">
        <v>12.36</v>
      </c>
      <c r="AN855" s="7">
        <v>0.59817399999999998</v>
      </c>
      <c r="AO855" s="7">
        <v>59.817368000000002</v>
      </c>
      <c r="AP855" s="7">
        <v>100</v>
      </c>
      <c r="AQ855" s="7">
        <v>0.64510000000000001</v>
      </c>
      <c r="AR855" s="7">
        <v>64.509988000000007</v>
      </c>
      <c r="AS855" s="7">
        <v>100</v>
      </c>
      <c r="AT855" s="7">
        <v>0.58652199999999999</v>
      </c>
      <c r="AU855" s="7">
        <v>0.60373299999999996</v>
      </c>
      <c r="AV855" s="7">
        <v>58.652230000000003</v>
      </c>
      <c r="AW855" s="7">
        <v>100</v>
      </c>
      <c r="AX855" s="7">
        <v>0.607437</v>
      </c>
      <c r="AY855" s="7">
        <v>0.66307199999999999</v>
      </c>
      <c r="AZ855" s="7">
        <v>60.743651</v>
      </c>
      <c r="BA855" s="7">
        <v>100</v>
      </c>
      <c r="BB855" s="4" t="s">
        <v>124</v>
      </c>
      <c r="BC855" s="4" t="s">
        <v>124</v>
      </c>
      <c r="BD855" s="4" t="s">
        <v>124</v>
      </c>
      <c r="BE855" s="4" t="s">
        <v>124</v>
      </c>
      <c r="BF855" s="4" t="s">
        <v>124</v>
      </c>
      <c r="BG855" s="4" t="s">
        <v>124</v>
      </c>
      <c r="BH855" s="7">
        <v>0</v>
      </c>
      <c r="BI855" s="7">
        <v>0.99593500000000001</v>
      </c>
      <c r="BJ855" s="7">
        <v>0.99206300000000003</v>
      </c>
      <c r="BK855" s="7">
        <v>0.997942</v>
      </c>
      <c r="BL855" s="7">
        <v>0.99458000000000002</v>
      </c>
      <c r="BM855" s="7">
        <v>0.98809499999999995</v>
      </c>
      <c r="BN855" s="7">
        <v>0.997942</v>
      </c>
      <c r="BO855" s="7">
        <v>0.98932399999999998</v>
      </c>
      <c r="BP855" s="7">
        <v>0.96842099999999998</v>
      </c>
      <c r="BQ855" s="7">
        <v>1</v>
      </c>
      <c r="BR855" s="7">
        <v>6.0976000000000002E-2</v>
      </c>
      <c r="BS855" s="7">
        <v>47.804878000000002</v>
      </c>
      <c r="BT855" s="7">
        <v>50</v>
      </c>
      <c r="BU855" s="7">
        <v>0.114625</v>
      </c>
      <c r="BV855" s="7">
        <v>37.075099000000002</v>
      </c>
      <c r="BW855" s="7">
        <v>50</v>
      </c>
      <c r="BX855" s="4" t="s">
        <v>124</v>
      </c>
      <c r="BY855" s="4" t="s">
        <v>124</v>
      </c>
      <c r="BZ855" s="4" t="s">
        <v>124</v>
      </c>
      <c r="CA855" s="4" t="s">
        <v>124</v>
      </c>
      <c r="CB855" s="4" t="s">
        <v>124</v>
      </c>
      <c r="CC855" s="4" t="s">
        <v>124</v>
      </c>
      <c r="CD855" s="7">
        <v>0.94347800000000004</v>
      </c>
      <c r="CE855" s="7">
        <v>50</v>
      </c>
      <c r="CF855" s="7">
        <v>50</v>
      </c>
      <c r="CG855" s="4" t="s">
        <v>124</v>
      </c>
      <c r="CH855" s="4" t="s">
        <v>124</v>
      </c>
      <c r="CI855" s="4" t="s">
        <v>124</v>
      </c>
      <c r="CJ855" s="4" t="s">
        <v>124</v>
      </c>
      <c r="CK855" s="4" t="s">
        <v>124</v>
      </c>
      <c r="CL855" s="4" t="s">
        <v>124</v>
      </c>
      <c r="CM855" s="4" t="s">
        <v>124</v>
      </c>
      <c r="CN855" s="4" t="s">
        <v>124</v>
      </c>
      <c r="CO855" s="4" t="s">
        <v>124</v>
      </c>
      <c r="CP855" s="4" t="s">
        <v>124</v>
      </c>
      <c r="CQ855" s="7">
        <v>0.43478299999999998</v>
      </c>
      <c r="CR855" s="7">
        <v>1.0059640000000001</v>
      </c>
      <c r="CS855" s="7">
        <v>28.985506999999998</v>
      </c>
      <c r="CT855" s="7">
        <v>50</v>
      </c>
      <c r="CU855" s="4" t="s">
        <v>124</v>
      </c>
      <c r="CV855" s="4" t="s">
        <v>124</v>
      </c>
      <c r="CW855" s="4" t="s">
        <v>124</v>
      </c>
      <c r="CX855" s="4" t="s">
        <v>124</v>
      </c>
      <c r="CY855" s="4" t="s">
        <v>124</v>
      </c>
      <c r="CZ855" s="4" t="s">
        <v>124</v>
      </c>
      <c r="DA855" s="7">
        <v>15.314097</v>
      </c>
      <c r="DB855" s="7">
        <v>17.400950000000002</v>
      </c>
      <c r="DC855" s="7">
        <v>16.332519999999999</v>
      </c>
      <c r="DD855" s="4" t="s">
        <v>124</v>
      </c>
      <c r="DE855" s="7">
        <v>0</v>
      </c>
      <c r="DF855" s="6"/>
      <c r="DG855" s="6"/>
      <c r="DH855" s="6"/>
      <c r="DI855" s="6"/>
      <c r="DJ855" s="7">
        <v>0</v>
      </c>
      <c r="DK855" s="7">
        <v>0</v>
      </c>
      <c r="DL855" s="7">
        <v>0</v>
      </c>
      <c r="DM855" s="7">
        <v>0</v>
      </c>
      <c r="DN855" s="7">
        <v>0</v>
      </c>
      <c r="DO855" s="7">
        <v>0</v>
      </c>
      <c r="DP855" s="6"/>
      <c r="DQ855" s="4" t="s">
        <v>125</v>
      </c>
    </row>
    <row r="856" spans="1:121" ht="20" customHeight="1" x14ac:dyDescent="0.15">
      <c r="A856" s="5">
        <v>2018</v>
      </c>
      <c r="B856" s="3" t="s">
        <v>283</v>
      </c>
      <c r="C856" s="4" t="str">
        <f t="shared" si="250"/>
        <v>1310011</v>
      </c>
      <c r="D856" s="4" t="s">
        <v>1008</v>
      </c>
      <c r="E856" s="4" t="str">
        <f>"1310611"</f>
        <v>1310611</v>
      </c>
      <c r="F856" s="4" t="s">
        <v>327</v>
      </c>
      <c r="G856" s="4" t="s">
        <v>338</v>
      </c>
      <c r="H856" s="7">
        <v>5</v>
      </c>
      <c r="I856" s="6"/>
      <c r="J856" s="4" t="s">
        <v>330</v>
      </c>
      <c r="K856" s="7">
        <v>561.70052599999997</v>
      </c>
      <c r="L856" s="7">
        <v>800</v>
      </c>
      <c r="M856" s="7">
        <v>70.212565999999995</v>
      </c>
      <c r="N856" s="7">
        <v>2</v>
      </c>
      <c r="O856" s="7">
        <v>0</v>
      </c>
      <c r="P856" s="7">
        <v>79.404267000000004</v>
      </c>
      <c r="Q856" s="7">
        <v>50</v>
      </c>
      <c r="R856" s="7">
        <v>50</v>
      </c>
      <c r="S856" s="7">
        <v>71.062809000000001</v>
      </c>
      <c r="T856" s="7">
        <v>75</v>
      </c>
      <c r="U856" s="7">
        <v>47.375205999999999</v>
      </c>
      <c r="V856" s="7">
        <v>50</v>
      </c>
      <c r="W856" s="7">
        <v>78.087682999999998</v>
      </c>
      <c r="X856" s="7">
        <v>50</v>
      </c>
      <c r="Y856" s="7">
        <v>50</v>
      </c>
      <c r="Z856" s="7">
        <v>75</v>
      </c>
      <c r="AA856" s="7">
        <v>70.358276000000004</v>
      </c>
      <c r="AB856" s="7">
        <v>46.905517000000003</v>
      </c>
      <c r="AC856" s="7">
        <v>50</v>
      </c>
      <c r="AD856" s="7">
        <v>77.106452000000004</v>
      </c>
      <c r="AE856" s="7">
        <v>50</v>
      </c>
      <c r="AF856" s="7">
        <v>50</v>
      </c>
      <c r="AG856" s="4" t="s">
        <v>124</v>
      </c>
      <c r="AH856" s="7">
        <v>75</v>
      </c>
      <c r="AI856" s="4" t="s">
        <v>124</v>
      </c>
      <c r="AJ856" s="4" t="s">
        <v>124</v>
      </c>
      <c r="AK856" s="7">
        <v>3.93</v>
      </c>
      <c r="AL856" s="7">
        <v>4.6399999999999997</v>
      </c>
      <c r="AM856" s="4" t="s">
        <v>124</v>
      </c>
      <c r="AN856" s="7">
        <v>0.61368199999999995</v>
      </c>
      <c r="AO856" s="7">
        <v>61.368164999999998</v>
      </c>
      <c r="AP856" s="7">
        <v>100</v>
      </c>
      <c r="AQ856" s="7">
        <v>0.52009000000000005</v>
      </c>
      <c r="AR856" s="7">
        <v>52.009034</v>
      </c>
      <c r="AS856" s="7">
        <v>100</v>
      </c>
      <c r="AT856" s="7">
        <v>0.39409300000000003</v>
      </c>
      <c r="AU856" s="7">
        <v>0.69733400000000001</v>
      </c>
      <c r="AV856" s="7">
        <v>39.409298</v>
      </c>
      <c r="AW856" s="7">
        <v>100</v>
      </c>
      <c r="AX856" s="7">
        <v>0.45633299999999999</v>
      </c>
      <c r="AY856" s="7">
        <v>0.54437899999999995</v>
      </c>
      <c r="AZ856" s="7">
        <v>45.633307000000002</v>
      </c>
      <c r="BA856" s="7">
        <v>100</v>
      </c>
      <c r="BB856" s="4" t="s">
        <v>124</v>
      </c>
      <c r="BC856" s="4" t="s">
        <v>124</v>
      </c>
      <c r="BD856" s="4" t="s">
        <v>124</v>
      </c>
      <c r="BE856" s="4" t="s">
        <v>124</v>
      </c>
      <c r="BF856" s="4" t="s">
        <v>124</v>
      </c>
      <c r="BG856" s="4" t="s">
        <v>124</v>
      </c>
      <c r="BH856" s="7">
        <v>0</v>
      </c>
      <c r="BI856" s="7">
        <v>0.971831</v>
      </c>
      <c r="BJ856" s="7">
        <v>1</v>
      </c>
      <c r="BK856" s="7">
        <v>0.95918400000000004</v>
      </c>
      <c r="BL856" s="7">
        <v>0.971831</v>
      </c>
      <c r="BM856" s="7">
        <v>1</v>
      </c>
      <c r="BN856" s="7">
        <v>0.95918400000000004</v>
      </c>
      <c r="BO856" s="7">
        <v>0.97674399999999995</v>
      </c>
      <c r="BP856" s="4" t="s">
        <v>124</v>
      </c>
      <c r="BQ856" s="7">
        <v>0.96875</v>
      </c>
      <c r="BR856" s="7">
        <v>3.3961999999999999E-2</v>
      </c>
      <c r="BS856" s="7">
        <v>50</v>
      </c>
      <c r="BT856" s="7">
        <v>50</v>
      </c>
      <c r="BU856" s="7">
        <v>0.08</v>
      </c>
      <c r="BV856" s="7">
        <v>44</v>
      </c>
      <c r="BW856" s="7">
        <v>50</v>
      </c>
      <c r="BX856" s="4" t="s">
        <v>124</v>
      </c>
      <c r="BY856" s="4" t="s">
        <v>124</v>
      </c>
      <c r="BZ856" s="4" t="s">
        <v>124</v>
      </c>
      <c r="CA856" s="4" t="s">
        <v>124</v>
      </c>
      <c r="CB856" s="4" t="s">
        <v>124</v>
      </c>
      <c r="CC856" s="4" t="s">
        <v>124</v>
      </c>
      <c r="CD856" s="4" t="s">
        <v>124</v>
      </c>
      <c r="CE856" s="4" t="s">
        <v>124</v>
      </c>
      <c r="CF856" s="4" t="s">
        <v>124</v>
      </c>
      <c r="CG856" s="4" t="s">
        <v>124</v>
      </c>
      <c r="CH856" s="4" t="s">
        <v>124</v>
      </c>
      <c r="CI856" s="4" t="s">
        <v>124</v>
      </c>
      <c r="CJ856" s="4" t="s">
        <v>124</v>
      </c>
      <c r="CK856" s="4" t="s">
        <v>124</v>
      </c>
      <c r="CL856" s="4" t="s">
        <v>124</v>
      </c>
      <c r="CM856" s="4" t="s">
        <v>124</v>
      </c>
      <c r="CN856" s="4" t="s">
        <v>124</v>
      </c>
      <c r="CO856" s="4" t="s">
        <v>124</v>
      </c>
      <c r="CP856" s="4" t="s">
        <v>124</v>
      </c>
      <c r="CQ856" s="7">
        <v>0.87179499999999999</v>
      </c>
      <c r="CR856" s="7">
        <v>0.78</v>
      </c>
      <c r="CS856" s="7">
        <v>25</v>
      </c>
      <c r="CT856" s="7">
        <v>50</v>
      </c>
      <c r="CU856" s="4" t="s">
        <v>124</v>
      </c>
      <c r="CV856" s="4" t="s">
        <v>124</v>
      </c>
      <c r="CW856" s="4" t="s">
        <v>124</v>
      </c>
      <c r="CX856" s="4" t="s">
        <v>124</v>
      </c>
      <c r="CY856" s="4" t="s">
        <v>124</v>
      </c>
      <c r="CZ856" s="4" t="s">
        <v>124</v>
      </c>
      <c r="DA856" s="7">
        <v>15.314097</v>
      </c>
      <c r="DB856" s="7">
        <v>17.400950000000002</v>
      </c>
      <c r="DC856" s="7">
        <v>16.332519999999999</v>
      </c>
      <c r="DD856" s="4" t="s">
        <v>124</v>
      </c>
      <c r="DE856" s="7">
        <v>0</v>
      </c>
      <c r="DF856" s="6"/>
      <c r="DG856" s="6"/>
      <c r="DH856" s="6"/>
      <c r="DI856" s="6"/>
      <c r="DJ856" s="7">
        <v>0</v>
      </c>
      <c r="DK856" s="7">
        <v>0</v>
      </c>
      <c r="DL856" s="7">
        <v>0</v>
      </c>
      <c r="DM856" s="7">
        <v>0</v>
      </c>
      <c r="DN856" s="7">
        <v>0</v>
      </c>
      <c r="DO856" s="7">
        <v>0</v>
      </c>
      <c r="DP856" s="6"/>
      <c r="DQ856" s="4" t="s">
        <v>125</v>
      </c>
    </row>
    <row r="857" spans="1:121" ht="20" customHeight="1" x14ac:dyDescent="0.15">
      <c r="A857" s="5">
        <v>2018</v>
      </c>
      <c r="B857" s="3" t="s">
        <v>283</v>
      </c>
      <c r="C857" s="4" t="str">
        <f t="shared" si="250"/>
        <v>1310011</v>
      </c>
      <c r="D857" s="4" t="s">
        <v>1009</v>
      </c>
      <c r="E857" s="4" t="str">
        <f>"1310711"</f>
        <v>1310711</v>
      </c>
      <c r="F857" s="4" t="s">
        <v>327</v>
      </c>
      <c r="G857" s="4" t="s">
        <v>338</v>
      </c>
      <c r="H857" s="7">
        <v>5</v>
      </c>
      <c r="I857" s="6"/>
      <c r="J857" s="4" t="s">
        <v>330</v>
      </c>
      <c r="K857" s="7">
        <v>665.81744400000002</v>
      </c>
      <c r="L857" s="7">
        <v>800</v>
      </c>
      <c r="M857" s="7">
        <v>83.227181000000002</v>
      </c>
      <c r="N857" s="7">
        <v>2</v>
      </c>
      <c r="O857" s="7">
        <v>0</v>
      </c>
      <c r="P857" s="7">
        <v>80.934190000000001</v>
      </c>
      <c r="Q857" s="7">
        <v>50</v>
      </c>
      <c r="R857" s="7">
        <v>50</v>
      </c>
      <c r="S857" s="7">
        <v>73.821212000000003</v>
      </c>
      <c r="T857" s="7">
        <v>75</v>
      </c>
      <c r="U857" s="7">
        <v>49.214140999999998</v>
      </c>
      <c r="V857" s="7">
        <v>50</v>
      </c>
      <c r="W857" s="7">
        <v>78.259806999999995</v>
      </c>
      <c r="X857" s="7">
        <v>50</v>
      </c>
      <c r="Y857" s="7">
        <v>50</v>
      </c>
      <c r="Z857" s="7">
        <v>75</v>
      </c>
      <c r="AA857" s="7">
        <v>70.842893000000004</v>
      </c>
      <c r="AB857" s="7">
        <v>47.228594999999999</v>
      </c>
      <c r="AC857" s="7">
        <v>50</v>
      </c>
      <c r="AD857" s="7">
        <v>73.745018999999999</v>
      </c>
      <c r="AE857" s="7">
        <v>49.163345999999997</v>
      </c>
      <c r="AF857" s="7">
        <v>50</v>
      </c>
      <c r="AG857" s="4" t="s">
        <v>124</v>
      </c>
      <c r="AH857" s="7">
        <v>75</v>
      </c>
      <c r="AI857" s="4" t="s">
        <v>124</v>
      </c>
      <c r="AJ857" s="4" t="s">
        <v>124</v>
      </c>
      <c r="AK857" s="7">
        <v>1.17</v>
      </c>
      <c r="AL857" s="7">
        <v>4.1500000000000004</v>
      </c>
      <c r="AM857" s="4" t="s">
        <v>124</v>
      </c>
      <c r="AN857" s="7">
        <v>0.71670100000000003</v>
      </c>
      <c r="AO857" s="7">
        <v>71.670072000000005</v>
      </c>
      <c r="AP857" s="7">
        <v>100</v>
      </c>
      <c r="AQ857" s="7">
        <v>0.69348299999999996</v>
      </c>
      <c r="AR857" s="7">
        <v>69.348279000000005</v>
      </c>
      <c r="AS857" s="7">
        <v>100</v>
      </c>
      <c r="AT857" s="7">
        <v>0.69852300000000001</v>
      </c>
      <c r="AU857" s="7">
        <v>0.72869799999999996</v>
      </c>
      <c r="AV857" s="7">
        <v>69.852323999999996</v>
      </c>
      <c r="AW857" s="7">
        <v>100</v>
      </c>
      <c r="AX857" s="7">
        <v>0.69884900000000005</v>
      </c>
      <c r="AY857" s="7">
        <v>0.68994100000000003</v>
      </c>
      <c r="AZ857" s="7">
        <v>69.884905000000003</v>
      </c>
      <c r="BA857" s="7">
        <v>100</v>
      </c>
      <c r="BB857" s="4" t="s">
        <v>124</v>
      </c>
      <c r="BC857" s="4" t="s">
        <v>124</v>
      </c>
      <c r="BD857" s="4" t="s">
        <v>124</v>
      </c>
      <c r="BE857" s="4" t="s">
        <v>124</v>
      </c>
      <c r="BF857" s="4" t="s">
        <v>124</v>
      </c>
      <c r="BG857" s="4" t="s">
        <v>124</v>
      </c>
      <c r="BH857" s="7">
        <v>0</v>
      </c>
      <c r="BI857" s="7">
        <v>0.99173599999999995</v>
      </c>
      <c r="BJ857" s="7">
        <v>1</v>
      </c>
      <c r="BK857" s="7">
        <v>0.986842</v>
      </c>
      <c r="BL857" s="7">
        <v>0.99173599999999995</v>
      </c>
      <c r="BM857" s="7">
        <v>1</v>
      </c>
      <c r="BN857" s="7">
        <v>0.986842</v>
      </c>
      <c r="BO857" s="7">
        <v>1</v>
      </c>
      <c r="BP857" s="4" t="s">
        <v>124</v>
      </c>
      <c r="BQ857" s="7">
        <v>1</v>
      </c>
      <c r="BR857" s="7">
        <v>1.7167000000000002E-2</v>
      </c>
      <c r="BS857" s="7">
        <v>50</v>
      </c>
      <c r="BT857" s="7">
        <v>50</v>
      </c>
      <c r="BU857" s="7">
        <v>3.5714000000000003E-2</v>
      </c>
      <c r="BV857" s="7">
        <v>50</v>
      </c>
      <c r="BW857" s="7">
        <v>50</v>
      </c>
      <c r="BX857" s="4" t="s">
        <v>124</v>
      </c>
      <c r="BY857" s="4" t="s">
        <v>124</v>
      </c>
      <c r="BZ857" s="4" t="s">
        <v>124</v>
      </c>
      <c r="CA857" s="4" t="s">
        <v>124</v>
      </c>
      <c r="CB857" s="4" t="s">
        <v>124</v>
      </c>
      <c r="CC857" s="4" t="s">
        <v>124</v>
      </c>
      <c r="CD857" s="4" t="s">
        <v>124</v>
      </c>
      <c r="CE857" s="4" t="s">
        <v>124</v>
      </c>
      <c r="CF857" s="4" t="s">
        <v>124</v>
      </c>
      <c r="CG857" s="4" t="s">
        <v>124</v>
      </c>
      <c r="CH857" s="4" t="s">
        <v>124</v>
      </c>
      <c r="CI857" s="4" t="s">
        <v>124</v>
      </c>
      <c r="CJ857" s="4" t="s">
        <v>124</v>
      </c>
      <c r="CK857" s="4" t="s">
        <v>124</v>
      </c>
      <c r="CL857" s="4" t="s">
        <v>124</v>
      </c>
      <c r="CM857" s="4" t="s">
        <v>124</v>
      </c>
      <c r="CN857" s="4" t="s">
        <v>124</v>
      </c>
      <c r="CO857" s="4" t="s">
        <v>124</v>
      </c>
      <c r="CP857" s="4" t="s">
        <v>124</v>
      </c>
      <c r="CQ857" s="7">
        <v>0.59183699999999995</v>
      </c>
      <c r="CR857" s="7">
        <v>0.98</v>
      </c>
      <c r="CS857" s="7">
        <v>39.455781999999999</v>
      </c>
      <c r="CT857" s="7">
        <v>50</v>
      </c>
      <c r="CU857" s="4" t="s">
        <v>124</v>
      </c>
      <c r="CV857" s="4" t="s">
        <v>124</v>
      </c>
      <c r="CW857" s="4" t="s">
        <v>124</v>
      </c>
      <c r="CX857" s="4" t="s">
        <v>124</v>
      </c>
      <c r="CY857" s="4" t="s">
        <v>124</v>
      </c>
      <c r="CZ857" s="4" t="s">
        <v>124</v>
      </c>
      <c r="DA857" s="7">
        <v>15.314097</v>
      </c>
      <c r="DB857" s="7">
        <v>17.400950000000002</v>
      </c>
      <c r="DC857" s="7">
        <v>16.332519999999999</v>
      </c>
      <c r="DD857" s="4" t="s">
        <v>124</v>
      </c>
      <c r="DE857" s="7">
        <v>0</v>
      </c>
      <c r="DF857" s="6"/>
      <c r="DG857" s="6"/>
      <c r="DH857" s="6"/>
      <c r="DI857" s="6"/>
      <c r="DJ857" s="7">
        <v>0</v>
      </c>
      <c r="DK857" s="7">
        <v>0</v>
      </c>
      <c r="DL857" s="7">
        <v>0</v>
      </c>
      <c r="DM857" s="7">
        <v>0</v>
      </c>
      <c r="DN857" s="7">
        <v>0</v>
      </c>
      <c r="DO857" s="7">
        <v>0</v>
      </c>
      <c r="DP857" s="6"/>
      <c r="DQ857" s="4" t="s">
        <v>125</v>
      </c>
    </row>
    <row r="858" spans="1:121" ht="20" customHeight="1" x14ac:dyDescent="0.15">
      <c r="A858" s="5">
        <v>2018</v>
      </c>
      <c r="B858" s="3" t="s">
        <v>283</v>
      </c>
      <c r="C858" s="4" t="str">
        <f t="shared" si="250"/>
        <v>1310011</v>
      </c>
      <c r="D858" s="4" t="s">
        <v>1010</v>
      </c>
      <c r="E858" s="4" t="str">
        <f>"1316211"</f>
        <v>1316211</v>
      </c>
      <c r="F858" s="4" t="s">
        <v>327</v>
      </c>
      <c r="G858" s="7">
        <v>9</v>
      </c>
      <c r="H858" s="7">
        <v>12</v>
      </c>
      <c r="I858" s="6"/>
      <c r="J858" s="4" t="s">
        <v>330</v>
      </c>
      <c r="K858" s="7">
        <v>1175.644513</v>
      </c>
      <c r="L858" s="7">
        <v>1450</v>
      </c>
      <c r="M858" s="7">
        <v>81.078931999999995</v>
      </c>
      <c r="N858" s="7">
        <v>3</v>
      </c>
      <c r="O858" s="7">
        <v>0</v>
      </c>
      <c r="P858" s="7">
        <v>61.509556000000003</v>
      </c>
      <c r="Q858" s="7">
        <v>123.019111</v>
      </c>
      <c r="R858" s="7">
        <v>150</v>
      </c>
      <c r="S858" s="7">
        <v>51.063867000000002</v>
      </c>
      <c r="T858" s="7">
        <v>65.066130000000001</v>
      </c>
      <c r="U858" s="7">
        <v>102.127734</v>
      </c>
      <c r="V858" s="7">
        <v>150</v>
      </c>
      <c r="W858" s="7">
        <v>61.450888999999997</v>
      </c>
      <c r="X858" s="7">
        <v>122.90177799999999</v>
      </c>
      <c r="Y858" s="7">
        <v>150</v>
      </c>
      <c r="Z858" s="7">
        <v>64.913762000000006</v>
      </c>
      <c r="AA858" s="7">
        <v>51.280402000000002</v>
      </c>
      <c r="AB858" s="7">
        <v>102.560805</v>
      </c>
      <c r="AC858" s="7">
        <v>150</v>
      </c>
      <c r="AD858" s="7">
        <v>66.110946999999996</v>
      </c>
      <c r="AE858" s="7">
        <v>88.147930000000002</v>
      </c>
      <c r="AF858" s="7">
        <v>100</v>
      </c>
      <c r="AG858" s="7">
        <v>56.311726999999998</v>
      </c>
      <c r="AH858" s="7">
        <v>69.491810000000001</v>
      </c>
      <c r="AI858" s="7">
        <v>75.082302999999996</v>
      </c>
      <c r="AJ858" s="7">
        <v>100</v>
      </c>
      <c r="AK858" s="7">
        <v>14</v>
      </c>
      <c r="AL858" s="7">
        <v>13.63</v>
      </c>
      <c r="AM858" s="7">
        <v>13.18</v>
      </c>
      <c r="AN858" s="4" t="s">
        <v>124</v>
      </c>
      <c r="AO858" s="4" t="s">
        <v>124</v>
      </c>
      <c r="AP858" s="4" t="s">
        <v>124</v>
      </c>
      <c r="AQ858" s="4" t="s">
        <v>124</v>
      </c>
      <c r="AR858" s="4" t="s">
        <v>124</v>
      </c>
      <c r="AS858" s="4" t="s">
        <v>124</v>
      </c>
      <c r="AT858" s="4" t="s">
        <v>124</v>
      </c>
      <c r="AU858" s="4" t="s">
        <v>124</v>
      </c>
      <c r="AV858" s="4" t="s">
        <v>124</v>
      </c>
      <c r="AW858" s="4" t="s">
        <v>124</v>
      </c>
      <c r="AX858" s="4" t="s">
        <v>124</v>
      </c>
      <c r="AY858" s="4" t="s">
        <v>124</v>
      </c>
      <c r="AZ858" s="4" t="s">
        <v>124</v>
      </c>
      <c r="BA858" s="4" t="s">
        <v>124</v>
      </c>
      <c r="BB858" s="4" t="s">
        <v>124</v>
      </c>
      <c r="BC858" s="4" t="s">
        <v>124</v>
      </c>
      <c r="BD858" s="4" t="s">
        <v>124</v>
      </c>
      <c r="BE858" s="4" t="s">
        <v>124</v>
      </c>
      <c r="BF858" s="4" t="s">
        <v>124</v>
      </c>
      <c r="BG858" s="4" t="s">
        <v>124</v>
      </c>
      <c r="BH858" s="7">
        <v>1</v>
      </c>
      <c r="BI858" s="7">
        <v>0.98238700000000001</v>
      </c>
      <c r="BJ858" s="7">
        <v>0.95555599999999996</v>
      </c>
      <c r="BK858" s="7">
        <v>0.99202100000000004</v>
      </c>
      <c r="BL858" s="7">
        <v>0.98238700000000001</v>
      </c>
      <c r="BM858" s="7">
        <v>0.95555599999999996</v>
      </c>
      <c r="BN858" s="7">
        <v>0.99202100000000004</v>
      </c>
      <c r="BO858" s="7">
        <v>0.97465900000000005</v>
      </c>
      <c r="BP858" s="7">
        <v>0.94852899999999996</v>
      </c>
      <c r="BQ858" s="7">
        <v>0.98408499999999999</v>
      </c>
      <c r="BR858" s="7">
        <v>7.0805999999999994E-2</v>
      </c>
      <c r="BS858" s="7">
        <v>45.838892000000001</v>
      </c>
      <c r="BT858" s="7">
        <v>50</v>
      </c>
      <c r="BU858" s="7">
        <v>0.140794</v>
      </c>
      <c r="BV858" s="7">
        <v>31.841155000000001</v>
      </c>
      <c r="BW858" s="7">
        <v>50</v>
      </c>
      <c r="BX858" s="7">
        <v>0.98858900000000005</v>
      </c>
      <c r="BY858" s="7">
        <v>50</v>
      </c>
      <c r="BZ858" s="7">
        <v>50</v>
      </c>
      <c r="CA858" s="7">
        <v>0.55601699999999998</v>
      </c>
      <c r="CB858" s="7">
        <v>37.067773000000003</v>
      </c>
      <c r="CC858" s="7">
        <v>50</v>
      </c>
      <c r="CD858" s="7">
        <v>0.95353500000000002</v>
      </c>
      <c r="CE858" s="7">
        <v>50</v>
      </c>
      <c r="CF858" s="7">
        <v>50</v>
      </c>
      <c r="CG858" s="7">
        <v>0.97804400000000002</v>
      </c>
      <c r="CH858" s="7">
        <v>100</v>
      </c>
      <c r="CI858" s="7">
        <v>100</v>
      </c>
      <c r="CJ858" s="7">
        <v>0</v>
      </c>
      <c r="CK858" s="7">
        <v>0.94594599999999995</v>
      </c>
      <c r="CL858" s="7">
        <v>100</v>
      </c>
      <c r="CM858" s="7">
        <v>100</v>
      </c>
      <c r="CN858" s="7">
        <v>0.80482900000000002</v>
      </c>
      <c r="CO858" s="7">
        <v>100</v>
      </c>
      <c r="CP858" s="7">
        <v>100</v>
      </c>
      <c r="CQ858" s="7">
        <v>0.54588199999999998</v>
      </c>
      <c r="CR858" s="7">
        <v>0.86734699999999998</v>
      </c>
      <c r="CS858" s="7">
        <v>18.196078</v>
      </c>
      <c r="CT858" s="7">
        <v>50</v>
      </c>
      <c r="CU858" s="7">
        <v>0.346331</v>
      </c>
      <c r="CV858" s="7">
        <v>28.860954</v>
      </c>
      <c r="CW858" s="7">
        <v>50</v>
      </c>
      <c r="CX858" s="7">
        <v>0.94594599999999995</v>
      </c>
      <c r="CY858" s="7">
        <v>0.94</v>
      </c>
      <c r="CZ858" s="7">
        <v>-5.9459999999999999E-3</v>
      </c>
      <c r="DA858" s="7">
        <v>15.314097</v>
      </c>
      <c r="DB858" s="7">
        <v>17.400950000000002</v>
      </c>
      <c r="DC858" s="7">
        <v>16.332519999999999</v>
      </c>
      <c r="DD858" s="7">
        <v>7.9891730000000001</v>
      </c>
      <c r="DE858" s="7">
        <v>1</v>
      </c>
      <c r="DF858" s="6"/>
      <c r="DG858" s="6"/>
      <c r="DH858" s="6"/>
      <c r="DI858" s="6"/>
      <c r="DJ858" s="7">
        <v>0</v>
      </c>
      <c r="DK858" s="7">
        <v>0</v>
      </c>
      <c r="DL858" s="7">
        <v>0</v>
      </c>
      <c r="DM858" s="7">
        <v>0</v>
      </c>
      <c r="DN858" s="7">
        <v>0</v>
      </c>
      <c r="DO858" s="7">
        <v>0</v>
      </c>
      <c r="DP858" s="6"/>
      <c r="DQ858" s="4" t="s">
        <v>125</v>
      </c>
    </row>
    <row r="859" spans="1:121" ht="20" customHeight="1" x14ac:dyDescent="0.15">
      <c r="A859" s="5">
        <v>2018</v>
      </c>
      <c r="B859" s="3" t="s">
        <v>283</v>
      </c>
      <c r="C859" s="4" t="str">
        <f t="shared" si="250"/>
        <v>1310011</v>
      </c>
      <c r="D859" s="4" t="s">
        <v>1011</v>
      </c>
      <c r="E859" s="4" t="str">
        <f>"1310811"</f>
        <v>1310811</v>
      </c>
      <c r="F859" s="4" t="s">
        <v>327</v>
      </c>
      <c r="G859" s="4" t="s">
        <v>338</v>
      </c>
      <c r="H859" s="7">
        <v>5</v>
      </c>
      <c r="I859" s="4" t="s">
        <v>329</v>
      </c>
      <c r="J859" s="4" t="s">
        <v>330</v>
      </c>
      <c r="K859" s="7">
        <v>694.75515299999995</v>
      </c>
      <c r="L859" s="7">
        <v>850</v>
      </c>
      <c r="M859" s="7">
        <v>81.735900000000001</v>
      </c>
      <c r="N859" s="7">
        <v>4</v>
      </c>
      <c r="O859" s="7">
        <v>0</v>
      </c>
      <c r="P859" s="7">
        <v>75.538612999999998</v>
      </c>
      <c r="Q859" s="7">
        <v>50</v>
      </c>
      <c r="R859" s="7">
        <v>50</v>
      </c>
      <c r="S859" s="7">
        <v>65.448452000000003</v>
      </c>
      <c r="T859" s="7">
        <v>75</v>
      </c>
      <c r="U859" s="7">
        <v>43.632300999999998</v>
      </c>
      <c r="V859" s="7">
        <v>50</v>
      </c>
      <c r="W859" s="7">
        <v>75.645036000000005</v>
      </c>
      <c r="X859" s="7">
        <v>50</v>
      </c>
      <c r="Y859" s="7">
        <v>50</v>
      </c>
      <c r="Z859" s="7">
        <v>75</v>
      </c>
      <c r="AA859" s="7">
        <v>63.182985000000002</v>
      </c>
      <c r="AB859" s="7">
        <v>42.121989999999997</v>
      </c>
      <c r="AC859" s="7">
        <v>50</v>
      </c>
      <c r="AD859" s="7">
        <v>70.880589000000001</v>
      </c>
      <c r="AE859" s="7">
        <v>47.253726</v>
      </c>
      <c r="AF859" s="7">
        <v>50</v>
      </c>
      <c r="AG859" s="7">
        <v>60.353436000000002</v>
      </c>
      <c r="AH859" s="7">
        <v>75</v>
      </c>
      <c r="AI859" s="7">
        <v>40.235624000000001</v>
      </c>
      <c r="AJ859" s="7">
        <v>50</v>
      </c>
      <c r="AK859" s="7">
        <v>9.5500000000000007</v>
      </c>
      <c r="AL859" s="7">
        <v>11.81</v>
      </c>
      <c r="AM859" s="7">
        <v>14.64</v>
      </c>
      <c r="AN859" s="7">
        <v>0.73361600000000005</v>
      </c>
      <c r="AO859" s="7">
        <v>73.361597000000003</v>
      </c>
      <c r="AP859" s="7">
        <v>100</v>
      </c>
      <c r="AQ859" s="7">
        <v>0.75028300000000003</v>
      </c>
      <c r="AR859" s="7">
        <v>75.028338000000005</v>
      </c>
      <c r="AS859" s="7">
        <v>100</v>
      </c>
      <c r="AT859" s="7">
        <v>0.69086700000000001</v>
      </c>
      <c r="AU859" s="7">
        <v>0.75586900000000001</v>
      </c>
      <c r="AV859" s="7">
        <v>69.086652999999998</v>
      </c>
      <c r="AW859" s="7">
        <v>100</v>
      </c>
      <c r="AX859" s="7">
        <v>0.70541699999999996</v>
      </c>
      <c r="AY859" s="7">
        <v>0.77363800000000005</v>
      </c>
      <c r="AZ859" s="7">
        <v>70.541700000000006</v>
      </c>
      <c r="BA859" s="7">
        <v>100</v>
      </c>
      <c r="BB859" s="4" t="s">
        <v>124</v>
      </c>
      <c r="BC859" s="4" t="s">
        <v>124</v>
      </c>
      <c r="BD859" s="4" t="s">
        <v>124</v>
      </c>
      <c r="BE859" s="4" t="s">
        <v>124</v>
      </c>
      <c r="BF859" s="4" t="s">
        <v>124</v>
      </c>
      <c r="BG859" s="4" t="s">
        <v>124</v>
      </c>
      <c r="BH859" s="7">
        <v>0</v>
      </c>
      <c r="BI859" s="7">
        <v>0.99371100000000001</v>
      </c>
      <c r="BJ859" s="7">
        <v>1</v>
      </c>
      <c r="BK859" s="7">
        <v>0.99</v>
      </c>
      <c r="BL859" s="7">
        <v>0.99371100000000001</v>
      </c>
      <c r="BM859" s="7">
        <v>1</v>
      </c>
      <c r="BN859" s="7">
        <v>0.99</v>
      </c>
      <c r="BO859" s="7">
        <v>0.98305100000000001</v>
      </c>
      <c r="BP859" s="7">
        <v>1</v>
      </c>
      <c r="BQ859" s="7">
        <v>0.97142899999999999</v>
      </c>
      <c r="BR859" s="7">
        <v>5.2817000000000003E-2</v>
      </c>
      <c r="BS859" s="7">
        <v>49.436619999999998</v>
      </c>
      <c r="BT859" s="7">
        <v>50</v>
      </c>
      <c r="BU859" s="7">
        <v>0.125</v>
      </c>
      <c r="BV859" s="7">
        <v>35</v>
      </c>
      <c r="BW859" s="7">
        <v>50</v>
      </c>
      <c r="BX859" s="4" t="s">
        <v>124</v>
      </c>
      <c r="BY859" s="4" t="s">
        <v>124</v>
      </c>
      <c r="BZ859" s="4" t="s">
        <v>124</v>
      </c>
      <c r="CA859" s="4" t="s">
        <v>124</v>
      </c>
      <c r="CB859" s="4" t="s">
        <v>124</v>
      </c>
      <c r="CC859" s="4" t="s">
        <v>124</v>
      </c>
      <c r="CD859" s="4" t="s">
        <v>124</v>
      </c>
      <c r="CE859" s="4" t="s">
        <v>124</v>
      </c>
      <c r="CF859" s="4" t="s">
        <v>124</v>
      </c>
      <c r="CG859" s="4" t="s">
        <v>124</v>
      </c>
      <c r="CH859" s="4" t="s">
        <v>124</v>
      </c>
      <c r="CI859" s="4" t="s">
        <v>124</v>
      </c>
      <c r="CJ859" s="4" t="s">
        <v>124</v>
      </c>
      <c r="CK859" s="4" t="s">
        <v>124</v>
      </c>
      <c r="CL859" s="4" t="s">
        <v>124</v>
      </c>
      <c r="CM859" s="4" t="s">
        <v>124</v>
      </c>
      <c r="CN859" s="4" t="s">
        <v>124</v>
      </c>
      <c r="CO859" s="4" t="s">
        <v>124</v>
      </c>
      <c r="CP859" s="4" t="s">
        <v>124</v>
      </c>
      <c r="CQ859" s="7">
        <v>0.73584899999999998</v>
      </c>
      <c r="CR859" s="7">
        <v>0.91379299999999997</v>
      </c>
      <c r="CS859" s="7">
        <v>49.056604</v>
      </c>
      <c r="CT859" s="7">
        <v>50</v>
      </c>
      <c r="CU859" s="4" t="s">
        <v>124</v>
      </c>
      <c r="CV859" s="4" t="s">
        <v>124</v>
      </c>
      <c r="CW859" s="4" t="s">
        <v>124</v>
      </c>
      <c r="CX859" s="4" t="s">
        <v>124</v>
      </c>
      <c r="CY859" s="4" t="s">
        <v>124</v>
      </c>
      <c r="CZ859" s="4" t="s">
        <v>124</v>
      </c>
      <c r="DA859" s="7">
        <v>15.314097</v>
      </c>
      <c r="DB859" s="7">
        <v>17.400950000000002</v>
      </c>
      <c r="DC859" s="7">
        <v>16.332519999999999</v>
      </c>
      <c r="DD859" s="4" t="s">
        <v>124</v>
      </c>
      <c r="DE859" s="7">
        <v>0</v>
      </c>
      <c r="DF859" s="4" t="s">
        <v>384</v>
      </c>
      <c r="DG859" s="4" t="s">
        <v>417</v>
      </c>
      <c r="DH859" s="6"/>
      <c r="DI859" s="6"/>
      <c r="DJ859" s="7">
        <v>0</v>
      </c>
      <c r="DK859" s="7">
        <v>0</v>
      </c>
      <c r="DL859" s="7">
        <v>0</v>
      </c>
      <c r="DM859" s="7">
        <v>0</v>
      </c>
      <c r="DN859" s="7">
        <v>0</v>
      </c>
      <c r="DO859" s="7">
        <v>0</v>
      </c>
      <c r="DP859" s="6"/>
      <c r="DQ859" s="4" t="s">
        <v>125</v>
      </c>
    </row>
    <row r="860" spans="1:121" ht="20" customHeight="1" x14ac:dyDescent="0.15">
      <c r="A860" s="5">
        <v>2018</v>
      </c>
      <c r="B860" s="3" t="s">
        <v>283</v>
      </c>
      <c r="C860" s="4" t="str">
        <f t="shared" si="250"/>
        <v>1310011</v>
      </c>
      <c r="D860" s="4" t="s">
        <v>1012</v>
      </c>
      <c r="E860" s="4" t="str">
        <f>"1310911"</f>
        <v>1310911</v>
      </c>
      <c r="F860" s="4" t="s">
        <v>327</v>
      </c>
      <c r="G860" s="4" t="s">
        <v>338</v>
      </c>
      <c r="H860" s="7">
        <v>5</v>
      </c>
      <c r="I860" s="6"/>
      <c r="J860" s="4" t="s">
        <v>330</v>
      </c>
      <c r="K860" s="7">
        <v>709.419757</v>
      </c>
      <c r="L860" s="7">
        <v>950</v>
      </c>
      <c r="M860" s="7">
        <v>74.675764000000001</v>
      </c>
      <c r="N860" s="7">
        <v>2</v>
      </c>
      <c r="O860" s="7">
        <v>0</v>
      </c>
      <c r="P860" s="7">
        <v>74.979899000000003</v>
      </c>
      <c r="Q860" s="7">
        <v>49.986598999999998</v>
      </c>
      <c r="R860" s="7">
        <v>50</v>
      </c>
      <c r="S860" s="7">
        <v>67.918914999999998</v>
      </c>
      <c r="T860" s="7">
        <v>75</v>
      </c>
      <c r="U860" s="7">
        <v>45.279277</v>
      </c>
      <c r="V860" s="7">
        <v>50</v>
      </c>
      <c r="W860" s="7">
        <v>71.316676999999999</v>
      </c>
      <c r="X860" s="7">
        <v>47.544451000000002</v>
      </c>
      <c r="Y860" s="7">
        <v>50</v>
      </c>
      <c r="Z860" s="7">
        <v>75</v>
      </c>
      <c r="AA860" s="7">
        <v>63.005026000000001</v>
      </c>
      <c r="AB860" s="7">
        <v>42.003351000000002</v>
      </c>
      <c r="AC860" s="7">
        <v>50</v>
      </c>
      <c r="AD860" s="7">
        <v>70.425047000000006</v>
      </c>
      <c r="AE860" s="7">
        <v>46.950032</v>
      </c>
      <c r="AF860" s="7">
        <v>50</v>
      </c>
      <c r="AG860" s="7">
        <v>66.177419</v>
      </c>
      <c r="AH860" s="7">
        <v>72.989653000000004</v>
      </c>
      <c r="AI860" s="7">
        <v>44.118279999999999</v>
      </c>
      <c r="AJ860" s="7">
        <v>50</v>
      </c>
      <c r="AK860" s="7">
        <v>7.08</v>
      </c>
      <c r="AL860" s="7">
        <v>11.99</v>
      </c>
      <c r="AM860" s="7">
        <v>6.81</v>
      </c>
      <c r="AN860" s="7">
        <v>0.62364299999999995</v>
      </c>
      <c r="AO860" s="7">
        <v>62.364347000000002</v>
      </c>
      <c r="AP860" s="7">
        <v>100</v>
      </c>
      <c r="AQ860" s="7">
        <v>0.69164199999999998</v>
      </c>
      <c r="AR860" s="7">
        <v>69.164179000000004</v>
      </c>
      <c r="AS860" s="7">
        <v>100</v>
      </c>
      <c r="AT860" s="7">
        <v>0.61839599999999995</v>
      </c>
      <c r="AU860" s="7">
        <v>0.625498</v>
      </c>
      <c r="AV860" s="7">
        <v>61.839610999999998</v>
      </c>
      <c r="AW860" s="7">
        <v>100</v>
      </c>
      <c r="AX860" s="7">
        <v>0.59712500000000002</v>
      </c>
      <c r="AY860" s="7">
        <v>0.72504900000000005</v>
      </c>
      <c r="AZ860" s="7">
        <v>59.712494</v>
      </c>
      <c r="BA860" s="7">
        <v>100</v>
      </c>
      <c r="BB860" s="7">
        <v>0.83830300000000002</v>
      </c>
      <c r="BC860" s="7">
        <v>41.915168999999999</v>
      </c>
      <c r="BD860" s="7">
        <v>50</v>
      </c>
      <c r="BE860" s="7">
        <v>0.72755499999999995</v>
      </c>
      <c r="BF860" s="7">
        <v>36.377738999999998</v>
      </c>
      <c r="BG860" s="7">
        <v>50</v>
      </c>
      <c r="BH860" s="7">
        <v>0</v>
      </c>
      <c r="BI860" s="7">
        <v>0.99173599999999995</v>
      </c>
      <c r="BJ860" s="7">
        <v>0.98701300000000003</v>
      </c>
      <c r="BK860" s="7">
        <v>0.99393900000000002</v>
      </c>
      <c r="BL860" s="7">
        <v>0.99173599999999995</v>
      </c>
      <c r="BM860" s="7">
        <v>0.98701300000000003</v>
      </c>
      <c r="BN860" s="7">
        <v>0.99393900000000002</v>
      </c>
      <c r="BO860" s="7">
        <v>0.97777800000000004</v>
      </c>
      <c r="BP860" s="7">
        <v>0.96969700000000003</v>
      </c>
      <c r="BQ860" s="7">
        <v>0.982456</v>
      </c>
      <c r="BR860" s="7">
        <v>6.0268000000000002E-2</v>
      </c>
      <c r="BS860" s="7">
        <v>47.946429000000002</v>
      </c>
      <c r="BT860" s="7">
        <v>50</v>
      </c>
      <c r="BU860" s="7">
        <v>0.12592600000000001</v>
      </c>
      <c r="BV860" s="7">
        <v>34.814815000000003</v>
      </c>
      <c r="BW860" s="7">
        <v>50</v>
      </c>
      <c r="BX860" s="4" t="s">
        <v>124</v>
      </c>
      <c r="BY860" s="4" t="s">
        <v>124</v>
      </c>
      <c r="BZ860" s="4" t="s">
        <v>124</v>
      </c>
      <c r="CA860" s="4" t="s">
        <v>124</v>
      </c>
      <c r="CB860" s="4" t="s">
        <v>124</v>
      </c>
      <c r="CC860" s="4" t="s">
        <v>124</v>
      </c>
      <c r="CD860" s="4" t="s">
        <v>124</v>
      </c>
      <c r="CE860" s="4" t="s">
        <v>124</v>
      </c>
      <c r="CF860" s="4" t="s">
        <v>124</v>
      </c>
      <c r="CG860" s="4" t="s">
        <v>124</v>
      </c>
      <c r="CH860" s="4" t="s">
        <v>124</v>
      </c>
      <c r="CI860" s="4" t="s">
        <v>124</v>
      </c>
      <c r="CJ860" s="4" t="s">
        <v>124</v>
      </c>
      <c r="CK860" s="4" t="s">
        <v>124</v>
      </c>
      <c r="CL860" s="4" t="s">
        <v>124</v>
      </c>
      <c r="CM860" s="4" t="s">
        <v>124</v>
      </c>
      <c r="CN860" s="4" t="s">
        <v>124</v>
      </c>
      <c r="CO860" s="4" t="s">
        <v>124</v>
      </c>
      <c r="CP860" s="4" t="s">
        <v>124</v>
      </c>
      <c r="CQ860" s="7">
        <v>0.58209</v>
      </c>
      <c r="CR860" s="7">
        <v>0.84810099999999999</v>
      </c>
      <c r="CS860" s="7">
        <v>19.402985000000001</v>
      </c>
      <c r="CT860" s="7">
        <v>50</v>
      </c>
      <c r="CU860" s="4" t="s">
        <v>124</v>
      </c>
      <c r="CV860" s="4" t="s">
        <v>124</v>
      </c>
      <c r="CW860" s="4" t="s">
        <v>124</v>
      </c>
      <c r="CX860" s="4" t="s">
        <v>124</v>
      </c>
      <c r="CY860" s="4" t="s">
        <v>124</v>
      </c>
      <c r="CZ860" s="4" t="s">
        <v>124</v>
      </c>
      <c r="DA860" s="7">
        <v>15.314097</v>
      </c>
      <c r="DB860" s="7">
        <v>17.400950000000002</v>
      </c>
      <c r="DC860" s="7">
        <v>16.332519999999999</v>
      </c>
      <c r="DD860" s="4" t="s">
        <v>124</v>
      </c>
      <c r="DE860" s="7">
        <v>0</v>
      </c>
      <c r="DF860" s="6"/>
      <c r="DG860" s="6"/>
      <c r="DH860" s="6"/>
      <c r="DI860" s="6"/>
      <c r="DJ860" s="7">
        <v>0</v>
      </c>
      <c r="DK860" s="7">
        <v>0</v>
      </c>
      <c r="DL860" s="7">
        <v>0</v>
      </c>
      <c r="DM860" s="7">
        <v>0</v>
      </c>
      <c r="DN860" s="7">
        <v>0</v>
      </c>
      <c r="DO860" s="7">
        <v>0</v>
      </c>
      <c r="DP860" s="6"/>
      <c r="DQ860" s="4" t="s">
        <v>125</v>
      </c>
    </row>
    <row r="861" spans="1:121" ht="20" customHeight="1" x14ac:dyDescent="0.15">
      <c r="A861" s="5">
        <v>2018</v>
      </c>
      <c r="B861" s="3" t="s">
        <v>283</v>
      </c>
      <c r="C861" s="4" t="str">
        <f t="shared" si="250"/>
        <v>1310011</v>
      </c>
      <c r="D861" s="4" t="s">
        <v>1013</v>
      </c>
      <c r="E861" s="4" t="str">
        <f>"1311411"</f>
        <v>1311411</v>
      </c>
      <c r="F861" s="4" t="s">
        <v>327</v>
      </c>
      <c r="G861" s="4" t="s">
        <v>338</v>
      </c>
      <c r="H861" s="7">
        <v>5</v>
      </c>
      <c r="I861" s="6"/>
      <c r="J861" s="4" t="s">
        <v>330</v>
      </c>
      <c r="K861" s="7">
        <v>694.96456599999999</v>
      </c>
      <c r="L861" s="7">
        <v>800</v>
      </c>
      <c r="M861" s="7">
        <v>86.870570999999998</v>
      </c>
      <c r="N861" s="7">
        <v>1</v>
      </c>
      <c r="O861" s="7">
        <v>0</v>
      </c>
      <c r="P861" s="7">
        <v>81.783811999999998</v>
      </c>
      <c r="Q861" s="7">
        <v>50</v>
      </c>
      <c r="R861" s="7">
        <v>50</v>
      </c>
      <c r="S861" s="7">
        <v>75.710407000000004</v>
      </c>
      <c r="T861" s="7">
        <v>75</v>
      </c>
      <c r="U861" s="7">
        <v>50</v>
      </c>
      <c r="V861" s="7">
        <v>50</v>
      </c>
      <c r="W861" s="7">
        <v>78.079261000000002</v>
      </c>
      <c r="X861" s="7">
        <v>50</v>
      </c>
      <c r="Y861" s="7">
        <v>50</v>
      </c>
      <c r="Z861" s="7">
        <v>75</v>
      </c>
      <c r="AA861" s="7">
        <v>70.099012999999999</v>
      </c>
      <c r="AB861" s="7">
        <v>46.732675</v>
      </c>
      <c r="AC861" s="7">
        <v>50</v>
      </c>
      <c r="AD861" s="7">
        <v>76.306004000000001</v>
      </c>
      <c r="AE861" s="7">
        <v>50</v>
      </c>
      <c r="AF861" s="7">
        <v>50</v>
      </c>
      <c r="AG861" s="4" t="s">
        <v>124</v>
      </c>
      <c r="AH861" s="7">
        <v>75</v>
      </c>
      <c r="AI861" s="4" t="s">
        <v>124</v>
      </c>
      <c r="AJ861" s="4" t="s">
        <v>124</v>
      </c>
      <c r="AK861" s="7">
        <v>-0.71</v>
      </c>
      <c r="AL861" s="7">
        <v>4.9000000000000004</v>
      </c>
      <c r="AM861" s="4" t="s">
        <v>124</v>
      </c>
      <c r="AN861" s="7">
        <v>0.84646999999999994</v>
      </c>
      <c r="AO861" s="7">
        <v>84.647012000000004</v>
      </c>
      <c r="AP861" s="7">
        <v>100</v>
      </c>
      <c r="AQ861" s="7">
        <v>0.855464</v>
      </c>
      <c r="AR861" s="7">
        <v>85.546374999999998</v>
      </c>
      <c r="AS861" s="7">
        <v>100</v>
      </c>
      <c r="AT861" s="7">
        <v>0.77648499999999998</v>
      </c>
      <c r="AU861" s="7">
        <v>0.86480000000000001</v>
      </c>
      <c r="AV861" s="7">
        <v>77.648461999999995</v>
      </c>
      <c r="AW861" s="7">
        <v>100</v>
      </c>
      <c r="AX861" s="7">
        <v>0.76657600000000004</v>
      </c>
      <c r="AY861" s="7">
        <v>0.87902400000000003</v>
      </c>
      <c r="AZ861" s="7">
        <v>76.657646999999997</v>
      </c>
      <c r="BA861" s="7">
        <v>100</v>
      </c>
      <c r="BB861" s="4" t="s">
        <v>124</v>
      </c>
      <c r="BC861" s="4" t="s">
        <v>124</v>
      </c>
      <c r="BD861" s="4" t="s">
        <v>124</v>
      </c>
      <c r="BE861" s="4" t="s">
        <v>124</v>
      </c>
      <c r="BF861" s="4" t="s">
        <v>124</v>
      </c>
      <c r="BG861" s="4" t="s">
        <v>124</v>
      </c>
      <c r="BH861" s="7">
        <v>0</v>
      </c>
      <c r="BI861" s="7">
        <v>1</v>
      </c>
      <c r="BJ861" s="7">
        <v>1</v>
      </c>
      <c r="BK861" s="7">
        <v>1</v>
      </c>
      <c r="BL861" s="7">
        <v>1</v>
      </c>
      <c r="BM861" s="7">
        <v>1</v>
      </c>
      <c r="BN861" s="7">
        <v>1</v>
      </c>
      <c r="BO861" s="7">
        <v>1</v>
      </c>
      <c r="BP861" s="4" t="s">
        <v>124</v>
      </c>
      <c r="BQ861" s="7">
        <v>1</v>
      </c>
      <c r="BR861" s="7">
        <v>2.4220999999999999E-2</v>
      </c>
      <c r="BS861" s="7">
        <v>50</v>
      </c>
      <c r="BT861" s="7">
        <v>50</v>
      </c>
      <c r="BU861" s="7">
        <v>5.6337999999999999E-2</v>
      </c>
      <c r="BV861" s="7">
        <v>48.732393999999999</v>
      </c>
      <c r="BW861" s="7">
        <v>50</v>
      </c>
      <c r="BX861" s="4" t="s">
        <v>124</v>
      </c>
      <c r="BY861" s="4" t="s">
        <v>124</v>
      </c>
      <c r="BZ861" s="4" t="s">
        <v>124</v>
      </c>
      <c r="CA861" s="4" t="s">
        <v>124</v>
      </c>
      <c r="CB861" s="4" t="s">
        <v>124</v>
      </c>
      <c r="CC861" s="4" t="s">
        <v>124</v>
      </c>
      <c r="CD861" s="4" t="s">
        <v>124</v>
      </c>
      <c r="CE861" s="4" t="s">
        <v>124</v>
      </c>
      <c r="CF861" s="4" t="s">
        <v>124</v>
      </c>
      <c r="CG861" s="4" t="s">
        <v>124</v>
      </c>
      <c r="CH861" s="4" t="s">
        <v>124</v>
      </c>
      <c r="CI861" s="4" t="s">
        <v>124</v>
      </c>
      <c r="CJ861" s="4" t="s">
        <v>124</v>
      </c>
      <c r="CK861" s="4" t="s">
        <v>124</v>
      </c>
      <c r="CL861" s="4" t="s">
        <v>124</v>
      </c>
      <c r="CM861" s="4" t="s">
        <v>124</v>
      </c>
      <c r="CN861" s="4" t="s">
        <v>124</v>
      </c>
      <c r="CO861" s="4" t="s">
        <v>124</v>
      </c>
      <c r="CP861" s="4" t="s">
        <v>124</v>
      </c>
      <c r="CQ861" s="7">
        <v>0.375</v>
      </c>
      <c r="CR861" s="7">
        <v>0.982456</v>
      </c>
      <c r="CS861" s="7">
        <v>25</v>
      </c>
      <c r="CT861" s="7">
        <v>50</v>
      </c>
      <c r="CU861" s="4" t="s">
        <v>124</v>
      </c>
      <c r="CV861" s="4" t="s">
        <v>124</v>
      </c>
      <c r="CW861" s="4" t="s">
        <v>124</v>
      </c>
      <c r="CX861" s="4" t="s">
        <v>124</v>
      </c>
      <c r="CY861" s="4" t="s">
        <v>124</v>
      </c>
      <c r="CZ861" s="4" t="s">
        <v>124</v>
      </c>
      <c r="DA861" s="7">
        <v>15.314097</v>
      </c>
      <c r="DB861" s="7">
        <v>17.400950000000002</v>
      </c>
      <c r="DC861" s="7">
        <v>16.332519999999999</v>
      </c>
      <c r="DD861" s="4" t="s">
        <v>124</v>
      </c>
      <c r="DE861" s="7">
        <v>0</v>
      </c>
      <c r="DF861" s="6"/>
      <c r="DG861" s="6"/>
      <c r="DH861" s="4" t="s">
        <v>331</v>
      </c>
      <c r="DI861" s="4" t="s">
        <v>448</v>
      </c>
      <c r="DJ861" s="7">
        <v>1</v>
      </c>
      <c r="DK861" s="7">
        <v>1</v>
      </c>
      <c r="DL861" s="7">
        <v>1</v>
      </c>
      <c r="DM861" s="7">
        <v>1</v>
      </c>
      <c r="DN861" s="7">
        <v>0</v>
      </c>
      <c r="DO861" s="7">
        <v>0</v>
      </c>
      <c r="DP861" s="6"/>
      <c r="DQ861" s="4" t="s">
        <v>125</v>
      </c>
    </row>
    <row r="862" spans="1:121" ht="20" customHeight="1" x14ac:dyDescent="0.15">
      <c r="A862" s="5">
        <v>2018</v>
      </c>
      <c r="B862" s="3" t="s">
        <v>257</v>
      </c>
      <c r="C862" s="4" t="str">
        <f t="shared" si="132"/>
        <v>1320011</v>
      </c>
      <c r="D862" s="4" t="s">
        <v>1014</v>
      </c>
      <c r="E862" s="4" t="str">
        <f>"1320711"</f>
        <v>1320711</v>
      </c>
      <c r="F862" s="4" t="s">
        <v>327</v>
      </c>
      <c r="G862" s="4" t="s">
        <v>338</v>
      </c>
      <c r="H862" s="7">
        <v>5</v>
      </c>
      <c r="I862" s="4" t="s">
        <v>329</v>
      </c>
      <c r="J862" s="4" t="s">
        <v>330</v>
      </c>
      <c r="K862" s="7">
        <v>770.89954</v>
      </c>
      <c r="L862" s="7">
        <v>950</v>
      </c>
      <c r="M862" s="7">
        <v>81.147319999999993</v>
      </c>
      <c r="N862" s="7">
        <v>2</v>
      </c>
      <c r="O862" s="7">
        <v>0</v>
      </c>
      <c r="P862" s="7">
        <v>77.032562999999996</v>
      </c>
      <c r="Q862" s="7">
        <v>50</v>
      </c>
      <c r="R862" s="7">
        <v>50</v>
      </c>
      <c r="S862" s="7">
        <v>65.870368999999997</v>
      </c>
      <c r="T862" s="7">
        <v>75</v>
      </c>
      <c r="U862" s="7">
        <v>43.913580000000003</v>
      </c>
      <c r="V862" s="7">
        <v>50</v>
      </c>
      <c r="W862" s="7">
        <v>74.736031999999994</v>
      </c>
      <c r="X862" s="7">
        <v>49.824021999999999</v>
      </c>
      <c r="Y862" s="7">
        <v>50</v>
      </c>
      <c r="Z862" s="7">
        <v>75</v>
      </c>
      <c r="AA862" s="7">
        <v>63.691259000000002</v>
      </c>
      <c r="AB862" s="7">
        <v>42.460839</v>
      </c>
      <c r="AC862" s="7">
        <v>50</v>
      </c>
      <c r="AD862" s="7">
        <v>71.445840000000004</v>
      </c>
      <c r="AE862" s="7">
        <v>47.630560000000003</v>
      </c>
      <c r="AF862" s="7">
        <v>50</v>
      </c>
      <c r="AG862" s="7">
        <v>62.293906999999997</v>
      </c>
      <c r="AH862" s="7">
        <v>75</v>
      </c>
      <c r="AI862" s="7">
        <v>41.529271000000001</v>
      </c>
      <c r="AJ862" s="7">
        <v>50</v>
      </c>
      <c r="AK862" s="7">
        <v>9.1199999999999992</v>
      </c>
      <c r="AL862" s="7">
        <v>11.3</v>
      </c>
      <c r="AM862" s="7">
        <v>12.7</v>
      </c>
      <c r="AN862" s="7">
        <v>0.65034599999999998</v>
      </c>
      <c r="AO862" s="7">
        <v>65.034566999999996</v>
      </c>
      <c r="AP862" s="7">
        <v>100</v>
      </c>
      <c r="AQ862" s="7">
        <v>0.83707600000000004</v>
      </c>
      <c r="AR862" s="7">
        <v>83.707583</v>
      </c>
      <c r="AS862" s="7">
        <v>100</v>
      </c>
      <c r="AT862" s="7">
        <v>0.62402800000000003</v>
      </c>
      <c r="AU862" s="7">
        <v>0.66159299999999999</v>
      </c>
      <c r="AV862" s="7">
        <v>62.402799000000002</v>
      </c>
      <c r="AW862" s="7">
        <v>100</v>
      </c>
      <c r="AX862" s="7">
        <v>0.81926600000000005</v>
      </c>
      <c r="AY862" s="7">
        <v>0.84468699999999997</v>
      </c>
      <c r="AZ862" s="7">
        <v>81.926607000000004</v>
      </c>
      <c r="BA862" s="7">
        <v>100</v>
      </c>
      <c r="BB862" s="7">
        <v>0.69388700000000003</v>
      </c>
      <c r="BC862" s="7">
        <v>34.694341000000001</v>
      </c>
      <c r="BD862" s="7">
        <v>50</v>
      </c>
      <c r="BE862" s="7">
        <v>0.807446</v>
      </c>
      <c r="BF862" s="7">
        <v>40.372318999999997</v>
      </c>
      <c r="BG862" s="7">
        <v>50</v>
      </c>
      <c r="BH862" s="7">
        <v>0</v>
      </c>
      <c r="BI862" s="7">
        <v>0.98023700000000002</v>
      </c>
      <c r="BJ862" s="7">
        <v>0.95789500000000005</v>
      </c>
      <c r="BK862" s="7">
        <v>0.99367099999999997</v>
      </c>
      <c r="BL862" s="7">
        <v>0.98023700000000002</v>
      </c>
      <c r="BM862" s="7">
        <v>0.95789500000000005</v>
      </c>
      <c r="BN862" s="7">
        <v>0.99367099999999997</v>
      </c>
      <c r="BO862" s="7">
        <v>0.97979799999999995</v>
      </c>
      <c r="BP862" s="7">
        <v>0.95</v>
      </c>
      <c r="BQ862" s="7">
        <v>1</v>
      </c>
      <c r="BR862" s="7">
        <v>6.7685999999999996E-2</v>
      </c>
      <c r="BS862" s="7">
        <v>46.462882</v>
      </c>
      <c r="BT862" s="7">
        <v>50</v>
      </c>
      <c r="BU862" s="7">
        <v>0.13461500000000001</v>
      </c>
      <c r="BV862" s="7">
        <v>33.076923000000001</v>
      </c>
      <c r="BW862" s="7">
        <v>50</v>
      </c>
      <c r="BX862" s="4" t="s">
        <v>124</v>
      </c>
      <c r="BY862" s="4" t="s">
        <v>124</v>
      </c>
      <c r="BZ862" s="4" t="s">
        <v>124</v>
      </c>
      <c r="CA862" s="4" t="s">
        <v>124</v>
      </c>
      <c r="CB862" s="4" t="s">
        <v>124</v>
      </c>
      <c r="CC862" s="4" t="s">
        <v>124</v>
      </c>
      <c r="CD862" s="4" t="s">
        <v>124</v>
      </c>
      <c r="CE862" s="4" t="s">
        <v>124</v>
      </c>
      <c r="CF862" s="4" t="s">
        <v>124</v>
      </c>
      <c r="CG862" s="4" t="s">
        <v>124</v>
      </c>
      <c r="CH862" s="4" t="s">
        <v>124</v>
      </c>
      <c r="CI862" s="4" t="s">
        <v>124</v>
      </c>
      <c r="CJ862" s="4" t="s">
        <v>124</v>
      </c>
      <c r="CK862" s="4" t="s">
        <v>124</v>
      </c>
      <c r="CL862" s="4" t="s">
        <v>124</v>
      </c>
      <c r="CM862" s="4" t="s">
        <v>124</v>
      </c>
      <c r="CN862" s="4" t="s">
        <v>124</v>
      </c>
      <c r="CO862" s="4" t="s">
        <v>124</v>
      </c>
      <c r="CP862" s="4" t="s">
        <v>124</v>
      </c>
      <c r="CQ862" s="7">
        <v>0.71794899999999995</v>
      </c>
      <c r="CR862" s="7">
        <v>0.96296300000000001</v>
      </c>
      <c r="CS862" s="7">
        <v>47.863247999999999</v>
      </c>
      <c r="CT862" s="7">
        <v>50</v>
      </c>
      <c r="CU862" s="4" t="s">
        <v>124</v>
      </c>
      <c r="CV862" s="4" t="s">
        <v>124</v>
      </c>
      <c r="CW862" s="4" t="s">
        <v>124</v>
      </c>
      <c r="CX862" s="4" t="s">
        <v>124</v>
      </c>
      <c r="CY862" s="4" t="s">
        <v>124</v>
      </c>
      <c r="CZ862" s="4" t="s">
        <v>124</v>
      </c>
      <c r="DA862" s="7">
        <v>15.314097</v>
      </c>
      <c r="DB862" s="7">
        <v>17.400950000000002</v>
      </c>
      <c r="DC862" s="7">
        <v>16.332519999999999</v>
      </c>
      <c r="DD862" s="4" t="s">
        <v>124</v>
      </c>
      <c r="DE862" s="7">
        <v>0</v>
      </c>
      <c r="DF862" s="6"/>
      <c r="DG862" s="6"/>
      <c r="DH862" s="4" t="s">
        <v>331</v>
      </c>
      <c r="DI862" s="4" t="s">
        <v>431</v>
      </c>
      <c r="DJ862" s="7">
        <v>0</v>
      </c>
      <c r="DK862" s="7">
        <v>0</v>
      </c>
      <c r="DL862" s="7">
        <v>0</v>
      </c>
      <c r="DM862" s="7">
        <v>0</v>
      </c>
      <c r="DN862" s="7">
        <v>1</v>
      </c>
      <c r="DO862" s="7">
        <v>0</v>
      </c>
      <c r="DP862" s="6"/>
      <c r="DQ862" s="4" t="s">
        <v>125</v>
      </c>
    </row>
    <row r="863" spans="1:121" ht="20" customHeight="1" x14ac:dyDescent="0.15">
      <c r="A863" s="5">
        <v>2018</v>
      </c>
      <c r="B863" s="3" t="s">
        <v>257</v>
      </c>
      <c r="C863" s="4" t="str">
        <f t="shared" ref="C863:C867" si="251">"1320011"</f>
        <v>1320011</v>
      </c>
      <c r="D863" s="4" t="s">
        <v>1015</v>
      </c>
      <c r="E863" s="4" t="str">
        <f>"1320611"</f>
        <v>1320611</v>
      </c>
      <c r="F863" s="4" t="s">
        <v>327</v>
      </c>
      <c r="G863" s="4" t="s">
        <v>338</v>
      </c>
      <c r="H863" s="7">
        <v>5</v>
      </c>
      <c r="I863" s="6"/>
      <c r="J863" s="4" t="s">
        <v>330</v>
      </c>
      <c r="K863" s="7">
        <v>746.73489400000005</v>
      </c>
      <c r="L863" s="7">
        <v>950</v>
      </c>
      <c r="M863" s="7">
        <v>78.603673000000001</v>
      </c>
      <c r="N863" s="7">
        <v>2</v>
      </c>
      <c r="O863" s="7">
        <v>0</v>
      </c>
      <c r="P863" s="7">
        <v>84.759192999999996</v>
      </c>
      <c r="Q863" s="7">
        <v>50</v>
      </c>
      <c r="R863" s="7">
        <v>50</v>
      </c>
      <c r="S863" s="7">
        <v>76.991074999999995</v>
      </c>
      <c r="T863" s="7">
        <v>75</v>
      </c>
      <c r="U863" s="7">
        <v>50</v>
      </c>
      <c r="V863" s="7">
        <v>50</v>
      </c>
      <c r="W863" s="7">
        <v>82.281858999999997</v>
      </c>
      <c r="X863" s="7">
        <v>50</v>
      </c>
      <c r="Y863" s="7">
        <v>50</v>
      </c>
      <c r="Z863" s="7">
        <v>75</v>
      </c>
      <c r="AA863" s="7">
        <v>74.966575000000006</v>
      </c>
      <c r="AB863" s="7">
        <v>49.977716999999998</v>
      </c>
      <c r="AC863" s="7">
        <v>50</v>
      </c>
      <c r="AD863" s="7">
        <v>76.659497999999999</v>
      </c>
      <c r="AE863" s="7">
        <v>50</v>
      </c>
      <c r="AF863" s="7">
        <v>50</v>
      </c>
      <c r="AG863" s="7">
        <v>67.257142999999999</v>
      </c>
      <c r="AH863" s="7">
        <v>75</v>
      </c>
      <c r="AI863" s="7">
        <v>44.838095000000003</v>
      </c>
      <c r="AJ863" s="7">
        <v>50</v>
      </c>
      <c r="AK863" s="7">
        <v>-1.99</v>
      </c>
      <c r="AL863" s="7">
        <v>0.03</v>
      </c>
      <c r="AM863" s="7">
        <v>7.74</v>
      </c>
      <c r="AN863" s="7">
        <v>0.65929000000000004</v>
      </c>
      <c r="AO863" s="7">
        <v>65.929038000000006</v>
      </c>
      <c r="AP863" s="7">
        <v>100</v>
      </c>
      <c r="AQ863" s="7">
        <v>0.72086700000000004</v>
      </c>
      <c r="AR863" s="7">
        <v>72.086651000000003</v>
      </c>
      <c r="AS863" s="7">
        <v>100</v>
      </c>
      <c r="AT863" s="7">
        <v>0.62567200000000001</v>
      </c>
      <c r="AU863" s="7">
        <v>0.673875</v>
      </c>
      <c r="AV863" s="7">
        <v>62.567234999999997</v>
      </c>
      <c r="AW863" s="7">
        <v>100</v>
      </c>
      <c r="AX863" s="7">
        <v>0.57818499999999995</v>
      </c>
      <c r="AY863" s="7">
        <v>0.78276500000000004</v>
      </c>
      <c r="AZ863" s="7">
        <v>57.818494000000001</v>
      </c>
      <c r="BA863" s="7">
        <v>100</v>
      </c>
      <c r="BB863" s="7">
        <v>0.85611300000000001</v>
      </c>
      <c r="BC863" s="7">
        <v>42.805666000000002</v>
      </c>
      <c r="BD863" s="7">
        <v>50</v>
      </c>
      <c r="BE863" s="7">
        <v>0.53774699999999998</v>
      </c>
      <c r="BF863" s="7">
        <v>26.887339000000001</v>
      </c>
      <c r="BG863" s="7">
        <v>50</v>
      </c>
      <c r="BH863" s="7">
        <v>0</v>
      </c>
      <c r="BI863" s="7">
        <v>1</v>
      </c>
      <c r="BJ863" s="7">
        <v>1</v>
      </c>
      <c r="BK863" s="7">
        <v>1</v>
      </c>
      <c r="BL863" s="7">
        <v>1</v>
      </c>
      <c r="BM863" s="7">
        <v>1</v>
      </c>
      <c r="BN863" s="7">
        <v>1</v>
      </c>
      <c r="BO863" s="7">
        <v>1</v>
      </c>
      <c r="BP863" s="7">
        <v>1</v>
      </c>
      <c r="BQ863" s="7">
        <v>1</v>
      </c>
      <c r="BR863" s="7">
        <v>5.4140000000000001E-2</v>
      </c>
      <c r="BS863" s="7">
        <v>49.171975000000003</v>
      </c>
      <c r="BT863" s="7">
        <v>50</v>
      </c>
      <c r="BU863" s="7">
        <v>0.11627899999999999</v>
      </c>
      <c r="BV863" s="7">
        <v>36.744185999999999</v>
      </c>
      <c r="BW863" s="7">
        <v>50</v>
      </c>
      <c r="BX863" s="4" t="s">
        <v>124</v>
      </c>
      <c r="BY863" s="4" t="s">
        <v>124</v>
      </c>
      <c r="BZ863" s="4" t="s">
        <v>124</v>
      </c>
      <c r="CA863" s="4" t="s">
        <v>124</v>
      </c>
      <c r="CB863" s="4" t="s">
        <v>124</v>
      </c>
      <c r="CC863" s="4" t="s">
        <v>124</v>
      </c>
      <c r="CD863" s="4" t="s">
        <v>124</v>
      </c>
      <c r="CE863" s="4" t="s">
        <v>124</v>
      </c>
      <c r="CF863" s="4" t="s">
        <v>124</v>
      </c>
      <c r="CG863" s="4" t="s">
        <v>124</v>
      </c>
      <c r="CH863" s="4" t="s">
        <v>124</v>
      </c>
      <c r="CI863" s="4" t="s">
        <v>124</v>
      </c>
      <c r="CJ863" s="4" t="s">
        <v>124</v>
      </c>
      <c r="CK863" s="4" t="s">
        <v>124</v>
      </c>
      <c r="CL863" s="4" t="s">
        <v>124</v>
      </c>
      <c r="CM863" s="4" t="s">
        <v>124</v>
      </c>
      <c r="CN863" s="4" t="s">
        <v>124</v>
      </c>
      <c r="CO863" s="4" t="s">
        <v>124</v>
      </c>
      <c r="CP863" s="4" t="s">
        <v>124</v>
      </c>
      <c r="CQ863" s="7">
        <v>0.56862699999999999</v>
      </c>
      <c r="CR863" s="7">
        <v>1.0099009999999999</v>
      </c>
      <c r="CS863" s="7">
        <v>37.908496999999997</v>
      </c>
      <c r="CT863" s="7">
        <v>50</v>
      </c>
      <c r="CU863" s="4" t="s">
        <v>124</v>
      </c>
      <c r="CV863" s="4" t="s">
        <v>124</v>
      </c>
      <c r="CW863" s="4" t="s">
        <v>124</v>
      </c>
      <c r="CX863" s="4" t="s">
        <v>124</v>
      </c>
      <c r="CY863" s="4" t="s">
        <v>124</v>
      </c>
      <c r="CZ863" s="4" t="s">
        <v>124</v>
      </c>
      <c r="DA863" s="7">
        <v>15.314097</v>
      </c>
      <c r="DB863" s="7">
        <v>17.400950000000002</v>
      </c>
      <c r="DC863" s="7">
        <v>16.332519999999999</v>
      </c>
      <c r="DD863" s="4" t="s">
        <v>124</v>
      </c>
      <c r="DE863" s="7">
        <v>0</v>
      </c>
      <c r="DF863" s="6"/>
      <c r="DG863" s="6"/>
      <c r="DH863" s="6"/>
      <c r="DI863" s="6"/>
      <c r="DJ863" s="7">
        <v>0</v>
      </c>
      <c r="DK863" s="7">
        <v>0</v>
      </c>
      <c r="DL863" s="7">
        <v>0</v>
      </c>
      <c r="DM863" s="7">
        <v>0</v>
      </c>
      <c r="DN863" s="7">
        <v>0</v>
      </c>
      <c r="DO863" s="7">
        <v>0</v>
      </c>
      <c r="DP863" s="6"/>
      <c r="DQ863" s="4" t="s">
        <v>125</v>
      </c>
    </row>
    <row r="864" spans="1:121" ht="20" customHeight="1" x14ac:dyDescent="0.15">
      <c r="A864" s="5">
        <v>2018</v>
      </c>
      <c r="B864" s="3" t="s">
        <v>257</v>
      </c>
      <c r="C864" s="4" t="str">
        <f t="shared" si="251"/>
        <v>1320011</v>
      </c>
      <c r="D864" s="4" t="s">
        <v>1016</v>
      </c>
      <c r="E864" s="4" t="str">
        <f>"1320111"</f>
        <v>1320111</v>
      </c>
      <c r="F864" s="4" t="s">
        <v>327</v>
      </c>
      <c r="G864" s="4" t="s">
        <v>338</v>
      </c>
      <c r="H864" s="7">
        <v>5</v>
      </c>
      <c r="I864" s="6"/>
      <c r="J864" s="4" t="s">
        <v>330</v>
      </c>
      <c r="K864" s="7">
        <v>759.15769499999999</v>
      </c>
      <c r="L864" s="7">
        <v>900</v>
      </c>
      <c r="M864" s="7">
        <v>84.350854999999996</v>
      </c>
      <c r="N864" s="7">
        <v>2</v>
      </c>
      <c r="O864" s="7">
        <v>0</v>
      </c>
      <c r="P864" s="7">
        <v>83.808120000000002</v>
      </c>
      <c r="Q864" s="7">
        <v>50</v>
      </c>
      <c r="R864" s="7">
        <v>50</v>
      </c>
      <c r="S864" s="7">
        <v>75.371762000000004</v>
      </c>
      <c r="T864" s="7">
        <v>75</v>
      </c>
      <c r="U864" s="7">
        <v>50</v>
      </c>
      <c r="V864" s="7">
        <v>50</v>
      </c>
      <c r="W864" s="7">
        <v>79.794808000000003</v>
      </c>
      <c r="X864" s="7">
        <v>50</v>
      </c>
      <c r="Y864" s="7">
        <v>50</v>
      </c>
      <c r="Z864" s="7">
        <v>75</v>
      </c>
      <c r="AA864" s="7">
        <v>72.568100999999999</v>
      </c>
      <c r="AB864" s="7">
        <v>48.378734000000001</v>
      </c>
      <c r="AC864" s="7">
        <v>50</v>
      </c>
      <c r="AD864" s="7">
        <v>80.936492000000001</v>
      </c>
      <c r="AE864" s="7">
        <v>50</v>
      </c>
      <c r="AF864" s="7">
        <v>50</v>
      </c>
      <c r="AG864" s="4" t="s">
        <v>124</v>
      </c>
      <c r="AH864" s="7">
        <v>75</v>
      </c>
      <c r="AI864" s="4" t="s">
        <v>124</v>
      </c>
      <c r="AJ864" s="4" t="s">
        <v>124</v>
      </c>
      <c r="AK864" s="7">
        <v>-0.37</v>
      </c>
      <c r="AL864" s="7">
        <v>2.4300000000000002</v>
      </c>
      <c r="AM864" s="4" t="s">
        <v>124</v>
      </c>
      <c r="AN864" s="7">
        <v>0.77567699999999995</v>
      </c>
      <c r="AO864" s="7">
        <v>77.567740000000001</v>
      </c>
      <c r="AP864" s="7">
        <v>100</v>
      </c>
      <c r="AQ864" s="7">
        <v>0.78809799999999997</v>
      </c>
      <c r="AR864" s="7">
        <v>78.809753000000001</v>
      </c>
      <c r="AS864" s="7">
        <v>100</v>
      </c>
      <c r="AT864" s="7">
        <v>0.77515500000000004</v>
      </c>
      <c r="AU864" s="7">
        <v>0.77585099999999996</v>
      </c>
      <c r="AV864" s="7">
        <v>77.515550000000005</v>
      </c>
      <c r="AW864" s="7">
        <v>100</v>
      </c>
      <c r="AX864" s="7">
        <v>0.66627499999999995</v>
      </c>
      <c r="AY864" s="7">
        <v>0.82870500000000002</v>
      </c>
      <c r="AZ864" s="7">
        <v>66.627526000000003</v>
      </c>
      <c r="BA864" s="7">
        <v>100</v>
      </c>
      <c r="BB864" s="7">
        <v>0.77856000000000003</v>
      </c>
      <c r="BC864" s="7">
        <v>38.927987000000002</v>
      </c>
      <c r="BD864" s="7">
        <v>50</v>
      </c>
      <c r="BE864" s="7">
        <v>0.50182199999999999</v>
      </c>
      <c r="BF864" s="7">
        <v>25.091087999999999</v>
      </c>
      <c r="BG864" s="7">
        <v>50</v>
      </c>
      <c r="BH864" s="7">
        <v>0</v>
      </c>
      <c r="BI864" s="7">
        <v>1</v>
      </c>
      <c r="BJ864" s="7">
        <v>1</v>
      </c>
      <c r="BK864" s="7">
        <v>1</v>
      </c>
      <c r="BL864" s="7">
        <v>1</v>
      </c>
      <c r="BM864" s="7">
        <v>1</v>
      </c>
      <c r="BN864" s="7">
        <v>1</v>
      </c>
      <c r="BO864" s="7">
        <v>1</v>
      </c>
      <c r="BP864" s="4" t="s">
        <v>124</v>
      </c>
      <c r="BQ864" s="7">
        <v>1</v>
      </c>
      <c r="BR864" s="7">
        <v>4.3589999999999997E-2</v>
      </c>
      <c r="BS864" s="7">
        <v>50</v>
      </c>
      <c r="BT864" s="7">
        <v>50</v>
      </c>
      <c r="BU864" s="7">
        <v>5.7692E-2</v>
      </c>
      <c r="BV864" s="7">
        <v>48.461537999999997</v>
      </c>
      <c r="BW864" s="7">
        <v>50</v>
      </c>
      <c r="BX864" s="4" t="s">
        <v>124</v>
      </c>
      <c r="BY864" s="4" t="s">
        <v>124</v>
      </c>
      <c r="BZ864" s="4" t="s">
        <v>124</v>
      </c>
      <c r="CA864" s="4" t="s">
        <v>124</v>
      </c>
      <c r="CB864" s="4" t="s">
        <v>124</v>
      </c>
      <c r="CC864" s="4" t="s">
        <v>124</v>
      </c>
      <c r="CD864" s="4" t="s">
        <v>124</v>
      </c>
      <c r="CE864" s="4" t="s">
        <v>124</v>
      </c>
      <c r="CF864" s="4" t="s">
        <v>124</v>
      </c>
      <c r="CG864" s="4" t="s">
        <v>124</v>
      </c>
      <c r="CH864" s="4" t="s">
        <v>124</v>
      </c>
      <c r="CI864" s="4" t="s">
        <v>124</v>
      </c>
      <c r="CJ864" s="4" t="s">
        <v>124</v>
      </c>
      <c r="CK864" s="4" t="s">
        <v>124</v>
      </c>
      <c r="CL864" s="4" t="s">
        <v>124</v>
      </c>
      <c r="CM864" s="4" t="s">
        <v>124</v>
      </c>
      <c r="CN864" s="4" t="s">
        <v>124</v>
      </c>
      <c r="CO864" s="4" t="s">
        <v>124</v>
      </c>
      <c r="CP864" s="4" t="s">
        <v>124</v>
      </c>
      <c r="CQ864" s="7">
        <v>0.71666700000000005</v>
      </c>
      <c r="CR864" s="7">
        <v>1.034483</v>
      </c>
      <c r="CS864" s="7">
        <v>47.777777999999998</v>
      </c>
      <c r="CT864" s="7">
        <v>50</v>
      </c>
      <c r="CU864" s="4" t="s">
        <v>124</v>
      </c>
      <c r="CV864" s="4" t="s">
        <v>124</v>
      </c>
      <c r="CW864" s="4" t="s">
        <v>124</v>
      </c>
      <c r="CX864" s="4" t="s">
        <v>124</v>
      </c>
      <c r="CY864" s="4" t="s">
        <v>124</v>
      </c>
      <c r="CZ864" s="4" t="s">
        <v>124</v>
      </c>
      <c r="DA864" s="7">
        <v>15.314097</v>
      </c>
      <c r="DB864" s="7">
        <v>17.400950000000002</v>
      </c>
      <c r="DC864" s="7">
        <v>16.332519999999999</v>
      </c>
      <c r="DD864" s="4" t="s">
        <v>124</v>
      </c>
      <c r="DE864" s="7">
        <v>0</v>
      </c>
      <c r="DF864" s="6"/>
      <c r="DG864" s="6"/>
      <c r="DH864" s="4" t="s">
        <v>331</v>
      </c>
      <c r="DI864" s="4" t="s">
        <v>523</v>
      </c>
      <c r="DJ864" s="7">
        <v>0</v>
      </c>
      <c r="DK864" s="7">
        <v>0</v>
      </c>
      <c r="DL864" s="7">
        <v>0</v>
      </c>
      <c r="DM864" s="7">
        <v>1</v>
      </c>
      <c r="DN864" s="7">
        <v>0</v>
      </c>
      <c r="DO864" s="7">
        <v>0</v>
      </c>
      <c r="DP864" s="6"/>
      <c r="DQ864" s="4" t="s">
        <v>125</v>
      </c>
    </row>
    <row r="865" spans="1:121" ht="20" customHeight="1" x14ac:dyDescent="0.15">
      <c r="A865" s="5">
        <v>2018</v>
      </c>
      <c r="B865" s="3" t="s">
        <v>257</v>
      </c>
      <c r="C865" s="4" t="str">
        <f t="shared" si="251"/>
        <v>1320011</v>
      </c>
      <c r="D865" s="4" t="s">
        <v>1017</v>
      </c>
      <c r="E865" s="4" t="str">
        <f>"1320211"</f>
        <v>1320211</v>
      </c>
      <c r="F865" s="4" t="s">
        <v>327</v>
      </c>
      <c r="G865" s="4" t="s">
        <v>338</v>
      </c>
      <c r="H865" s="7">
        <v>5</v>
      </c>
      <c r="I865" s="4" t="s">
        <v>329</v>
      </c>
      <c r="J865" s="4" t="s">
        <v>330</v>
      </c>
      <c r="K865" s="7">
        <v>754.35478499999999</v>
      </c>
      <c r="L865" s="7">
        <v>950</v>
      </c>
      <c r="M865" s="7">
        <v>79.405766999999997</v>
      </c>
      <c r="N865" s="7">
        <v>2</v>
      </c>
      <c r="O865" s="7">
        <v>0</v>
      </c>
      <c r="P865" s="7">
        <v>79.049576999999999</v>
      </c>
      <c r="Q865" s="7">
        <v>50</v>
      </c>
      <c r="R865" s="7">
        <v>50</v>
      </c>
      <c r="S865" s="7">
        <v>68.951645999999997</v>
      </c>
      <c r="T865" s="7">
        <v>75</v>
      </c>
      <c r="U865" s="7">
        <v>45.967764000000003</v>
      </c>
      <c r="V865" s="7">
        <v>50</v>
      </c>
      <c r="W865" s="7">
        <v>79.943369000000004</v>
      </c>
      <c r="X865" s="7">
        <v>50</v>
      </c>
      <c r="Y865" s="7">
        <v>50</v>
      </c>
      <c r="Z865" s="7">
        <v>75</v>
      </c>
      <c r="AA865" s="7">
        <v>69.527516000000006</v>
      </c>
      <c r="AB865" s="7">
        <v>46.351677000000002</v>
      </c>
      <c r="AC865" s="7">
        <v>50</v>
      </c>
      <c r="AD865" s="7">
        <v>78.357258000000002</v>
      </c>
      <c r="AE865" s="7">
        <v>50</v>
      </c>
      <c r="AF865" s="7">
        <v>50</v>
      </c>
      <c r="AG865" s="7">
        <v>70.943269999999998</v>
      </c>
      <c r="AH865" s="7">
        <v>75</v>
      </c>
      <c r="AI865" s="7">
        <v>47.295513999999997</v>
      </c>
      <c r="AJ865" s="7">
        <v>50</v>
      </c>
      <c r="AK865" s="7">
        <v>6.04</v>
      </c>
      <c r="AL865" s="7">
        <v>5.47</v>
      </c>
      <c r="AM865" s="7">
        <v>4.05</v>
      </c>
      <c r="AN865" s="7">
        <v>0.68152500000000005</v>
      </c>
      <c r="AO865" s="7">
        <v>68.152496999999997</v>
      </c>
      <c r="AP865" s="7">
        <v>100</v>
      </c>
      <c r="AQ865" s="7">
        <v>0.78969900000000004</v>
      </c>
      <c r="AR865" s="7">
        <v>78.969881000000001</v>
      </c>
      <c r="AS865" s="7">
        <v>100</v>
      </c>
      <c r="AT865" s="7">
        <v>0.54750600000000005</v>
      </c>
      <c r="AU865" s="7">
        <v>0.73307100000000003</v>
      </c>
      <c r="AV865" s="7">
        <v>54.750573000000003</v>
      </c>
      <c r="AW865" s="7">
        <v>100</v>
      </c>
      <c r="AX865" s="7">
        <v>0.71914900000000004</v>
      </c>
      <c r="AY865" s="7">
        <v>0.81683300000000003</v>
      </c>
      <c r="AZ865" s="7">
        <v>71.914895000000001</v>
      </c>
      <c r="BA865" s="7">
        <v>100</v>
      </c>
      <c r="BB865" s="7">
        <v>0.82566200000000001</v>
      </c>
      <c r="BC865" s="7">
        <v>41.283121000000001</v>
      </c>
      <c r="BD865" s="7">
        <v>50</v>
      </c>
      <c r="BE865" s="7">
        <v>0.66208500000000003</v>
      </c>
      <c r="BF865" s="7">
        <v>33.104264000000001</v>
      </c>
      <c r="BG865" s="7">
        <v>50</v>
      </c>
      <c r="BH865" s="7">
        <v>0</v>
      </c>
      <c r="BI865" s="7">
        <v>1</v>
      </c>
      <c r="BJ865" s="7">
        <v>1</v>
      </c>
      <c r="BK865" s="7">
        <v>1</v>
      </c>
      <c r="BL865" s="7">
        <v>1</v>
      </c>
      <c r="BM865" s="7">
        <v>1</v>
      </c>
      <c r="BN865" s="7">
        <v>1</v>
      </c>
      <c r="BO865" s="7">
        <v>1</v>
      </c>
      <c r="BP865" s="7">
        <v>1</v>
      </c>
      <c r="BQ865" s="7">
        <v>1</v>
      </c>
      <c r="BR865" s="7">
        <v>5.6260999999999999E-2</v>
      </c>
      <c r="BS865" s="7">
        <v>48.747731000000002</v>
      </c>
      <c r="BT865" s="7">
        <v>50</v>
      </c>
      <c r="BU865" s="7">
        <v>8.0213999999999994E-2</v>
      </c>
      <c r="BV865" s="7">
        <v>43.957219000000002</v>
      </c>
      <c r="BW865" s="7">
        <v>50</v>
      </c>
      <c r="BX865" s="4" t="s">
        <v>124</v>
      </c>
      <c r="BY865" s="4" t="s">
        <v>124</v>
      </c>
      <c r="BZ865" s="4" t="s">
        <v>124</v>
      </c>
      <c r="CA865" s="4" t="s">
        <v>124</v>
      </c>
      <c r="CB865" s="4" t="s">
        <v>124</v>
      </c>
      <c r="CC865" s="4" t="s">
        <v>124</v>
      </c>
      <c r="CD865" s="4" t="s">
        <v>124</v>
      </c>
      <c r="CE865" s="4" t="s">
        <v>124</v>
      </c>
      <c r="CF865" s="4" t="s">
        <v>124</v>
      </c>
      <c r="CG865" s="4" t="s">
        <v>124</v>
      </c>
      <c r="CH865" s="4" t="s">
        <v>124</v>
      </c>
      <c r="CI865" s="4" t="s">
        <v>124</v>
      </c>
      <c r="CJ865" s="4" t="s">
        <v>124</v>
      </c>
      <c r="CK865" s="4" t="s">
        <v>124</v>
      </c>
      <c r="CL865" s="4" t="s">
        <v>124</v>
      </c>
      <c r="CM865" s="4" t="s">
        <v>124</v>
      </c>
      <c r="CN865" s="4" t="s">
        <v>124</v>
      </c>
      <c r="CO865" s="4" t="s">
        <v>124</v>
      </c>
      <c r="CP865" s="4" t="s">
        <v>124</v>
      </c>
      <c r="CQ865" s="7">
        <v>0.35789500000000002</v>
      </c>
      <c r="CR865" s="7">
        <v>0.97938099999999995</v>
      </c>
      <c r="CS865" s="7">
        <v>23.859649000000001</v>
      </c>
      <c r="CT865" s="7">
        <v>50</v>
      </c>
      <c r="CU865" s="4" t="s">
        <v>124</v>
      </c>
      <c r="CV865" s="4" t="s">
        <v>124</v>
      </c>
      <c r="CW865" s="4" t="s">
        <v>124</v>
      </c>
      <c r="CX865" s="4" t="s">
        <v>124</v>
      </c>
      <c r="CY865" s="4" t="s">
        <v>124</v>
      </c>
      <c r="CZ865" s="4" t="s">
        <v>124</v>
      </c>
      <c r="DA865" s="7">
        <v>15.314097</v>
      </c>
      <c r="DB865" s="7">
        <v>17.400950000000002</v>
      </c>
      <c r="DC865" s="7">
        <v>16.332519999999999</v>
      </c>
      <c r="DD865" s="4" t="s">
        <v>124</v>
      </c>
      <c r="DE865" s="7">
        <v>0</v>
      </c>
      <c r="DF865" s="6"/>
      <c r="DG865" s="6"/>
      <c r="DH865" s="6"/>
      <c r="DI865" s="6"/>
      <c r="DJ865" s="7">
        <v>0</v>
      </c>
      <c r="DK865" s="7">
        <v>0</v>
      </c>
      <c r="DL865" s="7">
        <v>0</v>
      </c>
      <c r="DM865" s="7">
        <v>0</v>
      </c>
      <c r="DN865" s="7">
        <v>0</v>
      </c>
      <c r="DO865" s="7">
        <v>0</v>
      </c>
      <c r="DP865" s="6"/>
      <c r="DQ865" s="4" t="s">
        <v>125</v>
      </c>
    </row>
    <row r="866" spans="1:121" ht="20" customHeight="1" x14ac:dyDescent="0.15">
      <c r="A866" s="5">
        <v>2018</v>
      </c>
      <c r="B866" s="3" t="s">
        <v>257</v>
      </c>
      <c r="C866" s="4" t="str">
        <f>"1320011"</f>
        <v>1320011</v>
      </c>
      <c r="D866" s="4" t="s">
        <v>1018</v>
      </c>
      <c r="E866" s="4" t="str">
        <f>"1326211"</f>
        <v>1326211</v>
      </c>
      <c r="F866" s="4" t="s">
        <v>327</v>
      </c>
      <c r="G866" s="7">
        <v>9</v>
      </c>
      <c r="H866" s="7">
        <v>12</v>
      </c>
      <c r="I866" s="6"/>
      <c r="J866" s="4" t="s">
        <v>330</v>
      </c>
      <c r="K866" s="7">
        <v>1235.491166</v>
      </c>
      <c r="L866" s="7">
        <v>1450</v>
      </c>
      <c r="M866" s="7">
        <v>85.206287000000003</v>
      </c>
      <c r="N866" s="7">
        <v>2</v>
      </c>
      <c r="O866" s="7">
        <v>1</v>
      </c>
      <c r="P866" s="7">
        <v>65.828425999999993</v>
      </c>
      <c r="Q866" s="7">
        <v>131.65685199999999</v>
      </c>
      <c r="R866" s="7">
        <v>150</v>
      </c>
      <c r="S866" s="7">
        <v>51.006943999999997</v>
      </c>
      <c r="T866" s="7">
        <v>71.524017000000001</v>
      </c>
      <c r="U866" s="7">
        <v>102.01388900000001</v>
      </c>
      <c r="V866" s="7">
        <v>150</v>
      </c>
      <c r="W866" s="7">
        <v>65.172976000000006</v>
      </c>
      <c r="X866" s="7">
        <v>130.34595200000001</v>
      </c>
      <c r="Y866" s="7">
        <v>150</v>
      </c>
      <c r="Z866" s="7">
        <v>70.635371000000006</v>
      </c>
      <c r="AA866" s="7">
        <v>50.958333000000003</v>
      </c>
      <c r="AB866" s="7">
        <v>101.916667</v>
      </c>
      <c r="AC866" s="7">
        <v>150</v>
      </c>
      <c r="AD866" s="7">
        <v>67.235737</v>
      </c>
      <c r="AE866" s="7">
        <v>89.647649999999999</v>
      </c>
      <c r="AF866" s="7">
        <v>100</v>
      </c>
      <c r="AG866" s="7">
        <v>51.897435999999999</v>
      </c>
      <c r="AH866" s="7">
        <v>73.330870000000004</v>
      </c>
      <c r="AI866" s="7">
        <v>69.196580999999995</v>
      </c>
      <c r="AJ866" s="7">
        <v>100</v>
      </c>
      <c r="AK866" s="7">
        <v>20.51</v>
      </c>
      <c r="AL866" s="7">
        <v>19.670000000000002</v>
      </c>
      <c r="AM866" s="7">
        <v>21.43</v>
      </c>
      <c r="AN866" s="4" t="s">
        <v>124</v>
      </c>
      <c r="AO866" s="4" t="s">
        <v>124</v>
      </c>
      <c r="AP866" s="4" t="s">
        <v>124</v>
      </c>
      <c r="AQ866" s="4" t="s">
        <v>124</v>
      </c>
      <c r="AR866" s="4" t="s">
        <v>124</v>
      </c>
      <c r="AS866" s="4" t="s">
        <v>124</v>
      </c>
      <c r="AT866" s="4" t="s">
        <v>124</v>
      </c>
      <c r="AU866" s="4" t="s">
        <v>124</v>
      </c>
      <c r="AV866" s="4" t="s">
        <v>124</v>
      </c>
      <c r="AW866" s="4" t="s">
        <v>124</v>
      </c>
      <c r="AX866" s="4" t="s">
        <v>124</v>
      </c>
      <c r="AY866" s="4" t="s">
        <v>124</v>
      </c>
      <c r="AZ866" s="4" t="s">
        <v>124</v>
      </c>
      <c r="BA866" s="4" t="s">
        <v>124</v>
      </c>
      <c r="BB866" s="4" t="s">
        <v>124</v>
      </c>
      <c r="BC866" s="4" t="s">
        <v>124</v>
      </c>
      <c r="BD866" s="4" t="s">
        <v>124</v>
      </c>
      <c r="BE866" s="4" t="s">
        <v>124</v>
      </c>
      <c r="BF866" s="4" t="s">
        <v>124</v>
      </c>
      <c r="BG866" s="4" t="s">
        <v>124</v>
      </c>
      <c r="BH866" s="7">
        <v>0</v>
      </c>
      <c r="BI866" s="7">
        <v>0.99068299999999998</v>
      </c>
      <c r="BJ866" s="7">
        <v>0.97826100000000005</v>
      </c>
      <c r="BK866" s="7">
        <v>0.99565199999999998</v>
      </c>
      <c r="BL866" s="7">
        <v>0.99068299999999998</v>
      </c>
      <c r="BM866" s="7">
        <v>0.97826100000000005</v>
      </c>
      <c r="BN866" s="7">
        <v>0.99565199999999998</v>
      </c>
      <c r="BO866" s="7">
        <v>0.99382700000000002</v>
      </c>
      <c r="BP866" s="7">
        <v>1</v>
      </c>
      <c r="BQ866" s="7">
        <v>0.99134199999999995</v>
      </c>
      <c r="BR866" s="7">
        <v>5.0592999999999999E-2</v>
      </c>
      <c r="BS866" s="7">
        <v>49.881422999999998</v>
      </c>
      <c r="BT866" s="7">
        <v>50</v>
      </c>
      <c r="BU866" s="7">
        <v>0.10705000000000001</v>
      </c>
      <c r="BV866" s="7">
        <v>38.590077999999998</v>
      </c>
      <c r="BW866" s="7">
        <v>50</v>
      </c>
      <c r="BX866" s="7">
        <v>0.93260200000000004</v>
      </c>
      <c r="BY866" s="7">
        <v>50</v>
      </c>
      <c r="BZ866" s="7">
        <v>50</v>
      </c>
      <c r="CA866" s="7">
        <v>0.60658299999999998</v>
      </c>
      <c r="CB866" s="7">
        <v>40.438870999999999</v>
      </c>
      <c r="CC866" s="7">
        <v>50</v>
      </c>
      <c r="CD866" s="7">
        <v>0.97819299999999998</v>
      </c>
      <c r="CE866" s="7">
        <v>50</v>
      </c>
      <c r="CF866" s="7">
        <v>50</v>
      </c>
      <c r="CG866" s="7">
        <v>0.96716400000000002</v>
      </c>
      <c r="CH866" s="7">
        <v>100</v>
      </c>
      <c r="CI866" s="7">
        <v>100</v>
      </c>
      <c r="CJ866" s="7">
        <v>0</v>
      </c>
      <c r="CK866" s="7">
        <v>0.87692300000000001</v>
      </c>
      <c r="CL866" s="7">
        <v>93.289688999999996</v>
      </c>
      <c r="CM866" s="7">
        <v>100</v>
      </c>
      <c r="CN866" s="7">
        <v>0.860182</v>
      </c>
      <c r="CO866" s="7">
        <v>100</v>
      </c>
      <c r="CP866" s="7">
        <v>100</v>
      </c>
      <c r="CQ866" s="7">
        <v>0.57770299999999997</v>
      </c>
      <c r="CR866" s="7">
        <v>0.95176799999999995</v>
      </c>
      <c r="CS866" s="7">
        <v>38.513514000000001</v>
      </c>
      <c r="CT866" s="7">
        <v>50</v>
      </c>
      <c r="CU866" s="7">
        <v>0.633992</v>
      </c>
      <c r="CV866" s="7">
        <v>50</v>
      </c>
      <c r="CW866" s="7">
        <v>50</v>
      </c>
      <c r="CX866" s="7">
        <v>0.87692300000000001</v>
      </c>
      <c r="CY866" s="7">
        <v>0.94</v>
      </c>
      <c r="CZ866" s="7">
        <v>6.3076999999999994E-2</v>
      </c>
      <c r="DA866" s="7">
        <v>15.314097</v>
      </c>
      <c r="DB866" s="7">
        <v>17.400950000000002</v>
      </c>
      <c r="DC866" s="7">
        <v>16.332519999999999</v>
      </c>
      <c r="DD866" s="7">
        <v>7.9891730000000001</v>
      </c>
      <c r="DE866" s="7">
        <v>1</v>
      </c>
      <c r="DF866" s="6"/>
      <c r="DG866" s="6"/>
      <c r="DH866" s="6"/>
      <c r="DI866" s="6"/>
      <c r="DJ866" s="7">
        <v>0</v>
      </c>
      <c r="DK866" s="7">
        <v>0</v>
      </c>
      <c r="DL866" s="7">
        <v>0</v>
      </c>
      <c r="DM866" s="7">
        <v>0</v>
      </c>
      <c r="DN866" s="7">
        <v>0</v>
      </c>
      <c r="DO866" s="7">
        <v>0</v>
      </c>
      <c r="DP866" s="6"/>
      <c r="DQ866" s="4" t="s">
        <v>125</v>
      </c>
    </row>
    <row r="867" spans="1:121" ht="20" customHeight="1" x14ac:dyDescent="0.15">
      <c r="A867" s="5">
        <v>2018</v>
      </c>
      <c r="B867" s="3" t="s">
        <v>257</v>
      </c>
      <c r="C867" s="4" t="str">
        <f t="shared" si="251"/>
        <v>1320011</v>
      </c>
      <c r="D867" s="4" t="s">
        <v>1019</v>
      </c>
      <c r="E867" s="4" t="str">
        <f>"1325111"</f>
        <v>1325111</v>
      </c>
      <c r="F867" s="4" t="s">
        <v>327</v>
      </c>
      <c r="G867" s="7">
        <v>6</v>
      </c>
      <c r="H867" s="7">
        <v>8</v>
      </c>
      <c r="I867" s="6"/>
      <c r="J867" s="4" t="s">
        <v>330</v>
      </c>
      <c r="K867" s="7">
        <v>692.602125</v>
      </c>
      <c r="L867" s="7">
        <v>900</v>
      </c>
      <c r="M867" s="7">
        <v>76.955792000000002</v>
      </c>
      <c r="N867" s="7">
        <v>3</v>
      </c>
      <c r="O867" s="7">
        <v>1</v>
      </c>
      <c r="P867" s="7">
        <v>76.683665000000005</v>
      </c>
      <c r="Q867" s="7">
        <v>50</v>
      </c>
      <c r="R867" s="7">
        <v>50</v>
      </c>
      <c r="S867" s="7">
        <v>62.865828999999998</v>
      </c>
      <c r="T867" s="7">
        <v>75</v>
      </c>
      <c r="U867" s="7">
        <v>41.910553</v>
      </c>
      <c r="V867" s="7">
        <v>50</v>
      </c>
      <c r="W867" s="7">
        <v>74.900878000000006</v>
      </c>
      <c r="X867" s="7">
        <v>49.933919000000003</v>
      </c>
      <c r="Y867" s="7">
        <v>50</v>
      </c>
      <c r="Z867" s="7">
        <v>75</v>
      </c>
      <c r="AA867" s="7">
        <v>60.415165000000002</v>
      </c>
      <c r="AB867" s="7">
        <v>40.276777000000003</v>
      </c>
      <c r="AC867" s="7">
        <v>50</v>
      </c>
      <c r="AD867" s="7">
        <v>70.550267000000005</v>
      </c>
      <c r="AE867" s="7">
        <v>47.033512000000002</v>
      </c>
      <c r="AF867" s="7">
        <v>50</v>
      </c>
      <c r="AG867" s="7">
        <v>58.077621000000001</v>
      </c>
      <c r="AH867" s="7">
        <v>75</v>
      </c>
      <c r="AI867" s="7">
        <v>38.718414000000003</v>
      </c>
      <c r="AJ867" s="7">
        <v>50</v>
      </c>
      <c r="AK867" s="7">
        <v>12.13</v>
      </c>
      <c r="AL867" s="7">
        <v>14.58</v>
      </c>
      <c r="AM867" s="7">
        <v>16.920000000000002</v>
      </c>
      <c r="AN867" s="7">
        <v>0.56778799999999996</v>
      </c>
      <c r="AO867" s="7">
        <v>56.778810999999997</v>
      </c>
      <c r="AP867" s="7">
        <v>100</v>
      </c>
      <c r="AQ867" s="7">
        <v>0.66953799999999997</v>
      </c>
      <c r="AR867" s="7">
        <v>66.953844000000004</v>
      </c>
      <c r="AS867" s="7">
        <v>100</v>
      </c>
      <c r="AT867" s="7">
        <v>0.49524499999999999</v>
      </c>
      <c r="AU867" s="7">
        <v>0.59099800000000002</v>
      </c>
      <c r="AV867" s="7">
        <v>49.524458000000003</v>
      </c>
      <c r="AW867" s="7">
        <v>100</v>
      </c>
      <c r="AX867" s="7">
        <v>0.54247100000000004</v>
      </c>
      <c r="AY867" s="7">
        <v>0.71001000000000003</v>
      </c>
      <c r="AZ867" s="7">
        <v>54.247101999999998</v>
      </c>
      <c r="BA867" s="7">
        <v>100</v>
      </c>
      <c r="BB867" s="4" t="s">
        <v>124</v>
      </c>
      <c r="BC867" s="4" t="s">
        <v>124</v>
      </c>
      <c r="BD867" s="4" t="s">
        <v>124</v>
      </c>
      <c r="BE867" s="4" t="s">
        <v>124</v>
      </c>
      <c r="BF867" s="4" t="s">
        <v>124</v>
      </c>
      <c r="BG867" s="4" t="s">
        <v>124</v>
      </c>
      <c r="BH867" s="7">
        <v>0</v>
      </c>
      <c r="BI867" s="7">
        <v>0.98388699999999996</v>
      </c>
      <c r="BJ867" s="7">
        <v>0.972028</v>
      </c>
      <c r="BK867" s="7">
        <v>0.98868500000000004</v>
      </c>
      <c r="BL867" s="7">
        <v>0.98287999999999998</v>
      </c>
      <c r="BM867" s="7">
        <v>0.96853100000000003</v>
      </c>
      <c r="BN867" s="7">
        <v>0.98868500000000004</v>
      </c>
      <c r="BO867" s="7">
        <v>0.98295500000000002</v>
      </c>
      <c r="BP867" s="7">
        <v>0.96078399999999997</v>
      </c>
      <c r="BQ867" s="7">
        <v>0.99199999999999999</v>
      </c>
      <c r="BR867" s="7">
        <v>3.4308999999999999E-2</v>
      </c>
      <c r="BS867" s="7">
        <v>50</v>
      </c>
      <c r="BT867" s="7">
        <v>50</v>
      </c>
      <c r="BU867" s="7">
        <v>6.2744999999999995E-2</v>
      </c>
      <c r="BV867" s="7">
        <v>47.450980000000001</v>
      </c>
      <c r="BW867" s="7">
        <v>50</v>
      </c>
      <c r="BX867" s="4" t="s">
        <v>124</v>
      </c>
      <c r="BY867" s="4" t="s">
        <v>124</v>
      </c>
      <c r="BZ867" s="4" t="s">
        <v>124</v>
      </c>
      <c r="CA867" s="4" t="s">
        <v>124</v>
      </c>
      <c r="CB867" s="4" t="s">
        <v>124</v>
      </c>
      <c r="CC867" s="4" t="s">
        <v>124</v>
      </c>
      <c r="CD867" s="7">
        <v>0.98692800000000003</v>
      </c>
      <c r="CE867" s="7">
        <v>50</v>
      </c>
      <c r="CF867" s="7">
        <v>50</v>
      </c>
      <c r="CG867" s="4" t="s">
        <v>124</v>
      </c>
      <c r="CH867" s="4" t="s">
        <v>124</v>
      </c>
      <c r="CI867" s="4" t="s">
        <v>124</v>
      </c>
      <c r="CJ867" s="4" t="s">
        <v>124</v>
      </c>
      <c r="CK867" s="4" t="s">
        <v>124</v>
      </c>
      <c r="CL867" s="4" t="s">
        <v>124</v>
      </c>
      <c r="CM867" s="4" t="s">
        <v>124</v>
      </c>
      <c r="CN867" s="4" t="s">
        <v>124</v>
      </c>
      <c r="CO867" s="4" t="s">
        <v>124</v>
      </c>
      <c r="CP867" s="4" t="s">
        <v>124</v>
      </c>
      <c r="CQ867" s="7">
        <v>0.74660599999999999</v>
      </c>
      <c r="CR867" s="7">
        <v>0.98514100000000004</v>
      </c>
      <c r="CS867" s="7">
        <v>49.773755999999999</v>
      </c>
      <c r="CT867" s="7">
        <v>50</v>
      </c>
      <c r="CU867" s="4" t="s">
        <v>124</v>
      </c>
      <c r="CV867" s="4" t="s">
        <v>124</v>
      </c>
      <c r="CW867" s="4" t="s">
        <v>124</v>
      </c>
      <c r="CX867" s="4" t="s">
        <v>124</v>
      </c>
      <c r="CY867" s="4" t="s">
        <v>124</v>
      </c>
      <c r="CZ867" s="4" t="s">
        <v>124</v>
      </c>
      <c r="DA867" s="7">
        <v>15.314097</v>
      </c>
      <c r="DB867" s="7">
        <v>17.400950000000002</v>
      </c>
      <c r="DC867" s="7">
        <v>16.332519999999999</v>
      </c>
      <c r="DD867" s="4" t="s">
        <v>124</v>
      </c>
      <c r="DE867" s="7">
        <v>1</v>
      </c>
      <c r="DF867" s="6"/>
      <c r="DG867" s="6"/>
      <c r="DH867" s="6"/>
      <c r="DI867" s="6"/>
      <c r="DJ867" s="7">
        <v>0</v>
      </c>
      <c r="DK867" s="7">
        <v>0</v>
      </c>
      <c r="DL867" s="7">
        <v>0</v>
      </c>
      <c r="DM867" s="7">
        <v>0</v>
      </c>
      <c r="DN867" s="7">
        <v>0</v>
      </c>
      <c r="DO867" s="7">
        <v>0</v>
      </c>
      <c r="DP867" s="6"/>
      <c r="DQ867" s="4" t="s">
        <v>125</v>
      </c>
    </row>
    <row r="868" spans="1:121" ht="20" customHeight="1" x14ac:dyDescent="0.15">
      <c r="A868" s="5">
        <v>2018</v>
      </c>
      <c r="B868" s="3" t="s">
        <v>258</v>
      </c>
      <c r="C868" s="4" t="str">
        <f t="shared" si="133"/>
        <v>1330011</v>
      </c>
      <c r="D868" s="4" t="s">
        <v>1020</v>
      </c>
      <c r="E868" s="4" t="str">
        <f>"1330111"</f>
        <v>1330111</v>
      </c>
      <c r="F868" s="4" t="s">
        <v>327</v>
      </c>
      <c r="G868" s="4" t="s">
        <v>328</v>
      </c>
      <c r="H868" s="7">
        <v>8</v>
      </c>
      <c r="I868" s="4" t="s">
        <v>329</v>
      </c>
      <c r="J868" s="4" t="s">
        <v>330</v>
      </c>
      <c r="K868" s="7">
        <v>518.003061</v>
      </c>
      <c r="L868" s="7">
        <v>900</v>
      </c>
      <c r="M868" s="7">
        <v>57.555895999999997</v>
      </c>
      <c r="N868" s="7">
        <v>3</v>
      </c>
      <c r="O868" s="7">
        <v>0</v>
      </c>
      <c r="P868" s="7">
        <v>61.669198999999999</v>
      </c>
      <c r="Q868" s="7">
        <v>41.1128</v>
      </c>
      <c r="R868" s="7">
        <v>50</v>
      </c>
      <c r="S868" s="7">
        <v>58.029336999999998</v>
      </c>
      <c r="T868" s="7">
        <v>68.517076000000003</v>
      </c>
      <c r="U868" s="7">
        <v>38.686225</v>
      </c>
      <c r="V868" s="7">
        <v>50</v>
      </c>
      <c r="W868" s="7">
        <v>54.214292999999998</v>
      </c>
      <c r="X868" s="7">
        <v>36.142862000000001</v>
      </c>
      <c r="Y868" s="7">
        <v>50</v>
      </c>
      <c r="Z868" s="7">
        <v>62.308976999999999</v>
      </c>
      <c r="AA868" s="7">
        <v>49.911712999999999</v>
      </c>
      <c r="AB868" s="7">
        <v>33.274476</v>
      </c>
      <c r="AC868" s="7">
        <v>50</v>
      </c>
      <c r="AD868" s="7">
        <v>66.044145</v>
      </c>
      <c r="AE868" s="7">
        <v>44.029429999999998</v>
      </c>
      <c r="AF868" s="7">
        <v>50</v>
      </c>
      <c r="AG868" s="7">
        <v>64.660375000000002</v>
      </c>
      <c r="AH868" s="7">
        <v>68.188987999999995</v>
      </c>
      <c r="AI868" s="7">
        <v>43.106917000000003</v>
      </c>
      <c r="AJ868" s="7">
        <v>50</v>
      </c>
      <c r="AK868" s="7">
        <v>10.48</v>
      </c>
      <c r="AL868" s="7">
        <v>12.39</v>
      </c>
      <c r="AM868" s="7">
        <v>3.52</v>
      </c>
      <c r="AN868" s="7">
        <v>0.41884700000000002</v>
      </c>
      <c r="AO868" s="7">
        <v>41.884726000000001</v>
      </c>
      <c r="AP868" s="7">
        <v>100</v>
      </c>
      <c r="AQ868" s="7">
        <v>0.29355500000000001</v>
      </c>
      <c r="AR868" s="7">
        <v>29.355526000000001</v>
      </c>
      <c r="AS868" s="7">
        <v>100</v>
      </c>
      <c r="AT868" s="7">
        <v>0.37435400000000002</v>
      </c>
      <c r="AU868" s="7">
        <v>0.49649199999999999</v>
      </c>
      <c r="AV868" s="7">
        <v>37.435415999999996</v>
      </c>
      <c r="AW868" s="7">
        <v>100</v>
      </c>
      <c r="AX868" s="7">
        <v>0.26873399999999997</v>
      </c>
      <c r="AY868" s="7">
        <v>0.33687099999999998</v>
      </c>
      <c r="AZ868" s="7">
        <v>26.873369</v>
      </c>
      <c r="BA868" s="7">
        <v>100</v>
      </c>
      <c r="BB868" s="4" t="s">
        <v>124</v>
      </c>
      <c r="BC868" s="4" t="s">
        <v>124</v>
      </c>
      <c r="BD868" s="4" t="s">
        <v>124</v>
      </c>
      <c r="BE868" s="4" t="s">
        <v>124</v>
      </c>
      <c r="BF868" s="4" t="s">
        <v>124</v>
      </c>
      <c r="BG868" s="4" t="s">
        <v>124</v>
      </c>
      <c r="BH868" s="7">
        <v>0</v>
      </c>
      <c r="BI868" s="7">
        <v>0.994475</v>
      </c>
      <c r="BJ868" s="7">
        <v>0.99152499999999999</v>
      </c>
      <c r="BK868" s="7">
        <v>1</v>
      </c>
      <c r="BL868" s="7">
        <v>0.994475</v>
      </c>
      <c r="BM868" s="7">
        <v>0.99152499999999999</v>
      </c>
      <c r="BN868" s="7">
        <v>1</v>
      </c>
      <c r="BO868" s="7">
        <v>0.981132</v>
      </c>
      <c r="BP868" s="7">
        <v>0.96969700000000003</v>
      </c>
      <c r="BQ868" s="7">
        <v>1</v>
      </c>
      <c r="BR868" s="7">
        <v>0.11236</v>
      </c>
      <c r="BS868" s="7">
        <v>37.528089999999999</v>
      </c>
      <c r="BT868" s="7">
        <v>50</v>
      </c>
      <c r="BU868" s="7">
        <v>0.16</v>
      </c>
      <c r="BV868" s="7">
        <v>28</v>
      </c>
      <c r="BW868" s="7">
        <v>50</v>
      </c>
      <c r="BX868" s="4" t="s">
        <v>124</v>
      </c>
      <c r="BY868" s="4" t="s">
        <v>124</v>
      </c>
      <c r="BZ868" s="4" t="s">
        <v>124</v>
      </c>
      <c r="CA868" s="4" t="s">
        <v>124</v>
      </c>
      <c r="CB868" s="4" t="s">
        <v>124</v>
      </c>
      <c r="CC868" s="4" t="s">
        <v>124</v>
      </c>
      <c r="CD868" s="7">
        <v>0.93333299999999997</v>
      </c>
      <c r="CE868" s="7">
        <v>49.645389999999999</v>
      </c>
      <c r="CF868" s="7">
        <v>50</v>
      </c>
      <c r="CG868" s="4" t="s">
        <v>124</v>
      </c>
      <c r="CH868" s="4" t="s">
        <v>124</v>
      </c>
      <c r="CI868" s="4" t="s">
        <v>124</v>
      </c>
      <c r="CJ868" s="4" t="s">
        <v>124</v>
      </c>
      <c r="CK868" s="4" t="s">
        <v>124</v>
      </c>
      <c r="CL868" s="4" t="s">
        <v>124</v>
      </c>
      <c r="CM868" s="4" t="s">
        <v>124</v>
      </c>
      <c r="CN868" s="4" t="s">
        <v>124</v>
      </c>
      <c r="CO868" s="4" t="s">
        <v>124</v>
      </c>
      <c r="CP868" s="4" t="s">
        <v>124</v>
      </c>
      <c r="CQ868" s="7">
        <v>0.463918</v>
      </c>
      <c r="CR868" s="7">
        <v>1.021053</v>
      </c>
      <c r="CS868" s="7">
        <v>30.927835000000002</v>
      </c>
      <c r="CT868" s="7">
        <v>50</v>
      </c>
      <c r="CU868" s="4" t="s">
        <v>124</v>
      </c>
      <c r="CV868" s="4" t="s">
        <v>124</v>
      </c>
      <c r="CW868" s="4" t="s">
        <v>124</v>
      </c>
      <c r="CX868" s="4" t="s">
        <v>124</v>
      </c>
      <c r="CY868" s="4" t="s">
        <v>124</v>
      </c>
      <c r="CZ868" s="4" t="s">
        <v>124</v>
      </c>
      <c r="DA868" s="7">
        <v>15.314097</v>
      </c>
      <c r="DB868" s="7">
        <v>17.400950000000002</v>
      </c>
      <c r="DC868" s="7">
        <v>16.332519999999999</v>
      </c>
      <c r="DD868" s="4" t="s">
        <v>124</v>
      </c>
      <c r="DE868" s="7">
        <v>0</v>
      </c>
      <c r="DF868" s="6"/>
      <c r="DG868" s="6"/>
      <c r="DH868" s="6"/>
      <c r="DI868" s="6"/>
      <c r="DJ868" s="7">
        <v>0</v>
      </c>
      <c r="DK868" s="7">
        <v>0</v>
      </c>
      <c r="DL868" s="7">
        <v>0</v>
      </c>
      <c r="DM868" s="7">
        <v>0</v>
      </c>
      <c r="DN868" s="7">
        <v>0</v>
      </c>
      <c r="DO868" s="7">
        <v>0</v>
      </c>
      <c r="DP868" s="6"/>
      <c r="DQ868" s="4" t="s">
        <v>125</v>
      </c>
    </row>
    <row r="869" spans="1:121" ht="20" customHeight="1" x14ac:dyDescent="0.15">
      <c r="A869" s="5">
        <v>2018</v>
      </c>
      <c r="B869" s="3" t="s">
        <v>259</v>
      </c>
      <c r="C869" s="4" t="str">
        <f t="shared" si="134"/>
        <v>1340011</v>
      </c>
      <c r="D869" s="4" t="s">
        <v>1021</v>
      </c>
      <c r="E869" s="4" t="str">
        <f>"1340611"</f>
        <v>1340611</v>
      </c>
      <c r="F869" s="4" t="s">
        <v>327</v>
      </c>
      <c r="G869" s="7">
        <v>2</v>
      </c>
      <c r="H869" s="7">
        <v>5</v>
      </c>
      <c r="I869" s="4" t="s">
        <v>335</v>
      </c>
      <c r="J869" s="4" t="s">
        <v>330</v>
      </c>
      <c r="K869" s="7">
        <v>605.14460399999996</v>
      </c>
      <c r="L869" s="7">
        <v>850</v>
      </c>
      <c r="M869" s="7">
        <v>71.193483000000001</v>
      </c>
      <c r="N869" s="7">
        <v>2</v>
      </c>
      <c r="O869" s="7">
        <v>0</v>
      </c>
      <c r="P869" s="7">
        <v>70.697141999999999</v>
      </c>
      <c r="Q869" s="7">
        <v>47.131428</v>
      </c>
      <c r="R869" s="7">
        <v>50</v>
      </c>
      <c r="S869" s="7">
        <v>65.803548000000006</v>
      </c>
      <c r="T869" s="7">
        <v>75</v>
      </c>
      <c r="U869" s="7">
        <v>43.869031999999997</v>
      </c>
      <c r="V869" s="7">
        <v>50</v>
      </c>
      <c r="W869" s="7">
        <v>66.288943000000003</v>
      </c>
      <c r="X869" s="7">
        <v>44.192628999999997</v>
      </c>
      <c r="Y869" s="7">
        <v>50</v>
      </c>
      <c r="Z869" s="7">
        <v>71.476524999999995</v>
      </c>
      <c r="AA869" s="7">
        <v>61.252163000000003</v>
      </c>
      <c r="AB869" s="7">
        <v>40.834775</v>
      </c>
      <c r="AC869" s="7">
        <v>50</v>
      </c>
      <c r="AD869" s="7">
        <v>65.690946999999994</v>
      </c>
      <c r="AE869" s="7">
        <v>43.793965</v>
      </c>
      <c r="AF869" s="7">
        <v>50</v>
      </c>
      <c r="AG869" s="7">
        <v>60.322581</v>
      </c>
      <c r="AH869" s="7">
        <v>69.318220999999994</v>
      </c>
      <c r="AI869" s="7">
        <v>40.215054000000002</v>
      </c>
      <c r="AJ869" s="7">
        <v>50</v>
      </c>
      <c r="AK869" s="7">
        <v>9.19</v>
      </c>
      <c r="AL869" s="7">
        <v>10.220000000000001</v>
      </c>
      <c r="AM869" s="7">
        <v>8.99</v>
      </c>
      <c r="AN869" s="7">
        <v>0.60650700000000002</v>
      </c>
      <c r="AO869" s="7">
        <v>60.650661999999997</v>
      </c>
      <c r="AP869" s="7">
        <v>100</v>
      </c>
      <c r="AQ869" s="7">
        <v>0.65690599999999999</v>
      </c>
      <c r="AR869" s="7">
        <v>65.690600000000003</v>
      </c>
      <c r="AS869" s="7">
        <v>100</v>
      </c>
      <c r="AT869" s="7">
        <v>0.51725299999999996</v>
      </c>
      <c r="AU869" s="7">
        <v>0.69352800000000003</v>
      </c>
      <c r="AV869" s="7">
        <v>51.725341999999998</v>
      </c>
      <c r="AW869" s="7">
        <v>100</v>
      </c>
      <c r="AX869" s="7">
        <v>0.62430300000000005</v>
      </c>
      <c r="AY869" s="7">
        <v>0.68869400000000003</v>
      </c>
      <c r="AZ869" s="7">
        <v>62.430266000000003</v>
      </c>
      <c r="BA869" s="7">
        <v>100</v>
      </c>
      <c r="BB869" s="4" t="s">
        <v>124</v>
      </c>
      <c r="BC869" s="4" t="s">
        <v>124</v>
      </c>
      <c r="BD869" s="4" t="s">
        <v>124</v>
      </c>
      <c r="BE869" s="4" t="s">
        <v>124</v>
      </c>
      <c r="BF869" s="4" t="s">
        <v>124</v>
      </c>
      <c r="BG869" s="4" t="s">
        <v>124</v>
      </c>
      <c r="BH869" s="7">
        <v>0</v>
      </c>
      <c r="BI869" s="7">
        <v>0.98866900000000002</v>
      </c>
      <c r="BJ869" s="7">
        <v>0.97814199999999996</v>
      </c>
      <c r="BK869" s="7">
        <v>1</v>
      </c>
      <c r="BL869" s="7">
        <v>0.98866900000000002</v>
      </c>
      <c r="BM869" s="7">
        <v>0.97814199999999996</v>
      </c>
      <c r="BN869" s="7">
        <v>1</v>
      </c>
      <c r="BO869" s="7">
        <v>0.99224800000000002</v>
      </c>
      <c r="BP869" s="7">
        <v>0.981132</v>
      </c>
      <c r="BQ869" s="7">
        <v>1</v>
      </c>
      <c r="BR869" s="7">
        <v>6.3319E-2</v>
      </c>
      <c r="BS869" s="7">
        <v>47.336244999999998</v>
      </c>
      <c r="BT869" s="7">
        <v>50</v>
      </c>
      <c r="BU869" s="7">
        <v>0.10080600000000001</v>
      </c>
      <c r="BV869" s="7">
        <v>39.838709999999999</v>
      </c>
      <c r="BW869" s="7">
        <v>50</v>
      </c>
      <c r="BX869" s="4" t="s">
        <v>124</v>
      </c>
      <c r="BY869" s="4" t="s">
        <v>124</v>
      </c>
      <c r="BZ869" s="4" t="s">
        <v>124</v>
      </c>
      <c r="CA869" s="4" t="s">
        <v>124</v>
      </c>
      <c r="CB869" s="4" t="s">
        <v>124</v>
      </c>
      <c r="CC869" s="4" t="s">
        <v>124</v>
      </c>
      <c r="CD869" s="4" t="s">
        <v>124</v>
      </c>
      <c r="CE869" s="4" t="s">
        <v>124</v>
      </c>
      <c r="CF869" s="4" t="s">
        <v>124</v>
      </c>
      <c r="CG869" s="4" t="s">
        <v>124</v>
      </c>
      <c r="CH869" s="4" t="s">
        <v>124</v>
      </c>
      <c r="CI869" s="4" t="s">
        <v>124</v>
      </c>
      <c r="CJ869" s="4" t="s">
        <v>124</v>
      </c>
      <c r="CK869" s="4" t="s">
        <v>124</v>
      </c>
      <c r="CL869" s="4" t="s">
        <v>124</v>
      </c>
      <c r="CM869" s="4" t="s">
        <v>124</v>
      </c>
      <c r="CN869" s="4" t="s">
        <v>124</v>
      </c>
      <c r="CO869" s="4" t="s">
        <v>124</v>
      </c>
      <c r="CP869" s="4" t="s">
        <v>124</v>
      </c>
      <c r="CQ869" s="7">
        <v>0.26153799999999999</v>
      </c>
      <c r="CR869" s="7">
        <v>1.015625</v>
      </c>
      <c r="CS869" s="7">
        <v>17.435897000000001</v>
      </c>
      <c r="CT869" s="7">
        <v>50</v>
      </c>
      <c r="CU869" s="4" t="s">
        <v>124</v>
      </c>
      <c r="CV869" s="4" t="s">
        <v>124</v>
      </c>
      <c r="CW869" s="4" t="s">
        <v>124</v>
      </c>
      <c r="CX869" s="4" t="s">
        <v>124</v>
      </c>
      <c r="CY869" s="4" t="s">
        <v>124</v>
      </c>
      <c r="CZ869" s="4" t="s">
        <v>124</v>
      </c>
      <c r="DA869" s="7">
        <v>15.314097</v>
      </c>
      <c r="DB869" s="7">
        <v>17.400950000000002</v>
      </c>
      <c r="DC869" s="7">
        <v>16.332519999999999</v>
      </c>
      <c r="DD869" s="4" t="s">
        <v>124</v>
      </c>
      <c r="DE869" s="7">
        <v>0</v>
      </c>
      <c r="DF869" s="6"/>
      <c r="DG869" s="6"/>
      <c r="DH869" s="6"/>
      <c r="DI869" s="6"/>
      <c r="DJ869" s="7">
        <v>0</v>
      </c>
      <c r="DK869" s="7">
        <v>0</v>
      </c>
      <c r="DL869" s="7">
        <v>0</v>
      </c>
      <c r="DM869" s="7">
        <v>0</v>
      </c>
      <c r="DN869" s="7">
        <v>0</v>
      </c>
      <c r="DO869" s="7">
        <v>0</v>
      </c>
      <c r="DP869" s="6"/>
      <c r="DQ869" s="4" t="s">
        <v>125</v>
      </c>
    </row>
    <row r="870" spans="1:121" ht="20" customHeight="1" x14ac:dyDescent="0.15">
      <c r="A870" s="5">
        <v>2018</v>
      </c>
      <c r="B870" s="3" t="s">
        <v>259</v>
      </c>
      <c r="C870" s="4" t="str">
        <f t="shared" ref="C870:C873" si="252">"1340011"</f>
        <v>1340011</v>
      </c>
      <c r="D870" s="4" t="s">
        <v>1022</v>
      </c>
      <c r="E870" s="4" t="str">
        <f>"1346111"</f>
        <v>1346111</v>
      </c>
      <c r="F870" s="4" t="s">
        <v>327</v>
      </c>
      <c r="G870" s="7">
        <v>9</v>
      </c>
      <c r="H870" s="7">
        <v>12</v>
      </c>
      <c r="I870" s="4" t="s">
        <v>335</v>
      </c>
      <c r="J870" s="4" t="s">
        <v>330</v>
      </c>
      <c r="K870" s="7">
        <v>1127.0742419999999</v>
      </c>
      <c r="L870" s="7">
        <v>1450</v>
      </c>
      <c r="M870" s="7">
        <v>77.729258000000002</v>
      </c>
      <c r="N870" s="7">
        <v>3</v>
      </c>
      <c r="O870" s="7">
        <v>1</v>
      </c>
      <c r="P870" s="7">
        <v>59.207017999999998</v>
      </c>
      <c r="Q870" s="7">
        <v>118.414035</v>
      </c>
      <c r="R870" s="7">
        <v>150</v>
      </c>
      <c r="S870" s="7">
        <v>50.704762000000002</v>
      </c>
      <c r="T870" s="7">
        <v>64.166667000000004</v>
      </c>
      <c r="U870" s="7">
        <v>101.409524</v>
      </c>
      <c r="V870" s="7">
        <v>150</v>
      </c>
      <c r="W870" s="7">
        <v>56.814034999999997</v>
      </c>
      <c r="X870" s="7">
        <v>113.62806999999999</v>
      </c>
      <c r="Y870" s="7">
        <v>150</v>
      </c>
      <c r="Z870" s="7">
        <v>62.761111</v>
      </c>
      <c r="AA870" s="7">
        <v>46.619047999999999</v>
      </c>
      <c r="AB870" s="7">
        <v>93.238095000000001</v>
      </c>
      <c r="AC870" s="7">
        <v>150</v>
      </c>
      <c r="AD870" s="7">
        <v>64.154663999999997</v>
      </c>
      <c r="AE870" s="7">
        <v>85.539552999999998</v>
      </c>
      <c r="AF870" s="7">
        <v>100</v>
      </c>
      <c r="AG870" s="7">
        <v>51.661123000000003</v>
      </c>
      <c r="AH870" s="7">
        <v>72.264506999999995</v>
      </c>
      <c r="AI870" s="7">
        <v>68.881496999999996</v>
      </c>
      <c r="AJ870" s="7">
        <v>100</v>
      </c>
      <c r="AK870" s="7">
        <v>13.46</v>
      </c>
      <c r="AL870" s="7">
        <v>16.14</v>
      </c>
      <c r="AM870" s="7">
        <v>20.6</v>
      </c>
      <c r="AN870" s="4" t="s">
        <v>124</v>
      </c>
      <c r="AO870" s="4" t="s">
        <v>124</v>
      </c>
      <c r="AP870" s="4" t="s">
        <v>124</v>
      </c>
      <c r="AQ870" s="4" t="s">
        <v>124</v>
      </c>
      <c r="AR870" s="4" t="s">
        <v>124</v>
      </c>
      <c r="AS870" s="4" t="s">
        <v>124</v>
      </c>
      <c r="AT870" s="4" t="s">
        <v>124</v>
      </c>
      <c r="AU870" s="4" t="s">
        <v>124</v>
      </c>
      <c r="AV870" s="4" t="s">
        <v>124</v>
      </c>
      <c r="AW870" s="4" t="s">
        <v>124</v>
      </c>
      <c r="AX870" s="4" t="s">
        <v>124</v>
      </c>
      <c r="AY870" s="4" t="s">
        <v>124</v>
      </c>
      <c r="AZ870" s="4" t="s">
        <v>124</v>
      </c>
      <c r="BA870" s="4" t="s">
        <v>124</v>
      </c>
      <c r="BB870" s="4" t="s">
        <v>124</v>
      </c>
      <c r="BC870" s="4" t="s">
        <v>124</v>
      </c>
      <c r="BD870" s="4" t="s">
        <v>124</v>
      </c>
      <c r="BE870" s="4" t="s">
        <v>124</v>
      </c>
      <c r="BF870" s="4" t="s">
        <v>124</v>
      </c>
      <c r="BG870" s="4" t="s">
        <v>124</v>
      </c>
      <c r="BH870" s="7">
        <v>1</v>
      </c>
      <c r="BI870" s="7">
        <v>0.97938099999999995</v>
      </c>
      <c r="BJ870" s="7">
        <v>0.94594599999999995</v>
      </c>
      <c r="BK870" s="7">
        <v>1</v>
      </c>
      <c r="BL870" s="7">
        <v>0.97938099999999995</v>
      </c>
      <c r="BM870" s="7">
        <v>0.94594599999999995</v>
      </c>
      <c r="BN870" s="7">
        <v>1</v>
      </c>
      <c r="BO870" s="7">
        <v>0.96907200000000004</v>
      </c>
      <c r="BP870" s="7">
        <v>1</v>
      </c>
      <c r="BQ870" s="7">
        <v>0.95</v>
      </c>
      <c r="BR870" s="7">
        <v>0.112299</v>
      </c>
      <c r="BS870" s="7">
        <v>37.540106999999999</v>
      </c>
      <c r="BT870" s="7">
        <v>50</v>
      </c>
      <c r="BU870" s="7">
        <v>0.16556299999999999</v>
      </c>
      <c r="BV870" s="7">
        <v>26.887416999999999</v>
      </c>
      <c r="BW870" s="7">
        <v>50</v>
      </c>
      <c r="BX870" s="7">
        <v>0.69587600000000005</v>
      </c>
      <c r="BY870" s="7">
        <v>46.391753000000001</v>
      </c>
      <c r="BZ870" s="7">
        <v>50</v>
      </c>
      <c r="CA870" s="7">
        <v>0.45360800000000001</v>
      </c>
      <c r="CB870" s="7">
        <v>30.240549999999999</v>
      </c>
      <c r="CC870" s="7">
        <v>50</v>
      </c>
      <c r="CD870" s="7">
        <v>0.94444399999999995</v>
      </c>
      <c r="CE870" s="7">
        <v>50</v>
      </c>
      <c r="CF870" s="7">
        <v>50</v>
      </c>
      <c r="CG870" s="7">
        <v>0.92631600000000003</v>
      </c>
      <c r="CH870" s="7">
        <v>98.544233000000006</v>
      </c>
      <c r="CI870" s="7">
        <v>100</v>
      </c>
      <c r="CJ870" s="7">
        <v>0</v>
      </c>
      <c r="CK870" s="7">
        <v>0.92500000000000004</v>
      </c>
      <c r="CL870" s="7">
        <v>98.404255000000006</v>
      </c>
      <c r="CM870" s="7">
        <v>100</v>
      </c>
      <c r="CN870" s="7">
        <v>0.62222200000000005</v>
      </c>
      <c r="CO870" s="7">
        <v>82.962963000000002</v>
      </c>
      <c r="CP870" s="7">
        <v>100</v>
      </c>
      <c r="CQ870" s="7">
        <v>0.556701</v>
      </c>
      <c r="CR870" s="7">
        <v>1.0659339999999999</v>
      </c>
      <c r="CS870" s="7">
        <v>37.113402000000001</v>
      </c>
      <c r="CT870" s="7">
        <v>50</v>
      </c>
      <c r="CU870" s="7">
        <v>0.45454499999999998</v>
      </c>
      <c r="CV870" s="7">
        <v>37.878788</v>
      </c>
      <c r="CW870" s="7">
        <v>50</v>
      </c>
      <c r="CX870" s="7">
        <v>0.92500000000000004</v>
      </c>
      <c r="CY870" s="7">
        <v>0.94</v>
      </c>
      <c r="CZ870" s="7">
        <v>1.4999999999999999E-2</v>
      </c>
      <c r="DA870" s="7">
        <v>15.314097</v>
      </c>
      <c r="DB870" s="7">
        <v>17.400950000000002</v>
      </c>
      <c r="DC870" s="7">
        <v>16.332519999999999</v>
      </c>
      <c r="DD870" s="7">
        <v>7.9891730000000001</v>
      </c>
      <c r="DE870" s="7">
        <v>1</v>
      </c>
      <c r="DF870" s="6"/>
      <c r="DG870" s="6"/>
      <c r="DH870" s="6"/>
      <c r="DI870" s="6"/>
      <c r="DJ870" s="7">
        <v>0</v>
      </c>
      <c r="DK870" s="7">
        <v>0</v>
      </c>
      <c r="DL870" s="7">
        <v>0</v>
      </c>
      <c r="DM870" s="7">
        <v>0</v>
      </c>
      <c r="DN870" s="7">
        <v>0</v>
      </c>
      <c r="DO870" s="7">
        <v>0</v>
      </c>
      <c r="DP870" s="6"/>
      <c r="DQ870" s="4" t="s">
        <v>125</v>
      </c>
    </row>
    <row r="871" spans="1:121" ht="20" customHeight="1" x14ac:dyDescent="0.15">
      <c r="A871" s="5">
        <v>2018</v>
      </c>
      <c r="B871" s="3" t="s">
        <v>259</v>
      </c>
      <c r="C871" s="4" t="str">
        <f t="shared" si="252"/>
        <v>1340011</v>
      </c>
      <c r="D871" s="4" t="s">
        <v>1023</v>
      </c>
      <c r="E871" s="4" t="str">
        <f>"1345211"</f>
        <v>1345211</v>
      </c>
      <c r="F871" s="4" t="s">
        <v>327</v>
      </c>
      <c r="G871" s="7">
        <v>6</v>
      </c>
      <c r="H871" s="7">
        <v>8</v>
      </c>
      <c r="I871" s="4" t="s">
        <v>335</v>
      </c>
      <c r="J871" s="4" t="s">
        <v>330</v>
      </c>
      <c r="K871" s="7">
        <v>642.73069999999996</v>
      </c>
      <c r="L871" s="7">
        <v>900</v>
      </c>
      <c r="M871" s="7">
        <v>71.414522000000005</v>
      </c>
      <c r="N871" s="7">
        <v>3</v>
      </c>
      <c r="O871" s="7">
        <v>1</v>
      </c>
      <c r="P871" s="7">
        <v>66.095309999999998</v>
      </c>
      <c r="Q871" s="7">
        <v>44.063540000000003</v>
      </c>
      <c r="R871" s="7">
        <v>50</v>
      </c>
      <c r="S871" s="7">
        <v>57.356490999999998</v>
      </c>
      <c r="T871" s="7">
        <v>72.751300999999998</v>
      </c>
      <c r="U871" s="7">
        <v>38.237661000000003</v>
      </c>
      <c r="V871" s="7">
        <v>50</v>
      </c>
      <c r="W871" s="7">
        <v>62.418390000000002</v>
      </c>
      <c r="X871" s="7">
        <v>41.612259999999999</v>
      </c>
      <c r="Y871" s="7">
        <v>50</v>
      </c>
      <c r="Z871" s="7">
        <v>68.574886000000006</v>
      </c>
      <c r="AA871" s="7">
        <v>54.335371000000002</v>
      </c>
      <c r="AB871" s="7">
        <v>36.223581000000003</v>
      </c>
      <c r="AC871" s="7">
        <v>50</v>
      </c>
      <c r="AD871" s="7">
        <v>69.020576000000005</v>
      </c>
      <c r="AE871" s="7">
        <v>46.013717999999997</v>
      </c>
      <c r="AF871" s="7">
        <v>50</v>
      </c>
      <c r="AG871" s="7">
        <v>62.338299999999997</v>
      </c>
      <c r="AH871" s="7">
        <v>72.682096999999999</v>
      </c>
      <c r="AI871" s="7">
        <v>41.558866999999999</v>
      </c>
      <c r="AJ871" s="7">
        <v>50</v>
      </c>
      <c r="AK871" s="7">
        <v>15.39</v>
      </c>
      <c r="AL871" s="7">
        <v>14.23</v>
      </c>
      <c r="AM871" s="7">
        <v>10.34</v>
      </c>
      <c r="AN871" s="7">
        <v>0.48177799999999998</v>
      </c>
      <c r="AO871" s="7">
        <v>48.177821999999999</v>
      </c>
      <c r="AP871" s="7">
        <v>100</v>
      </c>
      <c r="AQ871" s="7">
        <v>0.632961</v>
      </c>
      <c r="AR871" s="7">
        <v>63.296073999999997</v>
      </c>
      <c r="AS871" s="7">
        <v>100</v>
      </c>
      <c r="AT871" s="7">
        <v>0.455285</v>
      </c>
      <c r="AU871" s="7">
        <v>0.49972100000000003</v>
      </c>
      <c r="AV871" s="7">
        <v>45.528488000000003</v>
      </c>
      <c r="AW871" s="7">
        <v>100</v>
      </c>
      <c r="AX871" s="7">
        <v>0.64437500000000003</v>
      </c>
      <c r="AY871" s="7">
        <v>0.62517</v>
      </c>
      <c r="AZ871" s="7">
        <v>64.437464000000006</v>
      </c>
      <c r="BA871" s="7">
        <v>100</v>
      </c>
      <c r="BB871" s="4" t="s">
        <v>124</v>
      </c>
      <c r="BC871" s="4" t="s">
        <v>124</v>
      </c>
      <c r="BD871" s="4" t="s">
        <v>124</v>
      </c>
      <c r="BE871" s="4" t="s">
        <v>124</v>
      </c>
      <c r="BF871" s="4" t="s">
        <v>124</v>
      </c>
      <c r="BG871" s="4" t="s">
        <v>124</v>
      </c>
      <c r="BH871" s="7">
        <v>0</v>
      </c>
      <c r="BI871" s="7">
        <v>0.99140399999999995</v>
      </c>
      <c r="BJ871" s="7">
        <v>0.986842</v>
      </c>
      <c r="BK871" s="7">
        <v>0.99492400000000003</v>
      </c>
      <c r="BL871" s="7">
        <v>0.99140399999999995</v>
      </c>
      <c r="BM871" s="7">
        <v>0.986842</v>
      </c>
      <c r="BN871" s="7">
        <v>0.99492400000000003</v>
      </c>
      <c r="BO871" s="7">
        <v>0.98260899999999995</v>
      </c>
      <c r="BP871" s="7">
        <v>0.95238100000000003</v>
      </c>
      <c r="BQ871" s="7">
        <v>1</v>
      </c>
      <c r="BR871" s="7">
        <v>6.8767999999999996E-2</v>
      </c>
      <c r="BS871" s="7">
        <v>46.246417999999998</v>
      </c>
      <c r="BT871" s="7">
        <v>50</v>
      </c>
      <c r="BU871" s="7">
        <v>9.8683999999999994E-2</v>
      </c>
      <c r="BV871" s="7">
        <v>40.263157999999997</v>
      </c>
      <c r="BW871" s="7">
        <v>50</v>
      </c>
      <c r="BX871" s="4" t="s">
        <v>124</v>
      </c>
      <c r="BY871" s="4" t="s">
        <v>124</v>
      </c>
      <c r="BZ871" s="4" t="s">
        <v>124</v>
      </c>
      <c r="CA871" s="4" t="s">
        <v>124</v>
      </c>
      <c r="CB871" s="4" t="s">
        <v>124</v>
      </c>
      <c r="CC871" s="4" t="s">
        <v>124</v>
      </c>
      <c r="CD871" s="7">
        <v>0.96</v>
      </c>
      <c r="CE871" s="7">
        <v>50</v>
      </c>
      <c r="CF871" s="7">
        <v>50</v>
      </c>
      <c r="CG871" s="4" t="s">
        <v>124</v>
      </c>
      <c r="CH871" s="4" t="s">
        <v>124</v>
      </c>
      <c r="CI871" s="4" t="s">
        <v>124</v>
      </c>
      <c r="CJ871" s="4" t="s">
        <v>124</v>
      </c>
      <c r="CK871" s="4" t="s">
        <v>124</v>
      </c>
      <c r="CL871" s="4" t="s">
        <v>124</v>
      </c>
      <c r="CM871" s="4" t="s">
        <v>124</v>
      </c>
      <c r="CN871" s="4" t="s">
        <v>124</v>
      </c>
      <c r="CO871" s="4" t="s">
        <v>124</v>
      </c>
      <c r="CP871" s="4" t="s">
        <v>124</v>
      </c>
      <c r="CQ871" s="7">
        <v>0.55607499999999999</v>
      </c>
      <c r="CR871" s="7">
        <v>0.98617500000000002</v>
      </c>
      <c r="CS871" s="7">
        <v>37.071651000000003</v>
      </c>
      <c r="CT871" s="7">
        <v>50</v>
      </c>
      <c r="CU871" s="4" t="s">
        <v>124</v>
      </c>
      <c r="CV871" s="4" t="s">
        <v>124</v>
      </c>
      <c r="CW871" s="4" t="s">
        <v>124</v>
      </c>
      <c r="CX871" s="4" t="s">
        <v>124</v>
      </c>
      <c r="CY871" s="4" t="s">
        <v>124</v>
      </c>
      <c r="CZ871" s="4" t="s">
        <v>124</v>
      </c>
      <c r="DA871" s="7">
        <v>15.314097</v>
      </c>
      <c r="DB871" s="7">
        <v>17.400950000000002</v>
      </c>
      <c r="DC871" s="7">
        <v>16.332519999999999</v>
      </c>
      <c r="DD871" s="4" t="s">
        <v>124</v>
      </c>
      <c r="DE871" s="7">
        <v>1</v>
      </c>
      <c r="DF871" s="6"/>
      <c r="DG871" s="6"/>
      <c r="DH871" s="6"/>
      <c r="DI871" s="6"/>
      <c r="DJ871" s="7">
        <v>0</v>
      </c>
      <c r="DK871" s="7">
        <v>0</v>
      </c>
      <c r="DL871" s="7">
        <v>0</v>
      </c>
      <c r="DM871" s="7">
        <v>0</v>
      </c>
      <c r="DN871" s="7">
        <v>0</v>
      </c>
      <c r="DO871" s="7">
        <v>0</v>
      </c>
      <c r="DP871" s="6"/>
      <c r="DQ871" s="4" t="s">
        <v>125</v>
      </c>
    </row>
    <row r="872" spans="1:121" ht="20" customHeight="1" x14ac:dyDescent="0.15">
      <c r="A872" s="5">
        <v>2018</v>
      </c>
      <c r="B872" s="3" t="s">
        <v>259</v>
      </c>
      <c r="C872" s="4" t="str">
        <f t="shared" si="252"/>
        <v>1340011</v>
      </c>
      <c r="D872" s="4" t="s">
        <v>1024</v>
      </c>
      <c r="E872" s="4" t="str">
        <f>"1340311"</f>
        <v>1340311</v>
      </c>
      <c r="F872" s="4" t="s">
        <v>327</v>
      </c>
      <c r="G872" s="4" t="s">
        <v>328</v>
      </c>
      <c r="H872" s="7">
        <v>1</v>
      </c>
      <c r="I872" s="4" t="s">
        <v>335</v>
      </c>
      <c r="J872" s="4" t="s">
        <v>330</v>
      </c>
      <c r="K872" s="7">
        <v>91.481481000000002</v>
      </c>
      <c r="L872" s="7">
        <v>100</v>
      </c>
      <c r="M872" s="7">
        <v>91.481481000000002</v>
      </c>
      <c r="N872" s="4" t="s">
        <v>124</v>
      </c>
      <c r="O872" s="4" t="s">
        <v>124</v>
      </c>
      <c r="P872" s="4" t="s">
        <v>124</v>
      </c>
      <c r="Q872" s="4" t="s">
        <v>124</v>
      </c>
      <c r="R872" s="4" t="s">
        <v>124</v>
      </c>
      <c r="S872" s="4" t="s">
        <v>124</v>
      </c>
      <c r="T872" s="4" t="s">
        <v>124</v>
      </c>
      <c r="U872" s="4" t="s">
        <v>124</v>
      </c>
      <c r="V872" s="4" t="s">
        <v>124</v>
      </c>
      <c r="W872" s="4" t="s">
        <v>124</v>
      </c>
      <c r="X872" s="4" t="s">
        <v>124</v>
      </c>
      <c r="Y872" s="4" t="s">
        <v>124</v>
      </c>
      <c r="Z872" s="4" t="s">
        <v>124</v>
      </c>
      <c r="AA872" s="4" t="s">
        <v>124</v>
      </c>
      <c r="AB872" s="4" t="s">
        <v>124</v>
      </c>
      <c r="AC872" s="4" t="s">
        <v>124</v>
      </c>
      <c r="AD872" s="4" t="s">
        <v>124</v>
      </c>
      <c r="AE872" s="4" t="s">
        <v>124</v>
      </c>
      <c r="AF872" s="4" t="s">
        <v>124</v>
      </c>
      <c r="AG872" s="4" t="s">
        <v>124</v>
      </c>
      <c r="AH872" s="4" t="s">
        <v>124</v>
      </c>
      <c r="AI872" s="4" t="s">
        <v>124</v>
      </c>
      <c r="AJ872" s="4" t="s">
        <v>124</v>
      </c>
      <c r="AK872" s="4" t="s">
        <v>124</v>
      </c>
      <c r="AL872" s="4" t="s">
        <v>124</v>
      </c>
      <c r="AM872" s="4" t="s">
        <v>124</v>
      </c>
      <c r="AN872" s="4" t="s">
        <v>124</v>
      </c>
      <c r="AO872" s="4" t="s">
        <v>124</v>
      </c>
      <c r="AP872" s="4" t="s">
        <v>124</v>
      </c>
      <c r="AQ872" s="4" t="s">
        <v>124</v>
      </c>
      <c r="AR872" s="4" t="s">
        <v>124</v>
      </c>
      <c r="AS872" s="4" t="s">
        <v>124</v>
      </c>
      <c r="AT872" s="4" t="s">
        <v>124</v>
      </c>
      <c r="AU872" s="4" t="s">
        <v>124</v>
      </c>
      <c r="AV872" s="4" t="s">
        <v>124</v>
      </c>
      <c r="AW872" s="4" t="s">
        <v>124</v>
      </c>
      <c r="AX872" s="4" t="s">
        <v>124</v>
      </c>
      <c r="AY872" s="4" t="s">
        <v>124</v>
      </c>
      <c r="AZ872" s="4" t="s">
        <v>124</v>
      </c>
      <c r="BA872" s="4" t="s">
        <v>124</v>
      </c>
      <c r="BB872" s="4" t="s">
        <v>124</v>
      </c>
      <c r="BC872" s="4" t="s">
        <v>124</v>
      </c>
      <c r="BD872" s="4" t="s">
        <v>124</v>
      </c>
      <c r="BE872" s="4" t="s">
        <v>124</v>
      </c>
      <c r="BF872" s="4" t="s">
        <v>124</v>
      </c>
      <c r="BG872" s="4" t="s">
        <v>124</v>
      </c>
      <c r="BH872" s="4" t="s">
        <v>124</v>
      </c>
      <c r="BI872" s="4" t="s">
        <v>124</v>
      </c>
      <c r="BJ872" s="4" t="s">
        <v>124</v>
      </c>
      <c r="BK872" s="4" t="s">
        <v>124</v>
      </c>
      <c r="BL872" s="4" t="s">
        <v>124</v>
      </c>
      <c r="BM872" s="4" t="s">
        <v>124</v>
      </c>
      <c r="BN872" s="4" t="s">
        <v>124</v>
      </c>
      <c r="BO872" s="4" t="s">
        <v>124</v>
      </c>
      <c r="BP872" s="4" t="s">
        <v>124</v>
      </c>
      <c r="BQ872" s="4" t="s">
        <v>124</v>
      </c>
      <c r="BR872" s="7">
        <v>4.9020000000000001E-2</v>
      </c>
      <c r="BS872" s="7">
        <v>50</v>
      </c>
      <c r="BT872" s="7">
        <v>50</v>
      </c>
      <c r="BU872" s="7">
        <v>9.2592999999999995E-2</v>
      </c>
      <c r="BV872" s="7">
        <v>41.481481000000002</v>
      </c>
      <c r="BW872" s="7">
        <v>50</v>
      </c>
      <c r="BX872" s="4" t="s">
        <v>124</v>
      </c>
      <c r="BY872" s="4" t="s">
        <v>124</v>
      </c>
      <c r="BZ872" s="4" t="s">
        <v>124</v>
      </c>
      <c r="CA872" s="4" t="s">
        <v>124</v>
      </c>
      <c r="CB872" s="4" t="s">
        <v>124</v>
      </c>
      <c r="CC872" s="4" t="s">
        <v>124</v>
      </c>
      <c r="CD872" s="4" t="s">
        <v>124</v>
      </c>
      <c r="CE872" s="4" t="s">
        <v>124</v>
      </c>
      <c r="CF872" s="4" t="s">
        <v>124</v>
      </c>
      <c r="CG872" s="4" t="s">
        <v>124</v>
      </c>
      <c r="CH872" s="4" t="s">
        <v>124</v>
      </c>
      <c r="CI872" s="4" t="s">
        <v>124</v>
      </c>
      <c r="CJ872" s="4" t="s">
        <v>124</v>
      </c>
      <c r="CK872" s="4" t="s">
        <v>124</v>
      </c>
      <c r="CL872" s="4" t="s">
        <v>124</v>
      </c>
      <c r="CM872" s="4" t="s">
        <v>124</v>
      </c>
      <c r="CN872" s="4" t="s">
        <v>124</v>
      </c>
      <c r="CO872" s="4" t="s">
        <v>124</v>
      </c>
      <c r="CP872" s="4" t="s">
        <v>124</v>
      </c>
      <c r="CQ872" s="4" t="s">
        <v>124</v>
      </c>
      <c r="CR872" s="4" t="s">
        <v>124</v>
      </c>
      <c r="CS872" s="4" t="s">
        <v>124</v>
      </c>
      <c r="CT872" s="4" t="s">
        <v>124</v>
      </c>
      <c r="CU872" s="4" t="s">
        <v>124</v>
      </c>
      <c r="CV872" s="4" t="s">
        <v>124</v>
      </c>
      <c r="CW872" s="4" t="s">
        <v>124</v>
      </c>
      <c r="CX872" s="4" t="s">
        <v>124</v>
      </c>
      <c r="CY872" s="4" t="s">
        <v>124</v>
      </c>
      <c r="CZ872" s="4" t="s">
        <v>124</v>
      </c>
      <c r="DA872" s="4" t="s">
        <v>124</v>
      </c>
      <c r="DB872" s="4" t="s">
        <v>124</v>
      </c>
      <c r="DC872" s="4" t="s">
        <v>124</v>
      </c>
      <c r="DD872" s="4" t="s">
        <v>124</v>
      </c>
      <c r="DE872" s="4" t="s">
        <v>124</v>
      </c>
      <c r="DF872" s="6"/>
      <c r="DG872" s="6"/>
      <c r="DH872" s="6"/>
      <c r="DI872" s="6"/>
      <c r="DJ872" s="4" t="s">
        <v>124</v>
      </c>
      <c r="DK872" s="4" t="s">
        <v>124</v>
      </c>
      <c r="DL872" s="4" t="s">
        <v>124</v>
      </c>
      <c r="DM872" s="4" t="s">
        <v>124</v>
      </c>
      <c r="DN872" s="4" t="s">
        <v>124</v>
      </c>
      <c r="DO872" s="4" t="s">
        <v>124</v>
      </c>
      <c r="DP872" s="6"/>
      <c r="DQ872" s="4" t="s">
        <v>125</v>
      </c>
    </row>
    <row r="873" spans="1:121" ht="20" customHeight="1" x14ac:dyDescent="0.15">
      <c r="A873" s="5">
        <v>2018</v>
      </c>
      <c r="B873" s="3" t="s">
        <v>259</v>
      </c>
      <c r="C873" s="4" t="str">
        <f t="shared" si="252"/>
        <v>1340011</v>
      </c>
      <c r="D873" s="4" t="s">
        <v>1025</v>
      </c>
      <c r="E873" s="4" t="str">
        <f>"1340411"</f>
        <v>1340411</v>
      </c>
      <c r="F873" s="4" t="s">
        <v>327</v>
      </c>
      <c r="G873" s="4" t="s">
        <v>328</v>
      </c>
      <c r="H873" s="7">
        <v>1</v>
      </c>
      <c r="I873" s="4" t="s">
        <v>335</v>
      </c>
      <c r="J873" s="4" t="s">
        <v>330</v>
      </c>
      <c r="K873" s="7">
        <v>100</v>
      </c>
      <c r="L873" s="7">
        <v>100</v>
      </c>
      <c r="M873" s="7">
        <v>100</v>
      </c>
      <c r="N873" s="4" t="s">
        <v>124</v>
      </c>
      <c r="O873" s="4" t="s">
        <v>124</v>
      </c>
      <c r="P873" s="4" t="s">
        <v>124</v>
      </c>
      <c r="Q873" s="4" t="s">
        <v>124</v>
      </c>
      <c r="R873" s="4" t="s">
        <v>124</v>
      </c>
      <c r="S873" s="4" t="s">
        <v>124</v>
      </c>
      <c r="T873" s="4" t="s">
        <v>124</v>
      </c>
      <c r="U873" s="4" t="s">
        <v>124</v>
      </c>
      <c r="V873" s="4" t="s">
        <v>124</v>
      </c>
      <c r="W873" s="4" t="s">
        <v>124</v>
      </c>
      <c r="X873" s="4" t="s">
        <v>124</v>
      </c>
      <c r="Y873" s="4" t="s">
        <v>124</v>
      </c>
      <c r="Z873" s="4" t="s">
        <v>124</v>
      </c>
      <c r="AA873" s="4" t="s">
        <v>124</v>
      </c>
      <c r="AB873" s="4" t="s">
        <v>124</v>
      </c>
      <c r="AC873" s="4" t="s">
        <v>124</v>
      </c>
      <c r="AD873" s="4" t="s">
        <v>124</v>
      </c>
      <c r="AE873" s="4" t="s">
        <v>124</v>
      </c>
      <c r="AF873" s="4" t="s">
        <v>124</v>
      </c>
      <c r="AG873" s="4" t="s">
        <v>124</v>
      </c>
      <c r="AH873" s="4" t="s">
        <v>124</v>
      </c>
      <c r="AI873" s="4" t="s">
        <v>124</v>
      </c>
      <c r="AJ873" s="4" t="s">
        <v>124</v>
      </c>
      <c r="AK873" s="4" t="s">
        <v>124</v>
      </c>
      <c r="AL873" s="4" t="s">
        <v>124</v>
      </c>
      <c r="AM873" s="4" t="s">
        <v>124</v>
      </c>
      <c r="AN873" s="4" t="s">
        <v>124</v>
      </c>
      <c r="AO873" s="4" t="s">
        <v>124</v>
      </c>
      <c r="AP873" s="4" t="s">
        <v>124</v>
      </c>
      <c r="AQ873" s="4" t="s">
        <v>124</v>
      </c>
      <c r="AR873" s="4" t="s">
        <v>124</v>
      </c>
      <c r="AS873" s="4" t="s">
        <v>124</v>
      </c>
      <c r="AT873" s="4" t="s">
        <v>124</v>
      </c>
      <c r="AU873" s="4" t="s">
        <v>124</v>
      </c>
      <c r="AV873" s="4" t="s">
        <v>124</v>
      </c>
      <c r="AW873" s="4" t="s">
        <v>124</v>
      </c>
      <c r="AX873" s="4" t="s">
        <v>124</v>
      </c>
      <c r="AY873" s="4" t="s">
        <v>124</v>
      </c>
      <c r="AZ873" s="4" t="s">
        <v>124</v>
      </c>
      <c r="BA873" s="4" t="s">
        <v>124</v>
      </c>
      <c r="BB873" s="4" t="s">
        <v>124</v>
      </c>
      <c r="BC873" s="4" t="s">
        <v>124</v>
      </c>
      <c r="BD873" s="4" t="s">
        <v>124</v>
      </c>
      <c r="BE873" s="4" t="s">
        <v>124</v>
      </c>
      <c r="BF873" s="4" t="s">
        <v>124</v>
      </c>
      <c r="BG873" s="4" t="s">
        <v>124</v>
      </c>
      <c r="BH873" s="4" t="s">
        <v>124</v>
      </c>
      <c r="BI873" s="4" t="s">
        <v>124</v>
      </c>
      <c r="BJ873" s="4" t="s">
        <v>124</v>
      </c>
      <c r="BK873" s="4" t="s">
        <v>124</v>
      </c>
      <c r="BL873" s="4" t="s">
        <v>124</v>
      </c>
      <c r="BM873" s="4" t="s">
        <v>124</v>
      </c>
      <c r="BN873" s="4" t="s">
        <v>124</v>
      </c>
      <c r="BO873" s="4" t="s">
        <v>124</v>
      </c>
      <c r="BP873" s="4" t="s">
        <v>124</v>
      </c>
      <c r="BQ873" s="4" t="s">
        <v>124</v>
      </c>
      <c r="BR873" s="7">
        <v>3.0303E-2</v>
      </c>
      <c r="BS873" s="7">
        <v>50</v>
      </c>
      <c r="BT873" s="7">
        <v>50</v>
      </c>
      <c r="BU873" s="7">
        <v>2.2221999999999999E-2</v>
      </c>
      <c r="BV873" s="7">
        <v>50</v>
      </c>
      <c r="BW873" s="7">
        <v>50</v>
      </c>
      <c r="BX873" s="4" t="s">
        <v>124</v>
      </c>
      <c r="BY873" s="4" t="s">
        <v>124</v>
      </c>
      <c r="BZ873" s="4" t="s">
        <v>124</v>
      </c>
      <c r="CA873" s="4" t="s">
        <v>124</v>
      </c>
      <c r="CB873" s="4" t="s">
        <v>124</v>
      </c>
      <c r="CC873" s="4" t="s">
        <v>124</v>
      </c>
      <c r="CD873" s="4" t="s">
        <v>124</v>
      </c>
      <c r="CE873" s="4" t="s">
        <v>124</v>
      </c>
      <c r="CF873" s="4" t="s">
        <v>124</v>
      </c>
      <c r="CG873" s="4" t="s">
        <v>124</v>
      </c>
      <c r="CH873" s="4" t="s">
        <v>124</v>
      </c>
      <c r="CI873" s="4" t="s">
        <v>124</v>
      </c>
      <c r="CJ873" s="4" t="s">
        <v>124</v>
      </c>
      <c r="CK873" s="4" t="s">
        <v>124</v>
      </c>
      <c r="CL873" s="4" t="s">
        <v>124</v>
      </c>
      <c r="CM873" s="4" t="s">
        <v>124</v>
      </c>
      <c r="CN873" s="4" t="s">
        <v>124</v>
      </c>
      <c r="CO873" s="4" t="s">
        <v>124</v>
      </c>
      <c r="CP873" s="4" t="s">
        <v>124</v>
      </c>
      <c r="CQ873" s="4" t="s">
        <v>124</v>
      </c>
      <c r="CR873" s="4" t="s">
        <v>124</v>
      </c>
      <c r="CS873" s="4" t="s">
        <v>124</v>
      </c>
      <c r="CT873" s="4" t="s">
        <v>124</v>
      </c>
      <c r="CU873" s="4" t="s">
        <v>124</v>
      </c>
      <c r="CV873" s="4" t="s">
        <v>124</v>
      </c>
      <c r="CW873" s="4" t="s">
        <v>124</v>
      </c>
      <c r="CX873" s="4" t="s">
        <v>124</v>
      </c>
      <c r="CY873" s="4" t="s">
        <v>124</v>
      </c>
      <c r="CZ873" s="4" t="s">
        <v>124</v>
      </c>
      <c r="DA873" s="4" t="s">
        <v>124</v>
      </c>
      <c r="DB873" s="4" t="s">
        <v>124</v>
      </c>
      <c r="DC873" s="4" t="s">
        <v>124</v>
      </c>
      <c r="DD873" s="4" t="s">
        <v>124</v>
      </c>
      <c r="DE873" s="4" t="s">
        <v>124</v>
      </c>
      <c r="DF873" s="6"/>
      <c r="DG873" s="6"/>
      <c r="DH873" s="6"/>
      <c r="DI873" s="6"/>
      <c r="DJ873" s="4" t="s">
        <v>124</v>
      </c>
      <c r="DK873" s="4" t="s">
        <v>124</v>
      </c>
      <c r="DL873" s="4" t="s">
        <v>124</v>
      </c>
      <c r="DM873" s="4" t="s">
        <v>124</v>
      </c>
      <c r="DN873" s="4" t="s">
        <v>124</v>
      </c>
      <c r="DO873" s="4" t="s">
        <v>124</v>
      </c>
      <c r="DP873" s="6"/>
      <c r="DQ873" s="4" t="s">
        <v>125</v>
      </c>
    </row>
    <row r="874" spans="1:121" ht="20" customHeight="1" x14ac:dyDescent="0.15">
      <c r="A874" s="5">
        <v>2018</v>
      </c>
      <c r="B874" s="3" t="s">
        <v>287</v>
      </c>
      <c r="C874" s="4" t="str">
        <f t="shared" si="159"/>
        <v>1350011</v>
      </c>
      <c r="D874" s="4" t="s">
        <v>1026</v>
      </c>
      <c r="E874" s="4" t="str">
        <f>"1355611"</f>
        <v>1355611</v>
      </c>
      <c r="F874" s="4" t="s">
        <v>327</v>
      </c>
      <c r="G874" s="7">
        <v>6</v>
      </c>
      <c r="H874" s="7">
        <v>8</v>
      </c>
      <c r="I874" s="6"/>
      <c r="J874" s="4" t="s">
        <v>330</v>
      </c>
      <c r="K874" s="7">
        <v>592.313897</v>
      </c>
      <c r="L874" s="7">
        <v>1000</v>
      </c>
      <c r="M874" s="7">
        <v>59.231389999999998</v>
      </c>
      <c r="N874" s="7">
        <v>3</v>
      </c>
      <c r="O874" s="7">
        <v>1</v>
      </c>
      <c r="P874" s="7">
        <v>62.325598999999997</v>
      </c>
      <c r="Q874" s="7">
        <v>41.550398999999999</v>
      </c>
      <c r="R874" s="7">
        <v>50</v>
      </c>
      <c r="S874" s="7">
        <v>56.151527000000002</v>
      </c>
      <c r="T874" s="7">
        <v>75</v>
      </c>
      <c r="U874" s="7">
        <v>37.434350999999999</v>
      </c>
      <c r="V874" s="7">
        <v>50</v>
      </c>
      <c r="W874" s="7">
        <v>54.796349999999997</v>
      </c>
      <c r="X874" s="7">
        <v>36.530900000000003</v>
      </c>
      <c r="Y874" s="7">
        <v>50</v>
      </c>
      <c r="Z874" s="7">
        <v>68.814402000000001</v>
      </c>
      <c r="AA874" s="7">
        <v>48.396048999999998</v>
      </c>
      <c r="AB874" s="7">
        <v>32.264032</v>
      </c>
      <c r="AC874" s="7">
        <v>50</v>
      </c>
      <c r="AD874" s="7">
        <v>53.879309999999997</v>
      </c>
      <c r="AE874" s="7">
        <v>35.919539999999998</v>
      </c>
      <c r="AF874" s="7">
        <v>50</v>
      </c>
      <c r="AG874" s="7">
        <v>50.794313000000002</v>
      </c>
      <c r="AH874" s="7">
        <v>59.551724</v>
      </c>
      <c r="AI874" s="7">
        <v>33.862876</v>
      </c>
      <c r="AJ874" s="7">
        <v>50</v>
      </c>
      <c r="AK874" s="7">
        <v>18.84</v>
      </c>
      <c r="AL874" s="7">
        <v>20.41</v>
      </c>
      <c r="AM874" s="7">
        <v>8.75</v>
      </c>
      <c r="AN874" s="7">
        <v>0.49319200000000002</v>
      </c>
      <c r="AO874" s="7">
        <v>49.319217999999999</v>
      </c>
      <c r="AP874" s="7">
        <v>100</v>
      </c>
      <c r="AQ874" s="7">
        <v>0.49860199999999999</v>
      </c>
      <c r="AR874" s="7">
        <v>49.860221000000003</v>
      </c>
      <c r="AS874" s="7">
        <v>100</v>
      </c>
      <c r="AT874" s="7">
        <v>0.49337399999999998</v>
      </c>
      <c r="AU874" s="7">
        <v>0.49279499999999998</v>
      </c>
      <c r="AV874" s="7">
        <v>49.337376999999996</v>
      </c>
      <c r="AW874" s="7">
        <v>100</v>
      </c>
      <c r="AX874" s="7">
        <v>0.48738599999999999</v>
      </c>
      <c r="AY874" s="7">
        <v>0.52296699999999996</v>
      </c>
      <c r="AZ874" s="7">
        <v>48.738551999999999</v>
      </c>
      <c r="BA874" s="7">
        <v>100</v>
      </c>
      <c r="BB874" s="7">
        <v>0.49941099999999999</v>
      </c>
      <c r="BC874" s="7">
        <v>24.970566000000002</v>
      </c>
      <c r="BD874" s="7">
        <v>50</v>
      </c>
      <c r="BE874" s="7">
        <v>0.60665899999999995</v>
      </c>
      <c r="BF874" s="7">
        <v>30.332957</v>
      </c>
      <c r="BG874" s="7">
        <v>50</v>
      </c>
      <c r="BH874" s="7">
        <v>0</v>
      </c>
      <c r="BI874" s="7">
        <v>0.97971900000000001</v>
      </c>
      <c r="BJ874" s="7">
        <v>0.97566399999999998</v>
      </c>
      <c r="BK874" s="7">
        <v>0.98941800000000002</v>
      </c>
      <c r="BL874" s="7">
        <v>0.978159</v>
      </c>
      <c r="BM874" s="7">
        <v>0.97345099999999996</v>
      </c>
      <c r="BN874" s="7">
        <v>0.98941800000000002</v>
      </c>
      <c r="BO874" s="7">
        <v>0.98412699999999997</v>
      </c>
      <c r="BP874" s="7">
        <v>0.98387100000000005</v>
      </c>
      <c r="BQ874" s="7">
        <v>0.98461500000000002</v>
      </c>
      <c r="BR874" s="7">
        <v>0.13125000000000001</v>
      </c>
      <c r="BS874" s="7">
        <v>33.75</v>
      </c>
      <c r="BT874" s="7">
        <v>50</v>
      </c>
      <c r="BU874" s="7">
        <v>0.15742800000000001</v>
      </c>
      <c r="BV874" s="7">
        <v>28.514412</v>
      </c>
      <c r="BW874" s="7">
        <v>50</v>
      </c>
      <c r="BX874" s="4" t="s">
        <v>124</v>
      </c>
      <c r="BY874" s="4" t="s">
        <v>124</v>
      </c>
      <c r="BZ874" s="4" t="s">
        <v>124</v>
      </c>
      <c r="CA874" s="4" t="s">
        <v>124</v>
      </c>
      <c r="CB874" s="4" t="s">
        <v>124</v>
      </c>
      <c r="CC874" s="4" t="s">
        <v>124</v>
      </c>
      <c r="CD874" s="7">
        <v>0.81645599999999996</v>
      </c>
      <c r="CE874" s="7">
        <v>43.428494000000001</v>
      </c>
      <c r="CF874" s="7">
        <v>50</v>
      </c>
      <c r="CG874" s="4" t="s">
        <v>124</v>
      </c>
      <c r="CH874" s="4" t="s">
        <v>124</v>
      </c>
      <c r="CI874" s="4" t="s">
        <v>124</v>
      </c>
      <c r="CJ874" s="4" t="s">
        <v>124</v>
      </c>
      <c r="CK874" s="4" t="s">
        <v>124</v>
      </c>
      <c r="CL874" s="4" t="s">
        <v>124</v>
      </c>
      <c r="CM874" s="4" t="s">
        <v>124</v>
      </c>
      <c r="CN874" s="4" t="s">
        <v>124</v>
      </c>
      <c r="CO874" s="4" t="s">
        <v>124</v>
      </c>
      <c r="CP874" s="4" t="s">
        <v>124</v>
      </c>
      <c r="CQ874" s="7">
        <v>0.2475</v>
      </c>
      <c r="CR874" s="7">
        <v>0.94339600000000001</v>
      </c>
      <c r="CS874" s="7">
        <v>16.5</v>
      </c>
      <c r="CT874" s="7">
        <v>50</v>
      </c>
      <c r="CU874" s="4" t="s">
        <v>124</v>
      </c>
      <c r="CV874" s="4" t="s">
        <v>124</v>
      </c>
      <c r="CW874" s="4" t="s">
        <v>124</v>
      </c>
      <c r="CX874" s="4" t="s">
        <v>124</v>
      </c>
      <c r="CY874" s="4" t="s">
        <v>124</v>
      </c>
      <c r="CZ874" s="4" t="s">
        <v>124</v>
      </c>
      <c r="DA874" s="7">
        <v>15.314097</v>
      </c>
      <c r="DB874" s="7">
        <v>17.400950000000002</v>
      </c>
      <c r="DC874" s="7">
        <v>16.332519999999999</v>
      </c>
      <c r="DD874" s="4" t="s">
        <v>124</v>
      </c>
      <c r="DE874" s="7">
        <v>1</v>
      </c>
      <c r="DF874" s="6"/>
      <c r="DG874" s="6"/>
      <c r="DH874" s="6"/>
      <c r="DI874" s="6"/>
      <c r="DJ874" s="7">
        <v>0</v>
      </c>
      <c r="DK874" s="7">
        <v>0</v>
      </c>
      <c r="DL874" s="7">
        <v>0</v>
      </c>
      <c r="DM874" s="7">
        <v>0</v>
      </c>
      <c r="DN874" s="7">
        <v>0</v>
      </c>
      <c r="DO874" s="7">
        <v>0</v>
      </c>
      <c r="DP874" s="6"/>
      <c r="DQ874" s="4" t="s">
        <v>125</v>
      </c>
    </row>
    <row r="875" spans="1:121" ht="20" customHeight="1" x14ac:dyDescent="0.15">
      <c r="A875" s="5">
        <v>2018</v>
      </c>
      <c r="B875" s="3" t="s">
        <v>287</v>
      </c>
      <c r="C875" s="4" t="str">
        <f t="shared" ref="C875:C894" si="253">"1350011"</f>
        <v>1350011</v>
      </c>
      <c r="D875" s="4" t="s">
        <v>1027</v>
      </c>
      <c r="E875" s="4" t="str">
        <f>"1352011"</f>
        <v>1352011</v>
      </c>
      <c r="F875" s="4" t="s">
        <v>327</v>
      </c>
      <c r="G875" s="4" t="s">
        <v>328</v>
      </c>
      <c r="H875" s="7">
        <v>5</v>
      </c>
      <c r="I875" s="4" t="s">
        <v>335</v>
      </c>
      <c r="J875" s="4" t="s">
        <v>330</v>
      </c>
      <c r="K875" s="7">
        <v>725.69797500000004</v>
      </c>
      <c r="L875" s="7">
        <v>950</v>
      </c>
      <c r="M875" s="7">
        <v>76.389261000000005</v>
      </c>
      <c r="N875" s="7">
        <v>2</v>
      </c>
      <c r="O875" s="7">
        <v>0</v>
      </c>
      <c r="P875" s="7">
        <v>69.314177000000001</v>
      </c>
      <c r="Q875" s="7">
        <v>46.209451000000001</v>
      </c>
      <c r="R875" s="7">
        <v>50</v>
      </c>
      <c r="S875" s="7">
        <v>61.431910999999999</v>
      </c>
      <c r="T875" s="7">
        <v>75</v>
      </c>
      <c r="U875" s="7">
        <v>40.954607000000003</v>
      </c>
      <c r="V875" s="7">
        <v>50</v>
      </c>
      <c r="W875" s="7">
        <v>66.723140999999998</v>
      </c>
      <c r="X875" s="7">
        <v>44.482093999999996</v>
      </c>
      <c r="Y875" s="7">
        <v>50</v>
      </c>
      <c r="Z875" s="7">
        <v>75</v>
      </c>
      <c r="AA875" s="7">
        <v>58.375250000000001</v>
      </c>
      <c r="AB875" s="7">
        <v>38.916832999999997</v>
      </c>
      <c r="AC875" s="7">
        <v>50</v>
      </c>
      <c r="AD875" s="7">
        <v>66.415323000000001</v>
      </c>
      <c r="AE875" s="7">
        <v>44.276882000000001</v>
      </c>
      <c r="AF875" s="7">
        <v>50</v>
      </c>
      <c r="AG875" s="7">
        <v>59.380510999999998</v>
      </c>
      <c r="AH875" s="7">
        <v>75</v>
      </c>
      <c r="AI875" s="7">
        <v>39.587007</v>
      </c>
      <c r="AJ875" s="7">
        <v>50</v>
      </c>
      <c r="AK875" s="7">
        <v>13.56</v>
      </c>
      <c r="AL875" s="7">
        <v>16.62</v>
      </c>
      <c r="AM875" s="7">
        <v>15.61</v>
      </c>
      <c r="AN875" s="7">
        <v>0.79969599999999996</v>
      </c>
      <c r="AO875" s="7">
        <v>79.969577000000001</v>
      </c>
      <c r="AP875" s="7">
        <v>100</v>
      </c>
      <c r="AQ875" s="7">
        <v>0.76869299999999996</v>
      </c>
      <c r="AR875" s="7">
        <v>76.869253999999998</v>
      </c>
      <c r="AS875" s="7">
        <v>100</v>
      </c>
      <c r="AT875" s="7">
        <v>0.78637299999999999</v>
      </c>
      <c r="AU875" s="7">
        <v>0.81671000000000005</v>
      </c>
      <c r="AV875" s="7">
        <v>78.637308000000004</v>
      </c>
      <c r="AW875" s="7">
        <v>100</v>
      </c>
      <c r="AX875" s="7">
        <v>0.71469099999999997</v>
      </c>
      <c r="AY875" s="7">
        <v>0.83700699999999995</v>
      </c>
      <c r="AZ875" s="7">
        <v>71.469127</v>
      </c>
      <c r="BA875" s="7">
        <v>100</v>
      </c>
      <c r="BB875" s="7">
        <v>0.79269100000000003</v>
      </c>
      <c r="BC875" s="7">
        <v>39.634532999999998</v>
      </c>
      <c r="BD875" s="7">
        <v>50</v>
      </c>
      <c r="BE875" s="7">
        <v>0.58189900000000006</v>
      </c>
      <c r="BF875" s="7">
        <v>29.094942</v>
      </c>
      <c r="BG875" s="7">
        <v>50</v>
      </c>
      <c r="BH875" s="7">
        <v>0</v>
      </c>
      <c r="BI875" s="7">
        <v>0.99388399999999999</v>
      </c>
      <c r="BJ875" s="7">
        <v>0.99459500000000001</v>
      </c>
      <c r="BK875" s="7">
        <v>0.99295800000000001</v>
      </c>
      <c r="BL875" s="7">
        <v>0.99074099999999998</v>
      </c>
      <c r="BM875" s="7">
        <v>0.98907100000000003</v>
      </c>
      <c r="BN875" s="7">
        <v>0.99290800000000001</v>
      </c>
      <c r="BO875" s="7">
        <v>1</v>
      </c>
      <c r="BP875" s="7">
        <v>1</v>
      </c>
      <c r="BQ875" s="7">
        <v>1</v>
      </c>
      <c r="BR875" s="7">
        <v>7.4434E-2</v>
      </c>
      <c r="BS875" s="7">
        <v>45.113269000000003</v>
      </c>
      <c r="BT875" s="7">
        <v>50</v>
      </c>
      <c r="BU875" s="7">
        <v>0.108696</v>
      </c>
      <c r="BV875" s="7">
        <v>38.260869999999997</v>
      </c>
      <c r="BW875" s="7">
        <v>50</v>
      </c>
      <c r="BX875" s="4" t="s">
        <v>124</v>
      </c>
      <c r="BY875" s="4" t="s">
        <v>124</v>
      </c>
      <c r="BZ875" s="4" t="s">
        <v>124</v>
      </c>
      <c r="CA875" s="4" t="s">
        <v>124</v>
      </c>
      <c r="CB875" s="4" t="s">
        <v>124</v>
      </c>
      <c r="CC875" s="4" t="s">
        <v>124</v>
      </c>
      <c r="CD875" s="4" t="s">
        <v>124</v>
      </c>
      <c r="CE875" s="4" t="s">
        <v>124</v>
      </c>
      <c r="CF875" s="4" t="s">
        <v>124</v>
      </c>
      <c r="CG875" s="4" t="s">
        <v>124</v>
      </c>
      <c r="CH875" s="4" t="s">
        <v>124</v>
      </c>
      <c r="CI875" s="4" t="s">
        <v>124</v>
      </c>
      <c r="CJ875" s="4" t="s">
        <v>124</v>
      </c>
      <c r="CK875" s="4" t="s">
        <v>124</v>
      </c>
      <c r="CL875" s="4" t="s">
        <v>124</v>
      </c>
      <c r="CM875" s="4" t="s">
        <v>124</v>
      </c>
      <c r="CN875" s="4" t="s">
        <v>124</v>
      </c>
      <c r="CO875" s="4" t="s">
        <v>124</v>
      </c>
      <c r="CP875" s="4" t="s">
        <v>124</v>
      </c>
      <c r="CQ875" s="7">
        <v>0.36666700000000002</v>
      </c>
      <c r="CR875" s="7">
        <v>0.79645999999999995</v>
      </c>
      <c r="CS875" s="7">
        <v>12.222222</v>
      </c>
      <c r="CT875" s="7">
        <v>50</v>
      </c>
      <c r="CU875" s="4" t="s">
        <v>124</v>
      </c>
      <c r="CV875" s="4" t="s">
        <v>124</v>
      </c>
      <c r="CW875" s="4" t="s">
        <v>124</v>
      </c>
      <c r="CX875" s="4" t="s">
        <v>124</v>
      </c>
      <c r="CY875" s="4" t="s">
        <v>124</v>
      </c>
      <c r="CZ875" s="4" t="s">
        <v>124</v>
      </c>
      <c r="DA875" s="7">
        <v>15.314097</v>
      </c>
      <c r="DB875" s="7">
        <v>17.400950000000002</v>
      </c>
      <c r="DC875" s="7">
        <v>16.332519999999999</v>
      </c>
      <c r="DD875" s="4" t="s">
        <v>124</v>
      </c>
      <c r="DE875" s="7">
        <v>0</v>
      </c>
      <c r="DF875" s="6"/>
      <c r="DG875" s="6"/>
      <c r="DH875" s="4" t="s">
        <v>331</v>
      </c>
      <c r="DI875" s="4" t="s">
        <v>528</v>
      </c>
      <c r="DJ875" s="7">
        <v>0</v>
      </c>
      <c r="DK875" s="7">
        <v>1</v>
      </c>
      <c r="DL875" s="7">
        <v>0</v>
      </c>
      <c r="DM875" s="7">
        <v>1</v>
      </c>
      <c r="DN875" s="7">
        <v>0</v>
      </c>
      <c r="DO875" s="7">
        <v>0</v>
      </c>
      <c r="DP875" s="6"/>
      <c r="DQ875" s="4" t="s">
        <v>125</v>
      </c>
    </row>
    <row r="876" spans="1:121" ht="20" customHeight="1" x14ac:dyDescent="0.15">
      <c r="A876" s="5">
        <v>2018</v>
      </c>
      <c r="B876" s="3" t="s">
        <v>287</v>
      </c>
      <c r="C876" s="4" t="str">
        <f t="shared" si="253"/>
        <v>1350011</v>
      </c>
      <c r="D876" s="4" t="s">
        <v>1028</v>
      </c>
      <c r="E876" s="4" t="str">
        <f>"1355311"</f>
        <v>1355311</v>
      </c>
      <c r="F876" s="4" t="s">
        <v>327</v>
      </c>
      <c r="G876" s="7">
        <v>6</v>
      </c>
      <c r="H876" s="7">
        <v>8</v>
      </c>
      <c r="I876" s="6"/>
      <c r="J876" s="4" t="s">
        <v>330</v>
      </c>
      <c r="K876" s="7">
        <v>604.62832200000003</v>
      </c>
      <c r="L876" s="7">
        <v>1000</v>
      </c>
      <c r="M876" s="7">
        <v>60.462831999999999</v>
      </c>
      <c r="N876" s="7">
        <v>3</v>
      </c>
      <c r="O876" s="7">
        <v>1</v>
      </c>
      <c r="P876" s="7">
        <v>62.500759000000002</v>
      </c>
      <c r="Q876" s="7">
        <v>41.667172999999998</v>
      </c>
      <c r="R876" s="7">
        <v>50</v>
      </c>
      <c r="S876" s="7">
        <v>56.384847000000001</v>
      </c>
      <c r="T876" s="7">
        <v>75</v>
      </c>
      <c r="U876" s="7">
        <v>37.589897999999998</v>
      </c>
      <c r="V876" s="7">
        <v>50</v>
      </c>
      <c r="W876" s="7">
        <v>56.904248000000003</v>
      </c>
      <c r="X876" s="7">
        <v>37.936165000000003</v>
      </c>
      <c r="Y876" s="7">
        <v>50</v>
      </c>
      <c r="Z876" s="7">
        <v>72.295799000000002</v>
      </c>
      <c r="AA876" s="7">
        <v>49.768541999999997</v>
      </c>
      <c r="AB876" s="7">
        <v>33.179028000000002</v>
      </c>
      <c r="AC876" s="7">
        <v>50</v>
      </c>
      <c r="AD876" s="7">
        <v>61.754193000000001</v>
      </c>
      <c r="AE876" s="7">
        <v>41.169462000000003</v>
      </c>
      <c r="AF876" s="7">
        <v>50</v>
      </c>
      <c r="AG876" s="7">
        <v>54.904079000000003</v>
      </c>
      <c r="AH876" s="7">
        <v>73.586207000000002</v>
      </c>
      <c r="AI876" s="7">
        <v>36.602719</v>
      </c>
      <c r="AJ876" s="7">
        <v>50</v>
      </c>
      <c r="AK876" s="7">
        <v>18.61</v>
      </c>
      <c r="AL876" s="7">
        <v>22.52</v>
      </c>
      <c r="AM876" s="7">
        <v>18.68</v>
      </c>
      <c r="AN876" s="7">
        <v>0.53139000000000003</v>
      </c>
      <c r="AO876" s="7">
        <v>53.138995999999999</v>
      </c>
      <c r="AP876" s="7">
        <v>100</v>
      </c>
      <c r="AQ876" s="7">
        <v>0.54125299999999998</v>
      </c>
      <c r="AR876" s="7">
        <v>54.125281000000001</v>
      </c>
      <c r="AS876" s="7">
        <v>100</v>
      </c>
      <c r="AT876" s="7">
        <v>0.50260800000000005</v>
      </c>
      <c r="AU876" s="7">
        <v>0.58928100000000005</v>
      </c>
      <c r="AV876" s="7">
        <v>50.260779999999997</v>
      </c>
      <c r="AW876" s="7">
        <v>100</v>
      </c>
      <c r="AX876" s="7">
        <v>0.47858800000000001</v>
      </c>
      <c r="AY876" s="7">
        <v>0.66586999999999996</v>
      </c>
      <c r="AZ876" s="7">
        <v>47.858790999999997</v>
      </c>
      <c r="BA876" s="7">
        <v>100</v>
      </c>
      <c r="BB876" s="7">
        <v>0.53043200000000001</v>
      </c>
      <c r="BC876" s="7">
        <v>26.521612999999999</v>
      </c>
      <c r="BD876" s="7">
        <v>50</v>
      </c>
      <c r="BE876" s="7">
        <v>0.44827400000000001</v>
      </c>
      <c r="BF876" s="7">
        <v>22.413681</v>
      </c>
      <c r="BG876" s="7">
        <v>50</v>
      </c>
      <c r="BH876" s="7">
        <v>1</v>
      </c>
      <c r="BI876" s="7">
        <v>0.97377000000000002</v>
      </c>
      <c r="BJ876" s="7">
        <v>0.97663599999999995</v>
      </c>
      <c r="BK876" s="7">
        <v>0.96703300000000003</v>
      </c>
      <c r="BL876" s="7">
        <v>0.97049200000000002</v>
      </c>
      <c r="BM876" s="7">
        <v>0.97196300000000002</v>
      </c>
      <c r="BN876" s="7">
        <v>0.96703300000000003</v>
      </c>
      <c r="BO876" s="7">
        <v>0.96428599999999998</v>
      </c>
      <c r="BP876" s="7">
        <v>0.94690300000000005</v>
      </c>
      <c r="BQ876" s="7">
        <v>1</v>
      </c>
      <c r="BR876" s="7">
        <v>0.145902</v>
      </c>
      <c r="BS876" s="7">
        <v>30.819672000000001</v>
      </c>
      <c r="BT876" s="7">
        <v>50</v>
      </c>
      <c r="BU876" s="7">
        <v>0.17422399999999999</v>
      </c>
      <c r="BV876" s="7">
        <v>25.155131000000001</v>
      </c>
      <c r="BW876" s="7">
        <v>50</v>
      </c>
      <c r="BX876" s="4" t="s">
        <v>124</v>
      </c>
      <c r="BY876" s="4" t="s">
        <v>124</v>
      </c>
      <c r="BZ876" s="4" t="s">
        <v>124</v>
      </c>
      <c r="CA876" s="4" t="s">
        <v>124</v>
      </c>
      <c r="CB876" s="4" t="s">
        <v>124</v>
      </c>
      <c r="CC876" s="4" t="s">
        <v>124</v>
      </c>
      <c r="CD876" s="7">
        <v>0.92763200000000001</v>
      </c>
      <c r="CE876" s="7">
        <v>49.342104999999997</v>
      </c>
      <c r="CF876" s="7">
        <v>50</v>
      </c>
      <c r="CG876" s="4" t="s">
        <v>124</v>
      </c>
      <c r="CH876" s="4" t="s">
        <v>124</v>
      </c>
      <c r="CI876" s="4" t="s">
        <v>124</v>
      </c>
      <c r="CJ876" s="4" t="s">
        <v>124</v>
      </c>
      <c r="CK876" s="4" t="s">
        <v>124</v>
      </c>
      <c r="CL876" s="4" t="s">
        <v>124</v>
      </c>
      <c r="CM876" s="4" t="s">
        <v>124</v>
      </c>
      <c r="CN876" s="4" t="s">
        <v>124</v>
      </c>
      <c r="CO876" s="4" t="s">
        <v>124</v>
      </c>
      <c r="CP876" s="4" t="s">
        <v>124</v>
      </c>
      <c r="CQ876" s="7">
        <v>0.25271700000000002</v>
      </c>
      <c r="CR876" s="7">
        <v>0.95336799999999999</v>
      </c>
      <c r="CS876" s="7">
        <v>16.847826000000001</v>
      </c>
      <c r="CT876" s="7">
        <v>50</v>
      </c>
      <c r="CU876" s="4" t="s">
        <v>124</v>
      </c>
      <c r="CV876" s="4" t="s">
        <v>124</v>
      </c>
      <c r="CW876" s="4" t="s">
        <v>124</v>
      </c>
      <c r="CX876" s="4" t="s">
        <v>124</v>
      </c>
      <c r="CY876" s="4" t="s">
        <v>124</v>
      </c>
      <c r="CZ876" s="4" t="s">
        <v>124</v>
      </c>
      <c r="DA876" s="7">
        <v>15.314097</v>
      </c>
      <c r="DB876" s="7">
        <v>17.400950000000002</v>
      </c>
      <c r="DC876" s="7">
        <v>16.332519999999999</v>
      </c>
      <c r="DD876" s="4" t="s">
        <v>124</v>
      </c>
      <c r="DE876" s="7">
        <v>1</v>
      </c>
      <c r="DF876" s="6"/>
      <c r="DG876" s="6"/>
      <c r="DH876" s="6"/>
      <c r="DI876" s="6"/>
      <c r="DJ876" s="7">
        <v>0</v>
      </c>
      <c r="DK876" s="7">
        <v>0</v>
      </c>
      <c r="DL876" s="7">
        <v>0</v>
      </c>
      <c r="DM876" s="7">
        <v>0</v>
      </c>
      <c r="DN876" s="7">
        <v>0</v>
      </c>
      <c r="DO876" s="7">
        <v>0</v>
      </c>
      <c r="DP876" s="6"/>
      <c r="DQ876" s="4" t="s">
        <v>125</v>
      </c>
    </row>
    <row r="877" spans="1:121" ht="20" customHeight="1" x14ac:dyDescent="0.15">
      <c r="A877" s="5">
        <v>2018</v>
      </c>
      <c r="B877" s="3" t="s">
        <v>287</v>
      </c>
      <c r="C877" s="4" t="str">
        <f t="shared" si="253"/>
        <v>1350011</v>
      </c>
      <c r="D877" s="4" t="s">
        <v>1029</v>
      </c>
      <c r="E877" s="4" t="str">
        <f>"1352211"</f>
        <v>1352211</v>
      </c>
      <c r="F877" s="4" t="s">
        <v>327</v>
      </c>
      <c r="G877" s="4" t="s">
        <v>338</v>
      </c>
      <c r="H877" s="7">
        <v>5</v>
      </c>
      <c r="I877" s="4" t="s">
        <v>329</v>
      </c>
      <c r="J877" s="4" t="s">
        <v>330</v>
      </c>
      <c r="K877" s="7">
        <v>690.57370900000001</v>
      </c>
      <c r="L877" s="7">
        <v>950</v>
      </c>
      <c r="M877" s="7">
        <v>72.691969</v>
      </c>
      <c r="N877" s="7">
        <v>2</v>
      </c>
      <c r="O877" s="7">
        <v>0</v>
      </c>
      <c r="P877" s="7">
        <v>71.390302000000005</v>
      </c>
      <c r="Q877" s="7">
        <v>47.593533999999998</v>
      </c>
      <c r="R877" s="7">
        <v>50</v>
      </c>
      <c r="S877" s="7">
        <v>64.862391000000002</v>
      </c>
      <c r="T877" s="7">
        <v>75</v>
      </c>
      <c r="U877" s="7">
        <v>43.241593999999999</v>
      </c>
      <c r="V877" s="7">
        <v>50</v>
      </c>
      <c r="W877" s="7">
        <v>71.115937000000002</v>
      </c>
      <c r="X877" s="7">
        <v>47.410625000000003</v>
      </c>
      <c r="Y877" s="7">
        <v>50</v>
      </c>
      <c r="Z877" s="7">
        <v>75</v>
      </c>
      <c r="AA877" s="7">
        <v>64.259472000000002</v>
      </c>
      <c r="AB877" s="7">
        <v>42.839647999999997</v>
      </c>
      <c r="AC877" s="7">
        <v>50</v>
      </c>
      <c r="AD877" s="7">
        <v>70.804516000000007</v>
      </c>
      <c r="AE877" s="7">
        <v>47.203010999999996</v>
      </c>
      <c r="AF877" s="7">
        <v>50</v>
      </c>
      <c r="AG877" s="7">
        <v>62.744495999999998</v>
      </c>
      <c r="AH877" s="7">
        <v>75</v>
      </c>
      <c r="AI877" s="7">
        <v>41.829664000000001</v>
      </c>
      <c r="AJ877" s="7">
        <v>50</v>
      </c>
      <c r="AK877" s="7">
        <v>10.130000000000001</v>
      </c>
      <c r="AL877" s="7">
        <v>10.74</v>
      </c>
      <c r="AM877" s="7">
        <v>12.25</v>
      </c>
      <c r="AN877" s="7">
        <v>0.57896800000000004</v>
      </c>
      <c r="AO877" s="7">
        <v>57.896769999999997</v>
      </c>
      <c r="AP877" s="7">
        <v>100</v>
      </c>
      <c r="AQ877" s="7">
        <v>0.78934899999999997</v>
      </c>
      <c r="AR877" s="7">
        <v>78.934914000000006</v>
      </c>
      <c r="AS877" s="7">
        <v>100</v>
      </c>
      <c r="AT877" s="7">
        <v>0.47776299999999999</v>
      </c>
      <c r="AU877" s="7">
        <v>0.74675499999999995</v>
      </c>
      <c r="AV877" s="7">
        <v>47.776280999999997</v>
      </c>
      <c r="AW877" s="7">
        <v>100</v>
      </c>
      <c r="AX877" s="7">
        <v>0.73393600000000003</v>
      </c>
      <c r="AY877" s="7">
        <v>0.88121899999999997</v>
      </c>
      <c r="AZ877" s="7">
        <v>73.393586999999997</v>
      </c>
      <c r="BA877" s="7">
        <v>100</v>
      </c>
      <c r="BB877" s="7">
        <v>0.80303999999999998</v>
      </c>
      <c r="BC877" s="7">
        <v>40.152003000000001</v>
      </c>
      <c r="BD877" s="7">
        <v>50</v>
      </c>
      <c r="BE877" s="7">
        <v>0.51141599999999998</v>
      </c>
      <c r="BF877" s="7">
        <v>25.570820999999999</v>
      </c>
      <c r="BG877" s="7">
        <v>50</v>
      </c>
      <c r="BH877" s="7">
        <v>0</v>
      </c>
      <c r="BI877" s="7">
        <v>0.98451999999999995</v>
      </c>
      <c r="BJ877" s="7">
        <v>0.99532699999999996</v>
      </c>
      <c r="BK877" s="7">
        <v>0.96330300000000002</v>
      </c>
      <c r="BL877" s="7">
        <v>0.98451999999999995</v>
      </c>
      <c r="BM877" s="7">
        <v>0.99532699999999996</v>
      </c>
      <c r="BN877" s="7">
        <v>0.96330300000000002</v>
      </c>
      <c r="BO877" s="7">
        <v>0.98058299999999998</v>
      </c>
      <c r="BP877" s="7">
        <v>1</v>
      </c>
      <c r="BQ877" s="7">
        <v>0.94871799999999995</v>
      </c>
      <c r="BR877" s="7">
        <v>0.12057900000000001</v>
      </c>
      <c r="BS877" s="7">
        <v>35.884244000000002</v>
      </c>
      <c r="BT877" s="7">
        <v>50</v>
      </c>
      <c r="BU877" s="7">
        <v>0.15647900000000001</v>
      </c>
      <c r="BV877" s="7">
        <v>28.704156000000001</v>
      </c>
      <c r="BW877" s="7">
        <v>50</v>
      </c>
      <c r="BX877" s="4" t="s">
        <v>124</v>
      </c>
      <c r="BY877" s="4" t="s">
        <v>124</v>
      </c>
      <c r="BZ877" s="4" t="s">
        <v>124</v>
      </c>
      <c r="CA877" s="4" t="s">
        <v>124</v>
      </c>
      <c r="CB877" s="4" t="s">
        <v>124</v>
      </c>
      <c r="CC877" s="4" t="s">
        <v>124</v>
      </c>
      <c r="CD877" s="4" t="s">
        <v>124</v>
      </c>
      <c r="CE877" s="4" t="s">
        <v>124</v>
      </c>
      <c r="CF877" s="4" t="s">
        <v>124</v>
      </c>
      <c r="CG877" s="4" t="s">
        <v>124</v>
      </c>
      <c r="CH877" s="4" t="s">
        <v>124</v>
      </c>
      <c r="CI877" s="4" t="s">
        <v>124</v>
      </c>
      <c r="CJ877" s="4" t="s">
        <v>124</v>
      </c>
      <c r="CK877" s="4" t="s">
        <v>124</v>
      </c>
      <c r="CL877" s="4" t="s">
        <v>124</v>
      </c>
      <c r="CM877" s="4" t="s">
        <v>124</v>
      </c>
      <c r="CN877" s="4" t="s">
        <v>124</v>
      </c>
      <c r="CO877" s="4" t="s">
        <v>124</v>
      </c>
      <c r="CP877" s="4" t="s">
        <v>124</v>
      </c>
      <c r="CQ877" s="7">
        <v>0.48214299999999999</v>
      </c>
      <c r="CR877" s="7">
        <v>0.96551699999999996</v>
      </c>
      <c r="CS877" s="7">
        <v>32.142856999999999</v>
      </c>
      <c r="CT877" s="7">
        <v>50</v>
      </c>
      <c r="CU877" s="4" t="s">
        <v>124</v>
      </c>
      <c r="CV877" s="4" t="s">
        <v>124</v>
      </c>
      <c r="CW877" s="4" t="s">
        <v>124</v>
      </c>
      <c r="CX877" s="4" t="s">
        <v>124</v>
      </c>
      <c r="CY877" s="4" t="s">
        <v>124</v>
      </c>
      <c r="CZ877" s="4" t="s">
        <v>124</v>
      </c>
      <c r="DA877" s="7">
        <v>15.314097</v>
      </c>
      <c r="DB877" s="7">
        <v>17.400950000000002</v>
      </c>
      <c r="DC877" s="7">
        <v>16.332519999999999</v>
      </c>
      <c r="DD877" s="4" t="s">
        <v>124</v>
      </c>
      <c r="DE877" s="7">
        <v>0</v>
      </c>
      <c r="DF877" s="6"/>
      <c r="DG877" s="6"/>
      <c r="DH877" s="6"/>
      <c r="DI877" s="6"/>
      <c r="DJ877" s="7">
        <v>0</v>
      </c>
      <c r="DK877" s="7">
        <v>0</v>
      </c>
      <c r="DL877" s="7">
        <v>0</v>
      </c>
      <c r="DM877" s="7">
        <v>0</v>
      </c>
      <c r="DN877" s="7">
        <v>0</v>
      </c>
      <c r="DO877" s="7">
        <v>0</v>
      </c>
      <c r="DP877" s="6"/>
      <c r="DQ877" s="4" t="s">
        <v>125</v>
      </c>
    </row>
    <row r="878" spans="1:121" ht="20" customHeight="1" x14ac:dyDescent="0.15">
      <c r="A878" s="5">
        <v>2018</v>
      </c>
      <c r="B878" s="3" t="s">
        <v>287</v>
      </c>
      <c r="C878" s="4" t="str">
        <f t="shared" si="253"/>
        <v>1350011</v>
      </c>
      <c r="D878" s="4" t="s">
        <v>1030</v>
      </c>
      <c r="E878" s="4" t="str">
        <f>"1351211"</f>
        <v>1351211</v>
      </c>
      <c r="F878" s="4" t="s">
        <v>327</v>
      </c>
      <c r="G878" s="4" t="s">
        <v>338</v>
      </c>
      <c r="H878" s="7">
        <v>5</v>
      </c>
      <c r="I878" s="4" t="s">
        <v>329</v>
      </c>
      <c r="J878" s="4" t="s">
        <v>330</v>
      </c>
      <c r="K878" s="7">
        <v>647.660618</v>
      </c>
      <c r="L878" s="7">
        <v>950</v>
      </c>
      <c r="M878" s="7">
        <v>68.174802</v>
      </c>
      <c r="N878" s="7">
        <v>3</v>
      </c>
      <c r="O878" s="7">
        <v>1</v>
      </c>
      <c r="P878" s="7">
        <v>65.848318000000006</v>
      </c>
      <c r="Q878" s="7">
        <v>43.898879000000001</v>
      </c>
      <c r="R878" s="7">
        <v>50</v>
      </c>
      <c r="S878" s="7">
        <v>60.817118999999998</v>
      </c>
      <c r="T878" s="7">
        <v>75</v>
      </c>
      <c r="U878" s="7">
        <v>40.544746000000004</v>
      </c>
      <c r="V878" s="7">
        <v>50</v>
      </c>
      <c r="W878" s="7">
        <v>62.759647999999999</v>
      </c>
      <c r="X878" s="7">
        <v>41.839765999999997</v>
      </c>
      <c r="Y878" s="7">
        <v>50</v>
      </c>
      <c r="Z878" s="7">
        <v>75</v>
      </c>
      <c r="AA878" s="7">
        <v>57.444254999999998</v>
      </c>
      <c r="AB878" s="7">
        <v>38.296169999999996</v>
      </c>
      <c r="AC878" s="7">
        <v>50</v>
      </c>
      <c r="AD878" s="7">
        <v>60.519713000000003</v>
      </c>
      <c r="AE878" s="7">
        <v>40.346476000000003</v>
      </c>
      <c r="AF878" s="7">
        <v>50</v>
      </c>
      <c r="AG878" s="7">
        <v>54.866359000000003</v>
      </c>
      <c r="AH878" s="7">
        <v>74.561914999999999</v>
      </c>
      <c r="AI878" s="7">
        <v>36.577573000000001</v>
      </c>
      <c r="AJ878" s="7">
        <v>50</v>
      </c>
      <c r="AK878" s="7">
        <v>14.18</v>
      </c>
      <c r="AL878" s="7">
        <v>17.55</v>
      </c>
      <c r="AM878" s="7">
        <v>19.690000000000001</v>
      </c>
      <c r="AN878" s="7">
        <v>0.58784199999999998</v>
      </c>
      <c r="AO878" s="7">
        <v>58.784171000000001</v>
      </c>
      <c r="AP878" s="7">
        <v>100</v>
      </c>
      <c r="AQ878" s="7">
        <v>0.70197500000000002</v>
      </c>
      <c r="AR878" s="7">
        <v>70.197547999999998</v>
      </c>
      <c r="AS878" s="7">
        <v>100</v>
      </c>
      <c r="AT878" s="7">
        <v>0.58518499999999996</v>
      </c>
      <c r="AU878" s="7">
        <v>0.59453599999999995</v>
      </c>
      <c r="AV878" s="7">
        <v>58.518462999999997</v>
      </c>
      <c r="AW878" s="7">
        <v>100</v>
      </c>
      <c r="AX878" s="7">
        <v>0.67087399999999997</v>
      </c>
      <c r="AY878" s="7">
        <v>0.78125299999999998</v>
      </c>
      <c r="AZ878" s="7">
        <v>67.087428000000003</v>
      </c>
      <c r="BA878" s="7">
        <v>100</v>
      </c>
      <c r="BB878" s="7">
        <v>0.88991100000000001</v>
      </c>
      <c r="BC878" s="7">
        <v>44.495573</v>
      </c>
      <c r="BD878" s="7">
        <v>50</v>
      </c>
      <c r="BE878" s="7">
        <v>0.66608999999999996</v>
      </c>
      <c r="BF878" s="7">
        <v>33.304495000000003</v>
      </c>
      <c r="BG878" s="7">
        <v>50</v>
      </c>
      <c r="BH878" s="7">
        <v>0</v>
      </c>
      <c r="BI878" s="7">
        <v>0.98979600000000001</v>
      </c>
      <c r="BJ878" s="7">
        <v>0.98571399999999998</v>
      </c>
      <c r="BK878" s="7">
        <v>1</v>
      </c>
      <c r="BL878" s="7">
        <v>0.97278900000000001</v>
      </c>
      <c r="BM878" s="7">
        <v>0.96666700000000005</v>
      </c>
      <c r="BN878" s="7">
        <v>0.98809499999999995</v>
      </c>
      <c r="BO878" s="7">
        <v>0.98214299999999999</v>
      </c>
      <c r="BP878" s="7">
        <v>1</v>
      </c>
      <c r="BQ878" s="7">
        <v>0.94117600000000001</v>
      </c>
      <c r="BR878" s="7">
        <v>0.125806</v>
      </c>
      <c r="BS878" s="7">
        <v>34.838709999999999</v>
      </c>
      <c r="BT878" s="7">
        <v>50</v>
      </c>
      <c r="BU878" s="7">
        <v>0.14754100000000001</v>
      </c>
      <c r="BV878" s="7">
        <v>30.491803000000001</v>
      </c>
      <c r="BW878" s="7">
        <v>50</v>
      </c>
      <c r="BX878" s="4" t="s">
        <v>124</v>
      </c>
      <c r="BY878" s="4" t="s">
        <v>124</v>
      </c>
      <c r="BZ878" s="4" t="s">
        <v>124</v>
      </c>
      <c r="CA878" s="4" t="s">
        <v>124</v>
      </c>
      <c r="CB878" s="4" t="s">
        <v>124</v>
      </c>
      <c r="CC878" s="4" t="s">
        <v>124</v>
      </c>
      <c r="CD878" s="4" t="s">
        <v>124</v>
      </c>
      <c r="CE878" s="4" t="s">
        <v>124</v>
      </c>
      <c r="CF878" s="4" t="s">
        <v>124</v>
      </c>
      <c r="CG878" s="4" t="s">
        <v>124</v>
      </c>
      <c r="CH878" s="4" t="s">
        <v>124</v>
      </c>
      <c r="CI878" s="4" t="s">
        <v>124</v>
      </c>
      <c r="CJ878" s="4" t="s">
        <v>124</v>
      </c>
      <c r="CK878" s="4" t="s">
        <v>124</v>
      </c>
      <c r="CL878" s="4" t="s">
        <v>124</v>
      </c>
      <c r="CM878" s="4" t="s">
        <v>124</v>
      </c>
      <c r="CN878" s="4" t="s">
        <v>124</v>
      </c>
      <c r="CO878" s="4" t="s">
        <v>124</v>
      </c>
      <c r="CP878" s="4" t="s">
        <v>124</v>
      </c>
      <c r="CQ878" s="7">
        <v>0.25316499999999997</v>
      </c>
      <c r="CR878" s="7">
        <v>0.89772700000000005</v>
      </c>
      <c r="CS878" s="7">
        <v>8.4388190000000005</v>
      </c>
      <c r="CT878" s="7">
        <v>50</v>
      </c>
      <c r="CU878" s="4" t="s">
        <v>124</v>
      </c>
      <c r="CV878" s="4" t="s">
        <v>124</v>
      </c>
      <c r="CW878" s="4" t="s">
        <v>124</v>
      </c>
      <c r="CX878" s="4" t="s">
        <v>124</v>
      </c>
      <c r="CY878" s="4" t="s">
        <v>124</v>
      </c>
      <c r="CZ878" s="4" t="s">
        <v>124</v>
      </c>
      <c r="DA878" s="7">
        <v>15.314097</v>
      </c>
      <c r="DB878" s="7">
        <v>17.400950000000002</v>
      </c>
      <c r="DC878" s="7">
        <v>16.332519999999999</v>
      </c>
      <c r="DD878" s="4" t="s">
        <v>124</v>
      </c>
      <c r="DE878" s="7">
        <v>1</v>
      </c>
      <c r="DF878" s="6"/>
      <c r="DG878" s="6"/>
      <c r="DH878" s="6"/>
      <c r="DI878" s="6"/>
      <c r="DJ878" s="7">
        <v>0</v>
      </c>
      <c r="DK878" s="7">
        <v>0</v>
      </c>
      <c r="DL878" s="7">
        <v>0</v>
      </c>
      <c r="DM878" s="7">
        <v>0</v>
      </c>
      <c r="DN878" s="7">
        <v>0</v>
      </c>
      <c r="DO878" s="7">
        <v>0</v>
      </c>
      <c r="DP878" s="6"/>
      <c r="DQ878" s="4" t="s">
        <v>125</v>
      </c>
    </row>
    <row r="879" spans="1:121" ht="20" customHeight="1" x14ac:dyDescent="0.15">
      <c r="A879" s="5">
        <v>2018</v>
      </c>
      <c r="B879" s="3" t="s">
        <v>287</v>
      </c>
      <c r="C879" s="4" t="str">
        <f t="shared" si="253"/>
        <v>1350011</v>
      </c>
      <c r="D879" s="4" t="s">
        <v>1031</v>
      </c>
      <c r="E879" s="4" t="str">
        <f>"1350511"</f>
        <v>1350511</v>
      </c>
      <c r="F879" s="4" t="s">
        <v>327</v>
      </c>
      <c r="G879" s="4" t="s">
        <v>328</v>
      </c>
      <c r="H879" s="7">
        <v>5</v>
      </c>
      <c r="I879" s="4" t="s">
        <v>335</v>
      </c>
      <c r="J879" s="4" t="s">
        <v>330</v>
      </c>
      <c r="K879" s="7">
        <v>637.40062</v>
      </c>
      <c r="L879" s="7">
        <v>950</v>
      </c>
      <c r="M879" s="7">
        <v>67.094802000000001</v>
      </c>
      <c r="N879" s="7">
        <v>3</v>
      </c>
      <c r="O879" s="7">
        <v>1</v>
      </c>
      <c r="P879" s="7">
        <v>63.426372999999998</v>
      </c>
      <c r="Q879" s="7">
        <v>42.284249000000003</v>
      </c>
      <c r="R879" s="7">
        <v>50</v>
      </c>
      <c r="S879" s="7">
        <v>60.091802000000001</v>
      </c>
      <c r="T879" s="7">
        <v>73.727817000000002</v>
      </c>
      <c r="U879" s="7">
        <v>40.061200999999997</v>
      </c>
      <c r="V879" s="7">
        <v>50</v>
      </c>
      <c r="W879" s="7">
        <v>60.316139999999997</v>
      </c>
      <c r="X879" s="7">
        <v>40.210760000000001</v>
      </c>
      <c r="Y879" s="7">
        <v>50</v>
      </c>
      <c r="Z879" s="7">
        <v>74.343541000000002</v>
      </c>
      <c r="AA879" s="7">
        <v>55.775478</v>
      </c>
      <c r="AB879" s="7">
        <v>37.183652000000002</v>
      </c>
      <c r="AC879" s="7">
        <v>50</v>
      </c>
      <c r="AD879" s="7">
        <v>62.469135999999999</v>
      </c>
      <c r="AE879" s="7">
        <v>41.646090999999998</v>
      </c>
      <c r="AF879" s="7">
        <v>50</v>
      </c>
      <c r="AG879" s="7">
        <v>58.845056</v>
      </c>
      <c r="AH879" s="7">
        <v>73.522581000000002</v>
      </c>
      <c r="AI879" s="7">
        <v>39.230037000000003</v>
      </c>
      <c r="AJ879" s="7">
        <v>50</v>
      </c>
      <c r="AK879" s="7">
        <v>13.63</v>
      </c>
      <c r="AL879" s="7">
        <v>18.559999999999999</v>
      </c>
      <c r="AM879" s="7">
        <v>14.67</v>
      </c>
      <c r="AN879" s="7">
        <v>0.61553899999999995</v>
      </c>
      <c r="AO879" s="7">
        <v>61.553944000000001</v>
      </c>
      <c r="AP879" s="7">
        <v>100</v>
      </c>
      <c r="AQ879" s="7">
        <v>0.60966900000000002</v>
      </c>
      <c r="AR879" s="7">
        <v>60.966921999999997</v>
      </c>
      <c r="AS879" s="7">
        <v>100</v>
      </c>
      <c r="AT879" s="7">
        <v>0.56142499999999995</v>
      </c>
      <c r="AU879" s="7">
        <v>0.76817000000000002</v>
      </c>
      <c r="AV879" s="7">
        <v>56.142510999999999</v>
      </c>
      <c r="AW879" s="7">
        <v>100</v>
      </c>
      <c r="AX879" s="7">
        <v>0.57845800000000003</v>
      </c>
      <c r="AY879" s="7">
        <v>0.69770200000000004</v>
      </c>
      <c r="AZ879" s="7">
        <v>57.845751999999997</v>
      </c>
      <c r="BA879" s="7">
        <v>100</v>
      </c>
      <c r="BB879" s="7">
        <v>0.76399300000000003</v>
      </c>
      <c r="BC879" s="7">
        <v>38.199649000000001</v>
      </c>
      <c r="BD879" s="7">
        <v>50</v>
      </c>
      <c r="BE879" s="7">
        <v>0.50745300000000004</v>
      </c>
      <c r="BF879" s="7">
        <v>25.372668999999998</v>
      </c>
      <c r="BG879" s="7">
        <v>50</v>
      </c>
      <c r="BH879" s="7">
        <v>0</v>
      </c>
      <c r="BI879" s="7">
        <v>0.99187000000000003</v>
      </c>
      <c r="BJ879" s="7">
        <v>0.98918899999999998</v>
      </c>
      <c r="BK879" s="7">
        <v>1</v>
      </c>
      <c r="BL879" s="7">
        <v>0.99187000000000003</v>
      </c>
      <c r="BM879" s="7">
        <v>0.98918899999999998</v>
      </c>
      <c r="BN879" s="7">
        <v>1</v>
      </c>
      <c r="BO879" s="7">
        <v>0.98837200000000003</v>
      </c>
      <c r="BP879" s="7">
        <v>0.98461500000000002</v>
      </c>
      <c r="BQ879" s="7">
        <v>1</v>
      </c>
      <c r="BR879" s="7">
        <v>0.117769</v>
      </c>
      <c r="BS879" s="7">
        <v>36.446280999999999</v>
      </c>
      <c r="BT879" s="7">
        <v>50</v>
      </c>
      <c r="BU879" s="7">
        <v>0.10982699999999999</v>
      </c>
      <c r="BV879" s="7">
        <v>38.034681999999997</v>
      </c>
      <c r="BW879" s="7">
        <v>50</v>
      </c>
      <c r="BX879" s="4" t="s">
        <v>124</v>
      </c>
      <c r="BY879" s="4" t="s">
        <v>124</v>
      </c>
      <c r="BZ879" s="4" t="s">
        <v>124</v>
      </c>
      <c r="CA879" s="4" t="s">
        <v>124</v>
      </c>
      <c r="CB879" s="4" t="s">
        <v>124</v>
      </c>
      <c r="CC879" s="4" t="s">
        <v>124</v>
      </c>
      <c r="CD879" s="4" t="s">
        <v>124</v>
      </c>
      <c r="CE879" s="4" t="s">
        <v>124</v>
      </c>
      <c r="CF879" s="4" t="s">
        <v>124</v>
      </c>
      <c r="CG879" s="4" t="s">
        <v>124</v>
      </c>
      <c r="CH879" s="4" t="s">
        <v>124</v>
      </c>
      <c r="CI879" s="4" t="s">
        <v>124</v>
      </c>
      <c r="CJ879" s="4" t="s">
        <v>124</v>
      </c>
      <c r="CK879" s="4" t="s">
        <v>124</v>
      </c>
      <c r="CL879" s="4" t="s">
        <v>124</v>
      </c>
      <c r="CM879" s="4" t="s">
        <v>124</v>
      </c>
      <c r="CN879" s="4" t="s">
        <v>124</v>
      </c>
      <c r="CO879" s="4" t="s">
        <v>124</v>
      </c>
      <c r="CP879" s="4" t="s">
        <v>124</v>
      </c>
      <c r="CQ879" s="7">
        <v>0.33333299999999999</v>
      </c>
      <c r="CR879" s="7">
        <v>0.98734200000000005</v>
      </c>
      <c r="CS879" s="7">
        <v>22.222221999999999</v>
      </c>
      <c r="CT879" s="7">
        <v>50</v>
      </c>
      <c r="CU879" s="4" t="s">
        <v>124</v>
      </c>
      <c r="CV879" s="4" t="s">
        <v>124</v>
      </c>
      <c r="CW879" s="4" t="s">
        <v>124</v>
      </c>
      <c r="CX879" s="4" t="s">
        <v>124</v>
      </c>
      <c r="CY879" s="4" t="s">
        <v>124</v>
      </c>
      <c r="CZ879" s="4" t="s">
        <v>124</v>
      </c>
      <c r="DA879" s="7">
        <v>15.314097</v>
      </c>
      <c r="DB879" s="7">
        <v>17.400950000000002</v>
      </c>
      <c r="DC879" s="7">
        <v>16.332519999999999</v>
      </c>
      <c r="DD879" s="4" t="s">
        <v>124</v>
      </c>
      <c r="DE879" s="7">
        <v>1</v>
      </c>
      <c r="DF879" s="6"/>
      <c r="DG879" s="6"/>
      <c r="DH879" s="6"/>
      <c r="DI879" s="6"/>
      <c r="DJ879" s="7">
        <v>0</v>
      </c>
      <c r="DK879" s="7">
        <v>0</v>
      </c>
      <c r="DL879" s="7">
        <v>0</v>
      </c>
      <c r="DM879" s="7">
        <v>0</v>
      </c>
      <c r="DN879" s="7">
        <v>0</v>
      </c>
      <c r="DO879" s="7">
        <v>0</v>
      </c>
      <c r="DP879" s="6"/>
      <c r="DQ879" s="4" t="s">
        <v>125</v>
      </c>
    </row>
    <row r="880" spans="1:121" ht="20" customHeight="1" x14ac:dyDescent="0.15">
      <c r="A880" s="5">
        <v>2018</v>
      </c>
      <c r="B880" s="3" t="s">
        <v>287</v>
      </c>
      <c r="C880" s="4" t="str">
        <f t="shared" si="253"/>
        <v>1350011</v>
      </c>
      <c r="D880" s="4" t="s">
        <v>1032</v>
      </c>
      <c r="E880" s="4" t="str">
        <f>"1350611"</f>
        <v>1350611</v>
      </c>
      <c r="F880" s="4" t="s">
        <v>327</v>
      </c>
      <c r="G880" s="4" t="s">
        <v>338</v>
      </c>
      <c r="H880" s="7">
        <v>5</v>
      </c>
      <c r="I880" s="4" t="s">
        <v>329</v>
      </c>
      <c r="J880" s="4" t="s">
        <v>330</v>
      </c>
      <c r="K880" s="7">
        <v>734.40053399999999</v>
      </c>
      <c r="L880" s="7">
        <v>950</v>
      </c>
      <c r="M880" s="7">
        <v>77.305318999999997</v>
      </c>
      <c r="N880" s="7">
        <v>2</v>
      </c>
      <c r="O880" s="7">
        <v>0</v>
      </c>
      <c r="P880" s="7">
        <v>69.817867000000007</v>
      </c>
      <c r="Q880" s="7">
        <v>46.545245000000001</v>
      </c>
      <c r="R880" s="7">
        <v>50</v>
      </c>
      <c r="S880" s="7">
        <v>63.079101000000001</v>
      </c>
      <c r="T880" s="7">
        <v>75</v>
      </c>
      <c r="U880" s="7">
        <v>42.052734000000001</v>
      </c>
      <c r="V880" s="7">
        <v>50</v>
      </c>
      <c r="W880" s="7">
        <v>65.779471000000001</v>
      </c>
      <c r="X880" s="7">
        <v>43.852981</v>
      </c>
      <c r="Y880" s="7">
        <v>50</v>
      </c>
      <c r="Z880" s="7">
        <v>75</v>
      </c>
      <c r="AA880" s="7">
        <v>58.577190000000002</v>
      </c>
      <c r="AB880" s="7">
        <v>39.051459999999999</v>
      </c>
      <c r="AC880" s="7">
        <v>50</v>
      </c>
      <c r="AD880" s="7">
        <v>68.854838999999998</v>
      </c>
      <c r="AE880" s="7">
        <v>45.903225999999997</v>
      </c>
      <c r="AF880" s="7">
        <v>50</v>
      </c>
      <c r="AG880" s="7">
        <v>63.608123999999997</v>
      </c>
      <c r="AH880" s="7">
        <v>75</v>
      </c>
      <c r="AI880" s="7">
        <v>42.405416000000002</v>
      </c>
      <c r="AJ880" s="7">
        <v>50</v>
      </c>
      <c r="AK880" s="7">
        <v>11.92</v>
      </c>
      <c r="AL880" s="7">
        <v>16.420000000000002</v>
      </c>
      <c r="AM880" s="7">
        <v>11.39</v>
      </c>
      <c r="AN880" s="7">
        <v>0.71445499999999995</v>
      </c>
      <c r="AO880" s="7">
        <v>71.445515999999998</v>
      </c>
      <c r="AP880" s="7">
        <v>100</v>
      </c>
      <c r="AQ880" s="7">
        <v>0.810643</v>
      </c>
      <c r="AR880" s="7">
        <v>81.064263999999994</v>
      </c>
      <c r="AS880" s="7">
        <v>100</v>
      </c>
      <c r="AT880" s="7">
        <v>0.66820900000000005</v>
      </c>
      <c r="AU880" s="7">
        <v>0.800979</v>
      </c>
      <c r="AV880" s="7">
        <v>66.820939999999993</v>
      </c>
      <c r="AW880" s="7">
        <v>100</v>
      </c>
      <c r="AX880" s="7">
        <v>0.75261699999999998</v>
      </c>
      <c r="AY880" s="7">
        <v>0.919207</v>
      </c>
      <c r="AZ880" s="7">
        <v>75.261661000000004</v>
      </c>
      <c r="BA880" s="7">
        <v>100</v>
      </c>
      <c r="BB880" s="7">
        <v>0.67347500000000005</v>
      </c>
      <c r="BC880" s="7">
        <v>33.673765000000003</v>
      </c>
      <c r="BD880" s="7">
        <v>50</v>
      </c>
      <c r="BE880" s="7">
        <v>0.53676599999999997</v>
      </c>
      <c r="BF880" s="7">
        <v>26.838308999999999</v>
      </c>
      <c r="BG880" s="7">
        <v>50</v>
      </c>
      <c r="BH880" s="7">
        <v>0</v>
      </c>
      <c r="BI880" s="7">
        <v>0.99629599999999996</v>
      </c>
      <c r="BJ880" s="7">
        <v>0.994475</v>
      </c>
      <c r="BK880" s="7">
        <v>1</v>
      </c>
      <c r="BL880" s="7">
        <v>0.99629599999999996</v>
      </c>
      <c r="BM880" s="7">
        <v>0.994475</v>
      </c>
      <c r="BN880" s="7">
        <v>1</v>
      </c>
      <c r="BO880" s="7">
        <v>1</v>
      </c>
      <c r="BP880" s="7">
        <v>1</v>
      </c>
      <c r="BQ880" s="7">
        <v>1</v>
      </c>
      <c r="BR880" s="7">
        <v>8.3333000000000004E-2</v>
      </c>
      <c r="BS880" s="7">
        <v>43.333333000000003</v>
      </c>
      <c r="BT880" s="7">
        <v>50</v>
      </c>
      <c r="BU880" s="7">
        <v>0.106742</v>
      </c>
      <c r="BV880" s="7">
        <v>38.651685000000001</v>
      </c>
      <c r="BW880" s="7">
        <v>50</v>
      </c>
      <c r="BX880" s="4" t="s">
        <v>124</v>
      </c>
      <c r="BY880" s="4" t="s">
        <v>124</v>
      </c>
      <c r="BZ880" s="4" t="s">
        <v>124</v>
      </c>
      <c r="CA880" s="4" t="s">
        <v>124</v>
      </c>
      <c r="CB880" s="4" t="s">
        <v>124</v>
      </c>
      <c r="CC880" s="4" t="s">
        <v>124</v>
      </c>
      <c r="CD880" s="4" t="s">
        <v>124</v>
      </c>
      <c r="CE880" s="4" t="s">
        <v>124</v>
      </c>
      <c r="CF880" s="4" t="s">
        <v>124</v>
      </c>
      <c r="CG880" s="4" t="s">
        <v>124</v>
      </c>
      <c r="CH880" s="4" t="s">
        <v>124</v>
      </c>
      <c r="CI880" s="4" t="s">
        <v>124</v>
      </c>
      <c r="CJ880" s="4" t="s">
        <v>124</v>
      </c>
      <c r="CK880" s="4" t="s">
        <v>124</v>
      </c>
      <c r="CL880" s="4" t="s">
        <v>124</v>
      </c>
      <c r="CM880" s="4" t="s">
        <v>124</v>
      </c>
      <c r="CN880" s="4" t="s">
        <v>124</v>
      </c>
      <c r="CO880" s="4" t="s">
        <v>124</v>
      </c>
      <c r="CP880" s="4" t="s">
        <v>124</v>
      </c>
      <c r="CQ880" s="7">
        <v>0.5625</v>
      </c>
      <c r="CR880" s="7">
        <v>1</v>
      </c>
      <c r="CS880" s="7">
        <v>37.5</v>
      </c>
      <c r="CT880" s="7">
        <v>50</v>
      </c>
      <c r="CU880" s="4" t="s">
        <v>124</v>
      </c>
      <c r="CV880" s="4" t="s">
        <v>124</v>
      </c>
      <c r="CW880" s="4" t="s">
        <v>124</v>
      </c>
      <c r="CX880" s="4" t="s">
        <v>124</v>
      </c>
      <c r="CY880" s="4" t="s">
        <v>124</v>
      </c>
      <c r="CZ880" s="4" t="s">
        <v>124</v>
      </c>
      <c r="DA880" s="7">
        <v>15.314097</v>
      </c>
      <c r="DB880" s="7">
        <v>17.400950000000002</v>
      </c>
      <c r="DC880" s="7">
        <v>16.332519999999999</v>
      </c>
      <c r="DD880" s="4" t="s">
        <v>124</v>
      </c>
      <c r="DE880" s="7">
        <v>0</v>
      </c>
      <c r="DF880" s="6"/>
      <c r="DG880" s="6"/>
      <c r="DH880" s="6"/>
      <c r="DI880" s="6"/>
      <c r="DJ880" s="7">
        <v>0</v>
      </c>
      <c r="DK880" s="7">
        <v>0</v>
      </c>
      <c r="DL880" s="7">
        <v>0</v>
      </c>
      <c r="DM880" s="7">
        <v>0</v>
      </c>
      <c r="DN880" s="7">
        <v>0</v>
      </c>
      <c r="DO880" s="7">
        <v>0</v>
      </c>
      <c r="DP880" s="6"/>
      <c r="DQ880" s="4" t="s">
        <v>125</v>
      </c>
    </row>
    <row r="881" spans="1:121" ht="20" customHeight="1" x14ac:dyDescent="0.15">
      <c r="A881" s="5">
        <v>2018</v>
      </c>
      <c r="B881" s="3" t="s">
        <v>287</v>
      </c>
      <c r="C881" s="4" t="str">
        <f t="shared" si="253"/>
        <v>1350011</v>
      </c>
      <c r="D881" s="4" t="s">
        <v>1033</v>
      </c>
      <c r="E881" s="4" t="str">
        <f>"1351811"</f>
        <v>1351811</v>
      </c>
      <c r="F881" s="4" t="s">
        <v>327</v>
      </c>
      <c r="G881" s="4" t="s">
        <v>338</v>
      </c>
      <c r="H881" s="7">
        <v>5</v>
      </c>
      <c r="I881" s="4" t="s">
        <v>329</v>
      </c>
      <c r="J881" s="4" t="s">
        <v>330</v>
      </c>
      <c r="K881" s="7">
        <v>566.69669399999998</v>
      </c>
      <c r="L881" s="7">
        <v>950</v>
      </c>
      <c r="M881" s="7">
        <v>59.652284000000002</v>
      </c>
      <c r="N881" s="7">
        <v>3</v>
      </c>
      <c r="O881" s="7">
        <v>1</v>
      </c>
      <c r="P881" s="7">
        <v>67.150502000000003</v>
      </c>
      <c r="Q881" s="7">
        <v>44.767001</v>
      </c>
      <c r="R881" s="7">
        <v>50</v>
      </c>
      <c r="S881" s="7">
        <v>53.279501000000003</v>
      </c>
      <c r="T881" s="7">
        <v>75</v>
      </c>
      <c r="U881" s="7">
        <v>35.519666999999998</v>
      </c>
      <c r="V881" s="7">
        <v>50</v>
      </c>
      <c r="W881" s="7">
        <v>65.254653000000005</v>
      </c>
      <c r="X881" s="7">
        <v>43.503101999999998</v>
      </c>
      <c r="Y881" s="7">
        <v>50</v>
      </c>
      <c r="Z881" s="7">
        <v>75</v>
      </c>
      <c r="AA881" s="7">
        <v>51.613191999999998</v>
      </c>
      <c r="AB881" s="7">
        <v>34.408794999999998</v>
      </c>
      <c r="AC881" s="7">
        <v>50</v>
      </c>
      <c r="AD881" s="7">
        <v>59.085569</v>
      </c>
      <c r="AE881" s="7">
        <v>39.390379000000003</v>
      </c>
      <c r="AF881" s="7">
        <v>50</v>
      </c>
      <c r="AG881" s="7">
        <v>50.123226000000003</v>
      </c>
      <c r="AH881" s="7">
        <v>69.043728000000002</v>
      </c>
      <c r="AI881" s="7">
        <v>33.415483999999999</v>
      </c>
      <c r="AJ881" s="7">
        <v>50</v>
      </c>
      <c r="AK881" s="7">
        <v>21.72</v>
      </c>
      <c r="AL881" s="7">
        <v>23.38</v>
      </c>
      <c r="AM881" s="7">
        <v>18.920000000000002</v>
      </c>
      <c r="AN881" s="7">
        <v>0.50932500000000003</v>
      </c>
      <c r="AO881" s="7">
        <v>50.932537000000004</v>
      </c>
      <c r="AP881" s="7">
        <v>100</v>
      </c>
      <c r="AQ881" s="7">
        <v>0.50759799999999999</v>
      </c>
      <c r="AR881" s="7">
        <v>50.759821000000002</v>
      </c>
      <c r="AS881" s="7">
        <v>100</v>
      </c>
      <c r="AT881" s="7">
        <v>0.42890499999999998</v>
      </c>
      <c r="AU881" s="7">
        <v>0.60677599999999998</v>
      </c>
      <c r="AV881" s="7">
        <v>42.890520000000002</v>
      </c>
      <c r="AW881" s="7">
        <v>100</v>
      </c>
      <c r="AX881" s="7">
        <v>0.45141100000000001</v>
      </c>
      <c r="AY881" s="7">
        <v>0.57568399999999997</v>
      </c>
      <c r="AZ881" s="7">
        <v>45.141060000000003</v>
      </c>
      <c r="BA881" s="7">
        <v>100</v>
      </c>
      <c r="BB881" s="7">
        <v>0.63393900000000003</v>
      </c>
      <c r="BC881" s="7">
        <v>31.696926000000001</v>
      </c>
      <c r="BD881" s="7">
        <v>50</v>
      </c>
      <c r="BE881" s="7">
        <v>0.56218900000000005</v>
      </c>
      <c r="BF881" s="7">
        <v>28.109453999999999</v>
      </c>
      <c r="BG881" s="7">
        <v>50</v>
      </c>
      <c r="BH881" s="7">
        <v>1</v>
      </c>
      <c r="BI881" s="7">
        <v>0.98484799999999995</v>
      </c>
      <c r="BJ881" s="7">
        <v>0.98918899999999998</v>
      </c>
      <c r="BK881" s="7">
        <v>0.97931000000000001</v>
      </c>
      <c r="BL881" s="7">
        <v>0.98484799999999995</v>
      </c>
      <c r="BM881" s="7">
        <v>0.98918899999999998</v>
      </c>
      <c r="BN881" s="7">
        <v>0.97931000000000001</v>
      </c>
      <c r="BO881" s="7">
        <v>0.93043500000000001</v>
      </c>
      <c r="BP881" s="7">
        <v>0.93939399999999995</v>
      </c>
      <c r="BQ881" s="7">
        <v>0.91836700000000004</v>
      </c>
      <c r="BR881" s="7">
        <v>9.6272999999999997E-2</v>
      </c>
      <c r="BS881" s="7">
        <v>40.745342000000001</v>
      </c>
      <c r="BT881" s="7">
        <v>50</v>
      </c>
      <c r="BU881" s="7">
        <v>0.144847</v>
      </c>
      <c r="BV881" s="7">
        <v>31.030640999999999</v>
      </c>
      <c r="BW881" s="7">
        <v>50</v>
      </c>
      <c r="BX881" s="4" t="s">
        <v>124</v>
      </c>
      <c r="BY881" s="4" t="s">
        <v>124</v>
      </c>
      <c r="BZ881" s="4" t="s">
        <v>124</v>
      </c>
      <c r="CA881" s="4" t="s">
        <v>124</v>
      </c>
      <c r="CB881" s="4" t="s">
        <v>124</v>
      </c>
      <c r="CC881" s="4" t="s">
        <v>124</v>
      </c>
      <c r="CD881" s="4" t="s">
        <v>124</v>
      </c>
      <c r="CE881" s="4" t="s">
        <v>124</v>
      </c>
      <c r="CF881" s="4" t="s">
        <v>124</v>
      </c>
      <c r="CG881" s="4" t="s">
        <v>124</v>
      </c>
      <c r="CH881" s="4" t="s">
        <v>124</v>
      </c>
      <c r="CI881" s="4" t="s">
        <v>124</v>
      </c>
      <c r="CJ881" s="4" t="s">
        <v>124</v>
      </c>
      <c r="CK881" s="4" t="s">
        <v>124</v>
      </c>
      <c r="CL881" s="4" t="s">
        <v>124</v>
      </c>
      <c r="CM881" s="4" t="s">
        <v>124</v>
      </c>
      <c r="CN881" s="4" t="s">
        <v>124</v>
      </c>
      <c r="CO881" s="4" t="s">
        <v>124</v>
      </c>
      <c r="CP881" s="4" t="s">
        <v>124</v>
      </c>
      <c r="CQ881" s="7">
        <v>0.43157899999999999</v>
      </c>
      <c r="CR881" s="7">
        <v>0.86363599999999996</v>
      </c>
      <c r="CS881" s="7">
        <v>14.385965000000001</v>
      </c>
      <c r="CT881" s="7">
        <v>50</v>
      </c>
      <c r="CU881" s="4" t="s">
        <v>124</v>
      </c>
      <c r="CV881" s="4" t="s">
        <v>124</v>
      </c>
      <c r="CW881" s="4" t="s">
        <v>124</v>
      </c>
      <c r="CX881" s="4" t="s">
        <v>124</v>
      </c>
      <c r="CY881" s="4" t="s">
        <v>124</v>
      </c>
      <c r="CZ881" s="4" t="s">
        <v>124</v>
      </c>
      <c r="DA881" s="7">
        <v>15.314097</v>
      </c>
      <c r="DB881" s="7">
        <v>17.400950000000002</v>
      </c>
      <c r="DC881" s="7">
        <v>16.332519999999999</v>
      </c>
      <c r="DD881" s="4" t="s">
        <v>124</v>
      </c>
      <c r="DE881" s="7">
        <v>1</v>
      </c>
      <c r="DF881" s="6"/>
      <c r="DG881" s="6"/>
      <c r="DH881" s="6"/>
      <c r="DI881" s="6"/>
      <c r="DJ881" s="7">
        <v>0</v>
      </c>
      <c r="DK881" s="7">
        <v>0</v>
      </c>
      <c r="DL881" s="7">
        <v>0</v>
      </c>
      <c r="DM881" s="7">
        <v>0</v>
      </c>
      <c r="DN881" s="7">
        <v>0</v>
      </c>
      <c r="DO881" s="7">
        <v>0</v>
      </c>
      <c r="DP881" s="6"/>
      <c r="DQ881" s="4" t="s">
        <v>125</v>
      </c>
    </row>
    <row r="882" spans="1:121" ht="20" customHeight="1" x14ac:dyDescent="0.15">
      <c r="A882" s="5">
        <v>2018</v>
      </c>
      <c r="B882" s="3" t="s">
        <v>287</v>
      </c>
      <c r="C882" s="4" t="str">
        <f t="shared" si="253"/>
        <v>1350011</v>
      </c>
      <c r="D882" s="4" t="s">
        <v>1034</v>
      </c>
      <c r="E882" s="4" t="str">
        <f>"1355811"</f>
        <v>1355811</v>
      </c>
      <c r="F882" s="4" t="s">
        <v>327</v>
      </c>
      <c r="G882" s="7">
        <v>6</v>
      </c>
      <c r="H882" s="7">
        <v>8</v>
      </c>
      <c r="I882" s="6"/>
      <c r="J882" s="4" t="s">
        <v>330</v>
      </c>
      <c r="K882" s="7">
        <v>564.09853399999997</v>
      </c>
      <c r="L882" s="7">
        <v>1000</v>
      </c>
      <c r="M882" s="7">
        <v>56.409852999999998</v>
      </c>
      <c r="N882" s="7">
        <v>3</v>
      </c>
      <c r="O882" s="7">
        <v>1</v>
      </c>
      <c r="P882" s="7">
        <v>58.924357999999998</v>
      </c>
      <c r="Q882" s="7">
        <v>39.282905</v>
      </c>
      <c r="R882" s="7">
        <v>50</v>
      </c>
      <c r="S882" s="7">
        <v>53.425319000000002</v>
      </c>
      <c r="T882" s="7">
        <v>72.810818999999995</v>
      </c>
      <c r="U882" s="7">
        <v>35.616878999999997</v>
      </c>
      <c r="V882" s="7">
        <v>50</v>
      </c>
      <c r="W882" s="7">
        <v>53.771503000000003</v>
      </c>
      <c r="X882" s="7">
        <v>35.847669000000003</v>
      </c>
      <c r="Y882" s="7">
        <v>50</v>
      </c>
      <c r="Z882" s="7">
        <v>68.993538999999998</v>
      </c>
      <c r="AA882" s="7">
        <v>47.731496999999997</v>
      </c>
      <c r="AB882" s="7">
        <v>31.820997999999999</v>
      </c>
      <c r="AC882" s="7">
        <v>50</v>
      </c>
      <c r="AD882" s="7">
        <v>54.196010999999999</v>
      </c>
      <c r="AE882" s="7">
        <v>36.130673999999999</v>
      </c>
      <c r="AF882" s="7">
        <v>50</v>
      </c>
      <c r="AG882" s="7">
        <v>49.781402999999997</v>
      </c>
      <c r="AH882" s="7">
        <v>64.947720000000004</v>
      </c>
      <c r="AI882" s="7">
        <v>33.187601999999998</v>
      </c>
      <c r="AJ882" s="7">
        <v>50</v>
      </c>
      <c r="AK882" s="7">
        <v>19.38</v>
      </c>
      <c r="AL882" s="7">
        <v>21.26</v>
      </c>
      <c r="AM882" s="7">
        <v>15.16</v>
      </c>
      <c r="AN882" s="7">
        <v>0.46751300000000001</v>
      </c>
      <c r="AO882" s="7">
        <v>46.751331</v>
      </c>
      <c r="AP882" s="7">
        <v>100</v>
      </c>
      <c r="AQ882" s="7">
        <v>0.504853</v>
      </c>
      <c r="AR882" s="7">
        <v>50.485298</v>
      </c>
      <c r="AS882" s="7">
        <v>100</v>
      </c>
      <c r="AT882" s="7">
        <v>0.44863799999999998</v>
      </c>
      <c r="AU882" s="7">
        <v>0.51296799999999998</v>
      </c>
      <c r="AV882" s="7">
        <v>44.863791999999997</v>
      </c>
      <c r="AW882" s="7">
        <v>100</v>
      </c>
      <c r="AX882" s="7">
        <v>0.47723700000000002</v>
      </c>
      <c r="AY882" s="7">
        <v>0.571357</v>
      </c>
      <c r="AZ882" s="7">
        <v>47.723685000000003</v>
      </c>
      <c r="BA882" s="7">
        <v>100</v>
      </c>
      <c r="BB882" s="7">
        <v>0.48402000000000001</v>
      </c>
      <c r="BC882" s="7">
        <v>24.201011999999999</v>
      </c>
      <c r="BD882" s="7">
        <v>50</v>
      </c>
      <c r="BE882" s="7">
        <v>0.60491499999999998</v>
      </c>
      <c r="BF882" s="7">
        <v>30.245739</v>
      </c>
      <c r="BG882" s="7">
        <v>50</v>
      </c>
      <c r="BH882" s="7">
        <v>0</v>
      </c>
      <c r="BI882" s="7">
        <v>0.97509800000000002</v>
      </c>
      <c r="BJ882" s="7">
        <v>0.97472899999999996</v>
      </c>
      <c r="BK882" s="7">
        <v>0.97607699999999997</v>
      </c>
      <c r="BL882" s="7">
        <v>0.97382199999999997</v>
      </c>
      <c r="BM882" s="7">
        <v>0.97297299999999998</v>
      </c>
      <c r="BN882" s="7">
        <v>0.97607699999999997</v>
      </c>
      <c r="BO882" s="7">
        <v>0.96610200000000002</v>
      </c>
      <c r="BP882" s="7">
        <v>0.96511599999999997</v>
      </c>
      <c r="BQ882" s="7">
        <v>0.96875</v>
      </c>
      <c r="BR882" s="7">
        <v>0.16513800000000001</v>
      </c>
      <c r="BS882" s="7">
        <v>26.972477000000001</v>
      </c>
      <c r="BT882" s="7">
        <v>50</v>
      </c>
      <c r="BU882" s="7">
        <v>0.19489999999999999</v>
      </c>
      <c r="BV882" s="7">
        <v>21.020036000000001</v>
      </c>
      <c r="BW882" s="7">
        <v>50</v>
      </c>
      <c r="BX882" s="4" t="s">
        <v>124</v>
      </c>
      <c r="BY882" s="4" t="s">
        <v>124</v>
      </c>
      <c r="BZ882" s="4" t="s">
        <v>124</v>
      </c>
      <c r="CA882" s="4" t="s">
        <v>124</v>
      </c>
      <c r="CB882" s="4" t="s">
        <v>124</v>
      </c>
      <c r="CC882" s="4" t="s">
        <v>124</v>
      </c>
      <c r="CD882" s="7">
        <v>0.85596700000000003</v>
      </c>
      <c r="CE882" s="7">
        <v>45.530163999999999</v>
      </c>
      <c r="CF882" s="7">
        <v>50</v>
      </c>
      <c r="CG882" s="4" t="s">
        <v>124</v>
      </c>
      <c r="CH882" s="4" t="s">
        <v>124</v>
      </c>
      <c r="CI882" s="4" t="s">
        <v>124</v>
      </c>
      <c r="CJ882" s="4" t="s">
        <v>124</v>
      </c>
      <c r="CK882" s="4" t="s">
        <v>124</v>
      </c>
      <c r="CL882" s="4" t="s">
        <v>124</v>
      </c>
      <c r="CM882" s="4" t="s">
        <v>124</v>
      </c>
      <c r="CN882" s="4" t="s">
        <v>124</v>
      </c>
      <c r="CO882" s="4" t="s">
        <v>124</v>
      </c>
      <c r="CP882" s="4" t="s">
        <v>124</v>
      </c>
      <c r="CQ882" s="7">
        <v>0.21627399999999999</v>
      </c>
      <c r="CR882" s="7">
        <v>0.910331</v>
      </c>
      <c r="CS882" s="7">
        <v>14.418272999999999</v>
      </c>
      <c r="CT882" s="7">
        <v>50</v>
      </c>
      <c r="CU882" s="4" t="s">
        <v>124</v>
      </c>
      <c r="CV882" s="4" t="s">
        <v>124</v>
      </c>
      <c r="CW882" s="4" t="s">
        <v>124</v>
      </c>
      <c r="CX882" s="4" t="s">
        <v>124</v>
      </c>
      <c r="CY882" s="4" t="s">
        <v>124</v>
      </c>
      <c r="CZ882" s="4" t="s">
        <v>124</v>
      </c>
      <c r="DA882" s="7">
        <v>15.314097</v>
      </c>
      <c r="DB882" s="7">
        <v>17.400950000000002</v>
      </c>
      <c r="DC882" s="7">
        <v>16.332519999999999</v>
      </c>
      <c r="DD882" s="4" t="s">
        <v>124</v>
      </c>
      <c r="DE882" s="7">
        <v>1</v>
      </c>
      <c r="DF882" s="6"/>
      <c r="DG882" s="6"/>
      <c r="DH882" s="6"/>
      <c r="DI882" s="6"/>
      <c r="DJ882" s="7">
        <v>0</v>
      </c>
      <c r="DK882" s="7">
        <v>0</v>
      </c>
      <c r="DL882" s="7">
        <v>0</v>
      </c>
      <c r="DM882" s="7">
        <v>0</v>
      </c>
      <c r="DN882" s="7">
        <v>0</v>
      </c>
      <c r="DO882" s="7">
        <v>0</v>
      </c>
      <c r="DP882" s="6"/>
      <c r="DQ882" s="4" t="s">
        <v>125</v>
      </c>
    </row>
    <row r="883" spans="1:121" ht="20" customHeight="1" x14ac:dyDescent="0.15">
      <c r="A883" s="5">
        <v>2018</v>
      </c>
      <c r="B883" s="3" t="s">
        <v>287</v>
      </c>
      <c r="C883" s="4" t="str">
        <f t="shared" si="253"/>
        <v>1350011</v>
      </c>
      <c r="D883" s="4" t="s">
        <v>1035</v>
      </c>
      <c r="E883" s="4" t="str">
        <f>"1350811"</f>
        <v>1350811</v>
      </c>
      <c r="F883" s="4" t="s">
        <v>327</v>
      </c>
      <c r="G883" s="4" t="s">
        <v>338</v>
      </c>
      <c r="H883" s="7">
        <v>8</v>
      </c>
      <c r="I883" s="6"/>
      <c r="J883" s="4" t="s">
        <v>330</v>
      </c>
      <c r="K883" s="7">
        <v>737.43226400000003</v>
      </c>
      <c r="L883" s="7">
        <v>1000</v>
      </c>
      <c r="M883" s="7">
        <v>73.743226000000007</v>
      </c>
      <c r="N883" s="7">
        <v>3</v>
      </c>
      <c r="O883" s="7">
        <v>0</v>
      </c>
      <c r="P883" s="7">
        <v>73.061774</v>
      </c>
      <c r="Q883" s="7">
        <v>48.707849000000003</v>
      </c>
      <c r="R883" s="7">
        <v>50</v>
      </c>
      <c r="S883" s="7">
        <v>62.636311999999997</v>
      </c>
      <c r="T883" s="7">
        <v>75</v>
      </c>
      <c r="U883" s="7">
        <v>41.757542000000001</v>
      </c>
      <c r="V883" s="7">
        <v>50</v>
      </c>
      <c r="W883" s="7">
        <v>70.819214000000002</v>
      </c>
      <c r="X883" s="7">
        <v>47.212809</v>
      </c>
      <c r="Y883" s="7">
        <v>50</v>
      </c>
      <c r="Z883" s="7">
        <v>75</v>
      </c>
      <c r="AA883" s="7">
        <v>59.914231000000001</v>
      </c>
      <c r="AB883" s="7">
        <v>39.942821000000002</v>
      </c>
      <c r="AC883" s="7">
        <v>50</v>
      </c>
      <c r="AD883" s="7">
        <v>69.571111000000002</v>
      </c>
      <c r="AE883" s="7">
        <v>46.380741</v>
      </c>
      <c r="AF883" s="7">
        <v>50</v>
      </c>
      <c r="AG883" s="7">
        <v>59.870002999999997</v>
      </c>
      <c r="AH883" s="7">
        <v>75</v>
      </c>
      <c r="AI883" s="7">
        <v>39.913334999999996</v>
      </c>
      <c r="AJ883" s="7">
        <v>50</v>
      </c>
      <c r="AK883" s="7">
        <v>12.36</v>
      </c>
      <c r="AL883" s="7">
        <v>15.08</v>
      </c>
      <c r="AM883" s="7">
        <v>15.12</v>
      </c>
      <c r="AN883" s="7">
        <v>0.63037399999999999</v>
      </c>
      <c r="AO883" s="7">
        <v>63.037373000000002</v>
      </c>
      <c r="AP883" s="7">
        <v>100</v>
      </c>
      <c r="AQ883" s="7">
        <v>0.66336399999999995</v>
      </c>
      <c r="AR883" s="7">
        <v>66.336408000000006</v>
      </c>
      <c r="AS883" s="7">
        <v>100</v>
      </c>
      <c r="AT883" s="7">
        <v>0.55121500000000001</v>
      </c>
      <c r="AU883" s="7">
        <v>0.698125</v>
      </c>
      <c r="AV883" s="7">
        <v>55.121543000000003</v>
      </c>
      <c r="AW883" s="7">
        <v>100</v>
      </c>
      <c r="AX883" s="7">
        <v>0.56276499999999996</v>
      </c>
      <c r="AY883" s="7">
        <v>0.74984399999999996</v>
      </c>
      <c r="AZ883" s="7">
        <v>56.276482000000001</v>
      </c>
      <c r="BA883" s="7">
        <v>100</v>
      </c>
      <c r="BB883" s="7">
        <v>0.72495900000000002</v>
      </c>
      <c r="BC883" s="7">
        <v>36.247934999999998</v>
      </c>
      <c r="BD883" s="7">
        <v>50</v>
      </c>
      <c r="BE883" s="7">
        <v>0.452816</v>
      </c>
      <c r="BF883" s="7">
        <v>22.640816999999998</v>
      </c>
      <c r="BG883" s="7">
        <v>50</v>
      </c>
      <c r="BH883" s="7">
        <v>1</v>
      </c>
      <c r="BI883" s="7">
        <v>0.98130799999999996</v>
      </c>
      <c r="BJ883" s="7">
        <v>0.97647099999999998</v>
      </c>
      <c r="BK883" s="7">
        <v>0.98571399999999998</v>
      </c>
      <c r="BL883" s="7">
        <v>0.97943899999999995</v>
      </c>
      <c r="BM883" s="7">
        <v>0.97647099999999998</v>
      </c>
      <c r="BN883" s="7">
        <v>0.98214299999999999</v>
      </c>
      <c r="BO883" s="7">
        <v>0.97142899999999999</v>
      </c>
      <c r="BP883" s="7">
        <v>0.94318199999999996</v>
      </c>
      <c r="BQ883" s="7">
        <v>1</v>
      </c>
      <c r="BR883" s="7">
        <v>3.3624000000000001E-2</v>
      </c>
      <c r="BS883" s="7">
        <v>50</v>
      </c>
      <c r="BT883" s="7">
        <v>50</v>
      </c>
      <c r="BU883" s="7">
        <v>4.5455000000000002E-2</v>
      </c>
      <c r="BV883" s="7">
        <v>50</v>
      </c>
      <c r="BW883" s="7">
        <v>50</v>
      </c>
      <c r="BX883" s="4" t="s">
        <v>124</v>
      </c>
      <c r="BY883" s="4" t="s">
        <v>124</v>
      </c>
      <c r="BZ883" s="4" t="s">
        <v>124</v>
      </c>
      <c r="CA883" s="4" t="s">
        <v>124</v>
      </c>
      <c r="CB883" s="4" t="s">
        <v>124</v>
      </c>
      <c r="CC883" s="4" t="s">
        <v>124</v>
      </c>
      <c r="CD883" s="7">
        <v>0.93055600000000005</v>
      </c>
      <c r="CE883" s="7">
        <v>49.497636</v>
      </c>
      <c r="CF883" s="7">
        <v>50</v>
      </c>
      <c r="CG883" s="4" t="s">
        <v>124</v>
      </c>
      <c r="CH883" s="4" t="s">
        <v>124</v>
      </c>
      <c r="CI883" s="4" t="s">
        <v>124</v>
      </c>
      <c r="CJ883" s="4" t="s">
        <v>124</v>
      </c>
      <c r="CK883" s="4" t="s">
        <v>124</v>
      </c>
      <c r="CL883" s="4" t="s">
        <v>124</v>
      </c>
      <c r="CM883" s="4" t="s">
        <v>124</v>
      </c>
      <c r="CN883" s="4" t="s">
        <v>124</v>
      </c>
      <c r="CO883" s="4" t="s">
        <v>124</v>
      </c>
      <c r="CP883" s="4" t="s">
        <v>124</v>
      </c>
      <c r="CQ883" s="7">
        <v>0.36538500000000002</v>
      </c>
      <c r="CR883" s="7">
        <v>0.981132</v>
      </c>
      <c r="CS883" s="7">
        <v>24.358974</v>
      </c>
      <c r="CT883" s="7">
        <v>50</v>
      </c>
      <c r="CU883" s="4" t="s">
        <v>124</v>
      </c>
      <c r="CV883" s="4" t="s">
        <v>124</v>
      </c>
      <c r="CW883" s="4" t="s">
        <v>124</v>
      </c>
      <c r="CX883" s="4" t="s">
        <v>124</v>
      </c>
      <c r="CY883" s="4" t="s">
        <v>124</v>
      </c>
      <c r="CZ883" s="4" t="s">
        <v>124</v>
      </c>
      <c r="DA883" s="7">
        <v>15.314097</v>
      </c>
      <c r="DB883" s="7">
        <v>17.400950000000002</v>
      </c>
      <c r="DC883" s="7">
        <v>16.332519999999999</v>
      </c>
      <c r="DD883" s="4" t="s">
        <v>124</v>
      </c>
      <c r="DE883" s="7">
        <v>1</v>
      </c>
      <c r="DF883" s="6"/>
      <c r="DG883" s="6"/>
      <c r="DH883" s="6"/>
      <c r="DI883" s="6"/>
      <c r="DJ883" s="7">
        <v>0</v>
      </c>
      <c r="DK883" s="7">
        <v>0</v>
      </c>
      <c r="DL883" s="7">
        <v>0</v>
      </c>
      <c r="DM883" s="7">
        <v>0</v>
      </c>
      <c r="DN883" s="7">
        <v>0</v>
      </c>
      <c r="DO883" s="7">
        <v>0</v>
      </c>
      <c r="DP883" s="6"/>
      <c r="DQ883" s="4" t="s">
        <v>125</v>
      </c>
    </row>
    <row r="884" spans="1:121" ht="20" customHeight="1" x14ac:dyDescent="0.15">
      <c r="A884" s="5">
        <v>2018</v>
      </c>
      <c r="B884" s="3" t="s">
        <v>287</v>
      </c>
      <c r="C884" s="4" t="str">
        <f t="shared" si="253"/>
        <v>1350011</v>
      </c>
      <c r="D884" s="4" t="s">
        <v>1036</v>
      </c>
      <c r="E884" s="4" t="str">
        <f>"1350911"</f>
        <v>1350911</v>
      </c>
      <c r="F884" s="4" t="s">
        <v>327</v>
      </c>
      <c r="G884" s="4" t="s">
        <v>328</v>
      </c>
      <c r="H884" s="7">
        <v>5</v>
      </c>
      <c r="I884" s="4" t="s">
        <v>335</v>
      </c>
      <c r="J884" s="4" t="s">
        <v>330</v>
      </c>
      <c r="K884" s="7">
        <v>626.46247900000003</v>
      </c>
      <c r="L884" s="7">
        <v>950</v>
      </c>
      <c r="M884" s="7">
        <v>65.943419000000006</v>
      </c>
      <c r="N884" s="7">
        <v>3</v>
      </c>
      <c r="O884" s="7">
        <v>1</v>
      </c>
      <c r="P884" s="7">
        <v>65.271377000000001</v>
      </c>
      <c r="Q884" s="7">
        <v>43.514251000000002</v>
      </c>
      <c r="R884" s="7">
        <v>50</v>
      </c>
      <c r="S884" s="7">
        <v>58.700972999999998</v>
      </c>
      <c r="T884" s="7">
        <v>75</v>
      </c>
      <c r="U884" s="7">
        <v>39.133982000000003</v>
      </c>
      <c r="V884" s="7">
        <v>50</v>
      </c>
      <c r="W884" s="7">
        <v>60.725225000000002</v>
      </c>
      <c r="X884" s="7">
        <v>40.483483999999997</v>
      </c>
      <c r="Y884" s="7">
        <v>50</v>
      </c>
      <c r="Z884" s="7">
        <v>75</v>
      </c>
      <c r="AA884" s="7">
        <v>54.425756</v>
      </c>
      <c r="AB884" s="7">
        <v>36.283838000000003</v>
      </c>
      <c r="AC884" s="7">
        <v>50</v>
      </c>
      <c r="AD884" s="7">
        <v>60.894900999999997</v>
      </c>
      <c r="AE884" s="7">
        <v>40.596601</v>
      </c>
      <c r="AF884" s="7">
        <v>50</v>
      </c>
      <c r="AG884" s="7">
        <v>56.726882000000003</v>
      </c>
      <c r="AH884" s="4" t="s">
        <v>124</v>
      </c>
      <c r="AI884" s="7">
        <v>37.817920999999998</v>
      </c>
      <c r="AJ884" s="7">
        <v>50</v>
      </c>
      <c r="AK884" s="7">
        <v>16.29</v>
      </c>
      <c r="AL884" s="7">
        <v>20.57</v>
      </c>
      <c r="AM884" s="4" t="s">
        <v>124</v>
      </c>
      <c r="AN884" s="7">
        <v>0.63206600000000002</v>
      </c>
      <c r="AO884" s="7">
        <v>63.206639000000003</v>
      </c>
      <c r="AP884" s="7">
        <v>100</v>
      </c>
      <c r="AQ884" s="7">
        <v>0.56596599999999997</v>
      </c>
      <c r="AR884" s="7">
        <v>56.596643999999998</v>
      </c>
      <c r="AS884" s="7">
        <v>100</v>
      </c>
      <c r="AT884" s="7">
        <v>0.59595200000000004</v>
      </c>
      <c r="AU884" s="7">
        <v>0.72160000000000002</v>
      </c>
      <c r="AV884" s="7">
        <v>59.595191</v>
      </c>
      <c r="AW884" s="7">
        <v>100</v>
      </c>
      <c r="AX884" s="7">
        <v>0.50499799999999995</v>
      </c>
      <c r="AY884" s="7">
        <v>0.71711800000000003</v>
      </c>
      <c r="AZ884" s="7">
        <v>50.499758999999997</v>
      </c>
      <c r="BA884" s="7">
        <v>100</v>
      </c>
      <c r="BB884" s="7">
        <v>0.67449300000000001</v>
      </c>
      <c r="BC884" s="7">
        <v>33.724670000000003</v>
      </c>
      <c r="BD884" s="7">
        <v>50</v>
      </c>
      <c r="BE884" s="7">
        <v>0.62342799999999998</v>
      </c>
      <c r="BF884" s="7">
        <v>31.171395</v>
      </c>
      <c r="BG884" s="7">
        <v>50</v>
      </c>
      <c r="BH884" s="7">
        <v>0</v>
      </c>
      <c r="BI884" s="7">
        <v>1</v>
      </c>
      <c r="BJ884" s="7">
        <v>1</v>
      </c>
      <c r="BK884" s="7">
        <v>1</v>
      </c>
      <c r="BL884" s="7">
        <v>1</v>
      </c>
      <c r="BM884" s="7">
        <v>1</v>
      </c>
      <c r="BN884" s="7">
        <v>1</v>
      </c>
      <c r="BO884" s="7">
        <v>1</v>
      </c>
      <c r="BP884" s="7">
        <v>1</v>
      </c>
      <c r="BQ884" s="4" t="s">
        <v>124</v>
      </c>
      <c r="BR884" s="7">
        <v>9.6831E-2</v>
      </c>
      <c r="BS884" s="7">
        <v>40.633803</v>
      </c>
      <c r="BT884" s="7">
        <v>50</v>
      </c>
      <c r="BU884" s="7">
        <v>0.12</v>
      </c>
      <c r="BV884" s="7">
        <v>36</v>
      </c>
      <c r="BW884" s="7">
        <v>50</v>
      </c>
      <c r="BX884" s="4" t="s">
        <v>124</v>
      </c>
      <c r="BY884" s="4" t="s">
        <v>124</v>
      </c>
      <c r="BZ884" s="4" t="s">
        <v>124</v>
      </c>
      <c r="CA884" s="4" t="s">
        <v>124</v>
      </c>
      <c r="CB884" s="4" t="s">
        <v>124</v>
      </c>
      <c r="CC884" s="4" t="s">
        <v>124</v>
      </c>
      <c r="CD884" s="4" t="s">
        <v>124</v>
      </c>
      <c r="CE884" s="4" t="s">
        <v>124</v>
      </c>
      <c r="CF884" s="4" t="s">
        <v>124</v>
      </c>
      <c r="CG884" s="4" t="s">
        <v>124</v>
      </c>
      <c r="CH884" s="4" t="s">
        <v>124</v>
      </c>
      <c r="CI884" s="4" t="s">
        <v>124</v>
      </c>
      <c r="CJ884" s="4" t="s">
        <v>124</v>
      </c>
      <c r="CK884" s="4" t="s">
        <v>124</v>
      </c>
      <c r="CL884" s="4" t="s">
        <v>124</v>
      </c>
      <c r="CM884" s="4" t="s">
        <v>124</v>
      </c>
      <c r="CN884" s="4" t="s">
        <v>124</v>
      </c>
      <c r="CO884" s="4" t="s">
        <v>124</v>
      </c>
      <c r="CP884" s="4" t="s">
        <v>124</v>
      </c>
      <c r="CQ884" s="7">
        <v>0.25806499999999999</v>
      </c>
      <c r="CR884" s="7">
        <v>0.98936199999999996</v>
      </c>
      <c r="CS884" s="7">
        <v>17.204301000000001</v>
      </c>
      <c r="CT884" s="7">
        <v>50</v>
      </c>
      <c r="CU884" s="4" t="s">
        <v>124</v>
      </c>
      <c r="CV884" s="4" t="s">
        <v>124</v>
      </c>
      <c r="CW884" s="4" t="s">
        <v>124</v>
      </c>
      <c r="CX884" s="4" t="s">
        <v>124</v>
      </c>
      <c r="CY884" s="4" t="s">
        <v>124</v>
      </c>
      <c r="CZ884" s="4" t="s">
        <v>124</v>
      </c>
      <c r="DA884" s="7">
        <v>15.314097</v>
      </c>
      <c r="DB884" s="7">
        <v>17.400950000000002</v>
      </c>
      <c r="DC884" s="7">
        <v>16.332519999999999</v>
      </c>
      <c r="DD884" s="4" t="s">
        <v>124</v>
      </c>
      <c r="DE884" s="7">
        <v>1</v>
      </c>
      <c r="DF884" s="6"/>
      <c r="DG884" s="6"/>
      <c r="DH884" s="6"/>
      <c r="DI884" s="6"/>
      <c r="DJ884" s="7">
        <v>0</v>
      </c>
      <c r="DK884" s="7">
        <v>0</v>
      </c>
      <c r="DL884" s="7">
        <v>0</v>
      </c>
      <c r="DM884" s="7">
        <v>0</v>
      </c>
      <c r="DN884" s="7">
        <v>0</v>
      </c>
      <c r="DO884" s="7">
        <v>0</v>
      </c>
      <c r="DP884" s="6"/>
      <c r="DQ884" s="4" t="s">
        <v>125</v>
      </c>
    </row>
    <row r="885" spans="1:121" ht="20" customHeight="1" x14ac:dyDescent="0.15">
      <c r="A885" s="5">
        <v>2018</v>
      </c>
      <c r="B885" s="3" t="s">
        <v>287</v>
      </c>
      <c r="C885" s="4" t="str">
        <f t="shared" si="253"/>
        <v>1350011</v>
      </c>
      <c r="D885" s="4" t="s">
        <v>1037</v>
      </c>
      <c r="E885" s="4" t="str">
        <f>"1355711"</f>
        <v>1355711</v>
      </c>
      <c r="F885" s="4" t="s">
        <v>327</v>
      </c>
      <c r="G885" s="7">
        <v>6</v>
      </c>
      <c r="H885" s="7">
        <v>8</v>
      </c>
      <c r="I885" s="6"/>
      <c r="J885" s="4" t="s">
        <v>330</v>
      </c>
      <c r="K885" s="7">
        <v>698.11268500000006</v>
      </c>
      <c r="L885" s="7">
        <v>1000</v>
      </c>
      <c r="M885" s="7">
        <v>69.811267999999998</v>
      </c>
      <c r="N885" s="7">
        <v>3</v>
      </c>
      <c r="O885" s="7">
        <v>0</v>
      </c>
      <c r="P885" s="7">
        <v>71.857975999999994</v>
      </c>
      <c r="Q885" s="7">
        <v>47.905316999999997</v>
      </c>
      <c r="R885" s="7">
        <v>50</v>
      </c>
      <c r="S885" s="7">
        <v>64.647383000000005</v>
      </c>
      <c r="T885" s="7">
        <v>75</v>
      </c>
      <c r="U885" s="7">
        <v>43.098255999999999</v>
      </c>
      <c r="V885" s="7">
        <v>50</v>
      </c>
      <c r="W885" s="7">
        <v>66.467650000000006</v>
      </c>
      <c r="X885" s="7">
        <v>44.311765999999999</v>
      </c>
      <c r="Y885" s="7">
        <v>50</v>
      </c>
      <c r="Z885" s="7">
        <v>75</v>
      </c>
      <c r="AA885" s="7">
        <v>58.818615000000001</v>
      </c>
      <c r="AB885" s="7">
        <v>39.212409999999998</v>
      </c>
      <c r="AC885" s="7">
        <v>50</v>
      </c>
      <c r="AD885" s="7">
        <v>68.865899999999996</v>
      </c>
      <c r="AE885" s="7">
        <v>45.910600000000002</v>
      </c>
      <c r="AF885" s="7">
        <v>50</v>
      </c>
      <c r="AG885" s="7">
        <v>62.748767999999998</v>
      </c>
      <c r="AH885" s="7">
        <v>75</v>
      </c>
      <c r="AI885" s="7">
        <v>41.832512000000001</v>
      </c>
      <c r="AJ885" s="7">
        <v>50</v>
      </c>
      <c r="AK885" s="7">
        <v>10.35</v>
      </c>
      <c r="AL885" s="7">
        <v>16.18</v>
      </c>
      <c r="AM885" s="7">
        <v>12.25</v>
      </c>
      <c r="AN885" s="7">
        <v>0.56882900000000003</v>
      </c>
      <c r="AO885" s="7">
        <v>56.882944999999999</v>
      </c>
      <c r="AP885" s="7">
        <v>100</v>
      </c>
      <c r="AQ885" s="7">
        <v>0.504965</v>
      </c>
      <c r="AR885" s="7">
        <v>50.496516999999997</v>
      </c>
      <c r="AS885" s="7">
        <v>100</v>
      </c>
      <c r="AT885" s="7">
        <v>0.52410400000000001</v>
      </c>
      <c r="AU885" s="7">
        <v>0.63009400000000004</v>
      </c>
      <c r="AV885" s="7">
        <v>52.410429000000001</v>
      </c>
      <c r="AW885" s="7">
        <v>100</v>
      </c>
      <c r="AX885" s="7">
        <v>0.44299699999999997</v>
      </c>
      <c r="AY885" s="7">
        <v>0.590171</v>
      </c>
      <c r="AZ885" s="7">
        <v>44.299728999999999</v>
      </c>
      <c r="BA885" s="7">
        <v>100</v>
      </c>
      <c r="BB885" s="7">
        <v>0.67668600000000001</v>
      </c>
      <c r="BC885" s="7">
        <v>33.834277999999998</v>
      </c>
      <c r="BD885" s="7">
        <v>50</v>
      </c>
      <c r="BE885" s="7">
        <v>0.62443000000000004</v>
      </c>
      <c r="BF885" s="7">
        <v>31.221478000000001</v>
      </c>
      <c r="BG885" s="7">
        <v>50</v>
      </c>
      <c r="BH885" s="7">
        <v>0</v>
      </c>
      <c r="BI885" s="7">
        <v>0.995313</v>
      </c>
      <c r="BJ885" s="7">
        <v>0.99466699999999997</v>
      </c>
      <c r="BK885" s="7">
        <v>0.99622599999999994</v>
      </c>
      <c r="BL885" s="7">
        <v>0.995313</v>
      </c>
      <c r="BM885" s="7">
        <v>0.99466699999999997</v>
      </c>
      <c r="BN885" s="7">
        <v>0.99622599999999994</v>
      </c>
      <c r="BO885" s="7">
        <v>0.99043099999999995</v>
      </c>
      <c r="BP885" s="7">
        <v>0.98347099999999998</v>
      </c>
      <c r="BQ885" s="7">
        <v>1</v>
      </c>
      <c r="BR885" s="7">
        <v>4.6875E-2</v>
      </c>
      <c r="BS885" s="7">
        <v>50</v>
      </c>
      <c r="BT885" s="7">
        <v>50</v>
      </c>
      <c r="BU885" s="7">
        <v>5.7221000000000001E-2</v>
      </c>
      <c r="BV885" s="7">
        <v>48.555858000000001</v>
      </c>
      <c r="BW885" s="7">
        <v>50</v>
      </c>
      <c r="BX885" s="4" t="s">
        <v>124</v>
      </c>
      <c r="BY885" s="4" t="s">
        <v>124</v>
      </c>
      <c r="BZ885" s="4" t="s">
        <v>124</v>
      </c>
      <c r="CA885" s="4" t="s">
        <v>124</v>
      </c>
      <c r="CB885" s="4" t="s">
        <v>124</v>
      </c>
      <c r="CC885" s="4" t="s">
        <v>124</v>
      </c>
      <c r="CD885" s="7">
        <v>0.954955</v>
      </c>
      <c r="CE885" s="7">
        <v>50</v>
      </c>
      <c r="CF885" s="7">
        <v>50</v>
      </c>
      <c r="CG885" s="4" t="s">
        <v>124</v>
      </c>
      <c r="CH885" s="4" t="s">
        <v>124</v>
      </c>
      <c r="CI885" s="4" t="s">
        <v>124</v>
      </c>
      <c r="CJ885" s="4" t="s">
        <v>124</v>
      </c>
      <c r="CK885" s="4" t="s">
        <v>124</v>
      </c>
      <c r="CL885" s="4" t="s">
        <v>124</v>
      </c>
      <c r="CM885" s="4" t="s">
        <v>124</v>
      </c>
      <c r="CN885" s="4" t="s">
        <v>124</v>
      </c>
      <c r="CO885" s="4" t="s">
        <v>124</v>
      </c>
      <c r="CP885" s="4" t="s">
        <v>124</v>
      </c>
      <c r="CQ885" s="7">
        <v>0.27210899999999999</v>
      </c>
      <c r="CR885" s="7">
        <v>0.99324299999999999</v>
      </c>
      <c r="CS885" s="7">
        <v>18.14059</v>
      </c>
      <c r="CT885" s="7">
        <v>50</v>
      </c>
      <c r="CU885" s="4" t="s">
        <v>124</v>
      </c>
      <c r="CV885" s="4" t="s">
        <v>124</v>
      </c>
      <c r="CW885" s="4" t="s">
        <v>124</v>
      </c>
      <c r="CX885" s="4" t="s">
        <v>124</v>
      </c>
      <c r="CY885" s="4" t="s">
        <v>124</v>
      </c>
      <c r="CZ885" s="4" t="s">
        <v>124</v>
      </c>
      <c r="DA885" s="7">
        <v>15.314097</v>
      </c>
      <c r="DB885" s="7">
        <v>17.400950000000002</v>
      </c>
      <c r="DC885" s="7">
        <v>16.332519999999999</v>
      </c>
      <c r="DD885" s="4" t="s">
        <v>124</v>
      </c>
      <c r="DE885" s="7">
        <v>0</v>
      </c>
      <c r="DF885" s="6"/>
      <c r="DG885" s="6"/>
      <c r="DH885" s="6"/>
      <c r="DI885" s="6"/>
      <c r="DJ885" s="7">
        <v>0</v>
      </c>
      <c r="DK885" s="7">
        <v>0</v>
      </c>
      <c r="DL885" s="7">
        <v>0</v>
      </c>
      <c r="DM885" s="7">
        <v>0</v>
      </c>
      <c r="DN885" s="7">
        <v>0</v>
      </c>
      <c r="DO885" s="7">
        <v>0</v>
      </c>
      <c r="DP885" s="6"/>
      <c r="DQ885" s="4" t="s">
        <v>125</v>
      </c>
    </row>
    <row r="886" spans="1:121" ht="20" customHeight="1" x14ac:dyDescent="0.15">
      <c r="A886" s="5">
        <v>2018</v>
      </c>
      <c r="B886" s="3" t="s">
        <v>287</v>
      </c>
      <c r="C886" s="4" t="str">
        <f t="shared" si="253"/>
        <v>1350011</v>
      </c>
      <c r="D886" s="4" t="s">
        <v>1038</v>
      </c>
      <c r="E886" s="4" t="str">
        <f>"1351111"</f>
        <v>1351111</v>
      </c>
      <c r="F886" s="4" t="s">
        <v>327</v>
      </c>
      <c r="G886" s="4" t="s">
        <v>338</v>
      </c>
      <c r="H886" s="7">
        <v>5</v>
      </c>
      <c r="I886" s="4" t="s">
        <v>335</v>
      </c>
      <c r="J886" s="4" t="s">
        <v>330</v>
      </c>
      <c r="K886" s="7">
        <v>745.34469000000001</v>
      </c>
      <c r="L886" s="7">
        <v>950</v>
      </c>
      <c r="M886" s="7">
        <v>78.457335999999998</v>
      </c>
      <c r="N886" s="7">
        <v>2</v>
      </c>
      <c r="O886" s="7">
        <v>0</v>
      </c>
      <c r="P886" s="7">
        <v>67.767460999999997</v>
      </c>
      <c r="Q886" s="7">
        <v>45.178308000000001</v>
      </c>
      <c r="R886" s="7">
        <v>50</v>
      </c>
      <c r="S886" s="7">
        <v>62.101681999999997</v>
      </c>
      <c r="T886" s="7">
        <v>75</v>
      </c>
      <c r="U886" s="7">
        <v>41.401121000000003</v>
      </c>
      <c r="V886" s="7">
        <v>50</v>
      </c>
      <c r="W886" s="7">
        <v>68.403965999999997</v>
      </c>
      <c r="X886" s="7">
        <v>45.602643999999998</v>
      </c>
      <c r="Y886" s="7">
        <v>50</v>
      </c>
      <c r="Z886" s="7">
        <v>75</v>
      </c>
      <c r="AA886" s="7">
        <v>61.594031999999999</v>
      </c>
      <c r="AB886" s="7">
        <v>41.062688000000001</v>
      </c>
      <c r="AC886" s="7">
        <v>50</v>
      </c>
      <c r="AD886" s="7">
        <v>70.490544999999997</v>
      </c>
      <c r="AE886" s="7">
        <v>46.993696999999997</v>
      </c>
      <c r="AF886" s="7">
        <v>50</v>
      </c>
      <c r="AG886" s="7">
        <v>65.773296999999999</v>
      </c>
      <c r="AH886" s="7">
        <v>75</v>
      </c>
      <c r="AI886" s="7">
        <v>43.848865000000004</v>
      </c>
      <c r="AJ886" s="7">
        <v>50</v>
      </c>
      <c r="AK886" s="7">
        <v>12.89</v>
      </c>
      <c r="AL886" s="7">
        <v>13.4</v>
      </c>
      <c r="AM886" s="7">
        <v>9.2200000000000006</v>
      </c>
      <c r="AN886" s="7">
        <v>0.69008000000000003</v>
      </c>
      <c r="AO886" s="7">
        <v>69.008010999999996</v>
      </c>
      <c r="AP886" s="7">
        <v>100</v>
      </c>
      <c r="AQ886" s="7">
        <v>0.84976399999999996</v>
      </c>
      <c r="AR886" s="7">
        <v>84.976365999999999</v>
      </c>
      <c r="AS886" s="7">
        <v>100</v>
      </c>
      <c r="AT886" s="7">
        <v>0.66281199999999996</v>
      </c>
      <c r="AU886" s="7">
        <v>0.74341299999999999</v>
      </c>
      <c r="AV886" s="7">
        <v>66.281205</v>
      </c>
      <c r="AW886" s="7">
        <v>100</v>
      </c>
      <c r="AX886" s="7">
        <v>0.82432399999999995</v>
      </c>
      <c r="AY886" s="7">
        <v>0.89952100000000002</v>
      </c>
      <c r="AZ886" s="7">
        <v>82.432368999999994</v>
      </c>
      <c r="BA886" s="7">
        <v>100</v>
      </c>
      <c r="BB886" s="7">
        <v>0.65718699999999997</v>
      </c>
      <c r="BC886" s="7">
        <v>32.859327999999998</v>
      </c>
      <c r="BD886" s="7">
        <v>50</v>
      </c>
      <c r="BE886" s="7">
        <v>0.47582099999999999</v>
      </c>
      <c r="BF886" s="7">
        <v>23.791034</v>
      </c>
      <c r="BG886" s="7">
        <v>50</v>
      </c>
      <c r="BH886" s="7">
        <v>0</v>
      </c>
      <c r="BI886" s="7">
        <v>1</v>
      </c>
      <c r="BJ886" s="7">
        <v>1</v>
      </c>
      <c r="BK886" s="7">
        <v>1</v>
      </c>
      <c r="BL886" s="7">
        <v>1</v>
      </c>
      <c r="BM886" s="7">
        <v>1</v>
      </c>
      <c r="BN886" s="7">
        <v>1</v>
      </c>
      <c r="BO886" s="7">
        <v>1</v>
      </c>
      <c r="BP886" s="7">
        <v>1</v>
      </c>
      <c r="BQ886" s="7">
        <v>1</v>
      </c>
      <c r="BR886" s="7">
        <v>5.1902999999999998E-2</v>
      </c>
      <c r="BS886" s="7">
        <v>49.619377</v>
      </c>
      <c r="BT886" s="7">
        <v>50</v>
      </c>
      <c r="BU886" s="7">
        <v>6.9136000000000003E-2</v>
      </c>
      <c r="BV886" s="7">
        <v>46.172840000000001</v>
      </c>
      <c r="BW886" s="7">
        <v>50</v>
      </c>
      <c r="BX886" s="4" t="s">
        <v>124</v>
      </c>
      <c r="BY886" s="4" t="s">
        <v>124</v>
      </c>
      <c r="BZ886" s="4" t="s">
        <v>124</v>
      </c>
      <c r="CA886" s="4" t="s">
        <v>124</v>
      </c>
      <c r="CB886" s="4" t="s">
        <v>124</v>
      </c>
      <c r="CC886" s="4" t="s">
        <v>124</v>
      </c>
      <c r="CD886" s="4" t="s">
        <v>124</v>
      </c>
      <c r="CE886" s="4" t="s">
        <v>124</v>
      </c>
      <c r="CF886" s="4" t="s">
        <v>124</v>
      </c>
      <c r="CG886" s="4" t="s">
        <v>124</v>
      </c>
      <c r="CH886" s="4" t="s">
        <v>124</v>
      </c>
      <c r="CI886" s="4" t="s">
        <v>124</v>
      </c>
      <c r="CJ886" s="4" t="s">
        <v>124</v>
      </c>
      <c r="CK886" s="4" t="s">
        <v>124</v>
      </c>
      <c r="CL886" s="4" t="s">
        <v>124</v>
      </c>
      <c r="CM886" s="4" t="s">
        <v>124</v>
      </c>
      <c r="CN886" s="4" t="s">
        <v>124</v>
      </c>
      <c r="CO886" s="4" t="s">
        <v>124</v>
      </c>
      <c r="CP886" s="4" t="s">
        <v>124</v>
      </c>
      <c r="CQ886" s="7">
        <v>0.39175300000000002</v>
      </c>
      <c r="CR886" s="7">
        <v>0.97</v>
      </c>
      <c r="CS886" s="7">
        <v>26.116838000000001</v>
      </c>
      <c r="CT886" s="7">
        <v>50</v>
      </c>
      <c r="CU886" s="4" t="s">
        <v>124</v>
      </c>
      <c r="CV886" s="4" t="s">
        <v>124</v>
      </c>
      <c r="CW886" s="4" t="s">
        <v>124</v>
      </c>
      <c r="CX886" s="4" t="s">
        <v>124</v>
      </c>
      <c r="CY886" s="4" t="s">
        <v>124</v>
      </c>
      <c r="CZ886" s="4" t="s">
        <v>124</v>
      </c>
      <c r="DA886" s="7">
        <v>15.314097</v>
      </c>
      <c r="DB886" s="7">
        <v>17.400950000000002</v>
      </c>
      <c r="DC886" s="7">
        <v>16.332519999999999</v>
      </c>
      <c r="DD886" s="4" t="s">
        <v>124</v>
      </c>
      <c r="DE886" s="7">
        <v>0</v>
      </c>
      <c r="DF886" s="6"/>
      <c r="DG886" s="6"/>
      <c r="DH886" s="4" t="s">
        <v>331</v>
      </c>
      <c r="DI886" s="4" t="s">
        <v>452</v>
      </c>
      <c r="DJ886" s="7">
        <v>0</v>
      </c>
      <c r="DK886" s="7">
        <v>0</v>
      </c>
      <c r="DL886" s="7">
        <v>1</v>
      </c>
      <c r="DM886" s="7">
        <v>0</v>
      </c>
      <c r="DN886" s="7">
        <v>1</v>
      </c>
      <c r="DO886" s="7">
        <v>0</v>
      </c>
      <c r="DP886" s="6"/>
      <c r="DQ886" s="4" t="s">
        <v>125</v>
      </c>
    </row>
    <row r="887" spans="1:121" ht="20" customHeight="1" x14ac:dyDescent="0.15">
      <c r="A887" s="5">
        <v>2018</v>
      </c>
      <c r="B887" s="3" t="s">
        <v>287</v>
      </c>
      <c r="C887" s="4" t="str">
        <f t="shared" si="253"/>
        <v>1350011</v>
      </c>
      <c r="D887" s="4" t="s">
        <v>1039</v>
      </c>
      <c r="E887" s="4" t="str">
        <f>"1356111"</f>
        <v>1356111</v>
      </c>
      <c r="F887" s="4" t="s">
        <v>327</v>
      </c>
      <c r="G887" s="7">
        <v>9</v>
      </c>
      <c r="H887" s="7">
        <v>12</v>
      </c>
      <c r="I887" s="6"/>
      <c r="J887" s="4" t="s">
        <v>330</v>
      </c>
      <c r="K887" s="7">
        <v>1089.2157380000001</v>
      </c>
      <c r="L887" s="7">
        <v>1550</v>
      </c>
      <c r="M887" s="7">
        <v>70.271983000000006</v>
      </c>
      <c r="N887" s="7">
        <v>3</v>
      </c>
      <c r="O887" s="7">
        <v>1</v>
      </c>
      <c r="P887" s="7">
        <v>54.892816000000003</v>
      </c>
      <c r="Q887" s="7">
        <v>109.785631</v>
      </c>
      <c r="R887" s="7">
        <v>150</v>
      </c>
      <c r="S887" s="7">
        <v>47.697361999999998</v>
      </c>
      <c r="T887" s="7">
        <v>64.560327000000001</v>
      </c>
      <c r="U887" s="7">
        <v>95.394722999999999</v>
      </c>
      <c r="V887" s="7">
        <v>150</v>
      </c>
      <c r="W887" s="7">
        <v>52.918703000000001</v>
      </c>
      <c r="X887" s="7">
        <v>105.837405</v>
      </c>
      <c r="Y887" s="7">
        <v>150</v>
      </c>
      <c r="Z887" s="7">
        <v>62.794479000000003</v>
      </c>
      <c r="AA887" s="7">
        <v>45.568238999999998</v>
      </c>
      <c r="AB887" s="7">
        <v>91.136478999999994</v>
      </c>
      <c r="AC887" s="7">
        <v>150</v>
      </c>
      <c r="AD887" s="7">
        <v>49.746585000000003</v>
      </c>
      <c r="AE887" s="7">
        <v>66.328779999999995</v>
      </c>
      <c r="AF887" s="7">
        <v>100</v>
      </c>
      <c r="AG887" s="7">
        <v>46.047401999999998</v>
      </c>
      <c r="AH887" s="7">
        <v>54.656410000000001</v>
      </c>
      <c r="AI887" s="7">
        <v>61.396535</v>
      </c>
      <c r="AJ887" s="7">
        <v>100</v>
      </c>
      <c r="AK887" s="7">
        <v>16.86</v>
      </c>
      <c r="AL887" s="7">
        <v>17.22</v>
      </c>
      <c r="AM887" s="7">
        <v>8.6</v>
      </c>
      <c r="AN887" s="4" t="s">
        <v>124</v>
      </c>
      <c r="AO887" s="4" t="s">
        <v>124</v>
      </c>
      <c r="AP887" s="4" t="s">
        <v>124</v>
      </c>
      <c r="AQ887" s="4" t="s">
        <v>124</v>
      </c>
      <c r="AR887" s="4" t="s">
        <v>124</v>
      </c>
      <c r="AS887" s="4" t="s">
        <v>124</v>
      </c>
      <c r="AT887" s="4" t="s">
        <v>124</v>
      </c>
      <c r="AU887" s="4" t="s">
        <v>124</v>
      </c>
      <c r="AV887" s="4" t="s">
        <v>124</v>
      </c>
      <c r="AW887" s="4" t="s">
        <v>124</v>
      </c>
      <c r="AX887" s="4" t="s">
        <v>124</v>
      </c>
      <c r="AY887" s="4" t="s">
        <v>124</v>
      </c>
      <c r="AZ887" s="4" t="s">
        <v>124</v>
      </c>
      <c r="BA887" s="4" t="s">
        <v>124</v>
      </c>
      <c r="BB887" s="7">
        <v>0.4521</v>
      </c>
      <c r="BC887" s="7">
        <v>22.604997999999998</v>
      </c>
      <c r="BD887" s="7">
        <v>50</v>
      </c>
      <c r="BE887" s="7">
        <v>0.57552700000000001</v>
      </c>
      <c r="BF887" s="7">
        <v>28.776340000000001</v>
      </c>
      <c r="BG887" s="7">
        <v>50</v>
      </c>
      <c r="BH887" s="7">
        <v>1</v>
      </c>
      <c r="BI887" s="7">
        <v>0.95127600000000001</v>
      </c>
      <c r="BJ887" s="7">
        <v>0.94230800000000003</v>
      </c>
      <c r="BK887" s="7">
        <v>0.96491199999999999</v>
      </c>
      <c r="BL887" s="7">
        <v>0.95127600000000001</v>
      </c>
      <c r="BM887" s="7">
        <v>0.94230800000000003</v>
      </c>
      <c r="BN887" s="7">
        <v>0.96491199999999999</v>
      </c>
      <c r="BO887" s="7">
        <v>0.96487100000000003</v>
      </c>
      <c r="BP887" s="7">
        <v>0.95366799999999996</v>
      </c>
      <c r="BQ887" s="7">
        <v>0.98214299999999999</v>
      </c>
      <c r="BR887" s="7">
        <v>0.12156599999999999</v>
      </c>
      <c r="BS887" s="7">
        <v>35.686732999999997</v>
      </c>
      <c r="BT887" s="7">
        <v>50</v>
      </c>
      <c r="BU887" s="7">
        <v>0.164436</v>
      </c>
      <c r="BV887" s="7">
        <v>27.112811000000001</v>
      </c>
      <c r="BW887" s="7">
        <v>50</v>
      </c>
      <c r="BX887" s="7">
        <v>0.88735900000000001</v>
      </c>
      <c r="BY887" s="7">
        <v>50</v>
      </c>
      <c r="BZ887" s="7">
        <v>50</v>
      </c>
      <c r="CA887" s="7">
        <v>0.38548199999999999</v>
      </c>
      <c r="CB887" s="7">
        <v>25.698789999999999</v>
      </c>
      <c r="CC887" s="7">
        <v>50</v>
      </c>
      <c r="CD887" s="7">
        <v>0.727823</v>
      </c>
      <c r="CE887" s="7">
        <v>38.713966999999997</v>
      </c>
      <c r="CF887" s="7">
        <v>50</v>
      </c>
      <c r="CG887" s="7">
        <v>0.88709700000000002</v>
      </c>
      <c r="CH887" s="7">
        <v>94.371996999999993</v>
      </c>
      <c r="CI887" s="7">
        <v>100</v>
      </c>
      <c r="CJ887" s="7">
        <v>0</v>
      </c>
      <c r="CK887" s="7">
        <v>0.91003500000000004</v>
      </c>
      <c r="CL887" s="7">
        <v>96.812191999999996</v>
      </c>
      <c r="CM887" s="7">
        <v>100</v>
      </c>
      <c r="CN887" s="7">
        <v>0.73264799999999997</v>
      </c>
      <c r="CO887" s="7">
        <v>97.686374999999998</v>
      </c>
      <c r="CP887" s="7">
        <v>100</v>
      </c>
      <c r="CQ887" s="7">
        <v>0.22459899999999999</v>
      </c>
      <c r="CR887" s="7">
        <v>0.894737</v>
      </c>
      <c r="CS887" s="7">
        <v>7.486631</v>
      </c>
      <c r="CT887" s="7">
        <v>50</v>
      </c>
      <c r="CU887" s="7">
        <v>0.41262399999999999</v>
      </c>
      <c r="CV887" s="7">
        <v>34.385350000000003</v>
      </c>
      <c r="CW887" s="7">
        <v>50</v>
      </c>
      <c r="CX887" s="7">
        <v>0.91003500000000004</v>
      </c>
      <c r="CY887" s="7">
        <v>0.94</v>
      </c>
      <c r="CZ887" s="7">
        <v>2.9964999999999999E-2</v>
      </c>
      <c r="DA887" s="7">
        <v>15.314097</v>
      </c>
      <c r="DB887" s="7">
        <v>17.400950000000002</v>
      </c>
      <c r="DC887" s="7">
        <v>16.332519999999999</v>
      </c>
      <c r="DD887" s="7">
        <v>7.9891730000000001</v>
      </c>
      <c r="DE887" s="7">
        <v>1</v>
      </c>
      <c r="DF887" s="6"/>
      <c r="DG887" s="6"/>
      <c r="DH887" s="6"/>
      <c r="DI887" s="6"/>
      <c r="DJ887" s="7">
        <v>0</v>
      </c>
      <c r="DK887" s="7">
        <v>0</v>
      </c>
      <c r="DL887" s="7">
        <v>0</v>
      </c>
      <c r="DM887" s="7">
        <v>0</v>
      </c>
      <c r="DN887" s="7">
        <v>0</v>
      </c>
      <c r="DO887" s="7">
        <v>0</v>
      </c>
      <c r="DP887" s="6"/>
      <c r="DQ887" s="4" t="s">
        <v>125</v>
      </c>
    </row>
    <row r="888" spans="1:121" ht="20" customHeight="1" x14ac:dyDescent="0.15">
      <c r="A888" s="5">
        <v>2018</v>
      </c>
      <c r="B888" s="3" t="s">
        <v>287</v>
      </c>
      <c r="C888" s="4" t="str">
        <f t="shared" si="253"/>
        <v>1350011</v>
      </c>
      <c r="D888" s="4" t="s">
        <v>1040</v>
      </c>
      <c r="E888" s="4" t="str">
        <f>"1352111"</f>
        <v>1352111</v>
      </c>
      <c r="F888" s="4" t="s">
        <v>327</v>
      </c>
      <c r="G888" s="4" t="s">
        <v>338</v>
      </c>
      <c r="H888" s="7">
        <v>5</v>
      </c>
      <c r="I888" s="4" t="s">
        <v>335</v>
      </c>
      <c r="J888" s="4" t="s">
        <v>330</v>
      </c>
      <c r="K888" s="7">
        <v>706.45585000000005</v>
      </c>
      <c r="L888" s="7">
        <v>950</v>
      </c>
      <c r="M888" s="7">
        <v>74.363774000000006</v>
      </c>
      <c r="N888" s="7">
        <v>2</v>
      </c>
      <c r="O888" s="7">
        <v>0</v>
      </c>
      <c r="P888" s="7">
        <v>66.160933999999997</v>
      </c>
      <c r="Q888" s="7">
        <v>44.107289000000002</v>
      </c>
      <c r="R888" s="7">
        <v>50</v>
      </c>
      <c r="S888" s="7">
        <v>61.232450999999998</v>
      </c>
      <c r="T888" s="7">
        <v>75</v>
      </c>
      <c r="U888" s="7">
        <v>40.821634000000003</v>
      </c>
      <c r="V888" s="7">
        <v>50</v>
      </c>
      <c r="W888" s="7">
        <v>65.433985000000007</v>
      </c>
      <c r="X888" s="7">
        <v>43.622656999999997</v>
      </c>
      <c r="Y888" s="7">
        <v>50</v>
      </c>
      <c r="Z888" s="7">
        <v>75</v>
      </c>
      <c r="AA888" s="7">
        <v>59.970767000000002</v>
      </c>
      <c r="AB888" s="7">
        <v>39.980511</v>
      </c>
      <c r="AC888" s="7">
        <v>50</v>
      </c>
      <c r="AD888" s="7">
        <v>63.673802000000002</v>
      </c>
      <c r="AE888" s="7">
        <v>42.449201000000002</v>
      </c>
      <c r="AF888" s="7">
        <v>50</v>
      </c>
      <c r="AG888" s="7">
        <v>60.795161</v>
      </c>
      <c r="AH888" s="7">
        <v>72.203106000000005</v>
      </c>
      <c r="AI888" s="7">
        <v>40.530107999999998</v>
      </c>
      <c r="AJ888" s="7">
        <v>50</v>
      </c>
      <c r="AK888" s="7">
        <v>13.76</v>
      </c>
      <c r="AL888" s="7">
        <v>15.02</v>
      </c>
      <c r="AM888" s="7">
        <v>11.4</v>
      </c>
      <c r="AN888" s="7">
        <v>0.63148899999999997</v>
      </c>
      <c r="AO888" s="7">
        <v>63.148924000000001</v>
      </c>
      <c r="AP888" s="7">
        <v>100</v>
      </c>
      <c r="AQ888" s="7">
        <v>0.71001000000000003</v>
      </c>
      <c r="AR888" s="7">
        <v>71.000988000000007</v>
      </c>
      <c r="AS888" s="7">
        <v>100</v>
      </c>
      <c r="AT888" s="7">
        <v>0.62621099999999996</v>
      </c>
      <c r="AU888" s="7">
        <v>0.64276599999999995</v>
      </c>
      <c r="AV888" s="7">
        <v>62.621087000000003</v>
      </c>
      <c r="AW888" s="7">
        <v>100</v>
      </c>
      <c r="AX888" s="7">
        <v>0.67500000000000004</v>
      </c>
      <c r="AY888" s="7">
        <v>0.78480399999999995</v>
      </c>
      <c r="AZ888" s="7">
        <v>67.499993000000003</v>
      </c>
      <c r="BA888" s="7">
        <v>100</v>
      </c>
      <c r="BB888" s="7">
        <v>0.86316400000000004</v>
      </c>
      <c r="BC888" s="7">
        <v>43.158211999999999</v>
      </c>
      <c r="BD888" s="7">
        <v>50</v>
      </c>
      <c r="BE888" s="7">
        <v>0.57496499999999995</v>
      </c>
      <c r="BF888" s="7">
        <v>28.748260999999999</v>
      </c>
      <c r="BG888" s="7">
        <v>50</v>
      </c>
      <c r="BH888" s="7">
        <v>0</v>
      </c>
      <c r="BI888" s="7">
        <v>0.99404800000000004</v>
      </c>
      <c r="BJ888" s="7">
        <v>0.99177000000000004</v>
      </c>
      <c r="BK888" s="7">
        <v>1</v>
      </c>
      <c r="BL888" s="7">
        <v>0.99404800000000004</v>
      </c>
      <c r="BM888" s="7">
        <v>0.99177000000000004</v>
      </c>
      <c r="BN888" s="7">
        <v>1</v>
      </c>
      <c r="BO888" s="7">
        <v>1</v>
      </c>
      <c r="BP888" s="7">
        <v>1</v>
      </c>
      <c r="BQ888" s="7">
        <v>1</v>
      </c>
      <c r="BR888" s="7">
        <v>8.3205000000000001E-2</v>
      </c>
      <c r="BS888" s="7">
        <v>43.359014000000002</v>
      </c>
      <c r="BT888" s="7">
        <v>50</v>
      </c>
      <c r="BU888" s="7">
        <v>0.106576</v>
      </c>
      <c r="BV888" s="7">
        <v>38.684806999999999</v>
      </c>
      <c r="BW888" s="7">
        <v>50</v>
      </c>
      <c r="BX888" s="4" t="s">
        <v>124</v>
      </c>
      <c r="BY888" s="4" t="s">
        <v>124</v>
      </c>
      <c r="BZ888" s="4" t="s">
        <v>124</v>
      </c>
      <c r="CA888" s="4" t="s">
        <v>124</v>
      </c>
      <c r="CB888" s="4" t="s">
        <v>124</v>
      </c>
      <c r="CC888" s="4" t="s">
        <v>124</v>
      </c>
      <c r="CD888" s="4" t="s">
        <v>124</v>
      </c>
      <c r="CE888" s="4" t="s">
        <v>124</v>
      </c>
      <c r="CF888" s="4" t="s">
        <v>124</v>
      </c>
      <c r="CG888" s="4" t="s">
        <v>124</v>
      </c>
      <c r="CH888" s="4" t="s">
        <v>124</v>
      </c>
      <c r="CI888" s="4" t="s">
        <v>124</v>
      </c>
      <c r="CJ888" s="4" t="s">
        <v>124</v>
      </c>
      <c r="CK888" s="4" t="s">
        <v>124</v>
      </c>
      <c r="CL888" s="4" t="s">
        <v>124</v>
      </c>
      <c r="CM888" s="4" t="s">
        <v>124</v>
      </c>
      <c r="CN888" s="4" t="s">
        <v>124</v>
      </c>
      <c r="CO888" s="4" t="s">
        <v>124</v>
      </c>
      <c r="CP888" s="4" t="s">
        <v>124</v>
      </c>
      <c r="CQ888" s="7">
        <v>0.55084699999999998</v>
      </c>
      <c r="CR888" s="7">
        <v>0.97520700000000005</v>
      </c>
      <c r="CS888" s="7">
        <v>36.723163999999997</v>
      </c>
      <c r="CT888" s="7">
        <v>50</v>
      </c>
      <c r="CU888" s="4" t="s">
        <v>124</v>
      </c>
      <c r="CV888" s="4" t="s">
        <v>124</v>
      </c>
      <c r="CW888" s="4" t="s">
        <v>124</v>
      </c>
      <c r="CX888" s="4" t="s">
        <v>124</v>
      </c>
      <c r="CY888" s="4" t="s">
        <v>124</v>
      </c>
      <c r="CZ888" s="4" t="s">
        <v>124</v>
      </c>
      <c r="DA888" s="7">
        <v>15.314097</v>
      </c>
      <c r="DB888" s="7">
        <v>17.400950000000002</v>
      </c>
      <c r="DC888" s="7">
        <v>16.332519999999999</v>
      </c>
      <c r="DD888" s="4" t="s">
        <v>124</v>
      </c>
      <c r="DE888" s="7">
        <v>0</v>
      </c>
      <c r="DF888" s="6"/>
      <c r="DG888" s="6"/>
      <c r="DH888" s="6"/>
      <c r="DI888" s="6"/>
      <c r="DJ888" s="7">
        <v>0</v>
      </c>
      <c r="DK888" s="7">
        <v>0</v>
      </c>
      <c r="DL888" s="7">
        <v>0</v>
      </c>
      <c r="DM888" s="7">
        <v>0</v>
      </c>
      <c r="DN888" s="7">
        <v>0</v>
      </c>
      <c r="DO888" s="7">
        <v>0</v>
      </c>
      <c r="DP888" s="6"/>
      <c r="DQ888" s="4" t="s">
        <v>125</v>
      </c>
    </row>
    <row r="889" spans="1:121" ht="20" customHeight="1" x14ac:dyDescent="0.15">
      <c r="A889" s="5">
        <v>2018</v>
      </c>
      <c r="B889" s="3" t="s">
        <v>287</v>
      </c>
      <c r="C889" s="4" t="str">
        <f t="shared" si="253"/>
        <v>1350011</v>
      </c>
      <c r="D889" s="4" t="s">
        <v>1041</v>
      </c>
      <c r="E889" s="4" t="str">
        <f>"1350711"</f>
        <v>1350711</v>
      </c>
      <c r="F889" s="4" t="s">
        <v>327</v>
      </c>
      <c r="G889" s="4" t="s">
        <v>338</v>
      </c>
      <c r="H889" s="7">
        <v>3</v>
      </c>
      <c r="I889" s="6"/>
      <c r="J889" s="4" t="s">
        <v>330</v>
      </c>
      <c r="K889" s="7">
        <v>452.62799100000001</v>
      </c>
      <c r="L889" s="7">
        <v>500</v>
      </c>
      <c r="M889" s="7">
        <v>90.525598000000002</v>
      </c>
      <c r="N889" s="7">
        <v>1</v>
      </c>
      <c r="O889" s="7">
        <v>0</v>
      </c>
      <c r="P889" s="7">
        <v>73.779145</v>
      </c>
      <c r="Q889" s="7">
        <v>98.372193999999993</v>
      </c>
      <c r="R889" s="7">
        <v>100</v>
      </c>
      <c r="S889" s="7">
        <v>65.937567999999999</v>
      </c>
      <c r="T889" s="7">
        <v>75</v>
      </c>
      <c r="U889" s="7">
        <v>87.916758000000002</v>
      </c>
      <c r="V889" s="7">
        <v>100</v>
      </c>
      <c r="W889" s="7">
        <v>69.338531000000003</v>
      </c>
      <c r="X889" s="7">
        <v>92.451374000000001</v>
      </c>
      <c r="Y889" s="7">
        <v>100</v>
      </c>
      <c r="Z889" s="7">
        <v>75</v>
      </c>
      <c r="AA889" s="7">
        <v>59.509774</v>
      </c>
      <c r="AB889" s="7">
        <v>79.346365000000006</v>
      </c>
      <c r="AC889" s="7">
        <v>100</v>
      </c>
      <c r="AD889" s="4" t="s">
        <v>124</v>
      </c>
      <c r="AE889" s="4" t="s">
        <v>124</v>
      </c>
      <c r="AF889" s="4" t="s">
        <v>124</v>
      </c>
      <c r="AG889" s="4" t="s">
        <v>124</v>
      </c>
      <c r="AH889" s="4" t="s">
        <v>124</v>
      </c>
      <c r="AI889" s="4" t="s">
        <v>124</v>
      </c>
      <c r="AJ889" s="4" t="s">
        <v>124</v>
      </c>
      <c r="AK889" s="7">
        <v>9.06</v>
      </c>
      <c r="AL889" s="7">
        <v>15.49</v>
      </c>
      <c r="AM889" s="4" t="s">
        <v>124</v>
      </c>
      <c r="AN889" s="4" t="s">
        <v>124</v>
      </c>
      <c r="AO889" s="4" t="s">
        <v>124</v>
      </c>
      <c r="AP889" s="4" t="s">
        <v>124</v>
      </c>
      <c r="AQ889" s="4" t="s">
        <v>124</v>
      </c>
      <c r="AR889" s="4" t="s">
        <v>124</v>
      </c>
      <c r="AS889" s="4" t="s">
        <v>124</v>
      </c>
      <c r="AT889" s="4" t="s">
        <v>124</v>
      </c>
      <c r="AU889" s="4" t="s">
        <v>124</v>
      </c>
      <c r="AV889" s="4" t="s">
        <v>124</v>
      </c>
      <c r="AW889" s="4" t="s">
        <v>124</v>
      </c>
      <c r="AX889" s="4" t="s">
        <v>124</v>
      </c>
      <c r="AY889" s="4" t="s">
        <v>124</v>
      </c>
      <c r="AZ889" s="4" t="s">
        <v>124</v>
      </c>
      <c r="BA889" s="4" t="s">
        <v>124</v>
      </c>
      <c r="BB889" s="4" t="s">
        <v>124</v>
      </c>
      <c r="BC889" s="4" t="s">
        <v>124</v>
      </c>
      <c r="BD889" s="4" t="s">
        <v>124</v>
      </c>
      <c r="BE889" s="4" t="s">
        <v>124</v>
      </c>
      <c r="BF889" s="4" t="s">
        <v>124</v>
      </c>
      <c r="BG889" s="4" t="s">
        <v>124</v>
      </c>
      <c r="BH889" s="7">
        <v>0</v>
      </c>
      <c r="BI889" s="7">
        <v>0.99065400000000003</v>
      </c>
      <c r="BJ889" s="7">
        <v>0.97826100000000005</v>
      </c>
      <c r="BK889" s="7">
        <v>1</v>
      </c>
      <c r="BL889" s="7">
        <v>0.99065400000000003</v>
      </c>
      <c r="BM889" s="7">
        <v>0.97826100000000005</v>
      </c>
      <c r="BN889" s="7">
        <v>1</v>
      </c>
      <c r="BO889" s="4" t="s">
        <v>124</v>
      </c>
      <c r="BP889" s="4" t="s">
        <v>124</v>
      </c>
      <c r="BQ889" s="4" t="s">
        <v>124</v>
      </c>
      <c r="BR889" s="7">
        <v>6.2937000000000007E-2</v>
      </c>
      <c r="BS889" s="7">
        <v>47.412587000000002</v>
      </c>
      <c r="BT889" s="7">
        <v>50</v>
      </c>
      <c r="BU889" s="7">
        <v>6.4355999999999997E-2</v>
      </c>
      <c r="BV889" s="7">
        <v>47.128712999999998</v>
      </c>
      <c r="BW889" s="7">
        <v>50</v>
      </c>
      <c r="BX889" s="4" t="s">
        <v>124</v>
      </c>
      <c r="BY889" s="4" t="s">
        <v>124</v>
      </c>
      <c r="BZ889" s="4" t="s">
        <v>124</v>
      </c>
      <c r="CA889" s="4" t="s">
        <v>124</v>
      </c>
      <c r="CB889" s="4" t="s">
        <v>124</v>
      </c>
      <c r="CC889" s="4" t="s">
        <v>124</v>
      </c>
      <c r="CD889" s="4" t="s">
        <v>124</v>
      </c>
      <c r="CE889" s="4" t="s">
        <v>124</v>
      </c>
      <c r="CF889" s="4" t="s">
        <v>124</v>
      </c>
      <c r="CG889" s="4" t="s">
        <v>124</v>
      </c>
      <c r="CH889" s="4" t="s">
        <v>124</v>
      </c>
      <c r="CI889" s="4" t="s">
        <v>124</v>
      </c>
      <c r="CJ889" s="4" t="s">
        <v>124</v>
      </c>
      <c r="CK889" s="4" t="s">
        <v>124</v>
      </c>
      <c r="CL889" s="4" t="s">
        <v>124</v>
      </c>
      <c r="CM889" s="4" t="s">
        <v>124</v>
      </c>
      <c r="CN889" s="4" t="s">
        <v>124</v>
      </c>
      <c r="CO889" s="4" t="s">
        <v>124</v>
      </c>
      <c r="CP889" s="4" t="s">
        <v>124</v>
      </c>
      <c r="CQ889" s="4" t="s">
        <v>124</v>
      </c>
      <c r="CR889" s="4" t="s">
        <v>124</v>
      </c>
      <c r="CS889" s="4" t="s">
        <v>124</v>
      </c>
      <c r="CT889" s="4" t="s">
        <v>124</v>
      </c>
      <c r="CU889" s="4" t="s">
        <v>124</v>
      </c>
      <c r="CV889" s="4" t="s">
        <v>124</v>
      </c>
      <c r="CW889" s="4" t="s">
        <v>124</v>
      </c>
      <c r="CX889" s="4" t="s">
        <v>124</v>
      </c>
      <c r="CY889" s="4" t="s">
        <v>124</v>
      </c>
      <c r="CZ889" s="4" t="s">
        <v>124</v>
      </c>
      <c r="DA889" s="7">
        <v>15.314097</v>
      </c>
      <c r="DB889" s="7">
        <v>17.400950000000002</v>
      </c>
      <c r="DC889" s="7">
        <v>16.332519999999999</v>
      </c>
      <c r="DD889" s="4" t="s">
        <v>124</v>
      </c>
      <c r="DE889" s="7">
        <v>0</v>
      </c>
      <c r="DF889" s="6"/>
      <c r="DG889" s="6"/>
      <c r="DH889" s="4" t="s">
        <v>331</v>
      </c>
      <c r="DI889" s="4" t="s">
        <v>332</v>
      </c>
      <c r="DJ889" s="7">
        <v>1</v>
      </c>
      <c r="DK889" s="7">
        <v>0</v>
      </c>
      <c r="DL889" s="7">
        <v>0</v>
      </c>
      <c r="DM889" s="7">
        <v>0</v>
      </c>
      <c r="DN889" s="7">
        <v>0</v>
      </c>
      <c r="DO889" s="7">
        <v>0</v>
      </c>
      <c r="DP889" s="6"/>
      <c r="DQ889" s="4" t="s">
        <v>125</v>
      </c>
    </row>
    <row r="890" spans="1:121" ht="20" customHeight="1" x14ac:dyDescent="0.15">
      <c r="A890" s="5">
        <v>2018</v>
      </c>
      <c r="B890" s="3" t="s">
        <v>287</v>
      </c>
      <c r="C890" s="4" t="str">
        <f t="shared" si="253"/>
        <v>1350011</v>
      </c>
      <c r="D890" s="4" t="s">
        <v>1042</v>
      </c>
      <c r="E890" s="4" t="str">
        <f>"1356411"</f>
        <v>1356411</v>
      </c>
      <c r="F890" s="4" t="s">
        <v>327</v>
      </c>
      <c r="G890" s="7">
        <v>9</v>
      </c>
      <c r="H890" s="7">
        <v>12</v>
      </c>
      <c r="I890" s="6"/>
      <c r="J890" s="4" t="s">
        <v>330</v>
      </c>
      <c r="K890" s="7">
        <v>1154.783428</v>
      </c>
      <c r="L890" s="7">
        <v>1450</v>
      </c>
      <c r="M890" s="7">
        <v>79.640236000000002</v>
      </c>
      <c r="N890" s="7">
        <v>3</v>
      </c>
      <c r="O890" s="7">
        <v>1</v>
      </c>
      <c r="P890" s="7">
        <v>62.057077999999997</v>
      </c>
      <c r="Q890" s="7">
        <v>124.114155</v>
      </c>
      <c r="R890" s="7">
        <v>150</v>
      </c>
      <c r="S890" s="7">
        <v>53.914473999999998</v>
      </c>
      <c r="T890" s="7">
        <v>70.897619000000006</v>
      </c>
      <c r="U890" s="7">
        <v>107.828947</v>
      </c>
      <c r="V890" s="7">
        <v>150</v>
      </c>
      <c r="W890" s="7">
        <v>58.202055000000001</v>
      </c>
      <c r="X890" s="7">
        <v>116.40411</v>
      </c>
      <c r="Y890" s="7">
        <v>150</v>
      </c>
      <c r="Z890" s="7">
        <v>68.2</v>
      </c>
      <c r="AA890" s="7">
        <v>48.993420999999998</v>
      </c>
      <c r="AB890" s="7">
        <v>97.986841999999996</v>
      </c>
      <c r="AC890" s="7">
        <v>150</v>
      </c>
      <c r="AD890" s="7">
        <v>58.491795000000003</v>
      </c>
      <c r="AE890" s="7">
        <v>77.989059999999995</v>
      </c>
      <c r="AF890" s="7">
        <v>100</v>
      </c>
      <c r="AG890" s="7">
        <v>50.530571999999999</v>
      </c>
      <c r="AH890" s="7">
        <v>67.116453000000007</v>
      </c>
      <c r="AI890" s="7">
        <v>67.374095999999994</v>
      </c>
      <c r="AJ890" s="7">
        <v>100</v>
      </c>
      <c r="AK890" s="7">
        <v>16.98</v>
      </c>
      <c r="AL890" s="7">
        <v>19.2</v>
      </c>
      <c r="AM890" s="7">
        <v>16.579999999999998</v>
      </c>
      <c r="AN890" s="4" t="s">
        <v>124</v>
      </c>
      <c r="AO890" s="4" t="s">
        <v>124</v>
      </c>
      <c r="AP890" s="4" t="s">
        <v>124</v>
      </c>
      <c r="AQ890" s="4" t="s">
        <v>124</v>
      </c>
      <c r="AR890" s="4" t="s">
        <v>124</v>
      </c>
      <c r="AS890" s="4" t="s">
        <v>124</v>
      </c>
      <c r="AT890" s="4" t="s">
        <v>124</v>
      </c>
      <c r="AU890" s="4" t="s">
        <v>124</v>
      </c>
      <c r="AV890" s="4" t="s">
        <v>124</v>
      </c>
      <c r="AW890" s="4" t="s">
        <v>124</v>
      </c>
      <c r="AX890" s="4" t="s">
        <v>124</v>
      </c>
      <c r="AY890" s="4" t="s">
        <v>124</v>
      </c>
      <c r="AZ890" s="4" t="s">
        <v>124</v>
      </c>
      <c r="BA890" s="4" t="s">
        <v>124</v>
      </c>
      <c r="BB890" s="4" t="s">
        <v>124</v>
      </c>
      <c r="BC890" s="4" t="s">
        <v>124</v>
      </c>
      <c r="BD890" s="4" t="s">
        <v>124</v>
      </c>
      <c r="BE890" s="4" t="s">
        <v>124</v>
      </c>
      <c r="BF890" s="4" t="s">
        <v>124</v>
      </c>
      <c r="BG890" s="4" t="s">
        <v>124</v>
      </c>
      <c r="BH890" s="7">
        <v>0</v>
      </c>
      <c r="BI890" s="7">
        <v>0.98666699999999996</v>
      </c>
      <c r="BJ890" s="7">
        <v>0.97435899999999998</v>
      </c>
      <c r="BK890" s="7">
        <v>1</v>
      </c>
      <c r="BL890" s="7">
        <v>0.98666699999999996</v>
      </c>
      <c r="BM890" s="7">
        <v>0.97435899999999998</v>
      </c>
      <c r="BN890" s="7">
        <v>1</v>
      </c>
      <c r="BO890" s="7">
        <v>1</v>
      </c>
      <c r="BP890" s="7">
        <v>1</v>
      </c>
      <c r="BQ890" s="7">
        <v>1</v>
      </c>
      <c r="BR890" s="7">
        <v>7.6923000000000005E-2</v>
      </c>
      <c r="BS890" s="7">
        <v>44.615385000000003</v>
      </c>
      <c r="BT890" s="7">
        <v>50</v>
      </c>
      <c r="BU890" s="7">
        <v>9.4800999999999996E-2</v>
      </c>
      <c r="BV890" s="7">
        <v>41.039755</v>
      </c>
      <c r="BW890" s="7">
        <v>50</v>
      </c>
      <c r="BX890" s="7">
        <v>0.96091199999999999</v>
      </c>
      <c r="BY890" s="7">
        <v>50</v>
      </c>
      <c r="BZ890" s="7">
        <v>50</v>
      </c>
      <c r="CA890" s="7">
        <v>0.55048900000000001</v>
      </c>
      <c r="CB890" s="7">
        <v>36.699240000000003</v>
      </c>
      <c r="CC890" s="7">
        <v>50</v>
      </c>
      <c r="CD890" s="7">
        <v>0.97515499999999999</v>
      </c>
      <c r="CE890" s="7">
        <v>50</v>
      </c>
      <c r="CF890" s="7">
        <v>50</v>
      </c>
      <c r="CG890" s="7">
        <v>0.987097</v>
      </c>
      <c r="CH890" s="7">
        <v>100</v>
      </c>
      <c r="CI890" s="7">
        <v>100</v>
      </c>
      <c r="CJ890" s="7">
        <v>0</v>
      </c>
      <c r="CK890" s="7">
        <v>0.97297299999999998</v>
      </c>
      <c r="CL890" s="7">
        <v>100</v>
      </c>
      <c r="CM890" s="7">
        <v>100</v>
      </c>
      <c r="CN890" s="7">
        <v>0.80392200000000003</v>
      </c>
      <c r="CO890" s="7">
        <v>100</v>
      </c>
      <c r="CP890" s="7">
        <v>100</v>
      </c>
      <c r="CQ890" s="7">
        <v>0.245614</v>
      </c>
      <c r="CR890" s="7">
        <v>0.36538500000000002</v>
      </c>
      <c r="CS890" s="7">
        <v>0</v>
      </c>
      <c r="CT890" s="7">
        <v>50</v>
      </c>
      <c r="CU890" s="7">
        <v>0.48878199999999999</v>
      </c>
      <c r="CV890" s="7">
        <v>40.731838000000003</v>
      </c>
      <c r="CW890" s="7">
        <v>50</v>
      </c>
      <c r="CX890" s="7">
        <v>0.97297299999999998</v>
      </c>
      <c r="CY890" s="7">
        <v>0.94</v>
      </c>
      <c r="CZ890" s="7">
        <v>-3.2973000000000002E-2</v>
      </c>
      <c r="DA890" s="7">
        <v>15.314097</v>
      </c>
      <c r="DB890" s="7">
        <v>17.400950000000002</v>
      </c>
      <c r="DC890" s="7">
        <v>16.332519999999999</v>
      </c>
      <c r="DD890" s="7">
        <v>7.9891730000000001</v>
      </c>
      <c r="DE890" s="7">
        <v>1</v>
      </c>
      <c r="DF890" s="6"/>
      <c r="DG890" s="6"/>
      <c r="DH890" s="6"/>
      <c r="DI890" s="6"/>
      <c r="DJ890" s="7">
        <v>0</v>
      </c>
      <c r="DK890" s="7">
        <v>0</v>
      </c>
      <c r="DL890" s="7">
        <v>0</v>
      </c>
      <c r="DM890" s="7">
        <v>0</v>
      </c>
      <c r="DN890" s="7">
        <v>0</v>
      </c>
      <c r="DO890" s="7">
        <v>0</v>
      </c>
      <c r="DP890" s="6"/>
      <c r="DQ890" s="4" t="s">
        <v>125</v>
      </c>
    </row>
    <row r="891" spans="1:121" ht="20" customHeight="1" x14ac:dyDescent="0.15">
      <c r="A891" s="5">
        <v>2018</v>
      </c>
      <c r="B891" s="3" t="s">
        <v>287</v>
      </c>
      <c r="C891" s="4" t="str">
        <f t="shared" si="253"/>
        <v>1350011</v>
      </c>
      <c r="D891" s="4" t="s">
        <v>1043</v>
      </c>
      <c r="E891" s="4" t="str">
        <f>"1351911"</f>
        <v>1351911</v>
      </c>
      <c r="F891" s="4" t="s">
        <v>327</v>
      </c>
      <c r="G891" s="4" t="s">
        <v>338</v>
      </c>
      <c r="H891" s="7">
        <v>5</v>
      </c>
      <c r="I891" s="4" t="s">
        <v>335</v>
      </c>
      <c r="J891" s="4" t="s">
        <v>330</v>
      </c>
      <c r="K891" s="7">
        <v>648.20816100000002</v>
      </c>
      <c r="L891" s="7">
        <v>950</v>
      </c>
      <c r="M891" s="7">
        <v>68.232438000000002</v>
      </c>
      <c r="N891" s="7">
        <v>3</v>
      </c>
      <c r="O891" s="7">
        <v>0</v>
      </c>
      <c r="P891" s="7">
        <v>66.59854</v>
      </c>
      <c r="Q891" s="7">
        <v>44.399026999999997</v>
      </c>
      <c r="R891" s="7">
        <v>50</v>
      </c>
      <c r="S891" s="7">
        <v>62.141483999999998</v>
      </c>
      <c r="T891" s="7">
        <v>75</v>
      </c>
      <c r="U891" s="7">
        <v>41.427655999999999</v>
      </c>
      <c r="V891" s="7">
        <v>50</v>
      </c>
      <c r="W891" s="7">
        <v>64.681325000000001</v>
      </c>
      <c r="X891" s="7">
        <v>43.120883999999997</v>
      </c>
      <c r="Y891" s="7">
        <v>50</v>
      </c>
      <c r="Z891" s="7">
        <v>75</v>
      </c>
      <c r="AA891" s="7">
        <v>59.690713000000002</v>
      </c>
      <c r="AB891" s="7">
        <v>39.793807999999999</v>
      </c>
      <c r="AC891" s="7">
        <v>50</v>
      </c>
      <c r="AD891" s="7">
        <v>66.079564000000005</v>
      </c>
      <c r="AE891" s="7">
        <v>44.053043000000002</v>
      </c>
      <c r="AF891" s="7">
        <v>50</v>
      </c>
      <c r="AG891" s="7">
        <v>59.767234000000002</v>
      </c>
      <c r="AH891" s="7">
        <v>75</v>
      </c>
      <c r="AI891" s="7">
        <v>39.844822999999998</v>
      </c>
      <c r="AJ891" s="7">
        <v>50</v>
      </c>
      <c r="AK891" s="7">
        <v>12.85</v>
      </c>
      <c r="AL891" s="7">
        <v>15.3</v>
      </c>
      <c r="AM891" s="7">
        <v>15.23</v>
      </c>
      <c r="AN891" s="7">
        <v>0.61191799999999996</v>
      </c>
      <c r="AO891" s="7">
        <v>61.191794000000002</v>
      </c>
      <c r="AP891" s="7">
        <v>100</v>
      </c>
      <c r="AQ891" s="7">
        <v>0.66550200000000004</v>
      </c>
      <c r="AR891" s="7">
        <v>66.550183000000004</v>
      </c>
      <c r="AS891" s="7">
        <v>100</v>
      </c>
      <c r="AT891" s="7">
        <v>0.60427600000000004</v>
      </c>
      <c r="AU891" s="7">
        <v>0.63184099999999999</v>
      </c>
      <c r="AV891" s="7">
        <v>60.427639999999997</v>
      </c>
      <c r="AW891" s="7">
        <v>100</v>
      </c>
      <c r="AX891" s="7">
        <v>0.61838400000000004</v>
      </c>
      <c r="AY891" s="7">
        <v>0.78834400000000004</v>
      </c>
      <c r="AZ891" s="7">
        <v>61.838428999999998</v>
      </c>
      <c r="BA891" s="7">
        <v>100</v>
      </c>
      <c r="BB891" s="7">
        <v>0.71888300000000005</v>
      </c>
      <c r="BC891" s="7">
        <v>35.944150999999998</v>
      </c>
      <c r="BD891" s="7">
        <v>50</v>
      </c>
      <c r="BE891" s="7">
        <v>0.55982799999999999</v>
      </c>
      <c r="BF891" s="7">
        <v>27.991417999999999</v>
      </c>
      <c r="BG891" s="7">
        <v>50</v>
      </c>
      <c r="BH891" s="7">
        <v>0</v>
      </c>
      <c r="BI891" s="7">
        <v>0.99378900000000003</v>
      </c>
      <c r="BJ891" s="7">
        <v>0.99193500000000001</v>
      </c>
      <c r="BK891" s="7">
        <v>1</v>
      </c>
      <c r="BL891" s="7">
        <v>0.99378900000000003</v>
      </c>
      <c r="BM891" s="7">
        <v>0.99193500000000001</v>
      </c>
      <c r="BN891" s="7">
        <v>1</v>
      </c>
      <c r="BO891" s="7">
        <v>1</v>
      </c>
      <c r="BP891" s="7">
        <v>1</v>
      </c>
      <c r="BQ891" s="7">
        <v>1</v>
      </c>
      <c r="BR891" s="7">
        <v>0.15207399999999999</v>
      </c>
      <c r="BS891" s="7">
        <v>29.585253000000002</v>
      </c>
      <c r="BT891" s="7">
        <v>50</v>
      </c>
      <c r="BU891" s="7">
        <v>0.17821799999999999</v>
      </c>
      <c r="BV891" s="7">
        <v>24.356435999999999</v>
      </c>
      <c r="BW891" s="7">
        <v>50</v>
      </c>
      <c r="BX891" s="4" t="s">
        <v>124</v>
      </c>
      <c r="BY891" s="4" t="s">
        <v>124</v>
      </c>
      <c r="BZ891" s="4" t="s">
        <v>124</v>
      </c>
      <c r="CA891" s="4" t="s">
        <v>124</v>
      </c>
      <c r="CB891" s="4" t="s">
        <v>124</v>
      </c>
      <c r="CC891" s="4" t="s">
        <v>124</v>
      </c>
      <c r="CD891" s="4" t="s">
        <v>124</v>
      </c>
      <c r="CE891" s="4" t="s">
        <v>124</v>
      </c>
      <c r="CF891" s="4" t="s">
        <v>124</v>
      </c>
      <c r="CG891" s="4" t="s">
        <v>124</v>
      </c>
      <c r="CH891" s="4" t="s">
        <v>124</v>
      </c>
      <c r="CI891" s="4" t="s">
        <v>124</v>
      </c>
      <c r="CJ891" s="4" t="s">
        <v>124</v>
      </c>
      <c r="CK891" s="4" t="s">
        <v>124</v>
      </c>
      <c r="CL891" s="4" t="s">
        <v>124</v>
      </c>
      <c r="CM891" s="4" t="s">
        <v>124</v>
      </c>
      <c r="CN891" s="4" t="s">
        <v>124</v>
      </c>
      <c r="CO891" s="4" t="s">
        <v>124</v>
      </c>
      <c r="CP891" s="4" t="s">
        <v>124</v>
      </c>
      <c r="CQ891" s="7">
        <v>0.41525400000000001</v>
      </c>
      <c r="CR891" s="7">
        <v>1.0085470000000001</v>
      </c>
      <c r="CS891" s="7">
        <v>27.683616000000001</v>
      </c>
      <c r="CT891" s="7">
        <v>50</v>
      </c>
      <c r="CU891" s="4" t="s">
        <v>124</v>
      </c>
      <c r="CV891" s="4" t="s">
        <v>124</v>
      </c>
      <c r="CW891" s="4" t="s">
        <v>124</v>
      </c>
      <c r="CX891" s="4" t="s">
        <v>124</v>
      </c>
      <c r="CY891" s="4" t="s">
        <v>124</v>
      </c>
      <c r="CZ891" s="4" t="s">
        <v>124</v>
      </c>
      <c r="DA891" s="7">
        <v>15.314097</v>
      </c>
      <c r="DB891" s="7">
        <v>17.400950000000002</v>
      </c>
      <c r="DC891" s="7">
        <v>16.332519999999999</v>
      </c>
      <c r="DD891" s="4" t="s">
        <v>124</v>
      </c>
      <c r="DE891" s="7">
        <v>0</v>
      </c>
      <c r="DF891" s="6"/>
      <c r="DG891" s="6"/>
      <c r="DH891" s="6"/>
      <c r="DI891" s="6"/>
      <c r="DJ891" s="7">
        <v>0</v>
      </c>
      <c r="DK891" s="7">
        <v>0</v>
      </c>
      <c r="DL891" s="7">
        <v>0</v>
      </c>
      <c r="DM891" s="7">
        <v>0</v>
      </c>
      <c r="DN891" s="7">
        <v>0</v>
      </c>
      <c r="DO891" s="7">
        <v>0</v>
      </c>
      <c r="DP891" s="6"/>
      <c r="DQ891" s="4" t="s">
        <v>125</v>
      </c>
    </row>
    <row r="892" spans="1:121" ht="20" customHeight="1" x14ac:dyDescent="0.15">
      <c r="A892" s="5">
        <v>2018</v>
      </c>
      <c r="B892" s="3" t="s">
        <v>287</v>
      </c>
      <c r="C892" s="4" t="str">
        <f t="shared" si="253"/>
        <v>1350011</v>
      </c>
      <c r="D892" s="4" t="s">
        <v>1044</v>
      </c>
      <c r="E892" s="4" t="str">
        <f>"1355511"</f>
        <v>1355511</v>
      </c>
      <c r="F892" s="4" t="s">
        <v>327</v>
      </c>
      <c r="G892" s="7">
        <v>6</v>
      </c>
      <c r="H892" s="7">
        <v>8</v>
      </c>
      <c r="I892" s="6"/>
      <c r="J892" s="4" t="s">
        <v>330</v>
      </c>
      <c r="K892" s="7">
        <v>601.22392000000002</v>
      </c>
      <c r="L892" s="7">
        <v>1000</v>
      </c>
      <c r="M892" s="7">
        <v>60.122391999999998</v>
      </c>
      <c r="N892" s="7">
        <v>3</v>
      </c>
      <c r="O892" s="7">
        <v>1</v>
      </c>
      <c r="P892" s="7">
        <v>63.928536000000001</v>
      </c>
      <c r="Q892" s="7">
        <v>42.619024000000003</v>
      </c>
      <c r="R892" s="7">
        <v>50</v>
      </c>
      <c r="S892" s="7">
        <v>54.000616000000001</v>
      </c>
      <c r="T892" s="7">
        <v>75</v>
      </c>
      <c r="U892" s="7">
        <v>36.000411</v>
      </c>
      <c r="V892" s="7">
        <v>50</v>
      </c>
      <c r="W892" s="7">
        <v>57.825088999999998</v>
      </c>
      <c r="X892" s="7">
        <v>38.550058999999997</v>
      </c>
      <c r="Y892" s="7">
        <v>50</v>
      </c>
      <c r="Z892" s="7">
        <v>75</v>
      </c>
      <c r="AA892" s="7">
        <v>47.160276000000003</v>
      </c>
      <c r="AB892" s="7">
        <v>31.440183999999999</v>
      </c>
      <c r="AC892" s="7">
        <v>50</v>
      </c>
      <c r="AD892" s="7">
        <v>59.654347000000001</v>
      </c>
      <c r="AE892" s="7">
        <v>39.769565</v>
      </c>
      <c r="AF892" s="7">
        <v>50</v>
      </c>
      <c r="AG892" s="7">
        <v>52.504866</v>
      </c>
      <c r="AH892" s="7">
        <v>74.613263000000003</v>
      </c>
      <c r="AI892" s="7">
        <v>35.003244000000002</v>
      </c>
      <c r="AJ892" s="7">
        <v>50</v>
      </c>
      <c r="AK892" s="7">
        <v>20.99</v>
      </c>
      <c r="AL892" s="7">
        <v>27.83</v>
      </c>
      <c r="AM892" s="7">
        <v>22.1</v>
      </c>
      <c r="AN892" s="7">
        <v>0.52068000000000003</v>
      </c>
      <c r="AO892" s="7">
        <v>52.067988999999997</v>
      </c>
      <c r="AP892" s="7">
        <v>100</v>
      </c>
      <c r="AQ892" s="7">
        <v>0.51169900000000001</v>
      </c>
      <c r="AR892" s="7">
        <v>51.169867000000004</v>
      </c>
      <c r="AS892" s="7">
        <v>100</v>
      </c>
      <c r="AT892" s="7">
        <v>0.48774800000000001</v>
      </c>
      <c r="AU892" s="7">
        <v>0.579067</v>
      </c>
      <c r="AV892" s="7">
        <v>48.774762000000003</v>
      </c>
      <c r="AW892" s="7">
        <v>100</v>
      </c>
      <c r="AX892" s="7">
        <v>0.45978000000000002</v>
      </c>
      <c r="AY892" s="7">
        <v>0.60399800000000003</v>
      </c>
      <c r="AZ892" s="7">
        <v>45.978037</v>
      </c>
      <c r="BA892" s="7">
        <v>100</v>
      </c>
      <c r="BB892" s="7">
        <v>0.588036</v>
      </c>
      <c r="BC892" s="7">
        <v>29.401779000000001</v>
      </c>
      <c r="BD892" s="7">
        <v>50</v>
      </c>
      <c r="BE892" s="7">
        <v>0.63261500000000004</v>
      </c>
      <c r="BF892" s="7">
        <v>31.630728999999999</v>
      </c>
      <c r="BG892" s="7">
        <v>50</v>
      </c>
      <c r="BH892" s="7">
        <v>0</v>
      </c>
      <c r="BI892" s="7">
        <v>0.99419400000000002</v>
      </c>
      <c r="BJ892" s="7">
        <v>1</v>
      </c>
      <c r="BK892" s="7">
        <v>0.98230099999999998</v>
      </c>
      <c r="BL892" s="7">
        <v>0.99419400000000002</v>
      </c>
      <c r="BM892" s="7">
        <v>1</v>
      </c>
      <c r="BN892" s="7">
        <v>0.98230099999999998</v>
      </c>
      <c r="BO892" s="7">
        <v>0.99574499999999999</v>
      </c>
      <c r="BP892" s="7">
        <v>1</v>
      </c>
      <c r="BQ892" s="7">
        <v>0.985294</v>
      </c>
      <c r="BR892" s="7">
        <v>0.12028999999999999</v>
      </c>
      <c r="BS892" s="7">
        <v>35.942028999999998</v>
      </c>
      <c r="BT892" s="7">
        <v>50</v>
      </c>
      <c r="BU892" s="7">
        <v>0.14596899999999999</v>
      </c>
      <c r="BV892" s="7">
        <v>30.806100000000001</v>
      </c>
      <c r="BW892" s="7">
        <v>50</v>
      </c>
      <c r="BX892" s="4" t="s">
        <v>124</v>
      </c>
      <c r="BY892" s="4" t="s">
        <v>124</v>
      </c>
      <c r="BZ892" s="4" t="s">
        <v>124</v>
      </c>
      <c r="CA892" s="4" t="s">
        <v>124</v>
      </c>
      <c r="CB892" s="4" t="s">
        <v>124</v>
      </c>
      <c r="CC892" s="4" t="s">
        <v>124</v>
      </c>
      <c r="CD892" s="7">
        <v>0.75943400000000005</v>
      </c>
      <c r="CE892" s="7">
        <v>40.395423999999998</v>
      </c>
      <c r="CF892" s="7">
        <v>50</v>
      </c>
      <c r="CG892" s="4" t="s">
        <v>124</v>
      </c>
      <c r="CH892" s="4" t="s">
        <v>124</v>
      </c>
      <c r="CI892" s="4" t="s">
        <v>124</v>
      </c>
      <c r="CJ892" s="4" t="s">
        <v>124</v>
      </c>
      <c r="CK892" s="4" t="s">
        <v>124</v>
      </c>
      <c r="CL892" s="4" t="s">
        <v>124</v>
      </c>
      <c r="CM892" s="4" t="s">
        <v>124</v>
      </c>
      <c r="CN892" s="4" t="s">
        <v>124</v>
      </c>
      <c r="CO892" s="4" t="s">
        <v>124</v>
      </c>
      <c r="CP892" s="4" t="s">
        <v>124</v>
      </c>
      <c r="CQ892" s="7">
        <v>0.350242</v>
      </c>
      <c r="CR892" s="7">
        <v>0.89032299999999998</v>
      </c>
      <c r="CS892" s="7">
        <v>11.674718</v>
      </c>
      <c r="CT892" s="7">
        <v>50</v>
      </c>
      <c r="CU892" s="4" t="s">
        <v>124</v>
      </c>
      <c r="CV892" s="4" t="s">
        <v>124</v>
      </c>
      <c r="CW892" s="4" t="s">
        <v>124</v>
      </c>
      <c r="CX892" s="4" t="s">
        <v>124</v>
      </c>
      <c r="CY892" s="4" t="s">
        <v>124</v>
      </c>
      <c r="CZ892" s="4" t="s">
        <v>124</v>
      </c>
      <c r="DA892" s="7">
        <v>15.314097</v>
      </c>
      <c r="DB892" s="7">
        <v>17.400950000000002</v>
      </c>
      <c r="DC892" s="7">
        <v>16.332519999999999</v>
      </c>
      <c r="DD892" s="4" t="s">
        <v>124</v>
      </c>
      <c r="DE892" s="7">
        <v>1</v>
      </c>
      <c r="DF892" s="6"/>
      <c r="DG892" s="6"/>
      <c r="DH892" s="6"/>
      <c r="DI892" s="6"/>
      <c r="DJ892" s="7">
        <v>0</v>
      </c>
      <c r="DK892" s="7">
        <v>0</v>
      </c>
      <c r="DL892" s="7">
        <v>0</v>
      </c>
      <c r="DM892" s="7">
        <v>0</v>
      </c>
      <c r="DN892" s="7">
        <v>0</v>
      </c>
      <c r="DO892" s="7">
        <v>0</v>
      </c>
      <c r="DP892" s="6"/>
      <c r="DQ892" s="4" t="s">
        <v>125</v>
      </c>
    </row>
    <row r="893" spans="1:121" ht="20" customHeight="1" x14ac:dyDescent="0.15">
      <c r="A893" s="5">
        <v>2018</v>
      </c>
      <c r="B893" s="3" t="s">
        <v>287</v>
      </c>
      <c r="C893" s="4" t="str">
        <f t="shared" si="253"/>
        <v>1350011</v>
      </c>
      <c r="D893" s="4" t="s">
        <v>1045</v>
      </c>
      <c r="E893" s="4" t="str">
        <f>"1356311"</f>
        <v>1356311</v>
      </c>
      <c r="F893" s="4" t="s">
        <v>327</v>
      </c>
      <c r="G893" s="7">
        <v>9</v>
      </c>
      <c r="H893" s="7">
        <v>12</v>
      </c>
      <c r="I893" s="6"/>
      <c r="J893" s="4" t="s">
        <v>330</v>
      </c>
      <c r="K893" s="7">
        <v>1050.298765</v>
      </c>
      <c r="L893" s="7">
        <v>1550</v>
      </c>
      <c r="M893" s="7">
        <v>67.761211000000003</v>
      </c>
      <c r="N893" s="7">
        <v>3</v>
      </c>
      <c r="O893" s="7">
        <v>1</v>
      </c>
      <c r="P893" s="7">
        <v>53.821821999999997</v>
      </c>
      <c r="Q893" s="7">
        <v>107.64364399999999</v>
      </c>
      <c r="R893" s="7">
        <v>150</v>
      </c>
      <c r="S893" s="7">
        <v>44.544578999999999</v>
      </c>
      <c r="T893" s="7">
        <v>65.560373999999996</v>
      </c>
      <c r="U893" s="7">
        <v>89.089157999999998</v>
      </c>
      <c r="V893" s="7">
        <v>150</v>
      </c>
      <c r="W893" s="7">
        <v>52.621622000000002</v>
      </c>
      <c r="X893" s="7">
        <v>105.24324300000001</v>
      </c>
      <c r="Y893" s="7">
        <v>150</v>
      </c>
      <c r="Z893" s="7">
        <v>65.410713999999999</v>
      </c>
      <c r="AA893" s="7">
        <v>42.514113000000002</v>
      </c>
      <c r="AB893" s="7">
        <v>85.028226000000004</v>
      </c>
      <c r="AC893" s="7">
        <v>150</v>
      </c>
      <c r="AD893" s="7">
        <v>51.579033000000003</v>
      </c>
      <c r="AE893" s="7">
        <v>68.772043999999994</v>
      </c>
      <c r="AF893" s="7">
        <v>100</v>
      </c>
      <c r="AG893" s="7">
        <v>43.441012000000001</v>
      </c>
      <c r="AH893" s="7">
        <v>62.158462</v>
      </c>
      <c r="AI893" s="7">
        <v>57.921348999999999</v>
      </c>
      <c r="AJ893" s="7">
        <v>100</v>
      </c>
      <c r="AK893" s="7">
        <v>21.01</v>
      </c>
      <c r="AL893" s="7">
        <v>22.89</v>
      </c>
      <c r="AM893" s="7">
        <v>18.71</v>
      </c>
      <c r="AN893" s="4" t="s">
        <v>124</v>
      </c>
      <c r="AO893" s="4" t="s">
        <v>124</v>
      </c>
      <c r="AP893" s="4" t="s">
        <v>124</v>
      </c>
      <c r="AQ893" s="4" t="s">
        <v>124</v>
      </c>
      <c r="AR893" s="4" t="s">
        <v>124</v>
      </c>
      <c r="AS893" s="4" t="s">
        <v>124</v>
      </c>
      <c r="AT893" s="4" t="s">
        <v>124</v>
      </c>
      <c r="AU893" s="4" t="s">
        <v>124</v>
      </c>
      <c r="AV893" s="4" t="s">
        <v>124</v>
      </c>
      <c r="AW893" s="4" t="s">
        <v>124</v>
      </c>
      <c r="AX893" s="4" t="s">
        <v>124</v>
      </c>
      <c r="AY893" s="4" t="s">
        <v>124</v>
      </c>
      <c r="AZ893" s="4" t="s">
        <v>124</v>
      </c>
      <c r="BA893" s="4" t="s">
        <v>124</v>
      </c>
      <c r="BB893" s="7">
        <v>0.36967499999999998</v>
      </c>
      <c r="BC893" s="7">
        <v>18.483729</v>
      </c>
      <c r="BD893" s="7">
        <v>50</v>
      </c>
      <c r="BE893" s="7">
        <v>0.56144499999999997</v>
      </c>
      <c r="BF893" s="7">
        <v>28.072251999999999</v>
      </c>
      <c r="BG893" s="7">
        <v>50</v>
      </c>
      <c r="BH893" s="7">
        <v>1</v>
      </c>
      <c r="BI893" s="7">
        <v>0.91913199999999995</v>
      </c>
      <c r="BJ893" s="7">
        <v>0.88741700000000001</v>
      </c>
      <c r="BK893" s="7">
        <v>0.96585399999999999</v>
      </c>
      <c r="BL893" s="7">
        <v>0.91913199999999995</v>
      </c>
      <c r="BM893" s="7">
        <v>0.88741700000000001</v>
      </c>
      <c r="BN893" s="7">
        <v>0.96585399999999999</v>
      </c>
      <c r="BO893" s="7">
        <v>0.95078700000000005</v>
      </c>
      <c r="BP893" s="7">
        <v>0.92715199999999998</v>
      </c>
      <c r="BQ893" s="7">
        <v>0.98543700000000001</v>
      </c>
      <c r="BR893" s="7">
        <v>0.16650999999999999</v>
      </c>
      <c r="BS893" s="7">
        <v>26.697935999999999</v>
      </c>
      <c r="BT893" s="7">
        <v>50</v>
      </c>
      <c r="BU893" s="7">
        <v>0.22759199999999999</v>
      </c>
      <c r="BV893" s="7">
        <v>14.481684</v>
      </c>
      <c r="BW893" s="7">
        <v>50</v>
      </c>
      <c r="BX893" s="7">
        <v>0.88800800000000002</v>
      </c>
      <c r="BY893" s="7">
        <v>50</v>
      </c>
      <c r="BZ893" s="7">
        <v>50</v>
      </c>
      <c r="CA893" s="7">
        <v>0.43012899999999998</v>
      </c>
      <c r="CB893" s="7">
        <v>28.675256000000001</v>
      </c>
      <c r="CC893" s="7">
        <v>50</v>
      </c>
      <c r="CD893" s="7">
        <v>0.70502399999999998</v>
      </c>
      <c r="CE893" s="7">
        <v>37.501292999999997</v>
      </c>
      <c r="CF893" s="7">
        <v>50</v>
      </c>
      <c r="CG893" s="7">
        <v>0.88</v>
      </c>
      <c r="CH893" s="7">
        <v>93.617020999999994</v>
      </c>
      <c r="CI893" s="7">
        <v>100</v>
      </c>
      <c r="CJ893" s="7">
        <v>0</v>
      </c>
      <c r="CK893" s="7">
        <v>0.88486799999999999</v>
      </c>
      <c r="CL893" s="7">
        <v>94.134938000000005</v>
      </c>
      <c r="CM893" s="7">
        <v>100</v>
      </c>
      <c r="CN893" s="7">
        <v>0.73473699999999997</v>
      </c>
      <c r="CO893" s="7">
        <v>97.964911999999998</v>
      </c>
      <c r="CP893" s="7">
        <v>100</v>
      </c>
      <c r="CQ893" s="7">
        <v>0.25414399999999998</v>
      </c>
      <c r="CR893" s="7">
        <v>0.70428000000000002</v>
      </c>
      <c r="CS893" s="7">
        <v>8.4714550000000006</v>
      </c>
      <c r="CT893" s="7">
        <v>50</v>
      </c>
      <c r="CU893" s="7">
        <v>0.46200799999999997</v>
      </c>
      <c r="CV893" s="7">
        <v>38.500624999999999</v>
      </c>
      <c r="CW893" s="7">
        <v>50</v>
      </c>
      <c r="CX893" s="7">
        <v>0.88486799999999999</v>
      </c>
      <c r="CY893" s="7">
        <v>0.94</v>
      </c>
      <c r="CZ893" s="7">
        <v>5.5132E-2</v>
      </c>
      <c r="DA893" s="7">
        <v>15.314097</v>
      </c>
      <c r="DB893" s="7">
        <v>17.400950000000002</v>
      </c>
      <c r="DC893" s="7">
        <v>16.332519999999999</v>
      </c>
      <c r="DD893" s="7">
        <v>7.9891730000000001</v>
      </c>
      <c r="DE893" s="7">
        <v>1</v>
      </c>
      <c r="DF893" s="6"/>
      <c r="DG893" s="6"/>
      <c r="DH893" s="6"/>
      <c r="DI893" s="6"/>
      <c r="DJ893" s="7">
        <v>0</v>
      </c>
      <c r="DK893" s="7">
        <v>0</v>
      </c>
      <c r="DL893" s="7">
        <v>0</v>
      </c>
      <c r="DM893" s="7">
        <v>0</v>
      </c>
      <c r="DN893" s="7">
        <v>0</v>
      </c>
      <c r="DO893" s="7">
        <v>0</v>
      </c>
      <c r="DP893" s="6"/>
      <c r="DQ893" s="4" t="s">
        <v>125</v>
      </c>
    </row>
    <row r="894" spans="1:121" ht="20" customHeight="1" x14ac:dyDescent="0.15">
      <c r="A894" s="5">
        <v>2018</v>
      </c>
      <c r="B894" s="3" t="s">
        <v>287</v>
      </c>
      <c r="C894" s="4" t="str">
        <f t="shared" si="253"/>
        <v>1350011</v>
      </c>
      <c r="D894" s="4" t="s">
        <v>1046</v>
      </c>
      <c r="E894" s="4" t="str">
        <f>"1351411"</f>
        <v>1351411</v>
      </c>
      <c r="F894" s="4" t="s">
        <v>327</v>
      </c>
      <c r="G894" s="4" t="s">
        <v>338</v>
      </c>
      <c r="H894" s="7">
        <v>5</v>
      </c>
      <c r="I894" s="4" t="s">
        <v>335</v>
      </c>
      <c r="J894" s="4" t="s">
        <v>330</v>
      </c>
      <c r="K894" s="7">
        <v>657.34991200000002</v>
      </c>
      <c r="L894" s="7">
        <v>950</v>
      </c>
      <c r="M894" s="7">
        <v>69.194727999999998</v>
      </c>
      <c r="N894" s="7">
        <v>3</v>
      </c>
      <c r="O894" s="7">
        <v>1</v>
      </c>
      <c r="P894" s="7">
        <v>72.248119000000003</v>
      </c>
      <c r="Q894" s="7">
        <v>48.165412000000003</v>
      </c>
      <c r="R894" s="7">
        <v>50</v>
      </c>
      <c r="S894" s="7">
        <v>65.169831000000002</v>
      </c>
      <c r="T894" s="7">
        <v>75</v>
      </c>
      <c r="U894" s="7">
        <v>43.446553999999999</v>
      </c>
      <c r="V894" s="7">
        <v>50</v>
      </c>
      <c r="W894" s="7">
        <v>66.139904999999999</v>
      </c>
      <c r="X894" s="7">
        <v>44.093269999999997</v>
      </c>
      <c r="Y894" s="7">
        <v>50</v>
      </c>
      <c r="Z894" s="7">
        <v>75</v>
      </c>
      <c r="AA894" s="7">
        <v>57.879125000000002</v>
      </c>
      <c r="AB894" s="7">
        <v>38.586083000000002</v>
      </c>
      <c r="AC894" s="7">
        <v>50</v>
      </c>
      <c r="AD894" s="7">
        <v>62.618169999999999</v>
      </c>
      <c r="AE894" s="7">
        <v>41.745446999999999</v>
      </c>
      <c r="AF894" s="7">
        <v>50</v>
      </c>
      <c r="AG894" s="7">
        <v>56.927636999999997</v>
      </c>
      <c r="AH894" s="7">
        <v>75</v>
      </c>
      <c r="AI894" s="7">
        <v>37.951757999999998</v>
      </c>
      <c r="AJ894" s="7">
        <v>50</v>
      </c>
      <c r="AK894" s="7">
        <v>9.83</v>
      </c>
      <c r="AL894" s="7">
        <v>17.12</v>
      </c>
      <c r="AM894" s="7">
        <v>18.07</v>
      </c>
      <c r="AN894" s="7">
        <v>0.624691</v>
      </c>
      <c r="AO894" s="7">
        <v>62.469124000000001</v>
      </c>
      <c r="AP894" s="7">
        <v>100</v>
      </c>
      <c r="AQ894" s="7">
        <v>0.62725900000000001</v>
      </c>
      <c r="AR894" s="7">
        <v>62.725901</v>
      </c>
      <c r="AS894" s="7">
        <v>100</v>
      </c>
      <c r="AT894" s="7">
        <v>0.52231099999999997</v>
      </c>
      <c r="AU894" s="7">
        <v>0.82234200000000002</v>
      </c>
      <c r="AV894" s="7">
        <v>52.231102999999997</v>
      </c>
      <c r="AW894" s="7">
        <v>100</v>
      </c>
      <c r="AX894" s="7">
        <v>0.56580299999999994</v>
      </c>
      <c r="AY894" s="7">
        <v>0.74590299999999998</v>
      </c>
      <c r="AZ894" s="7">
        <v>56.580292999999998</v>
      </c>
      <c r="BA894" s="7">
        <v>100</v>
      </c>
      <c r="BB894" s="7">
        <v>0.65676000000000001</v>
      </c>
      <c r="BC894" s="7">
        <v>32.838009999999997</v>
      </c>
      <c r="BD894" s="7">
        <v>50</v>
      </c>
      <c r="BE894" s="7">
        <v>0.48123199999999999</v>
      </c>
      <c r="BF894" s="7">
        <v>24.061588</v>
      </c>
      <c r="BG894" s="7">
        <v>50</v>
      </c>
      <c r="BH894" s="7">
        <v>0</v>
      </c>
      <c r="BI894" s="7">
        <v>0.99413499999999999</v>
      </c>
      <c r="BJ894" s="7">
        <v>0.99152499999999999</v>
      </c>
      <c r="BK894" s="7">
        <v>1</v>
      </c>
      <c r="BL894" s="7">
        <v>0.99413499999999999</v>
      </c>
      <c r="BM894" s="7">
        <v>0.99152499999999999</v>
      </c>
      <c r="BN894" s="7">
        <v>1</v>
      </c>
      <c r="BO894" s="7">
        <v>0.99056599999999995</v>
      </c>
      <c r="BP894" s="7">
        <v>0.98750000000000004</v>
      </c>
      <c r="BQ894" s="7">
        <v>1</v>
      </c>
      <c r="BR894" s="7">
        <v>5.9172000000000002E-2</v>
      </c>
      <c r="BS894" s="7">
        <v>48.165680000000002</v>
      </c>
      <c r="BT894" s="7">
        <v>50</v>
      </c>
      <c r="BU894" s="7">
        <v>6.7982000000000001E-2</v>
      </c>
      <c r="BV894" s="7">
        <v>46.403509</v>
      </c>
      <c r="BW894" s="7">
        <v>50</v>
      </c>
      <c r="BX894" s="4" t="s">
        <v>124</v>
      </c>
      <c r="BY894" s="4" t="s">
        <v>124</v>
      </c>
      <c r="BZ894" s="4" t="s">
        <v>124</v>
      </c>
      <c r="CA894" s="4" t="s">
        <v>124</v>
      </c>
      <c r="CB894" s="4" t="s">
        <v>124</v>
      </c>
      <c r="CC894" s="4" t="s">
        <v>124</v>
      </c>
      <c r="CD894" s="4" t="s">
        <v>124</v>
      </c>
      <c r="CE894" s="4" t="s">
        <v>124</v>
      </c>
      <c r="CF894" s="4" t="s">
        <v>124</v>
      </c>
      <c r="CG894" s="4" t="s">
        <v>124</v>
      </c>
      <c r="CH894" s="4" t="s">
        <v>124</v>
      </c>
      <c r="CI894" s="4" t="s">
        <v>124</v>
      </c>
      <c r="CJ894" s="4" t="s">
        <v>124</v>
      </c>
      <c r="CK894" s="4" t="s">
        <v>124</v>
      </c>
      <c r="CL894" s="4" t="s">
        <v>124</v>
      </c>
      <c r="CM894" s="4" t="s">
        <v>124</v>
      </c>
      <c r="CN894" s="4" t="s">
        <v>124</v>
      </c>
      <c r="CO894" s="4" t="s">
        <v>124</v>
      </c>
      <c r="CP894" s="4" t="s">
        <v>124</v>
      </c>
      <c r="CQ894" s="7">
        <v>0.268293</v>
      </c>
      <c r="CR894" s="7">
        <v>1.016529</v>
      </c>
      <c r="CS894" s="7">
        <v>17.886178999999998</v>
      </c>
      <c r="CT894" s="7">
        <v>50</v>
      </c>
      <c r="CU894" s="4" t="s">
        <v>124</v>
      </c>
      <c r="CV894" s="4" t="s">
        <v>124</v>
      </c>
      <c r="CW894" s="4" t="s">
        <v>124</v>
      </c>
      <c r="CX894" s="4" t="s">
        <v>124</v>
      </c>
      <c r="CY894" s="4" t="s">
        <v>124</v>
      </c>
      <c r="CZ894" s="4" t="s">
        <v>124</v>
      </c>
      <c r="DA894" s="7">
        <v>15.314097</v>
      </c>
      <c r="DB894" s="7">
        <v>17.400950000000002</v>
      </c>
      <c r="DC894" s="7">
        <v>16.332519999999999</v>
      </c>
      <c r="DD894" s="4" t="s">
        <v>124</v>
      </c>
      <c r="DE894" s="7">
        <v>1</v>
      </c>
      <c r="DF894" s="6"/>
      <c r="DG894" s="6"/>
      <c r="DH894" s="6"/>
      <c r="DI894" s="6"/>
      <c r="DJ894" s="7">
        <v>0</v>
      </c>
      <c r="DK894" s="7">
        <v>0</v>
      </c>
      <c r="DL894" s="7">
        <v>0</v>
      </c>
      <c r="DM894" s="7">
        <v>0</v>
      </c>
      <c r="DN894" s="7">
        <v>0</v>
      </c>
      <c r="DO894" s="7">
        <v>0</v>
      </c>
      <c r="DP894" s="6"/>
      <c r="DQ894" s="4" t="s">
        <v>125</v>
      </c>
    </row>
    <row r="895" spans="1:121" ht="20" customHeight="1" x14ac:dyDescent="0.15">
      <c r="A895" s="5">
        <v>2018</v>
      </c>
      <c r="B895" s="3" t="s">
        <v>308</v>
      </c>
      <c r="C895" s="4" t="str">
        <f t="shared" si="177"/>
        <v>1360011</v>
      </c>
      <c r="D895" s="4" t="s">
        <v>1047</v>
      </c>
      <c r="E895" s="4" t="str">
        <f>"1360311"</f>
        <v>1360311</v>
      </c>
      <c r="F895" s="4" t="s">
        <v>327</v>
      </c>
      <c r="G895" s="4" t="s">
        <v>328</v>
      </c>
      <c r="H895" s="7">
        <v>8</v>
      </c>
      <c r="I895" s="4" t="s">
        <v>329</v>
      </c>
      <c r="J895" s="4" t="s">
        <v>330</v>
      </c>
      <c r="K895" s="7">
        <v>551.78630499999997</v>
      </c>
      <c r="L895" s="7">
        <v>900</v>
      </c>
      <c r="M895" s="7">
        <v>61.309589000000003</v>
      </c>
      <c r="N895" s="7">
        <v>3</v>
      </c>
      <c r="O895" s="7">
        <v>0</v>
      </c>
      <c r="P895" s="7">
        <v>63.683109000000002</v>
      </c>
      <c r="Q895" s="7">
        <v>42.455406000000004</v>
      </c>
      <c r="R895" s="7">
        <v>50</v>
      </c>
      <c r="S895" s="7">
        <v>55.136780999999999</v>
      </c>
      <c r="T895" s="7">
        <v>70.301693</v>
      </c>
      <c r="U895" s="7">
        <v>36.757854000000002</v>
      </c>
      <c r="V895" s="7">
        <v>50</v>
      </c>
      <c r="W895" s="7">
        <v>56.406984000000001</v>
      </c>
      <c r="X895" s="7">
        <v>37.604655999999999</v>
      </c>
      <c r="Y895" s="7">
        <v>50</v>
      </c>
      <c r="Z895" s="7">
        <v>63.859209999999997</v>
      </c>
      <c r="AA895" s="7">
        <v>46.856558</v>
      </c>
      <c r="AB895" s="7">
        <v>31.237705999999999</v>
      </c>
      <c r="AC895" s="7">
        <v>50</v>
      </c>
      <c r="AD895" s="7">
        <v>62.642724999999999</v>
      </c>
      <c r="AE895" s="7">
        <v>41.761816000000003</v>
      </c>
      <c r="AF895" s="7">
        <v>50</v>
      </c>
      <c r="AG895" s="7">
        <v>54.690505999999999</v>
      </c>
      <c r="AH895" s="7">
        <v>68.050234000000003</v>
      </c>
      <c r="AI895" s="7">
        <v>36.460337000000003</v>
      </c>
      <c r="AJ895" s="7">
        <v>50</v>
      </c>
      <c r="AK895" s="7">
        <v>15.16</v>
      </c>
      <c r="AL895" s="7">
        <v>17</v>
      </c>
      <c r="AM895" s="7">
        <v>13.35</v>
      </c>
      <c r="AN895" s="7">
        <v>0.44156699999999999</v>
      </c>
      <c r="AO895" s="7">
        <v>44.156668000000003</v>
      </c>
      <c r="AP895" s="7">
        <v>100</v>
      </c>
      <c r="AQ895" s="7">
        <v>0.474721</v>
      </c>
      <c r="AR895" s="7">
        <v>47.472110000000001</v>
      </c>
      <c r="AS895" s="7">
        <v>100</v>
      </c>
      <c r="AT895" s="7">
        <v>0.38084800000000002</v>
      </c>
      <c r="AU895" s="7">
        <v>0.488985</v>
      </c>
      <c r="AV895" s="7">
        <v>38.084788000000003</v>
      </c>
      <c r="AW895" s="7">
        <v>100</v>
      </c>
      <c r="AX895" s="7">
        <v>0.42437599999999998</v>
      </c>
      <c r="AY895" s="7">
        <v>0.51441599999999998</v>
      </c>
      <c r="AZ895" s="7">
        <v>42.437573</v>
      </c>
      <c r="BA895" s="7">
        <v>100</v>
      </c>
      <c r="BB895" s="4" t="s">
        <v>124</v>
      </c>
      <c r="BC895" s="4" t="s">
        <v>124</v>
      </c>
      <c r="BD895" s="4" t="s">
        <v>124</v>
      </c>
      <c r="BE895" s="4" t="s">
        <v>124</v>
      </c>
      <c r="BF895" s="4" t="s">
        <v>124</v>
      </c>
      <c r="BG895" s="4" t="s">
        <v>124</v>
      </c>
      <c r="BH895" s="7">
        <v>0</v>
      </c>
      <c r="BI895" s="7">
        <v>0.98373999999999995</v>
      </c>
      <c r="BJ895" s="7">
        <v>0.97196300000000002</v>
      </c>
      <c r="BK895" s="7">
        <v>0.99280599999999997</v>
      </c>
      <c r="BL895" s="7">
        <v>0.98373999999999995</v>
      </c>
      <c r="BM895" s="7">
        <v>0.97196300000000002</v>
      </c>
      <c r="BN895" s="7">
        <v>0.99280599999999997</v>
      </c>
      <c r="BO895" s="7">
        <v>0.98863599999999996</v>
      </c>
      <c r="BP895" s="7">
        <v>1</v>
      </c>
      <c r="BQ895" s="7">
        <v>0.98148100000000005</v>
      </c>
      <c r="BR895" s="7">
        <v>8.1081E-2</v>
      </c>
      <c r="BS895" s="7">
        <v>43.783783999999997</v>
      </c>
      <c r="BT895" s="7">
        <v>50</v>
      </c>
      <c r="BU895" s="7">
        <v>0.132075</v>
      </c>
      <c r="BV895" s="7">
        <v>33.584905999999997</v>
      </c>
      <c r="BW895" s="7">
        <v>50</v>
      </c>
      <c r="BX895" s="4" t="s">
        <v>124</v>
      </c>
      <c r="BY895" s="4" t="s">
        <v>124</v>
      </c>
      <c r="BZ895" s="4" t="s">
        <v>124</v>
      </c>
      <c r="CA895" s="4" t="s">
        <v>124</v>
      </c>
      <c r="CB895" s="4" t="s">
        <v>124</v>
      </c>
      <c r="CC895" s="4" t="s">
        <v>124</v>
      </c>
      <c r="CD895" s="7">
        <v>0.97435899999999998</v>
      </c>
      <c r="CE895" s="7">
        <v>50</v>
      </c>
      <c r="CF895" s="7">
        <v>50</v>
      </c>
      <c r="CG895" s="4" t="s">
        <v>124</v>
      </c>
      <c r="CH895" s="4" t="s">
        <v>124</v>
      </c>
      <c r="CI895" s="4" t="s">
        <v>124</v>
      </c>
      <c r="CJ895" s="4" t="s">
        <v>124</v>
      </c>
      <c r="CK895" s="4" t="s">
        <v>124</v>
      </c>
      <c r="CL895" s="4" t="s">
        <v>124</v>
      </c>
      <c r="CM895" s="4" t="s">
        <v>124</v>
      </c>
      <c r="CN895" s="4" t="s">
        <v>124</v>
      </c>
      <c r="CO895" s="4" t="s">
        <v>124</v>
      </c>
      <c r="CP895" s="4" t="s">
        <v>124</v>
      </c>
      <c r="CQ895" s="7">
        <v>0.38983099999999998</v>
      </c>
      <c r="CR895" s="7">
        <v>0.94399999999999995</v>
      </c>
      <c r="CS895" s="7">
        <v>25.988700999999999</v>
      </c>
      <c r="CT895" s="7">
        <v>50</v>
      </c>
      <c r="CU895" s="4" t="s">
        <v>124</v>
      </c>
      <c r="CV895" s="4" t="s">
        <v>124</v>
      </c>
      <c r="CW895" s="4" t="s">
        <v>124</v>
      </c>
      <c r="CX895" s="4" t="s">
        <v>124</v>
      </c>
      <c r="CY895" s="4" t="s">
        <v>124</v>
      </c>
      <c r="CZ895" s="4" t="s">
        <v>124</v>
      </c>
      <c r="DA895" s="7">
        <v>15.314097</v>
      </c>
      <c r="DB895" s="7">
        <v>17.400950000000002</v>
      </c>
      <c r="DC895" s="7">
        <v>16.332519999999999</v>
      </c>
      <c r="DD895" s="4" t="s">
        <v>124</v>
      </c>
      <c r="DE895" s="7">
        <v>0</v>
      </c>
      <c r="DF895" s="6"/>
      <c r="DG895" s="6"/>
      <c r="DH895" s="6"/>
      <c r="DI895" s="6"/>
      <c r="DJ895" s="7">
        <v>0</v>
      </c>
      <c r="DK895" s="7">
        <v>0</v>
      </c>
      <c r="DL895" s="7">
        <v>0</v>
      </c>
      <c r="DM895" s="7">
        <v>0</v>
      </c>
      <c r="DN895" s="7">
        <v>0</v>
      </c>
      <c r="DO895" s="7">
        <v>0</v>
      </c>
      <c r="DP895" s="6"/>
      <c r="DQ895" s="4" t="s">
        <v>125</v>
      </c>
    </row>
    <row r="896" spans="1:121" ht="20" customHeight="1" x14ac:dyDescent="0.15">
      <c r="A896" s="5">
        <v>2018</v>
      </c>
      <c r="B896" s="3" t="s">
        <v>309</v>
      </c>
      <c r="C896" s="4" t="str">
        <f t="shared" si="178"/>
        <v>1370011</v>
      </c>
      <c r="D896" s="4" t="s">
        <v>1048</v>
      </c>
      <c r="E896" s="4" t="str">
        <f>"1370511"</f>
        <v>1370511</v>
      </c>
      <c r="F896" s="4" t="s">
        <v>327</v>
      </c>
      <c r="G896" s="4" t="s">
        <v>338</v>
      </c>
      <c r="H896" s="7">
        <v>4</v>
      </c>
      <c r="I896" s="4" t="s">
        <v>335</v>
      </c>
      <c r="J896" s="4" t="s">
        <v>330</v>
      </c>
      <c r="K896" s="7">
        <v>680.09778300000005</v>
      </c>
      <c r="L896" s="7">
        <v>750</v>
      </c>
      <c r="M896" s="7">
        <v>90.679704000000001</v>
      </c>
      <c r="N896" s="7">
        <v>1</v>
      </c>
      <c r="O896" s="7">
        <v>0</v>
      </c>
      <c r="P896" s="7">
        <v>81.184781999999998</v>
      </c>
      <c r="Q896" s="7">
        <v>50</v>
      </c>
      <c r="R896" s="7">
        <v>50</v>
      </c>
      <c r="S896" s="7">
        <v>73.551439000000002</v>
      </c>
      <c r="T896" s="7">
        <v>75</v>
      </c>
      <c r="U896" s="7">
        <v>49.034292000000001</v>
      </c>
      <c r="V896" s="7">
        <v>50</v>
      </c>
      <c r="W896" s="7">
        <v>79.350869000000003</v>
      </c>
      <c r="X896" s="7">
        <v>50</v>
      </c>
      <c r="Y896" s="7">
        <v>50</v>
      </c>
      <c r="Z896" s="7">
        <v>75</v>
      </c>
      <c r="AA896" s="7">
        <v>68.262943000000007</v>
      </c>
      <c r="AB896" s="7">
        <v>45.508628999999999</v>
      </c>
      <c r="AC896" s="7">
        <v>50</v>
      </c>
      <c r="AD896" s="4" t="s">
        <v>124</v>
      </c>
      <c r="AE896" s="4" t="s">
        <v>124</v>
      </c>
      <c r="AF896" s="4" t="s">
        <v>124</v>
      </c>
      <c r="AG896" s="4" t="s">
        <v>124</v>
      </c>
      <c r="AH896" s="4" t="s">
        <v>124</v>
      </c>
      <c r="AI896" s="4" t="s">
        <v>124</v>
      </c>
      <c r="AJ896" s="4" t="s">
        <v>124</v>
      </c>
      <c r="AK896" s="7">
        <v>1.44</v>
      </c>
      <c r="AL896" s="7">
        <v>6.73</v>
      </c>
      <c r="AM896" s="4" t="s">
        <v>124</v>
      </c>
      <c r="AN896" s="7">
        <v>0.75121499999999997</v>
      </c>
      <c r="AO896" s="7">
        <v>75.121504000000002</v>
      </c>
      <c r="AP896" s="7">
        <v>100</v>
      </c>
      <c r="AQ896" s="7">
        <v>1</v>
      </c>
      <c r="AR896" s="7">
        <v>100</v>
      </c>
      <c r="AS896" s="7">
        <v>100</v>
      </c>
      <c r="AT896" s="7">
        <v>0.725468</v>
      </c>
      <c r="AU896" s="7">
        <v>0.76309800000000005</v>
      </c>
      <c r="AV896" s="7">
        <v>72.546819999999997</v>
      </c>
      <c r="AW896" s="7">
        <v>100</v>
      </c>
      <c r="AX896" s="7">
        <v>0.91219899999999998</v>
      </c>
      <c r="AY896" s="7">
        <v>1</v>
      </c>
      <c r="AZ896" s="7">
        <v>91.219871999999995</v>
      </c>
      <c r="BA896" s="7">
        <v>100</v>
      </c>
      <c r="BB896" s="4" t="s">
        <v>124</v>
      </c>
      <c r="BC896" s="4" t="s">
        <v>124</v>
      </c>
      <c r="BD896" s="4" t="s">
        <v>124</v>
      </c>
      <c r="BE896" s="4" t="s">
        <v>124</v>
      </c>
      <c r="BF896" s="4" t="s">
        <v>124</v>
      </c>
      <c r="BG896" s="4" t="s">
        <v>124</v>
      </c>
      <c r="BH896" s="7">
        <v>0</v>
      </c>
      <c r="BI896" s="7">
        <v>1</v>
      </c>
      <c r="BJ896" s="7">
        <v>1</v>
      </c>
      <c r="BK896" s="7">
        <v>1</v>
      </c>
      <c r="BL896" s="7">
        <v>1</v>
      </c>
      <c r="BM896" s="7">
        <v>1</v>
      </c>
      <c r="BN896" s="7">
        <v>1</v>
      </c>
      <c r="BO896" s="4" t="s">
        <v>124</v>
      </c>
      <c r="BP896" s="4" t="s">
        <v>124</v>
      </c>
      <c r="BQ896" s="4" t="s">
        <v>124</v>
      </c>
      <c r="BR896" s="7">
        <v>3.4853000000000002E-2</v>
      </c>
      <c r="BS896" s="7">
        <v>50</v>
      </c>
      <c r="BT896" s="7">
        <v>50</v>
      </c>
      <c r="BU896" s="7">
        <v>6.6667000000000004E-2</v>
      </c>
      <c r="BV896" s="7">
        <v>46.666666999999997</v>
      </c>
      <c r="BW896" s="7">
        <v>50</v>
      </c>
      <c r="BX896" s="4" t="s">
        <v>124</v>
      </c>
      <c r="BY896" s="4" t="s">
        <v>124</v>
      </c>
      <c r="BZ896" s="4" t="s">
        <v>124</v>
      </c>
      <c r="CA896" s="4" t="s">
        <v>124</v>
      </c>
      <c r="CB896" s="4" t="s">
        <v>124</v>
      </c>
      <c r="CC896" s="4" t="s">
        <v>124</v>
      </c>
      <c r="CD896" s="4" t="s">
        <v>124</v>
      </c>
      <c r="CE896" s="4" t="s">
        <v>124</v>
      </c>
      <c r="CF896" s="4" t="s">
        <v>124</v>
      </c>
      <c r="CG896" s="4" t="s">
        <v>124</v>
      </c>
      <c r="CH896" s="4" t="s">
        <v>124</v>
      </c>
      <c r="CI896" s="4" t="s">
        <v>124</v>
      </c>
      <c r="CJ896" s="4" t="s">
        <v>124</v>
      </c>
      <c r="CK896" s="4" t="s">
        <v>124</v>
      </c>
      <c r="CL896" s="4" t="s">
        <v>124</v>
      </c>
      <c r="CM896" s="4" t="s">
        <v>124</v>
      </c>
      <c r="CN896" s="4" t="s">
        <v>124</v>
      </c>
      <c r="CO896" s="4" t="s">
        <v>124</v>
      </c>
      <c r="CP896" s="4" t="s">
        <v>124</v>
      </c>
      <c r="CQ896" s="7">
        <v>0.875</v>
      </c>
      <c r="CR896" s="7">
        <v>1</v>
      </c>
      <c r="CS896" s="7">
        <v>50</v>
      </c>
      <c r="CT896" s="7">
        <v>50</v>
      </c>
      <c r="CU896" s="4" t="s">
        <v>124</v>
      </c>
      <c r="CV896" s="4" t="s">
        <v>124</v>
      </c>
      <c r="CW896" s="4" t="s">
        <v>124</v>
      </c>
      <c r="CX896" s="4" t="s">
        <v>124</v>
      </c>
      <c r="CY896" s="4" t="s">
        <v>124</v>
      </c>
      <c r="CZ896" s="4" t="s">
        <v>124</v>
      </c>
      <c r="DA896" s="7">
        <v>15.314097</v>
      </c>
      <c r="DB896" s="7">
        <v>17.400950000000002</v>
      </c>
      <c r="DC896" s="7">
        <v>16.332519999999999</v>
      </c>
      <c r="DD896" s="4" t="s">
        <v>124</v>
      </c>
      <c r="DE896" s="7">
        <v>0</v>
      </c>
      <c r="DF896" s="6"/>
      <c r="DG896" s="6"/>
      <c r="DH896" s="4" t="s">
        <v>331</v>
      </c>
      <c r="DI896" s="4" t="s">
        <v>641</v>
      </c>
      <c r="DJ896" s="7">
        <v>1</v>
      </c>
      <c r="DK896" s="7">
        <v>0</v>
      </c>
      <c r="DL896" s="7">
        <v>1</v>
      </c>
      <c r="DM896" s="7">
        <v>1</v>
      </c>
      <c r="DN896" s="7">
        <v>1</v>
      </c>
      <c r="DO896" s="7">
        <v>0</v>
      </c>
      <c r="DP896" s="6"/>
      <c r="DQ896" s="4" t="s">
        <v>125</v>
      </c>
    </row>
    <row r="897" spans="1:121" ht="20" customHeight="1" x14ac:dyDescent="0.15">
      <c r="A897" s="5">
        <v>2018</v>
      </c>
      <c r="B897" s="3" t="s">
        <v>309</v>
      </c>
      <c r="C897" s="4" t="str">
        <f t="shared" ref="C897:C901" si="254">"1370011"</f>
        <v>1370011</v>
      </c>
      <c r="D897" s="4" t="s">
        <v>1049</v>
      </c>
      <c r="E897" s="4" t="str">
        <f>"1375111"</f>
        <v>1375111</v>
      </c>
      <c r="F897" s="4" t="s">
        <v>327</v>
      </c>
      <c r="G897" s="7">
        <v>5</v>
      </c>
      <c r="H897" s="7">
        <v>8</v>
      </c>
      <c r="I897" s="4" t="s">
        <v>335</v>
      </c>
      <c r="J897" s="4" t="s">
        <v>330</v>
      </c>
      <c r="K897" s="7">
        <v>691.19494799999995</v>
      </c>
      <c r="L897" s="7">
        <v>900</v>
      </c>
      <c r="M897" s="7">
        <v>76.799439000000007</v>
      </c>
      <c r="N897" s="7">
        <v>2</v>
      </c>
      <c r="O897" s="7">
        <v>0</v>
      </c>
      <c r="P897" s="7">
        <v>77.086703999999997</v>
      </c>
      <c r="Q897" s="7">
        <v>50</v>
      </c>
      <c r="R897" s="7">
        <v>50</v>
      </c>
      <c r="S897" s="7">
        <v>71.388929000000005</v>
      </c>
      <c r="T897" s="7">
        <v>75</v>
      </c>
      <c r="U897" s="7">
        <v>47.592618999999999</v>
      </c>
      <c r="V897" s="7">
        <v>50</v>
      </c>
      <c r="W897" s="7">
        <v>70.332352</v>
      </c>
      <c r="X897" s="7">
        <v>46.888235000000002</v>
      </c>
      <c r="Y897" s="7">
        <v>50</v>
      </c>
      <c r="Z897" s="7">
        <v>75</v>
      </c>
      <c r="AA897" s="7">
        <v>62.963057999999997</v>
      </c>
      <c r="AB897" s="7">
        <v>41.975372</v>
      </c>
      <c r="AC897" s="7">
        <v>50</v>
      </c>
      <c r="AD897" s="7">
        <v>75.875772999999995</v>
      </c>
      <c r="AE897" s="7">
        <v>50</v>
      </c>
      <c r="AF897" s="7">
        <v>50</v>
      </c>
      <c r="AG897" s="7">
        <v>69.949637999999993</v>
      </c>
      <c r="AH897" s="7">
        <v>75</v>
      </c>
      <c r="AI897" s="7">
        <v>46.633091999999998</v>
      </c>
      <c r="AJ897" s="7">
        <v>50</v>
      </c>
      <c r="AK897" s="7">
        <v>3.61</v>
      </c>
      <c r="AL897" s="7">
        <v>12.03</v>
      </c>
      <c r="AM897" s="7">
        <v>5.05</v>
      </c>
      <c r="AN897" s="7">
        <v>0.64010199999999995</v>
      </c>
      <c r="AO897" s="7">
        <v>64.010194999999996</v>
      </c>
      <c r="AP897" s="7">
        <v>100</v>
      </c>
      <c r="AQ897" s="7">
        <v>0.65957299999999996</v>
      </c>
      <c r="AR897" s="7">
        <v>65.957285999999996</v>
      </c>
      <c r="AS897" s="7">
        <v>100</v>
      </c>
      <c r="AT897" s="7">
        <v>0.64164200000000005</v>
      </c>
      <c r="AU897" s="7">
        <v>0.63879300000000006</v>
      </c>
      <c r="AV897" s="7">
        <v>64.164187999999996</v>
      </c>
      <c r="AW897" s="7">
        <v>100</v>
      </c>
      <c r="AX897" s="7">
        <v>0.56228800000000001</v>
      </c>
      <c r="AY897" s="7">
        <v>0.74156999999999995</v>
      </c>
      <c r="AZ897" s="7">
        <v>56.228757000000002</v>
      </c>
      <c r="BA897" s="7">
        <v>100</v>
      </c>
      <c r="BB897" s="4" t="s">
        <v>124</v>
      </c>
      <c r="BC897" s="4" t="s">
        <v>124</v>
      </c>
      <c r="BD897" s="4" t="s">
        <v>124</v>
      </c>
      <c r="BE897" s="4" t="s">
        <v>124</v>
      </c>
      <c r="BF897" s="4" t="s">
        <v>124</v>
      </c>
      <c r="BG897" s="4" t="s">
        <v>124</v>
      </c>
      <c r="BH897" s="7">
        <v>0</v>
      </c>
      <c r="BI897" s="7">
        <v>0.99637699999999996</v>
      </c>
      <c r="BJ897" s="7">
        <v>0.99236599999999997</v>
      </c>
      <c r="BK897" s="7">
        <v>1</v>
      </c>
      <c r="BL897" s="7">
        <v>0.99637699999999996</v>
      </c>
      <c r="BM897" s="7">
        <v>0.99236599999999997</v>
      </c>
      <c r="BN897" s="7">
        <v>1</v>
      </c>
      <c r="BO897" s="7">
        <v>0.99224800000000002</v>
      </c>
      <c r="BP897" s="7">
        <v>0.98333300000000001</v>
      </c>
      <c r="BQ897" s="7">
        <v>1</v>
      </c>
      <c r="BR897" s="7">
        <v>0.10545499999999999</v>
      </c>
      <c r="BS897" s="7">
        <v>38.909090999999997</v>
      </c>
      <c r="BT897" s="7">
        <v>50</v>
      </c>
      <c r="BU897" s="7">
        <v>0.17557300000000001</v>
      </c>
      <c r="BV897" s="7">
        <v>24.885496</v>
      </c>
      <c r="BW897" s="7">
        <v>50</v>
      </c>
      <c r="BX897" s="4" t="s">
        <v>124</v>
      </c>
      <c r="BY897" s="4" t="s">
        <v>124</v>
      </c>
      <c r="BZ897" s="4" t="s">
        <v>124</v>
      </c>
      <c r="CA897" s="4" t="s">
        <v>124</v>
      </c>
      <c r="CB897" s="4" t="s">
        <v>124</v>
      </c>
      <c r="CC897" s="4" t="s">
        <v>124</v>
      </c>
      <c r="CD897" s="7">
        <v>0.96969700000000003</v>
      </c>
      <c r="CE897" s="7">
        <v>50</v>
      </c>
      <c r="CF897" s="7">
        <v>50</v>
      </c>
      <c r="CG897" s="4" t="s">
        <v>124</v>
      </c>
      <c r="CH897" s="4" t="s">
        <v>124</v>
      </c>
      <c r="CI897" s="4" t="s">
        <v>124</v>
      </c>
      <c r="CJ897" s="4" t="s">
        <v>124</v>
      </c>
      <c r="CK897" s="4" t="s">
        <v>124</v>
      </c>
      <c r="CL897" s="4" t="s">
        <v>124</v>
      </c>
      <c r="CM897" s="4" t="s">
        <v>124</v>
      </c>
      <c r="CN897" s="4" t="s">
        <v>124</v>
      </c>
      <c r="CO897" s="4" t="s">
        <v>124</v>
      </c>
      <c r="CP897" s="4" t="s">
        <v>124</v>
      </c>
      <c r="CQ897" s="7">
        <v>0.65925900000000004</v>
      </c>
      <c r="CR897" s="7">
        <v>0.97122299999999995</v>
      </c>
      <c r="CS897" s="7">
        <v>43.950617000000001</v>
      </c>
      <c r="CT897" s="7">
        <v>50</v>
      </c>
      <c r="CU897" s="4" t="s">
        <v>124</v>
      </c>
      <c r="CV897" s="4" t="s">
        <v>124</v>
      </c>
      <c r="CW897" s="4" t="s">
        <v>124</v>
      </c>
      <c r="CX897" s="4" t="s">
        <v>124</v>
      </c>
      <c r="CY897" s="4" t="s">
        <v>124</v>
      </c>
      <c r="CZ897" s="4" t="s">
        <v>124</v>
      </c>
      <c r="DA897" s="7">
        <v>15.314097</v>
      </c>
      <c r="DB897" s="7">
        <v>17.400950000000002</v>
      </c>
      <c r="DC897" s="7">
        <v>16.332519999999999</v>
      </c>
      <c r="DD897" s="4" t="s">
        <v>124</v>
      </c>
      <c r="DE897" s="7">
        <v>0</v>
      </c>
      <c r="DF897" s="6"/>
      <c r="DG897" s="6"/>
      <c r="DH897" s="6"/>
      <c r="DI897" s="6"/>
      <c r="DJ897" s="7">
        <v>0</v>
      </c>
      <c r="DK897" s="7">
        <v>0</v>
      </c>
      <c r="DL897" s="7">
        <v>0</v>
      </c>
      <c r="DM897" s="7">
        <v>0</v>
      </c>
      <c r="DN897" s="7">
        <v>0</v>
      </c>
      <c r="DO897" s="7">
        <v>0</v>
      </c>
      <c r="DP897" s="6"/>
      <c r="DQ897" s="4" t="s">
        <v>125</v>
      </c>
    </row>
    <row r="898" spans="1:121" ht="20" customHeight="1" x14ac:dyDescent="0.15">
      <c r="A898" s="5">
        <v>2018</v>
      </c>
      <c r="B898" s="3" t="s">
        <v>309</v>
      </c>
      <c r="C898" s="4" t="str">
        <f t="shared" si="254"/>
        <v>1370011</v>
      </c>
      <c r="D898" s="4" t="s">
        <v>1050</v>
      </c>
      <c r="E898" s="4" t="str">
        <f>"1376111"</f>
        <v>1376111</v>
      </c>
      <c r="F898" s="4" t="s">
        <v>327</v>
      </c>
      <c r="G898" s="7">
        <v>9</v>
      </c>
      <c r="H898" s="7">
        <v>12</v>
      </c>
      <c r="I898" s="4" t="s">
        <v>335</v>
      </c>
      <c r="J898" s="4" t="s">
        <v>330</v>
      </c>
      <c r="K898" s="7">
        <v>1218.2806410000001</v>
      </c>
      <c r="L898" s="7">
        <v>1450</v>
      </c>
      <c r="M898" s="7">
        <v>84.019355000000004</v>
      </c>
      <c r="N898" s="7">
        <v>2</v>
      </c>
      <c r="O898" s="7">
        <v>0</v>
      </c>
      <c r="P898" s="7">
        <v>65.199366999999995</v>
      </c>
      <c r="Q898" s="7">
        <v>130.39873399999999</v>
      </c>
      <c r="R898" s="7">
        <v>150</v>
      </c>
      <c r="S898" s="7">
        <v>56.833333000000003</v>
      </c>
      <c r="T898" s="7">
        <v>68.530973000000003</v>
      </c>
      <c r="U898" s="7">
        <v>113.666667</v>
      </c>
      <c r="V898" s="7">
        <v>150</v>
      </c>
      <c r="W898" s="7">
        <v>61.327706999999997</v>
      </c>
      <c r="X898" s="7">
        <v>122.655415</v>
      </c>
      <c r="Y898" s="7">
        <v>150</v>
      </c>
      <c r="Z898" s="7">
        <v>64.442477999999994</v>
      </c>
      <c r="AA898" s="7">
        <v>53.506172999999997</v>
      </c>
      <c r="AB898" s="7">
        <v>107.01234599999999</v>
      </c>
      <c r="AC898" s="7">
        <v>150</v>
      </c>
      <c r="AD898" s="7">
        <v>66.945356000000004</v>
      </c>
      <c r="AE898" s="7">
        <v>89.260475</v>
      </c>
      <c r="AF898" s="7">
        <v>100</v>
      </c>
      <c r="AG898" s="7">
        <v>57.792755</v>
      </c>
      <c r="AH898" s="7">
        <v>70.590197000000003</v>
      </c>
      <c r="AI898" s="7">
        <v>77.057006999999999</v>
      </c>
      <c r="AJ898" s="7">
        <v>100</v>
      </c>
      <c r="AK898" s="7">
        <v>11.69</v>
      </c>
      <c r="AL898" s="7">
        <v>10.93</v>
      </c>
      <c r="AM898" s="7">
        <v>12.79</v>
      </c>
      <c r="AN898" s="4" t="s">
        <v>124</v>
      </c>
      <c r="AO898" s="4" t="s">
        <v>124</v>
      </c>
      <c r="AP898" s="4" t="s">
        <v>124</v>
      </c>
      <c r="AQ898" s="4" t="s">
        <v>124</v>
      </c>
      <c r="AR898" s="4" t="s">
        <v>124</v>
      </c>
      <c r="AS898" s="4" t="s">
        <v>124</v>
      </c>
      <c r="AT898" s="4" t="s">
        <v>124</v>
      </c>
      <c r="AU898" s="4" t="s">
        <v>124</v>
      </c>
      <c r="AV898" s="4" t="s">
        <v>124</v>
      </c>
      <c r="AW898" s="4" t="s">
        <v>124</v>
      </c>
      <c r="AX898" s="4" t="s">
        <v>124</v>
      </c>
      <c r="AY898" s="4" t="s">
        <v>124</v>
      </c>
      <c r="AZ898" s="4" t="s">
        <v>124</v>
      </c>
      <c r="BA898" s="4" t="s">
        <v>124</v>
      </c>
      <c r="BB898" s="4" t="s">
        <v>124</v>
      </c>
      <c r="BC898" s="4" t="s">
        <v>124</v>
      </c>
      <c r="BD898" s="4" t="s">
        <v>124</v>
      </c>
      <c r="BE898" s="4" t="s">
        <v>124</v>
      </c>
      <c r="BF898" s="4" t="s">
        <v>124</v>
      </c>
      <c r="BG898" s="4" t="s">
        <v>124</v>
      </c>
      <c r="BH898" s="7">
        <v>0</v>
      </c>
      <c r="BI898" s="7">
        <v>0.99390199999999995</v>
      </c>
      <c r="BJ898" s="7">
        <v>0.97959200000000002</v>
      </c>
      <c r="BK898" s="7">
        <v>1</v>
      </c>
      <c r="BL898" s="7">
        <v>0.99390199999999995</v>
      </c>
      <c r="BM898" s="7">
        <v>0.97959200000000002</v>
      </c>
      <c r="BN898" s="7">
        <v>1</v>
      </c>
      <c r="BO898" s="7">
        <v>0.99390199999999995</v>
      </c>
      <c r="BP898" s="7">
        <v>0.97959200000000002</v>
      </c>
      <c r="BQ898" s="7">
        <v>1</v>
      </c>
      <c r="BR898" s="7">
        <v>0.12917899999999999</v>
      </c>
      <c r="BS898" s="7">
        <v>34.164133999999997</v>
      </c>
      <c r="BT898" s="7">
        <v>50</v>
      </c>
      <c r="BU898" s="7">
        <v>0.22459899999999999</v>
      </c>
      <c r="BV898" s="7">
        <v>15.080214</v>
      </c>
      <c r="BW898" s="7">
        <v>50</v>
      </c>
      <c r="BX898" s="7">
        <v>0.81039799999999995</v>
      </c>
      <c r="BY898" s="7">
        <v>50</v>
      </c>
      <c r="BZ898" s="7">
        <v>50</v>
      </c>
      <c r="CA898" s="7">
        <v>0.60244600000000004</v>
      </c>
      <c r="CB898" s="7">
        <v>40.163099000000003</v>
      </c>
      <c r="CC898" s="7">
        <v>50</v>
      </c>
      <c r="CD898" s="7">
        <v>0.99378900000000003</v>
      </c>
      <c r="CE898" s="7">
        <v>50</v>
      </c>
      <c r="CF898" s="7">
        <v>50</v>
      </c>
      <c r="CG898" s="7">
        <v>0.953488</v>
      </c>
      <c r="CH898" s="7">
        <v>100</v>
      </c>
      <c r="CI898" s="7">
        <v>100</v>
      </c>
      <c r="CJ898" s="7">
        <v>0</v>
      </c>
      <c r="CK898" s="7">
        <v>0.87755099999999997</v>
      </c>
      <c r="CL898" s="7">
        <v>93.356492000000003</v>
      </c>
      <c r="CM898" s="7">
        <v>100</v>
      </c>
      <c r="CN898" s="7">
        <v>0.79518100000000003</v>
      </c>
      <c r="CO898" s="7">
        <v>100</v>
      </c>
      <c r="CP898" s="7">
        <v>100</v>
      </c>
      <c r="CQ898" s="7">
        <v>0.80487799999999998</v>
      </c>
      <c r="CR898" s="7">
        <v>0.95906400000000003</v>
      </c>
      <c r="CS898" s="7">
        <v>50</v>
      </c>
      <c r="CT898" s="7">
        <v>50</v>
      </c>
      <c r="CU898" s="7">
        <v>0.54559299999999999</v>
      </c>
      <c r="CV898" s="7">
        <v>45.466059000000001</v>
      </c>
      <c r="CW898" s="7">
        <v>50</v>
      </c>
      <c r="CX898" s="7">
        <v>0.87755099999999997</v>
      </c>
      <c r="CY898" s="7">
        <v>0.94</v>
      </c>
      <c r="CZ898" s="7">
        <v>6.2448999999999998E-2</v>
      </c>
      <c r="DA898" s="7">
        <v>15.314097</v>
      </c>
      <c r="DB898" s="7">
        <v>17.400950000000002</v>
      </c>
      <c r="DC898" s="7">
        <v>16.332519999999999</v>
      </c>
      <c r="DD898" s="7">
        <v>7.9891730000000001</v>
      </c>
      <c r="DE898" s="7">
        <v>0</v>
      </c>
      <c r="DF898" s="6"/>
      <c r="DG898" s="6"/>
      <c r="DH898" s="6"/>
      <c r="DI898" s="6"/>
      <c r="DJ898" s="7">
        <v>0</v>
      </c>
      <c r="DK898" s="7">
        <v>0</v>
      </c>
      <c r="DL898" s="7">
        <v>0</v>
      </c>
      <c r="DM898" s="7">
        <v>0</v>
      </c>
      <c r="DN898" s="7">
        <v>0</v>
      </c>
      <c r="DO898" s="7">
        <v>0</v>
      </c>
      <c r="DP898" s="6"/>
      <c r="DQ898" s="4" t="s">
        <v>125</v>
      </c>
    </row>
    <row r="899" spans="1:121" ht="20" customHeight="1" x14ac:dyDescent="0.15">
      <c r="A899" s="5">
        <v>2018</v>
      </c>
      <c r="B899" s="3" t="s">
        <v>309</v>
      </c>
      <c r="C899" s="4" t="str">
        <f t="shared" si="254"/>
        <v>1370011</v>
      </c>
      <c r="D899" s="4" t="s">
        <v>1051</v>
      </c>
      <c r="E899" s="4" t="str">
        <f>"1375211"</f>
        <v>1375211</v>
      </c>
      <c r="F899" s="4" t="s">
        <v>327</v>
      </c>
      <c r="G899" s="7">
        <v>5</v>
      </c>
      <c r="H899" s="7">
        <v>8</v>
      </c>
      <c r="I899" s="6"/>
      <c r="J899" s="4" t="s">
        <v>330</v>
      </c>
      <c r="K899" s="7">
        <v>716.20292800000004</v>
      </c>
      <c r="L899" s="7">
        <v>900</v>
      </c>
      <c r="M899" s="7">
        <v>79.578102999999999</v>
      </c>
      <c r="N899" s="7">
        <v>2</v>
      </c>
      <c r="O899" s="7">
        <v>0</v>
      </c>
      <c r="P899" s="7">
        <v>79.961118999999997</v>
      </c>
      <c r="Q899" s="7">
        <v>50</v>
      </c>
      <c r="R899" s="7">
        <v>50</v>
      </c>
      <c r="S899" s="7">
        <v>66.557158999999999</v>
      </c>
      <c r="T899" s="7">
        <v>75</v>
      </c>
      <c r="U899" s="7">
        <v>44.371439000000002</v>
      </c>
      <c r="V899" s="7">
        <v>50</v>
      </c>
      <c r="W899" s="7">
        <v>73.638007000000002</v>
      </c>
      <c r="X899" s="7">
        <v>49.092005</v>
      </c>
      <c r="Y899" s="7">
        <v>50</v>
      </c>
      <c r="Z899" s="7">
        <v>75</v>
      </c>
      <c r="AA899" s="7">
        <v>59.522388999999997</v>
      </c>
      <c r="AB899" s="7">
        <v>39.681592999999999</v>
      </c>
      <c r="AC899" s="7">
        <v>50</v>
      </c>
      <c r="AD899" s="7">
        <v>74.743590999999995</v>
      </c>
      <c r="AE899" s="7">
        <v>49.829061000000003</v>
      </c>
      <c r="AF899" s="7">
        <v>50</v>
      </c>
      <c r="AG899" s="7">
        <v>64.297697999999997</v>
      </c>
      <c r="AH899" s="7">
        <v>75</v>
      </c>
      <c r="AI899" s="7">
        <v>42.865132000000003</v>
      </c>
      <c r="AJ899" s="7">
        <v>50</v>
      </c>
      <c r="AK899" s="7">
        <v>8.44</v>
      </c>
      <c r="AL899" s="7">
        <v>15.47</v>
      </c>
      <c r="AM899" s="7">
        <v>10.7</v>
      </c>
      <c r="AN899" s="7">
        <v>0.69218900000000005</v>
      </c>
      <c r="AO899" s="7">
        <v>69.218850000000003</v>
      </c>
      <c r="AP899" s="7">
        <v>100</v>
      </c>
      <c r="AQ899" s="7">
        <v>0.65942800000000001</v>
      </c>
      <c r="AR899" s="7">
        <v>65.942819999999998</v>
      </c>
      <c r="AS899" s="7">
        <v>100</v>
      </c>
      <c r="AT899" s="7">
        <v>0.59562899999999996</v>
      </c>
      <c r="AU899" s="7">
        <v>0.73057000000000005</v>
      </c>
      <c r="AV899" s="7">
        <v>59.562894</v>
      </c>
      <c r="AW899" s="7">
        <v>100</v>
      </c>
      <c r="AX899" s="7">
        <v>0.62072300000000002</v>
      </c>
      <c r="AY899" s="7">
        <v>0.674813</v>
      </c>
      <c r="AZ899" s="7">
        <v>62.072310999999999</v>
      </c>
      <c r="BA899" s="7">
        <v>100</v>
      </c>
      <c r="BB899" s="4" t="s">
        <v>124</v>
      </c>
      <c r="BC899" s="4" t="s">
        <v>124</v>
      </c>
      <c r="BD899" s="4" t="s">
        <v>124</v>
      </c>
      <c r="BE899" s="4" t="s">
        <v>124</v>
      </c>
      <c r="BF899" s="4" t="s">
        <v>124</v>
      </c>
      <c r="BG899" s="4" t="s">
        <v>124</v>
      </c>
      <c r="BH899" s="7">
        <v>0</v>
      </c>
      <c r="BI899" s="7">
        <v>0.99716700000000003</v>
      </c>
      <c r="BJ899" s="7">
        <v>0.99056599999999995</v>
      </c>
      <c r="BK899" s="7">
        <v>1</v>
      </c>
      <c r="BL899" s="7">
        <v>0.99716700000000003</v>
      </c>
      <c r="BM899" s="7">
        <v>0.99056599999999995</v>
      </c>
      <c r="BN899" s="7">
        <v>1</v>
      </c>
      <c r="BO899" s="7">
        <v>1</v>
      </c>
      <c r="BP899" s="7">
        <v>1</v>
      </c>
      <c r="BQ899" s="7">
        <v>1</v>
      </c>
      <c r="BR899" s="7">
        <v>5.3823999999999997E-2</v>
      </c>
      <c r="BS899" s="7">
        <v>49.235126999999999</v>
      </c>
      <c r="BT899" s="7">
        <v>50</v>
      </c>
      <c r="BU899" s="7">
        <v>7.6923000000000005E-2</v>
      </c>
      <c r="BV899" s="7">
        <v>44.615385000000003</v>
      </c>
      <c r="BW899" s="7">
        <v>50</v>
      </c>
      <c r="BX899" s="4" t="s">
        <v>124</v>
      </c>
      <c r="BY899" s="4" t="s">
        <v>124</v>
      </c>
      <c r="BZ899" s="4" t="s">
        <v>124</v>
      </c>
      <c r="CA899" s="4" t="s">
        <v>124</v>
      </c>
      <c r="CB899" s="4" t="s">
        <v>124</v>
      </c>
      <c r="CC899" s="4" t="s">
        <v>124</v>
      </c>
      <c r="CD899" s="7">
        <v>1</v>
      </c>
      <c r="CE899" s="7">
        <v>50</v>
      </c>
      <c r="CF899" s="7">
        <v>50</v>
      </c>
      <c r="CG899" s="4" t="s">
        <v>124</v>
      </c>
      <c r="CH899" s="4" t="s">
        <v>124</v>
      </c>
      <c r="CI899" s="4" t="s">
        <v>124</v>
      </c>
      <c r="CJ899" s="4" t="s">
        <v>124</v>
      </c>
      <c r="CK899" s="4" t="s">
        <v>124</v>
      </c>
      <c r="CL899" s="4" t="s">
        <v>124</v>
      </c>
      <c r="CM899" s="4" t="s">
        <v>124</v>
      </c>
      <c r="CN899" s="4" t="s">
        <v>124</v>
      </c>
      <c r="CO899" s="4" t="s">
        <v>124</v>
      </c>
      <c r="CP899" s="4" t="s">
        <v>124</v>
      </c>
      <c r="CQ899" s="7">
        <v>0.59574499999999997</v>
      </c>
      <c r="CR899" s="7">
        <v>0.96907200000000004</v>
      </c>
      <c r="CS899" s="7">
        <v>39.716312000000002</v>
      </c>
      <c r="CT899" s="7">
        <v>50</v>
      </c>
      <c r="CU899" s="4" t="s">
        <v>124</v>
      </c>
      <c r="CV899" s="4" t="s">
        <v>124</v>
      </c>
      <c r="CW899" s="4" t="s">
        <v>124</v>
      </c>
      <c r="CX899" s="4" t="s">
        <v>124</v>
      </c>
      <c r="CY899" s="4" t="s">
        <v>124</v>
      </c>
      <c r="CZ899" s="4" t="s">
        <v>124</v>
      </c>
      <c r="DA899" s="7">
        <v>15.314097</v>
      </c>
      <c r="DB899" s="7">
        <v>17.400950000000002</v>
      </c>
      <c r="DC899" s="7">
        <v>16.332519999999999</v>
      </c>
      <c r="DD899" s="4" t="s">
        <v>124</v>
      </c>
      <c r="DE899" s="7">
        <v>0</v>
      </c>
      <c r="DF899" s="6"/>
      <c r="DG899" s="6"/>
      <c r="DH899" s="6"/>
      <c r="DI899" s="6"/>
      <c r="DJ899" s="7">
        <v>0</v>
      </c>
      <c r="DK899" s="7">
        <v>0</v>
      </c>
      <c r="DL899" s="7">
        <v>0</v>
      </c>
      <c r="DM899" s="7">
        <v>0</v>
      </c>
      <c r="DN899" s="7">
        <v>0</v>
      </c>
      <c r="DO899" s="7">
        <v>0</v>
      </c>
      <c r="DP899" s="6"/>
      <c r="DQ899" s="4" t="s">
        <v>125</v>
      </c>
    </row>
    <row r="900" spans="1:121" ht="20" customHeight="1" x14ac:dyDescent="0.15">
      <c r="A900" s="5">
        <v>2018</v>
      </c>
      <c r="B900" s="3" t="s">
        <v>309</v>
      </c>
      <c r="C900" s="4" t="str">
        <f t="shared" si="254"/>
        <v>1370011</v>
      </c>
      <c r="D900" s="4" t="s">
        <v>1052</v>
      </c>
      <c r="E900" s="4" t="str">
        <f>"1370411"</f>
        <v>1370411</v>
      </c>
      <c r="F900" s="4" t="s">
        <v>327</v>
      </c>
      <c r="G900" s="7">
        <v>3</v>
      </c>
      <c r="H900" s="7">
        <v>4</v>
      </c>
      <c r="I900" s="4" t="s">
        <v>335</v>
      </c>
      <c r="J900" s="4" t="s">
        <v>330</v>
      </c>
      <c r="K900" s="7">
        <v>519.79373399999997</v>
      </c>
      <c r="L900" s="7">
        <v>750</v>
      </c>
      <c r="M900" s="7">
        <v>69.305830999999998</v>
      </c>
      <c r="N900" s="7">
        <v>3</v>
      </c>
      <c r="O900" s="7">
        <v>0</v>
      </c>
      <c r="P900" s="7">
        <v>82.243320999999995</v>
      </c>
      <c r="Q900" s="7">
        <v>50</v>
      </c>
      <c r="R900" s="7">
        <v>50</v>
      </c>
      <c r="S900" s="7">
        <v>75.576436999999999</v>
      </c>
      <c r="T900" s="7">
        <v>75</v>
      </c>
      <c r="U900" s="7">
        <v>50</v>
      </c>
      <c r="V900" s="7">
        <v>50</v>
      </c>
      <c r="W900" s="7">
        <v>75.575140000000005</v>
      </c>
      <c r="X900" s="7">
        <v>50</v>
      </c>
      <c r="Y900" s="7">
        <v>50</v>
      </c>
      <c r="Z900" s="7">
        <v>75</v>
      </c>
      <c r="AA900" s="7">
        <v>67.948299000000006</v>
      </c>
      <c r="AB900" s="7">
        <v>45.298865999999997</v>
      </c>
      <c r="AC900" s="7">
        <v>50</v>
      </c>
      <c r="AD900" s="4" t="s">
        <v>124</v>
      </c>
      <c r="AE900" s="4" t="s">
        <v>124</v>
      </c>
      <c r="AF900" s="4" t="s">
        <v>124</v>
      </c>
      <c r="AG900" s="4" t="s">
        <v>124</v>
      </c>
      <c r="AH900" s="4" t="s">
        <v>124</v>
      </c>
      <c r="AI900" s="4" t="s">
        <v>124</v>
      </c>
      <c r="AJ900" s="4" t="s">
        <v>124</v>
      </c>
      <c r="AK900" s="7">
        <v>-0.56999999999999995</v>
      </c>
      <c r="AL900" s="7">
        <v>7.05</v>
      </c>
      <c r="AM900" s="4" t="s">
        <v>124</v>
      </c>
      <c r="AN900" s="7">
        <v>0.61510299999999996</v>
      </c>
      <c r="AO900" s="7">
        <v>61.510342000000001</v>
      </c>
      <c r="AP900" s="7">
        <v>100</v>
      </c>
      <c r="AQ900" s="7">
        <v>0.68668300000000004</v>
      </c>
      <c r="AR900" s="7">
        <v>68.668262999999996</v>
      </c>
      <c r="AS900" s="7">
        <v>100</v>
      </c>
      <c r="AT900" s="7">
        <v>0.56901500000000005</v>
      </c>
      <c r="AU900" s="7">
        <v>0.65948499999999999</v>
      </c>
      <c r="AV900" s="7">
        <v>56.901519</v>
      </c>
      <c r="AW900" s="7">
        <v>100</v>
      </c>
      <c r="AX900" s="7">
        <v>0.57359800000000005</v>
      </c>
      <c r="AY900" s="7">
        <v>0.79557900000000004</v>
      </c>
      <c r="AZ900" s="7">
        <v>57.359772999999997</v>
      </c>
      <c r="BA900" s="7">
        <v>100</v>
      </c>
      <c r="BB900" s="4" t="s">
        <v>124</v>
      </c>
      <c r="BC900" s="4" t="s">
        <v>124</v>
      </c>
      <c r="BD900" s="4" t="s">
        <v>124</v>
      </c>
      <c r="BE900" s="4" t="s">
        <v>124</v>
      </c>
      <c r="BF900" s="4" t="s">
        <v>124</v>
      </c>
      <c r="BG900" s="4" t="s">
        <v>124</v>
      </c>
      <c r="BH900" s="7">
        <v>0</v>
      </c>
      <c r="BI900" s="7">
        <v>1</v>
      </c>
      <c r="BJ900" s="7">
        <v>1</v>
      </c>
      <c r="BK900" s="7">
        <v>1</v>
      </c>
      <c r="BL900" s="7">
        <v>0.99107100000000004</v>
      </c>
      <c r="BM900" s="7">
        <v>0.98305100000000001</v>
      </c>
      <c r="BN900" s="7">
        <v>1</v>
      </c>
      <c r="BO900" s="4" t="s">
        <v>124</v>
      </c>
      <c r="BP900" s="4" t="s">
        <v>124</v>
      </c>
      <c r="BQ900" s="4" t="s">
        <v>124</v>
      </c>
      <c r="BR900" s="7">
        <v>8.1081E-2</v>
      </c>
      <c r="BS900" s="7">
        <v>43.783783999999997</v>
      </c>
      <c r="BT900" s="7">
        <v>50</v>
      </c>
      <c r="BU900" s="7">
        <v>0.118644</v>
      </c>
      <c r="BV900" s="7">
        <v>36.271186</v>
      </c>
      <c r="BW900" s="7">
        <v>50</v>
      </c>
      <c r="BX900" s="4" t="s">
        <v>124</v>
      </c>
      <c r="BY900" s="4" t="s">
        <v>124</v>
      </c>
      <c r="BZ900" s="4" t="s">
        <v>124</v>
      </c>
      <c r="CA900" s="4" t="s">
        <v>124</v>
      </c>
      <c r="CB900" s="4" t="s">
        <v>124</v>
      </c>
      <c r="CC900" s="4" t="s">
        <v>124</v>
      </c>
      <c r="CD900" s="4" t="s">
        <v>124</v>
      </c>
      <c r="CE900" s="4" t="s">
        <v>124</v>
      </c>
      <c r="CF900" s="4" t="s">
        <v>124</v>
      </c>
      <c r="CG900" s="4" t="s">
        <v>124</v>
      </c>
      <c r="CH900" s="4" t="s">
        <v>124</v>
      </c>
      <c r="CI900" s="4" t="s">
        <v>124</v>
      </c>
      <c r="CJ900" s="4" t="s">
        <v>124</v>
      </c>
      <c r="CK900" s="4" t="s">
        <v>124</v>
      </c>
      <c r="CL900" s="4" t="s">
        <v>124</v>
      </c>
      <c r="CM900" s="4" t="s">
        <v>124</v>
      </c>
      <c r="CN900" s="4" t="s">
        <v>124</v>
      </c>
      <c r="CO900" s="4" t="s">
        <v>124</v>
      </c>
      <c r="CP900" s="4" t="s">
        <v>124</v>
      </c>
      <c r="CQ900" s="4" t="s">
        <v>124</v>
      </c>
      <c r="CR900" s="4" t="s">
        <v>124</v>
      </c>
      <c r="CS900" s="7">
        <v>0</v>
      </c>
      <c r="CT900" s="7">
        <v>50</v>
      </c>
      <c r="CU900" s="4" t="s">
        <v>124</v>
      </c>
      <c r="CV900" s="4" t="s">
        <v>124</v>
      </c>
      <c r="CW900" s="4" t="s">
        <v>124</v>
      </c>
      <c r="CX900" s="4" t="s">
        <v>124</v>
      </c>
      <c r="CY900" s="4" t="s">
        <v>124</v>
      </c>
      <c r="CZ900" s="4" t="s">
        <v>124</v>
      </c>
      <c r="DA900" s="7">
        <v>15.314097</v>
      </c>
      <c r="DB900" s="7">
        <v>17.400950000000002</v>
      </c>
      <c r="DC900" s="7">
        <v>16.332519999999999</v>
      </c>
      <c r="DD900" s="4" t="s">
        <v>124</v>
      </c>
      <c r="DE900" s="7">
        <v>0</v>
      </c>
      <c r="DF900" s="6"/>
      <c r="DG900" s="6"/>
      <c r="DH900" s="6"/>
      <c r="DI900" s="6"/>
      <c r="DJ900" s="7">
        <v>0</v>
      </c>
      <c r="DK900" s="7">
        <v>0</v>
      </c>
      <c r="DL900" s="7">
        <v>0</v>
      </c>
      <c r="DM900" s="7">
        <v>0</v>
      </c>
      <c r="DN900" s="7">
        <v>0</v>
      </c>
      <c r="DO900" s="7">
        <v>0</v>
      </c>
      <c r="DP900" s="6"/>
      <c r="DQ900" s="4" t="s">
        <v>125</v>
      </c>
    </row>
    <row r="901" spans="1:121" ht="20" customHeight="1" x14ac:dyDescent="0.15">
      <c r="A901" s="5">
        <v>2018</v>
      </c>
      <c r="B901" s="3" t="s">
        <v>309</v>
      </c>
      <c r="C901" s="4" t="str">
        <f t="shared" si="254"/>
        <v>1370011</v>
      </c>
      <c r="D901" s="4" t="s">
        <v>1053</v>
      </c>
      <c r="E901" s="4" t="str">
        <f>"1370611"</f>
        <v>1370611</v>
      </c>
      <c r="F901" s="4" t="s">
        <v>327</v>
      </c>
      <c r="G901" s="4" t="s">
        <v>338</v>
      </c>
      <c r="H901" s="7">
        <v>3</v>
      </c>
      <c r="I901" s="4" t="s">
        <v>335</v>
      </c>
      <c r="J901" s="4" t="s">
        <v>330</v>
      </c>
      <c r="K901" s="7">
        <v>55.821747999999999</v>
      </c>
      <c r="L901" s="7">
        <v>100</v>
      </c>
      <c r="M901" s="7">
        <v>55.821747999999999</v>
      </c>
      <c r="N901" s="4" t="s">
        <v>124</v>
      </c>
      <c r="O901" s="4" t="s">
        <v>124</v>
      </c>
      <c r="P901" s="4" t="s">
        <v>124</v>
      </c>
      <c r="Q901" s="4" t="s">
        <v>124</v>
      </c>
      <c r="R901" s="4" t="s">
        <v>124</v>
      </c>
      <c r="S901" s="4" t="s">
        <v>124</v>
      </c>
      <c r="T901" s="4" t="s">
        <v>124</v>
      </c>
      <c r="U901" s="4" t="s">
        <v>124</v>
      </c>
      <c r="V901" s="4" t="s">
        <v>124</v>
      </c>
      <c r="W901" s="4" t="s">
        <v>124</v>
      </c>
      <c r="X901" s="4" t="s">
        <v>124</v>
      </c>
      <c r="Y901" s="4" t="s">
        <v>124</v>
      </c>
      <c r="Z901" s="4" t="s">
        <v>124</v>
      </c>
      <c r="AA901" s="4" t="s">
        <v>124</v>
      </c>
      <c r="AB901" s="4" t="s">
        <v>124</v>
      </c>
      <c r="AC901" s="4" t="s">
        <v>124</v>
      </c>
      <c r="AD901" s="4" t="s">
        <v>124</v>
      </c>
      <c r="AE901" s="4" t="s">
        <v>124</v>
      </c>
      <c r="AF901" s="4" t="s">
        <v>124</v>
      </c>
      <c r="AG901" s="4" t="s">
        <v>124</v>
      </c>
      <c r="AH901" s="4" t="s">
        <v>124</v>
      </c>
      <c r="AI901" s="4" t="s">
        <v>124</v>
      </c>
      <c r="AJ901" s="4" t="s">
        <v>124</v>
      </c>
      <c r="AK901" s="4" t="s">
        <v>124</v>
      </c>
      <c r="AL901" s="4" t="s">
        <v>124</v>
      </c>
      <c r="AM901" s="4" t="s">
        <v>124</v>
      </c>
      <c r="AN901" s="4" t="s">
        <v>124</v>
      </c>
      <c r="AO901" s="4" t="s">
        <v>124</v>
      </c>
      <c r="AP901" s="4" t="s">
        <v>124</v>
      </c>
      <c r="AQ901" s="4" t="s">
        <v>124</v>
      </c>
      <c r="AR901" s="4" t="s">
        <v>124</v>
      </c>
      <c r="AS901" s="4" t="s">
        <v>124</v>
      </c>
      <c r="AT901" s="4" t="s">
        <v>124</v>
      </c>
      <c r="AU901" s="4" t="s">
        <v>124</v>
      </c>
      <c r="AV901" s="4" t="s">
        <v>124</v>
      </c>
      <c r="AW901" s="4" t="s">
        <v>124</v>
      </c>
      <c r="AX901" s="4" t="s">
        <v>124</v>
      </c>
      <c r="AY901" s="4" t="s">
        <v>124</v>
      </c>
      <c r="AZ901" s="4" t="s">
        <v>124</v>
      </c>
      <c r="BA901" s="4" t="s">
        <v>124</v>
      </c>
      <c r="BB901" s="4" t="s">
        <v>124</v>
      </c>
      <c r="BC901" s="4" t="s">
        <v>124</v>
      </c>
      <c r="BD901" s="4" t="s">
        <v>124</v>
      </c>
      <c r="BE901" s="4" t="s">
        <v>124</v>
      </c>
      <c r="BF901" s="4" t="s">
        <v>124</v>
      </c>
      <c r="BG901" s="4" t="s">
        <v>124</v>
      </c>
      <c r="BH901" s="7">
        <v>0</v>
      </c>
      <c r="BI901" s="4" t="s">
        <v>124</v>
      </c>
      <c r="BJ901" s="4" t="s">
        <v>124</v>
      </c>
      <c r="BK901" s="4" t="s">
        <v>124</v>
      </c>
      <c r="BL901" s="4" t="s">
        <v>124</v>
      </c>
      <c r="BM901" s="4" t="s">
        <v>124</v>
      </c>
      <c r="BN901" s="4" t="s">
        <v>124</v>
      </c>
      <c r="BO901" s="4" t="s">
        <v>124</v>
      </c>
      <c r="BP901" s="4" t="s">
        <v>124</v>
      </c>
      <c r="BQ901" s="4" t="s">
        <v>124</v>
      </c>
      <c r="BR901" s="7">
        <v>0.118644</v>
      </c>
      <c r="BS901" s="7">
        <v>36.271186</v>
      </c>
      <c r="BT901" s="7">
        <v>50</v>
      </c>
      <c r="BU901" s="7">
        <v>0.20224700000000001</v>
      </c>
      <c r="BV901" s="7">
        <v>19.550561999999999</v>
      </c>
      <c r="BW901" s="7">
        <v>50</v>
      </c>
      <c r="BX901" s="4" t="s">
        <v>124</v>
      </c>
      <c r="BY901" s="4" t="s">
        <v>124</v>
      </c>
      <c r="BZ901" s="4" t="s">
        <v>124</v>
      </c>
      <c r="CA901" s="4" t="s">
        <v>124</v>
      </c>
      <c r="CB901" s="4" t="s">
        <v>124</v>
      </c>
      <c r="CC901" s="4" t="s">
        <v>124</v>
      </c>
      <c r="CD901" s="4" t="s">
        <v>124</v>
      </c>
      <c r="CE901" s="4" t="s">
        <v>124</v>
      </c>
      <c r="CF901" s="4" t="s">
        <v>124</v>
      </c>
      <c r="CG901" s="4" t="s">
        <v>124</v>
      </c>
      <c r="CH901" s="4" t="s">
        <v>124</v>
      </c>
      <c r="CI901" s="4" t="s">
        <v>124</v>
      </c>
      <c r="CJ901" s="4" t="s">
        <v>124</v>
      </c>
      <c r="CK901" s="4" t="s">
        <v>124</v>
      </c>
      <c r="CL901" s="4" t="s">
        <v>124</v>
      </c>
      <c r="CM901" s="4" t="s">
        <v>124</v>
      </c>
      <c r="CN901" s="4" t="s">
        <v>124</v>
      </c>
      <c r="CO901" s="4" t="s">
        <v>124</v>
      </c>
      <c r="CP901" s="4" t="s">
        <v>124</v>
      </c>
      <c r="CQ901" s="4" t="s">
        <v>124</v>
      </c>
      <c r="CR901" s="4" t="s">
        <v>124</v>
      </c>
      <c r="CS901" s="4" t="s">
        <v>124</v>
      </c>
      <c r="CT901" s="4" t="s">
        <v>124</v>
      </c>
      <c r="CU901" s="4" t="s">
        <v>124</v>
      </c>
      <c r="CV901" s="4" t="s">
        <v>124</v>
      </c>
      <c r="CW901" s="4" t="s">
        <v>124</v>
      </c>
      <c r="CX901" s="4" t="s">
        <v>124</v>
      </c>
      <c r="CY901" s="4" t="s">
        <v>124</v>
      </c>
      <c r="CZ901" s="4" t="s">
        <v>124</v>
      </c>
      <c r="DA901" s="4" t="s">
        <v>124</v>
      </c>
      <c r="DB901" s="4" t="s">
        <v>124</v>
      </c>
      <c r="DC901" s="4" t="s">
        <v>124</v>
      </c>
      <c r="DD901" s="4" t="s">
        <v>124</v>
      </c>
      <c r="DE901" s="4" t="s">
        <v>124</v>
      </c>
      <c r="DF901" s="6"/>
      <c r="DG901" s="6"/>
      <c r="DH901" s="6"/>
      <c r="DI901" s="6"/>
      <c r="DJ901" s="4" t="s">
        <v>124</v>
      </c>
      <c r="DK901" s="4" t="s">
        <v>124</v>
      </c>
      <c r="DL901" s="4" t="s">
        <v>124</v>
      </c>
      <c r="DM901" s="4" t="s">
        <v>124</v>
      </c>
      <c r="DN901" s="4" t="s">
        <v>124</v>
      </c>
      <c r="DO901" s="4" t="s">
        <v>124</v>
      </c>
      <c r="DP901" s="6"/>
      <c r="DQ901" s="4" t="s">
        <v>125</v>
      </c>
    </row>
    <row r="902" spans="1:121" ht="20" customHeight="1" x14ac:dyDescent="0.15">
      <c r="A902" s="5">
        <v>2018</v>
      </c>
      <c r="B902" s="3" t="s">
        <v>226</v>
      </c>
      <c r="C902" s="4" t="str">
        <f t="shared" si="101"/>
        <v>1380011</v>
      </c>
      <c r="D902" s="4" t="s">
        <v>1054</v>
      </c>
      <c r="E902" s="4" t="str">
        <f>"1386211"</f>
        <v>1386211</v>
      </c>
      <c r="F902" s="4" t="s">
        <v>327</v>
      </c>
      <c r="G902" s="7">
        <v>9</v>
      </c>
      <c r="H902" s="7">
        <v>12</v>
      </c>
      <c r="I902" s="6"/>
      <c r="J902" s="4" t="s">
        <v>330</v>
      </c>
      <c r="K902" s="7">
        <v>1056.7204899999999</v>
      </c>
      <c r="L902" s="7">
        <v>1450</v>
      </c>
      <c r="M902" s="7">
        <v>72.877274999999997</v>
      </c>
      <c r="N902" s="7">
        <v>2</v>
      </c>
      <c r="O902" s="7">
        <v>0</v>
      </c>
      <c r="P902" s="7">
        <v>53.201304999999998</v>
      </c>
      <c r="Q902" s="7">
        <v>106.402609</v>
      </c>
      <c r="R902" s="7">
        <v>150</v>
      </c>
      <c r="S902" s="7">
        <v>48.451627999999999</v>
      </c>
      <c r="T902" s="7">
        <v>57.407125000000001</v>
      </c>
      <c r="U902" s="7">
        <v>96.903256999999996</v>
      </c>
      <c r="V902" s="7">
        <v>150</v>
      </c>
      <c r="W902" s="7">
        <v>50.509447000000002</v>
      </c>
      <c r="X902" s="7">
        <v>101.01889300000001</v>
      </c>
      <c r="Y902" s="7">
        <v>150</v>
      </c>
      <c r="Z902" s="7">
        <v>53.978372</v>
      </c>
      <c r="AA902" s="7">
        <v>46.591954000000001</v>
      </c>
      <c r="AB902" s="7">
        <v>93.183908000000002</v>
      </c>
      <c r="AC902" s="7">
        <v>150</v>
      </c>
      <c r="AD902" s="7">
        <v>49.923561999999997</v>
      </c>
      <c r="AE902" s="7">
        <v>66.564750000000004</v>
      </c>
      <c r="AF902" s="7">
        <v>100</v>
      </c>
      <c r="AG902" s="7">
        <v>44.875861</v>
      </c>
      <c r="AH902" s="7">
        <v>54.470345999999999</v>
      </c>
      <c r="AI902" s="7">
        <v>59.834482000000001</v>
      </c>
      <c r="AJ902" s="7">
        <v>100</v>
      </c>
      <c r="AK902" s="7">
        <v>8.9499999999999993</v>
      </c>
      <c r="AL902" s="7">
        <v>7.38</v>
      </c>
      <c r="AM902" s="7">
        <v>9.59</v>
      </c>
      <c r="AN902" s="4" t="s">
        <v>124</v>
      </c>
      <c r="AO902" s="4" t="s">
        <v>124</v>
      </c>
      <c r="AP902" s="4" t="s">
        <v>124</v>
      </c>
      <c r="AQ902" s="4" t="s">
        <v>124</v>
      </c>
      <c r="AR902" s="4" t="s">
        <v>124</v>
      </c>
      <c r="AS902" s="4" t="s">
        <v>124</v>
      </c>
      <c r="AT902" s="4" t="s">
        <v>124</v>
      </c>
      <c r="AU902" s="4" t="s">
        <v>124</v>
      </c>
      <c r="AV902" s="4" t="s">
        <v>124</v>
      </c>
      <c r="AW902" s="4" t="s">
        <v>124</v>
      </c>
      <c r="AX902" s="4" t="s">
        <v>124</v>
      </c>
      <c r="AY902" s="4" t="s">
        <v>124</v>
      </c>
      <c r="AZ902" s="4" t="s">
        <v>124</v>
      </c>
      <c r="BA902" s="4" t="s">
        <v>124</v>
      </c>
      <c r="BB902" s="4" t="s">
        <v>124</v>
      </c>
      <c r="BC902" s="4" t="s">
        <v>124</v>
      </c>
      <c r="BD902" s="4" t="s">
        <v>124</v>
      </c>
      <c r="BE902" s="4" t="s">
        <v>124</v>
      </c>
      <c r="BF902" s="4" t="s">
        <v>124</v>
      </c>
      <c r="BG902" s="4" t="s">
        <v>124</v>
      </c>
      <c r="BH902" s="7">
        <v>0</v>
      </c>
      <c r="BI902" s="7">
        <v>0.99601600000000001</v>
      </c>
      <c r="BJ902" s="7">
        <v>0.99159699999999995</v>
      </c>
      <c r="BK902" s="7">
        <v>1</v>
      </c>
      <c r="BL902" s="7">
        <v>0.99601600000000001</v>
      </c>
      <c r="BM902" s="7">
        <v>0.99159699999999995</v>
      </c>
      <c r="BN902" s="7">
        <v>1</v>
      </c>
      <c r="BO902" s="7">
        <v>1</v>
      </c>
      <c r="BP902" s="7">
        <v>1</v>
      </c>
      <c r="BQ902" s="7">
        <v>1</v>
      </c>
      <c r="BR902" s="7">
        <v>0.152363</v>
      </c>
      <c r="BS902" s="7">
        <v>29.527483</v>
      </c>
      <c r="BT902" s="7">
        <v>50</v>
      </c>
      <c r="BU902" s="7">
        <v>0.21643299999999999</v>
      </c>
      <c r="BV902" s="7">
        <v>16.713426999999999</v>
      </c>
      <c r="BW902" s="7">
        <v>50</v>
      </c>
      <c r="BX902" s="7">
        <v>0.92038799999999998</v>
      </c>
      <c r="BY902" s="7">
        <v>50</v>
      </c>
      <c r="BZ902" s="7">
        <v>50</v>
      </c>
      <c r="CA902" s="7">
        <v>0.31844699999999998</v>
      </c>
      <c r="CB902" s="7">
        <v>21.229773000000002</v>
      </c>
      <c r="CC902" s="7">
        <v>50</v>
      </c>
      <c r="CD902" s="7">
        <v>0.85559600000000002</v>
      </c>
      <c r="CE902" s="7">
        <v>45.510407999999998</v>
      </c>
      <c r="CF902" s="7">
        <v>50</v>
      </c>
      <c r="CG902" s="7">
        <v>0.98062000000000005</v>
      </c>
      <c r="CH902" s="7">
        <v>100</v>
      </c>
      <c r="CI902" s="7">
        <v>100</v>
      </c>
      <c r="CJ902" s="7">
        <v>0</v>
      </c>
      <c r="CK902" s="7">
        <v>0.96774199999999999</v>
      </c>
      <c r="CL902" s="7">
        <v>100</v>
      </c>
      <c r="CM902" s="7">
        <v>100</v>
      </c>
      <c r="CN902" s="7">
        <v>0.74409400000000003</v>
      </c>
      <c r="CO902" s="7">
        <v>99.212598</v>
      </c>
      <c r="CP902" s="7">
        <v>100</v>
      </c>
      <c r="CQ902" s="7">
        <v>0.57471300000000003</v>
      </c>
      <c r="CR902" s="7">
        <v>1.0653060000000001</v>
      </c>
      <c r="CS902" s="7">
        <v>38.314176000000003</v>
      </c>
      <c r="CT902" s="7">
        <v>50</v>
      </c>
      <c r="CU902" s="7">
        <v>0.38765699999999997</v>
      </c>
      <c r="CV902" s="7">
        <v>32.304724999999998</v>
      </c>
      <c r="CW902" s="7">
        <v>50</v>
      </c>
      <c r="CX902" s="7">
        <v>0.96774199999999999</v>
      </c>
      <c r="CY902" s="7">
        <v>0.94</v>
      </c>
      <c r="CZ902" s="7">
        <v>-2.7741999999999999E-2</v>
      </c>
      <c r="DA902" s="7">
        <v>15.314097</v>
      </c>
      <c r="DB902" s="7">
        <v>17.400950000000002</v>
      </c>
      <c r="DC902" s="7">
        <v>16.332519999999999</v>
      </c>
      <c r="DD902" s="7">
        <v>7.9891730000000001</v>
      </c>
      <c r="DE902" s="7">
        <v>0</v>
      </c>
      <c r="DF902" s="6"/>
      <c r="DG902" s="6"/>
      <c r="DH902" s="6"/>
      <c r="DI902" s="6"/>
      <c r="DJ902" s="7">
        <v>0</v>
      </c>
      <c r="DK902" s="7">
        <v>0</v>
      </c>
      <c r="DL902" s="7">
        <v>0</v>
      </c>
      <c r="DM902" s="7">
        <v>0</v>
      </c>
      <c r="DN902" s="7">
        <v>0</v>
      </c>
      <c r="DO902" s="7">
        <v>0</v>
      </c>
      <c r="DP902" s="6"/>
      <c r="DQ902" s="4" t="s">
        <v>125</v>
      </c>
    </row>
    <row r="903" spans="1:121" ht="20" customHeight="1" x14ac:dyDescent="0.15">
      <c r="A903" s="5">
        <v>2018</v>
      </c>
      <c r="B903" s="3" t="s">
        <v>226</v>
      </c>
      <c r="C903" s="4" t="str">
        <f t="shared" ref="C903:C914" si="255">"1380011"</f>
        <v>1380011</v>
      </c>
      <c r="D903" s="4" t="s">
        <v>1055</v>
      </c>
      <c r="E903" s="4" t="str">
        <f>"1380311"</f>
        <v>1380311</v>
      </c>
      <c r="F903" s="4" t="s">
        <v>327</v>
      </c>
      <c r="G903" s="4" t="s">
        <v>338</v>
      </c>
      <c r="H903" s="7">
        <v>6</v>
      </c>
      <c r="I903" s="6"/>
      <c r="J903" s="4" t="s">
        <v>330</v>
      </c>
      <c r="K903" s="7">
        <v>691.59267699999998</v>
      </c>
      <c r="L903" s="7">
        <v>850</v>
      </c>
      <c r="M903" s="7">
        <v>81.363844</v>
      </c>
      <c r="N903" s="7">
        <v>2</v>
      </c>
      <c r="O903" s="7">
        <v>0</v>
      </c>
      <c r="P903" s="7">
        <v>73.133645999999999</v>
      </c>
      <c r="Q903" s="7">
        <v>48.755763999999999</v>
      </c>
      <c r="R903" s="7">
        <v>50</v>
      </c>
      <c r="S903" s="7">
        <v>64.435158000000001</v>
      </c>
      <c r="T903" s="7">
        <v>75</v>
      </c>
      <c r="U903" s="7">
        <v>42.956772000000001</v>
      </c>
      <c r="V903" s="7">
        <v>50</v>
      </c>
      <c r="W903" s="7">
        <v>70.071830000000006</v>
      </c>
      <c r="X903" s="7">
        <v>46.714554</v>
      </c>
      <c r="Y903" s="7">
        <v>50</v>
      </c>
      <c r="Z903" s="7">
        <v>75</v>
      </c>
      <c r="AA903" s="7">
        <v>61.682197000000002</v>
      </c>
      <c r="AB903" s="7">
        <v>41.121464000000003</v>
      </c>
      <c r="AC903" s="7">
        <v>50</v>
      </c>
      <c r="AD903" s="7">
        <v>74.171727000000004</v>
      </c>
      <c r="AE903" s="7">
        <v>49.447817999999998</v>
      </c>
      <c r="AF903" s="7">
        <v>50</v>
      </c>
      <c r="AG903" s="7">
        <v>63.309139999999999</v>
      </c>
      <c r="AH903" s="7">
        <v>75</v>
      </c>
      <c r="AI903" s="7">
        <v>42.206093000000003</v>
      </c>
      <c r="AJ903" s="7">
        <v>50</v>
      </c>
      <c r="AK903" s="7">
        <v>10.56</v>
      </c>
      <c r="AL903" s="7">
        <v>13.31</v>
      </c>
      <c r="AM903" s="7">
        <v>11.69</v>
      </c>
      <c r="AN903" s="7">
        <v>0.67705899999999997</v>
      </c>
      <c r="AO903" s="7">
        <v>67.705867999999995</v>
      </c>
      <c r="AP903" s="7">
        <v>100</v>
      </c>
      <c r="AQ903" s="7">
        <v>0.82982400000000001</v>
      </c>
      <c r="AR903" s="7">
        <v>82.982373999999993</v>
      </c>
      <c r="AS903" s="7">
        <v>100</v>
      </c>
      <c r="AT903" s="7">
        <v>0.59296300000000002</v>
      </c>
      <c r="AU903" s="7">
        <v>0.73932200000000003</v>
      </c>
      <c r="AV903" s="7">
        <v>59.296317999999999</v>
      </c>
      <c r="AW903" s="7">
        <v>100</v>
      </c>
      <c r="AX903" s="7">
        <v>0.78872500000000001</v>
      </c>
      <c r="AY903" s="7">
        <v>0.86025300000000005</v>
      </c>
      <c r="AZ903" s="7">
        <v>78.872497999999993</v>
      </c>
      <c r="BA903" s="7">
        <v>100</v>
      </c>
      <c r="BB903" s="4" t="s">
        <v>124</v>
      </c>
      <c r="BC903" s="4" t="s">
        <v>124</v>
      </c>
      <c r="BD903" s="4" t="s">
        <v>124</v>
      </c>
      <c r="BE903" s="4" t="s">
        <v>124</v>
      </c>
      <c r="BF903" s="4" t="s">
        <v>124</v>
      </c>
      <c r="BG903" s="4" t="s">
        <v>124</v>
      </c>
      <c r="BH903" s="7">
        <v>0</v>
      </c>
      <c r="BI903" s="7">
        <v>0.995726</v>
      </c>
      <c r="BJ903" s="7">
        <v>1</v>
      </c>
      <c r="BK903" s="7">
        <v>0.99224800000000002</v>
      </c>
      <c r="BL903" s="7">
        <v>0.995726</v>
      </c>
      <c r="BM903" s="7">
        <v>1</v>
      </c>
      <c r="BN903" s="7">
        <v>0.99224800000000002</v>
      </c>
      <c r="BO903" s="7">
        <v>0.98611099999999996</v>
      </c>
      <c r="BP903" s="7">
        <v>1</v>
      </c>
      <c r="BQ903" s="7">
        <v>0.97777800000000004</v>
      </c>
      <c r="BR903" s="7">
        <v>6.2873999999999999E-2</v>
      </c>
      <c r="BS903" s="7">
        <v>47.425150000000002</v>
      </c>
      <c r="BT903" s="7">
        <v>50</v>
      </c>
      <c r="BU903" s="7">
        <v>9.8039000000000001E-2</v>
      </c>
      <c r="BV903" s="7">
        <v>40.392156999999997</v>
      </c>
      <c r="BW903" s="7">
        <v>50</v>
      </c>
      <c r="BX903" s="4" t="s">
        <v>124</v>
      </c>
      <c r="BY903" s="4" t="s">
        <v>124</v>
      </c>
      <c r="BZ903" s="4" t="s">
        <v>124</v>
      </c>
      <c r="CA903" s="4" t="s">
        <v>124</v>
      </c>
      <c r="CB903" s="4" t="s">
        <v>124</v>
      </c>
      <c r="CC903" s="4" t="s">
        <v>124</v>
      </c>
      <c r="CD903" s="4" t="s">
        <v>124</v>
      </c>
      <c r="CE903" s="4" t="s">
        <v>124</v>
      </c>
      <c r="CF903" s="4" t="s">
        <v>124</v>
      </c>
      <c r="CG903" s="4" t="s">
        <v>124</v>
      </c>
      <c r="CH903" s="4" t="s">
        <v>124</v>
      </c>
      <c r="CI903" s="4" t="s">
        <v>124</v>
      </c>
      <c r="CJ903" s="4" t="s">
        <v>124</v>
      </c>
      <c r="CK903" s="4" t="s">
        <v>124</v>
      </c>
      <c r="CL903" s="4" t="s">
        <v>124</v>
      </c>
      <c r="CM903" s="4" t="s">
        <v>124</v>
      </c>
      <c r="CN903" s="4" t="s">
        <v>124</v>
      </c>
      <c r="CO903" s="4" t="s">
        <v>124</v>
      </c>
      <c r="CP903" s="4" t="s">
        <v>124</v>
      </c>
      <c r="CQ903" s="7">
        <v>0.65573800000000004</v>
      </c>
      <c r="CR903" s="7">
        <v>1.042735</v>
      </c>
      <c r="CS903" s="7">
        <v>43.715846999999997</v>
      </c>
      <c r="CT903" s="7">
        <v>50</v>
      </c>
      <c r="CU903" s="4" t="s">
        <v>124</v>
      </c>
      <c r="CV903" s="4" t="s">
        <v>124</v>
      </c>
      <c r="CW903" s="4" t="s">
        <v>124</v>
      </c>
      <c r="CX903" s="4" t="s">
        <v>124</v>
      </c>
      <c r="CY903" s="4" t="s">
        <v>124</v>
      </c>
      <c r="CZ903" s="4" t="s">
        <v>124</v>
      </c>
      <c r="DA903" s="7">
        <v>15.314097</v>
      </c>
      <c r="DB903" s="7">
        <v>17.400950000000002</v>
      </c>
      <c r="DC903" s="7">
        <v>16.332519999999999</v>
      </c>
      <c r="DD903" s="4" t="s">
        <v>124</v>
      </c>
      <c r="DE903" s="7">
        <v>0</v>
      </c>
      <c r="DF903" s="6"/>
      <c r="DG903" s="6"/>
      <c r="DH903" s="4" t="s">
        <v>331</v>
      </c>
      <c r="DI903" s="4" t="s">
        <v>431</v>
      </c>
      <c r="DJ903" s="7">
        <v>0</v>
      </c>
      <c r="DK903" s="7">
        <v>0</v>
      </c>
      <c r="DL903" s="7">
        <v>0</v>
      </c>
      <c r="DM903" s="7">
        <v>0</v>
      </c>
      <c r="DN903" s="7">
        <v>1</v>
      </c>
      <c r="DO903" s="7">
        <v>0</v>
      </c>
      <c r="DP903" s="6"/>
      <c r="DQ903" s="4" t="s">
        <v>125</v>
      </c>
    </row>
    <row r="904" spans="1:121" ht="20" customHeight="1" x14ac:dyDescent="0.15">
      <c r="A904" s="5">
        <v>2018</v>
      </c>
      <c r="B904" s="3" t="s">
        <v>226</v>
      </c>
      <c r="C904" s="4" t="str">
        <f t="shared" si="255"/>
        <v>1380011</v>
      </c>
      <c r="D904" s="4" t="s">
        <v>1056</v>
      </c>
      <c r="E904" s="4" t="str">
        <f>"1385211"</f>
        <v>1385211</v>
      </c>
      <c r="F904" s="4" t="s">
        <v>327</v>
      </c>
      <c r="G904" s="7">
        <v>7</v>
      </c>
      <c r="H904" s="7">
        <v>8</v>
      </c>
      <c r="I904" s="6"/>
      <c r="J904" s="4" t="s">
        <v>330</v>
      </c>
      <c r="K904" s="7">
        <v>573.45606999999995</v>
      </c>
      <c r="L904" s="7">
        <v>900</v>
      </c>
      <c r="M904" s="7">
        <v>63.717340999999998</v>
      </c>
      <c r="N904" s="7">
        <v>3</v>
      </c>
      <c r="O904" s="7">
        <v>0</v>
      </c>
      <c r="P904" s="7">
        <v>65.769576000000001</v>
      </c>
      <c r="Q904" s="7">
        <v>43.846384</v>
      </c>
      <c r="R904" s="7">
        <v>50</v>
      </c>
      <c r="S904" s="7">
        <v>60.365426999999997</v>
      </c>
      <c r="T904" s="7">
        <v>72.400868000000003</v>
      </c>
      <c r="U904" s="7">
        <v>40.243617999999998</v>
      </c>
      <c r="V904" s="7">
        <v>50</v>
      </c>
      <c r="W904" s="7">
        <v>52.978746000000001</v>
      </c>
      <c r="X904" s="7">
        <v>35.319164000000001</v>
      </c>
      <c r="Y904" s="7">
        <v>50</v>
      </c>
      <c r="Z904" s="7">
        <v>59.223585</v>
      </c>
      <c r="AA904" s="7">
        <v>47.889536</v>
      </c>
      <c r="AB904" s="7">
        <v>31.926356999999999</v>
      </c>
      <c r="AC904" s="7">
        <v>50</v>
      </c>
      <c r="AD904" s="7">
        <v>59.474190999999998</v>
      </c>
      <c r="AE904" s="7">
        <v>39.649461000000002</v>
      </c>
      <c r="AF904" s="7">
        <v>50</v>
      </c>
      <c r="AG904" s="7">
        <v>54.706682000000001</v>
      </c>
      <c r="AH904" s="7">
        <v>65.195201999999995</v>
      </c>
      <c r="AI904" s="7">
        <v>36.471122000000001</v>
      </c>
      <c r="AJ904" s="7">
        <v>50</v>
      </c>
      <c r="AK904" s="7">
        <v>12.03</v>
      </c>
      <c r="AL904" s="7">
        <v>11.33</v>
      </c>
      <c r="AM904" s="7">
        <v>10.48</v>
      </c>
      <c r="AN904" s="7">
        <v>0.52617499999999995</v>
      </c>
      <c r="AO904" s="7">
        <v>52.617533999999999</v>
      </c>
      <c r="AP904" s="7">
        <v>100</v>
      </c>
      <c r="AQ904" s="7">
        <v>0.421124</v>
      </c>
      <c r="AR904" s="7">
        <v>42.112369000000001</v>
      </c>
      <c r="AS904" s="7">
        <v>100</v>
      </c>
      <c r="AT904" s="7">
        <v>0.52543799999999996</v>
      </c>
      <c r="AU904" s="7">
        <v>0.52704700000000004</v>
      </c>
      <c r="AV904" s="7">
        <v>52.543795000000003</v>
      </c>
      <c r="AW904" s="7">
        <v>100</v>
      </c>
      <c r="AX904" s="7">
        <v>0.42331000000000002</v>
      </c>
      <c r="AY904" s="7">
        <v>0.41853899999999999</v>
      </c>
      <c r="AZ904" s="7">
        <v>42.331023999999999</v>
      </c>
      <c r="BA904" s="7">
        <v>100</v>
      </c>
      <c r="BB904" s="4" t="s">
        <v>124</v>
      </c>
      <c r="BC904" s="4" t="s">
        <v>124</v>
      </c>
      <c r="BD904" s="4" t="s">
        <v>124</v>
      </c>
      <c r="BE904" s="4" t="s">
        <v>124</v>
      </c>
      <c r="BF904" s="4" t="s">
        <v>124</v>
      </c>
      <c r="BG904" s="4" t="s">
        <v>124</v>
      </c>
      <c r="BH904" s="7">
        <v>0</v>
      </c>
      <c r="BI904" s="7">
        <v>0.99813399999999997</v>
      </c>
      <c r="BJ904" s="7">
        <v>1</v>
      </c>
      <c r="BK904" s="7">
        <v>0.99581600000000003</v>
      </c>
      <c r="BL904" s="7">
        <v>0.99813399999999997</v>
      </c>
      <c r="BM904" s="7">
        <v>1</v>
      </c>
      <c r="BN904" s="7">
        <v>0.99581600000000003</v>
      </c>
      <c r="BO904" s="7">
        <v>1</v>
      </c>
      <c r="BP904" s="7">
        <v>1</v>
      </c>
      <c r="BQ904" s="7">
        <v>1</v>
      </c>
      <c r="BR904" s="7">
        <v>8.2089999999999996E-2</v>
      </c>
      <c r="BS904" s="7">
        <v>43.582090000000001</v>
      </c>
      <c r="BT904" s="7">
        <v>50</v>
      </c>
      <c r="BU904" s="7">
        <v>0.11705699999999999</v>
      </c>
      <c r="BV904" s="7">
        <v>36.588628999999997</v>
      </c>
      <c r="BW904" s="7">
        <v>50</v>
      </c>
      <c r="BX904" s="4" t="s">
        <v>124</v>
      </c>
      <c r="BY904" s="4" t="s">
        <v>124</v>
      </c>
      <c r="BZ904" s="4" t="s">
        <v>124</v>
      </c>
      <c r="CA904" s="4" t="s">
        <v>124</v>
      </c>
      <c r="CB904" s="4" t="s">
        <v>124</v>
      </c>
      <c r="CC904" s="4" t="s">
        <v>124</v>
      </c>
      <c r="CD904" s="7">
        <v>0.92975200000000002</v>
      </c>
      <c r="CE904" s="7">
        <v>49.454897000000003</v>
      </c>
      <c r="CF904" s="7">
        <v>50</v>
      </c>
      <c r="CG904" s="4" t="s">
        <v>124</v>
      </c>
      <c r="CH904" s="4" t="s">
        <v>124</v>
      </c>
      <c r="CI904" s="4" t="s">
        <v>124</v>
      </c>
      <c r="CJ904" s="4" t="s">
        <v>124</v>
      </c>
      <c r="CK904" s="4" t="s">
        <v>124</v>
      </c>
      <c r="CL904" s="4" t="s">
        <v>124</v>
      </c>
      <c r="CM904" s="4" t="s">
        <v>124</v>
      </c>
      <c r="CN904" s="4" t="s">
        <v>124</v>
      </c>
      <c r="CO904" s="4" t="s">
        <v>124</v>
      </c>
      <c r="CP904" s="4" t="s">
        <v>124</v>
      </c>
      <c r="CQ904" s="7">
        <v>0.40154400000000001</v>
      </c>
      <c r="CR904" s="7">
        <v>0.98479099999999997</v>
      </c>
      <c r="CS904" s="7">
        <v>26.769627</v>
      </c>
      <c r="CT904" s="7">
        <v>50</v>
      </c>
      <c r="CU904" s="4" t="s">
        <v>124</v>
      </c>
      <c r="CV904" s="4" t="s">
        <v>124</v>
      </c>
      <c r="CW904" s="4" t="s">
        <v>124</v>
      </c>
      <c r="CX904" s="4" t="s">
        <v>124</v>
      </c>
      <c r="CY904" s="4" t="s">
        <v>124</v>
      </c>
      <c r="CZ904" s="4" t="s">
        <v>124</v>
      </c>
      <c r="DA904" s="7">
        <v>15.314097</v>
      </c>
      <c r="DB904" s="7">
        <v>17.400950000000002</v>
      </c>
      <c r="DC904" s="7">
        <v>16.332519999999999</v>
      </c>
      <c r="DD904" s="4" t="s">
        <v>124</v>
      </c>
      <c r="DE904" s="7">
        <v>0</v>
      </c>
      <c r="DF904" s="6"/>
      <c r="DG904" s="6"/>
      <c r="DH904" s="6"/>
      <c r="DI904" s="6"/>
      <c r="DJ904" s="7">
        <v>0</v>
      </c>
      <c r="DK904" s="7">
        <v>0</v>
      </c>
      <c r="DL904" s="7">
        <v>0</v>
      </c>
      <c r="DM904" s="7">
        <v>0</v>
      </c>
      <c r="DN904" s="7">
        <v>0</v>
      </c>
      <c r="DO904" s="7">
        <v>0</v>
      </c>
      <c r="DP904" s="6"/>
      <c r="DQ904" s="4" t="s">
        <v>125</v>
      </c>
    </row>
    <row r="905" spans="1:121" ht="20" customHeight="1" x14ac:dyDescent="0.15">
      <c r="A905" s="5">
        <v>2018</v>
      </c>
      <c r="B905" s="3" t="s">
        <v>226</v>
      </c>
      <c r="C905" s="4" t="str">
        <f t="shared" si="255"/>
        <v>1380011</v>
      </c>
      <c r="D905" s="4" t="s">
        <v>557</v>
      </c>
      <c r="E905" s="4" t="str">
        <f>"1381311"</f>
        <v>1381311</v>
      </c>
      <c r="F905" s="4" t="s">
        <v>327</v>
      </c>
      <c r="G905" s="4" t="s">
        <v>338</v>
      </c>
      <c r="H905" s="7">
        <v>6</v>
      </c>
      <c r="I905" s="6"/>
      <c r="J905" s="4" t="s">
        <v>330</v>
      </c>
      <c r="K905" s="7">
        <v>628.12461399999995</v>
      </c>
      <c r="L905" s="7">
        <v>850</v>
      </c>
      <c r="M905" s="7">
        <v>73.897013000000001</v>
      </c>
      <c r="N905" s="7">
        <v>2</v>
      </c>
      <c r="O905" s="7">
        <v>0</v>
      </c>
      <c r="P905" s="7">
        <v>69.932652000000004</v>
      </c>
      <c r="Q905" s="7">
        <v>46.621768000000003</v>
      </c>
      <c r="R905" s="7">
        <v>50</v>
      </c>
      <c r="S905" s="7">
        <v>64.083641</v>
      </c>
      <c r="T905" s="7">
        <v>75</v>
      </c>
      <c r="U905" s="7">
        <v>42.722428000000001</v>
      </c>
      <c r="V905" s="7">
        <v>50</v>
      </c>
      <c r="W905" s="7">
        <v>65.945905999999994</v>
      </c>
      <c r="X905" s="7">
        <v>43.963937000000001</v>
      </c>
      <c r="Y905" s="7">
        <v>50</v>
      </c>
      <c r="Z905" s="7">
        <v>71.961344999999994</v>
      </c>
      <c r="AA905" s="7">
        <v>60.011212</v>
      </c>
      <c r="AB905" s="7">
        <v>40.007474999999999</v>
      </c>
      <c r="AC905" s="7">
        <v>50</v>
      </c>
      <c r="AD905" s="7">
        <v>61.036751000000002</v>
      </c>
      <c r="AE905" s="7">
        <v>40.691167</v>
      </c>
      <c r="AF905" s="7">
        <v>50</v>
      </c>
      <c r="AG905" s="7">
        <v>55.908808999999998</v>
      </c>
      <c r="AH905" s="7">
        <v>67.488033000000001</v>
      </c>
      <c r="AI905" s="7">
        <v>37.272539000000002</v>
      </c>
      <c r="AJ905" s="7">
        <v>50</v>
      </c>
      <c r="AK905" s="7">
        <v>10.91</v>
      </c>
      <c r="AL905" s="7">
        <v>11.95</v>
      </c>
      <c r="AM905" s="7">
        <v>11.57</v>
      </c>
      <c r="AN905" s="7">
        <v>0.59222300000000005</v>
      </c>
      <c r="AO905" s="7">
        <v>59.222349000000001</v>
      </c>
      <c r="AP905" s="7">
        <v>100</v>
      </c>
      <c r="AQ905" s="7">
        <v>0.63479399999999997</v>
      </c>
      <c r="AR905" s="7">
        <v>63.479438000000002</v>
      </c>
      <c r="AS905" s="7">
        <v>100</v>
      </c>
      <c r="AT905" s="7">
        <v>0.52514700000000003</v>
      </c>
      <c r="AU905" s="7">
        <v>0.66646399999999995</v>
      </c>
      <c r="AV905" s="7">
        <v>52.514664000000003</v>
      </c>
      <c r="AW905" s="7">
        <v>100</v>
      </c>
      <c r="AX905" s="7">
        <v>0.60648100000000005</v>
      </c>
      <c r="AY905" s="7">
        <v>0.66640699999999997</v>
      </c>
      <c r="AZ905" s="7">
        <v>60.648071000000002</v>
      </c>
      <c r="BA905" s="7">
        <v>100</v>
      </c>
      <c r="BB905" s="4" t="s">
        <v>124</v>
      </c>
      <c r="BC905" s="4" t="s">
        <v>124</v>
      </c>
      <c r="BD905" s="4" t="s">
        <v>124</v>
      </c>
      <c r="BE905" s="4" t="s">
        <v>124</v>
      </c>
      <c r="BF905" s="4" t="s">
        <v>124</v>
      </c>
      <c r="BG905" s="4" t="s">
        <v>124</v>
      </c>
      <c r="BH905" s="7">
        <v>0</v>
      </c>
      <c r="BI905" s="7">
        <v>0.99673199999999995</v>
      </c>
      <c r="BJ905" s="7">
        <v>0.99363100000000004</v>
      </c>
      <c r="BK905" s="7">
        <v>1</v>
      </c>
      <c r="BL905" s="7">
        <v>0.99673199999999995</v>
      </c>
      <c r="BM905" s="7">
        <v>0.99363100000000004</v>
      </c>
      <c r="BN905" s="7">
        <v>1</v>
      </c>
      <c r="BO905" s="7">
        <v>1</v>
      </c>
      <c r="BP905" s="7">
        <v>1</v>
      </c>
      <c r="BQ905" s="7">
        <v>1</v>
      </c>
      <c r="BR905" s="7">
        <v>4.0777000000000001E-2</v>
      </c>
      <c r="BS905" s="7">
        <v>50</v>
      </c>
      <c r="BT905" s="7">
        <v>50</v>
      </c>
      <c r="BU905" s="7">
        <v>6.8000000000000005E-2</v>
      </c>
      <c r="BV905" s="7">
        <v>46.4</v>
      </c>
      <c r="BW905" s="7">
        <v>50</v>
      </c>
      <c r="BX905" s="4" t="s">
        <v>124</v>
      </c>
      <c r="BY905" s="4" t="s">
        <v>124</v>
      </c>
      <c r="BZ905" s="4" t="s">
        <v>124</v>
      </c>
      <c r="CA905" s="4" t="s">
        <v>124</v>
      </c>
      <c r="CB905" s="4" t="s">
        <v>124</v>
      </c>
      <c r="CC905" s="4" t="s">
        <v>124</v>
      </c>
      <c r="CD905" s="4" t="s">
        <v>124</v>
      </c>
      <c r="CE905" s="4" t="s">
        <v>124</v>
      </c>
      <c r="CF905" s="4" t="s">
        <v>124</v>
      </c>
      <c r="CG905" s="4" t="s">
        <v>124</v>
      </c>
      <c r="CH905" s="4" t="s">
        <v>124</v>
      </c>
      <c r="CI905" s="4" t="s">
        <v>124</v>
      </c>
      <c r="CJ905" s="4" t="s">
        <v>124</v>
      </c>
      <c r="CK905" s="4" t="s">
        <v>124</v>
      </c>
      <c r="CL905" s="4" t="s">
        <v>124</v>
      </c>
      <c r="CM905" s="4" t="s">
        <v>124</v>
      </c>
      <c r="CN905" s="4" t="s">
        <v>124</v>
      </c>
      <c r="CO905" s="4" t="s">
        <v>124</v>
      </c>
      <c r="CP905" s="4" t="s">
        <v>124</v>
      </c>
      <c r="CQ905" s="7">
        <v>0.66871199999999997</v>
      </c>
      <c r="CR905" s="7">
        <v>1</v>
      </c>
      <c r="CS905" s="7">
        <v>44.580776999999998</v>
      </c>
      <c r="CT905" s="7">
        <v>50</v>
      </c>
      <c r="CU905" s="4" t="s">
        <v>124</v>
      </c>
      <c r="CV905" s="4" t="s">
        <v>124</v>
      </c>
      <c r="CW905" s="4" t="s">
        <v>124</v>
      </c>
      <c r="CX905" s="4" t="s">
        <v>124</v>
      </c>
      <c r="CY905" s="4" t="s">
        <v>124</v>
      </c>
      <c r="CZ905" s="4" t="s">
        <v>124</v>
      </c>
      <c r="DA905" s="7">
        <v>15.314097</v>
      </c>
      <c r="DB905" s="7">
        <v>17.400950000000002</v>
      </c>
      <c r="DC905" s="7">
        <v>16.332519999999999</v>
      </c>
      <c r="DD905" s="4" t="s">
        <v>124</v>
      </c>
      <c r="DE905" s="7">
        <v>0</v>
      </c>
      <c r="DF905" s="6"/>
      <c r="DG905" s="6"/>
      <c r="DH905" s="6"/>
      <c r="DI905" s="6"/>
      <c r="DJ905" s="7">
        <v>0</v>
      </c>
      <c r="DK905" s="7">
        <v>0</v>
      </c>
      <c r="DL905" s="7">
        <v>0</v>
      </c>
      <c r="DM905" s="7">
        <v>0</v>
      </c>
      <c r="DN905" s="7">
        <v>0</v>
      </c>
      <c r="DO905" s="7">
        <v>0</v>
      </c>
      <c r="DP905" s="6"/>
      <c r="DQ905" s="4" t="s">
        <v>125</v>
      </c>
    </row>
    <row r="906" spans="1:121" ht="20" customHeight="1" x14ac:dyDescent="0.15">
      <c r="A906" s="5">
        <v>2018</v>
      </c>
      <c r="B906" s="3" t="s">
        <v>226</v>
      </c>
      <c r="C906" s="4" t="str">
        <f t="shared" si="255"/>
        <v>1380011</v>
      </c>
      <c r="D906" s="4" t="s">
        <v>1057</v>
      </c>
      <c r="E906" s="4" t="str">
        <f>"1380411"</f>
        <v>1380411</v>
      </c>
      <c r="F906" s="4" t="s">
        <v>327</v>
      </c>
      <c r="G906" s="4" t="s">
        <v>328</v>
      </c>
      <c r="H906" s="7">
        <v>6</v>
      </c>
      <c r="I906" s="4" t="s">
        <v>335</v>
      </c>
      <c r="J906" s="4" t="s">
        <v>330</v>
      </c>
      <c r="K906" s="7">
        <v>777.23540300000002</v>
      </c>
      <c r="L906" s="7">
        <v>950</v>
      </c>
      <c r="M906" s="7">
        <v>81.814252999999994</v>
      </c>
      <c r="N906" s="7">
        <v>2</v>
      </c>
      <c r="O906" s="7">
        <v>0</v>
      </c>
      <c r="P906" s="7">
        <v>68.707836999999998</v>
      </c>
      <c r="Q906" s="7">
        <v>45.805225</v>
      </c>
      <c r="R906" s="7">
        <v>50</v>
      </c>
      <c r="S906" s="7">
        <v>66.990277000000006</v>
      </c>
      <c r="T906" s="7">
        <v>75</v>
      </c>
      <c r="U906" s="7">
        <v>44.660184999999998</v>
      </c>
      <c r="V906" s="7">
        <v>50</v>
      </c>
      <c r="W906" s="7">
        <v>62.088059999999999</v>
      </c>
      <c r="X906" s="7">
        <v>41.392040000000001</v>
      </c>
      <c r="Y906" s="7">
        <v>50</v>
      </c>
      <c r="Z906" s="7">
        <v>70.211872</v>
      </c>
      <c r="AA906" s="7">
        <v>60.011296000000002</v>
      </c>
      <c r="AB906" s="7">
        <v>40.007531</v>
      </c>
      <c r="AC906" s="7">
        <v>50</v>
      </c>
      <c r="AD906" s="7">
        <v>67.327359999999999</v>
      </c>
      <c r="AE906" s="7">
        <v>44.884906000000001</v>
      </c>
      <c r="AF906" s="7">
        <v>50</v>
      </c>
      <c r="AG906" s="7">
        <v>66.841710000000006</v>
      </c>
      <c r="AH906" s="4" t="s">
        <v>124</v>
      </c>
      <c r="AI906" s="7">
        <v>44.561140000000002</v>
      </c>
      <c r="AJ906" s="7">
        <v>50</v>
      </c>
      <c r="AK906" s="7">
        <v>8</v>
      </c>
      <c r="AL906" s="7">
        <v>10.199999999999999</v>
      </c>
      <c r="AM906" s="4" t="s">
        <v>124</v>
      </c>
      <c r="AN906" s="7">
        <v>0.71622600000000003</v>
      </c>
      <c r="AO906" s="7">
        <v>71.622601000000003</v>
      </c>
      <c r="AP906" s="7">
        <v>100</v>
      </c>
      <c r="AQ906" s="7">
        <v>0.81481700000000001</v>
      </c>
      <c r="AR906" s="7">
        <v>81.481711000000004</v>
      </c>
      <c r="AS906" s="7">
        <v>100</v>
      </c>
      <c r="AT906" s="7">
        <v>0.70950899999999995</v>
      </c>
      <c r="AU906" s="7">
        <v>0.74180100000000004</v>
      </c>
      <c r="AV906" s="7">
        <v>70.950926999999993</v>
      </c>
      <c r="AW906" s="7">
        <v>100</v>
      </c>
      <c r="AX906" s="7">
        <v>0.80242599999999997</v>
      </c>
      <c r="AY906" s="7">
        <v>0.86152300000000004</v>
      </c>
      <c r="AZ906" s="7">
        <v>80.242566999999994</v>
      </c>
      <c r="BA906" s="7">
        <v>100</v>
      </c>
      <c r="BB906" s="7">
        <v>0.897123</v>
      </c>
      <c r="BC906" s="7">
        <v>44.856138000000001</v>
      </c>
      <c r="BD906" s="7">
        <v>50</v>
      </c>
      <c r="BE906" s="7">
        <v>0.704959</v>
      </c>
      <c r="BF906" s="7">
        <v>35.247950000000003</v>
      </c>
      <c r="BG906" s="7">
        <v>50</v>
      </c>
      <c r="BH906" s="7">
        <v>0</v>
      </c>
      <c r="BI906" s="7">
        <v>1</v>
      </c>
      <c r="BJ906" s="7">
        <v>1</v>
      </c>
      <c r="BK906" s="7">
        <v>1</v>
      </c>
      <c r="BL906" s="7">
        <v>1</v>
      </c>
      <c r="BM906" s="7">
        <v>1</v>
      </c>
      <c r="BN906" s="7">
        <v>1</v>
      </c>
      <c r="BO906" s="7">
        <v>1</v>
      </c>
      <c r="BP906" s="7">
        <v>1</v>
      </c>
      <c r="BQ906" s="4" t="s">
        <v>124</v>
      </c>
      <c r="BR906" s="7">
        <v>5.5350999999999997E-2</v>
      </c>
      <c r="BS906" s="7">
        <v>48.929889000000003</v>
      </c>
      <c r="BT906" s="7">
        <v>50</v>
      </c>
      <c r="BU906" s="7">
        <v>6.4814999999999998E-2</v>
      </c>
      <c r="BV906" s="7">
        <v>47.037036999999998</v>
      </c>
      <c r="BW906" s="7">
        <v>50</v>
      </c>
      <c r="BX906" s="4" t="s">
        <v>124</v>
      </c>
      <c r="BY906" s="4" t="s">
        <v>124</v>
      </c>
      <c r="BZ906" s="4" t="s">
        <v>124</v>
      </c>
      <c r="CA906" s="4" t="s">
        <v>124</v>
      </c>
      <c r="CB906" s="4" t="s">
        <v>124</v>
      </c>
      <c r="CC906" s="4" t="s">
        <v>124</v>
      </c>
      <c r="CD906" s="4" t="s">
        <v>124</v>
      </c>
      <c r="CE906" s="4" t="s">
        <v>124</v>
      </c>
      <c r="CF906" s="4" t="s">
        <v>124</v>
      </c>
      <c r="CG906" s="4" t="s">
        <v>124</v>
      </c>
      <c r="CH906" s="4" t="s">
        <v>124</v>
      </c>
      <c r="CI906" s="4" t="s">
        <v>124</v>
      </c>
      <c r="CJ906" s="4" t="s">
        <v>124</v>
      </c>
      <c r="CK906" s="4" t="s">
        <v>124</v>
      </c>
      <c r="CL906" s="4" t="s">
        <v>124</v>
      </c>
      <c r="CM906" s="4" t="s">
        <v>124</v>
      </c>
      <c r="CN906" s="4" t="s">
        <v>124</v>
      </c>
      <c r="CO906" s="4" t="s">
        <v>124</v>
      </c>
      <c r="CP906" s="4" t="s">
        <v>124</v>
      </c>
      <c r="CQ906" s="7">
        <v>0.53333299999999995</v>
      </c>
      <c r="CR906" s="7">
        <v>1</v>
      </c>
      <c r="CS906" s="7">
        <v>35.555556000000003</v>
      </c>
      <c r="CT906" s="7">
        <v>50</v>
      </c>
      <c r="CU906" s="4" t="s">
        <v>124</v>
      </c>
      <c r="CV906" s="4" t="s">
        <v>124</v>
      </c>
      <c r="CW906" s="4" t="s">
        <v>124</v>
      </c>
      <c r="CX906" s="4" t="s">
        <v>124</v>
      </c>
      <c r="CY906" s="4" t="s">
        <v>124</v>
      </c>
      <c r="CZ906" s="4" t="s">
        <v>124</v>
      </c>
      <c r="DA906" s="7">
        <v>15.314097</v>
      </c>
      <c r="DB906" s="7">
        <v>17.400950000000002</v>
      </c>
      <c r="DC906" s="7">
        <v>16.332519999999999</v>
      </c>
      <c r="DD906" s="4" t="s">
        <v>124</v>
      </c>
      <c r="DE906" s="7">
        <v>0</v>
      </c>
      <c r="DF906" s="6"/>
      <c r="DG906" s="6"/>
      <c r="DH906" s="4" t="s">
        <v>331</v>
      </c>
      <c r="DI906" s="4" t="s">
        <v>431</v>
      </c>
      <c r="DJ906" s="7">
        <v>0</v>
      </c>
      <c r="DK906" s="7">
        <v>0</v>
      </c>
      <c r="DL906" s="7">
        <v>0</v>
      </c>
      <c r="DM906" s="7">
        <v>0</v>
      </c>
      <c r="DN906" s="7">
        <v>1</v>
      </c>
      <c r="DO906" s="7">
        <v>0</v>
      </c>
      <c r="DP906" s="6"/>
      <c r="DQ906" s="4" t="s">
        <v>125</v>
      </c>
    </row>
    <row r="907" spans="1:121" ht="20" customHeight="1" x14ac:dyDescent="0.15">
      <c r="A907" s="5">
        <v>2018</v>
      </c>
      <c r="B907" s="3" t="s">
        <v>226</v>
      </c>
      <c r="C907" s="4" t="str">
        <f t="shared" si="255"/>
        <v>1380011</v>
      </c>
      <c r="D907" s="4" t="s">
        <v>1058</v>
      </c>
      <c r="E907" s="4" t="str">
        <f>"1385311"</f>
        <v>1385311</v>
      </c>
      <c r="F907" s="4" t="s">
        <v>327</v>
      </c>
      <c r="G907" s="7">
        <v>7</v>
      </c>
      <c r="H907" s="7">
        <v>8</v>
      </c>
      <c r="I907" s="6"/>
      <c r="J907" s="4" t="s">
        <v>330</v>
      </c>
      <c r="K907" s="7">
        <v>631.13279399999999</v>
      </c>
      <c r="L907" s="7">
        <v>1000</v>
      </c>
      <c r="M907" s="7">
        <v>63.113278999999999</v>
      </c>
      <c r="N907" s="7">
        <v>3</v>
      </c>
      <c r="O907" s="7">
        <v>0</v>
      </c>
      <c r="P907" s="7">
        <v>64.249385000000004</v>
      </c>
      <c r="Q907" s="7">
        <v>42.832923000000001</v>
      </c>
      <c r="R907" s="7">
        <v>50</v>
      </c>
      <c r="S907" s="7">
        <v>59.290500999999999</v>
      </c>
      <c r="T907" s="7">
        <v>71.510606999999993</v>
      </c>
      <c r="U907" s="7">
        <v>39.527000999999998</v>
      </c>
      <c r="V907" s="7">
        <v>50</v>
      </c>
      <c r="W907" s="7">
        <v>53.805650999999997</v>
      </c>
      <c r="X907" s="7">
        <v>35.870434000000003</v>
      </c>
      <c r="Y907" s="7">
        <v>50</v>
      </c>
      <c r="Z907" s="7">
        <v>62.589467999999997</v>
      </c>
      <c r="AA907" s="7">
        <v>47.806947000000001</v>
      </c>
      <c r="AB907" s="7">
        <v>31.871297999999999</v>
      </c>
      <c r="AC907" s="7">
        <v>50</v>
      </c>
      <c r="AD907" s="7">
        <v>55.872742000000002</v>
      </c>
      <c r="AE907" s="7">
        <v>37.248494999999998</v>
      </c>
      <c r="AF907" s="7">
        <v>50</v>
      </c>
      <c r="AG907" s="7">
        <v>51.551529000000002</v>
      </c>
      <c r="AH907" s="7">
        <v>61.537525000000002</v>
      </c>
      <c r="AI907" s="7">
        <v>34.367685999999999</v>
      </c>
      <c r="AJ907" s="7">
        <v>50</v>
      </c>
      <c r="AK907" s="7">
        <v>12.22</v>
      </c>
      <c r="AL907" s="7">
        <v>14.78</v>
      </c>
      <c r="AM907" s="7">
        <v>9.98</v>
      </c>
      <c r="AN907" s="7">
        <v>0.52832100000000004</v>
      </c>
      <c r="AO907" s="7">
        <v>52.832082999999997</v>
      </c>
      <c r="AP907" s="7">
        <v>100</v>
      </c>
      <c r="AQ907" s="7">
        <v>0.50824899999999995</v>
      </c>
      <c r="AR907" s="7">
        <v>50.824854999999999</v>
      </c>
      <c r="AS907" s="7">
        <v>100</v>
      </c>
      <c r="AT907" s="7">
        <v>0.54560399999999998</v>
      </c>
      <c r="AU907" s="7">
        <v>0.50557200000000002</v>
      </c>
      <c r="AV907" s="7">
        <v>54.560425000000002</v>
      </c>
      <c r="AW907" s="7">
        <v>100</v>
      </c>
      <c r="AX907" s="7">
        <v>0.46919100000000002</v>
      </c>
      <c r="AY907" s="7">
        <v>0.55971099999999996</v>
      </c>
      <c r="AZ907" s="7">
        <v>46.919057000000002</v>
      </c>
      <c r="BA907" s="7">
        <v>100</v>
      </c>
      <c r="BB907" s="7">
        <v>0.68149899999999997</v>
      </c>
      <c r="BC907" s="7">
        <v>34.074942</v>
      </c>
      <c r="BD907" s="7">
        <v>50</v>
      </c>
      <c r="BE907" s="7">
        <v>0.47333999999999998</v>
      </c>
      <c r="BF907" s="7">
        <v>23.666986999999999</v>
      </c>
      <c r="BG907" s="7">
        <v>50</v>
      </c>
      <c r="BH907" s="7">
        <v>0</v>
      </c>
      <c r="BI907" s="7">
        <v>1</v>
      </c>
      <c r="BJ907" s="7">
        <v>1</v>
      </c>
      <c r="BK907" s="7">
        <v>1</v>
      </c>
      <c r="BL907" s="7">
        <v>1</v>
      </c>
      <c r="BM907" s="7">
        <v>1</v>
      </c>
      <c r="BN907" s="7">
        <v>1</v>
      </c>
      <c r="BO907" s="7">
        <v>1</v>
      </c>
      <c r="BP907" s="7">
        <v>1</v>
      </c>
      <c r="BQ907" s="7">
        <v>1</v>
      </c>
      <c r="BR907" s="7">
        <v>9.8073999999999995E-2</v>
      </c>
      <c r="BS907" s="7">
        <v>40.385289</v>
      </c>
      <c r="BT907" s="7">
        <v>50</v>
      </c>
      <c r="BU907" s="7">
        <v>0.12912899999999999</v>
      </c>
      <c r="BV907" s="7">
        <v>34.174174000000001</v>
      </c>
      <c r="BW907" s="7">
        <v>50</v>
      </c>
      <c r="BX907" s="4" t="s">
        <v>124</v>
      </c>
      <c r="BY907" s="4" t="s">
        <v>124</v>
      </c>
      <c r="BZ907" s="4" t="s">
        <v>124</v>
      </c>
      <c r="CA907" s="4" t="s">
        <v>124</v>
      </c>
      <c r="CB907" s="4" t="s">
        <v>124</v>
      </c>
      <c r="CC907" s="4" t="s">
        <v>124</v>
      </c>
      <c r="CD907" s="7">
        <v>0.90493000000000001</v>
      </c>
      <c r="CE907" s="7">
        <v>48.134551999999999</v>
      </c>
      <c r="CF907" s="7">
        <v>50</v>
      </c>
      <c r="CG907" s="4" t="s">
        <v>124</v>
      </c>
      <c r="CH907" s="4" t="s">
        <v>124</v>
      </c>
      <c r="CI907" s="4" t="s">
        <v>124</v>
      </c>
      <c r="CJ907" s="4" t="s">
        <v>124</v>
      </c>
      <c r="CK907" s="4" t="s">
        <v>124</v>
      </c>
      <c r="CL907" s="4" t="s">
        <v>124</v>
      </c>
      <c r="CM907" s="4" t="s">
        <v>124</v>
      </c>
      <c r="CN907" s="4" t="s">
        <v>124</v>
      </c>
      <c r="CO907" s="4" t="s">
        <v>124</v>
      </c>
      <c r="CP907" s="4" t="s">
        <v>124</v>
      </c>
      <c r="CQ907" s="7">
        <v>0.35763899999999998</v>
      </c>
      <c r="CR907" s="7">
        <v>1.0140849999999999</v>
      </c>
      <c r="CS907" s="7">
        <v>23.842593000000001</v>
      </c>
      <c r="CT907" s="7">
        <v>50</v>
      </c>
      <c r="CU907" s="4" t="s">
        <v>124</v>
      </c>
      <c r="CV907" s="4" t="s">
        <v>124</v>
      </c>
      <c r="CW907" s="4" t="s">
        <v>124</v>
      </c>
      <c r="CX907" s="4" t="s">
        <v>124</v>
      </c>
      <c r="CY907" s="4" t="s">
        <v>124</v>
      </c>
      <c r="CZ907" s="4" t="s">
        <v>124</v>
      </c>
      <c r="DA907" s="7">
        <v>15.314097</v>
      </c>
      <c r="DB907" s="7">
        <v>17.400950000000002</v>
      </c>
      <c r="DC907" s="7">
        <v>16.332519999999999</v>
      </c>
      <c r="DD907" s="4" t="s">
        <v>124</v>
      </c>
      <c r="DE907" s="7">
        <v>0</v>
      </c>
      <c r="DF907" s="6"/>
      <c r="DG907" s="6"/>
      <c r="DH907" s="6"/>
      <c r="DI907" s="6"/>
      <c r="DJ907" s="7">
        <v>0</v>
      </c>
      <c r="DK907" s="7">
        <v>0</v>
      </c>
      <c r="DL907" s="7">
        <v>0</v>
      </c>
      <c r="DM907" s="7">
        <v>0</v>
      </c>
      <c r="DN907" s="7">
        <v>0</v>
      </c>
      <c r="DO907" s="7">
        <v>0</v>
      </c>
      <c r="DP907" s="6"/>
      <c r="DQ907" s="4" t="s">
        <v>125</v>
      </c>
    </row>
    <row r="908" spans="1:121" ht="20" customHeight="1" x14ac:dyDescent="0.15">
      <c r="A908" s="5">
        <v>2018</v>
      </c>
      <c r="B908" s="3" t="s">
        <v>226</v>
      </c>
      <c r="C908" s="4" t="str">
        <f t="shared" si="255"/>
        <v>1380011</v>
      </c>
      <c r="D908" s="4" t="s">
        <v>1059</v>
      </c>
      <c r="E908" s="4" t="str">
        <f>"1380811"</f>
        <v>1380811</v>
      </c>
      <c r="F908" s="4" t="s">
        <v>327</v>
      </c>
      <c r="G908" s="4" t="s">
        <v>338</v>
      </c>
      <c r="H908" s="7">
        <v>6</v>
      </c>
      <c r="I908" s="6"/>
      <c r="J908" s="4" t="s">
        <v>330</v>
      </c>
      <c r="K908" s="7">
        <v>574.965869</v>
      </c>
      <c r="L908" s="7">
        <v>850</v>
      </c>
      <c r="M908" s="7">
        <v>67.643043000000006</v>
      </c>
      <c r="N908" s="7">
        <v>3</v>
      </c>
      <c r="O908" s="7">
        <v>0</v>
      </c>
      <c r="P908" s="7">
        <v>66.074827999999997</v>
      </c>
      <c r="Q908" s="7">
        <v>44.049885000000003</v>
      </c>
      <c r="R908" s="7">
        <v>50</v>
      </c>
      <c r="S908" s="7">
        <v>61.798422000000002</v>
      </c>
      <c r="T908" s="7">
        <v>75</v>
      </c>
      <c r="U908" s="7">
        <v>41.198948000000001</v>
      </c>
      <c r="V908" s="7">
        <v>50</v>
      </c>
      <c r="W908" s="7">
        <v>61.184674999999999</v>
      </c>
      <c r="X908" s="7">
        <v>40.789783</v>
      </c>
      <c r="Y908" s="7">
        <v>50</v>
      </c>
      <c r="Z908" s="7">
        <v>69.587153999999998</v>
      </c>
      <c r="AA908" s="7">
        <v>57.190052999999999</v>
      </c>
      <c r="AB908" s="7">
        <v>38.126702000000002</v>
      </c>
      <c r="AC908" s="7">
        <v>50</v>
      </c>
      <c r="AD908" s="7">
        <v>63.116934999999998</v>
      </c>
      <c r="AE908" s="7">
        <v>42.077956999999998</v>
      </c>
      <c r="AF908" s="7">
        <v>50</v>
      </c>
      <c r="AG908" s="7">
        <v>58.570565000000002</v>
      </c>
      <c r="AH908" s="4" t="s">
        <v>124</v>
      </c>
      <c r="AI908" s="7">
        <v>39.047043000000002</v>
      </c>
      <c r="AJ908" s="7">
        <v>50</v>
      </c>
      <c r="AK908" s="7">
        <v>13.2</v>
      </c>
      <c r="AL908" s="7">
        <v>12.39</v>
      </c>
      <c r="AM908" s="4" t="s">
        <v>124</v>
      </c>
      <c r="AN908" s="7">
        <v>0.53549500000000005</v>
      </c>
      <c r="AO908" s="7">
        <v>53.549546999999997</v>
      </c>
      <c r="AP908" s="7">
        <v>100</v>
      </c>
      <c r="AQ908" s="7">
        <v>0.61713399999999996</v>
      </c>
      <c r="AR908" s="7">
        <v>61.713383</v>
      </c>
      <c r="AS908" s="7">
        <v>100</v>
      </c>
      <c r="AT908" s="7">
        <v>0.48605900000000002</v>
      </c>
      <c r="AU908" s="7">
        <v>0.66732499999999995</v>
      </c>
      <c r="AV908" s="7">
        <v>48.60595</v>
      </c>
      <c r="AW908" s="7">
        <v>100</v>
      </c>
      <c r="AX908" s="7">
        <v>0.59626900000000005</v>
      </c>
      <c r="AY908" s="7">
        <v>0.67277500000000001</v>
      </c>
      <c r="AZ908" s="7">
        <v>59.626854000000002</v>
      </c>
      <c r="BA908" s="7">
        <v>100</v>
      </c>
      <c r="BB908" s="4" t="s">
        <v>124</v>
      </c>
      <c r="BC908" s="4" t="s">
        <v>124</v>
      </c>
      <c r="BD908" s="4" t="s">
        <v>124</v>
      </c>
      <c r="BE908" s="4" t="s">
        <v>124</v>
      </c>
      <c r="BF908" s="4" t="s">
        <v>124</v>
      </c>
      <c r="BG908" s="4" t="s">
        <v>124</v>
      </c>
      <c r="BH908" s="7">
        <v>0</v>
      </c>
      <c r="BI908" s="7">
        <v>0.99492400000000003</v>
      </c>
      <c r="BJ908" s="7">
        <v>0.99275400000000003</v>
      </c>
      <c r="BK908" s="7">
        <v>1</v>
      </c>
      <c r="BL908" s="7">
        <v>0.99492400000000003</v>
      </c>
      <c r="BM908" s="7">
        <v>0.99275400000000003</v>
      </c>
      <c r="BN908" s="7">
        <v>1</v>
      </c>
      <c r="BO908" s="7">
        <v>1</v>
      </c>
      <c r="BP908" s="7">
        <v>1</v>
      </c>
      <c r="BQ908" s="4" t="s">
        <v>124</v>
      </c>
      <c r="BR908" s="7">
        <v>0.11419799999999999</v>
      </c>
      <c r="BS908" s="7">
        <v>37.160494</v>
      </c>
      <c r="BT908" s="7">
        <v>50</v>
      </c>
      <c r="BU908" s="7">
        <v>0.11981600000000001</v>
      </c>
      <c r="BV908" s="7">
        <v>36.036866000000003</v>
      </c>
      <c r="BW908" s="7">
        <v>50</v>
      </c>
      <c r="BX908" s="4" t="s">
        <v>124</v>
      </c>
      <c r="BY908" s="4" t="s">
        <v>124</v>
      </c>
      <c r="BZ908" s="4" t="s">
        <v>124</v>
      </c>
      <c r="CA908" s="4" t="s">
        <v>124</v>
      </c>
      <c r="CB908" s="4" t="s">
        <v>124</v>
      </c>
      <c r="CC908" s="4" t="s">
        <v>124</v>
      </c>
      <c r="CD908" s="4" t="s">
        <v>124</v>
      </c>
      <c r="CE908" s="4" t="s">
        <v>124</v>
      </c>
      <c r="CF908" s="4" t="s">
        <v>124</v>
      </c>
      <c r="CG908" s="4" t="s">
        <v>124</v>
      </c>
      <c r="CH908" s="4" t="s">
        <v>124</v>
      </c>
      <c r="CI908" s="4" t="s">
        <v>124</v>
      </c>
      <c r="CJ908" s="4" t="s">
        <v>124</v>
      </c>
      <c r="CK908" s="4" t="s">
        <v>124</v>
      </c>
      <c r="CL908" s="4" t="s">
        <v>124</v>
      </c>
      <c r="CM908" s="4" t="s">
        <v>124</v>
      </c>
      <c r="CN908" s="4" t="s">
        <v>124</v>
      </c>
      <c r="CO908" s="4" t="s">
        <v>124</v>
      </c>
      <c r="CP908" s="4" t="s">
        <v>124</v>
      </c>
      <c r="CQ908" s="7">
        <v>0.49473699999999998</v>
      </c>
      <c r="CR908" s="7">
        <v>0.98958299999999999</v>
      </c>
      <c r="CS908" s="7">
        <v>32.982455999999999</v>
      </c>
      <c r="CT908" s="7">
        <v>50</v>
      </c>
      <c r="CU908" s="4" t="s">
        <v>124</v>
      </c>
      <c r="CV908" s="4" t="s">
        <v>124</v>
      </c>
      <c r="CW908" s="4" t="s">
        <v>124</v>
      </c>
      <c r="CX908" s="4" t="s">
        <v>124</v>
      </c>
      <c r="CY908" s="4" t="s">
        <v>124</v>
      </c>
      <c r="CZ908" s="4" t="s">
        <v>124</v>
      </c>
      <c r="DA908" s="7">
        <v>15.314097</v>
      </c>
      <c r="DB908" s="7">
        <v>17.400950000000002</v>
      </c>
      <c r="DC908" s="7">
        <v>16.332519999999999</v>
      </c>
      <c r="DD908" s="4" t="s">
        <v>124</v>
      </c>
      <c r="DE908" s="7">
        <v>0</v>
      </c>
      <c r="DF908" s="6"/>
      <c r="DG908" s="6"/>
      <c r="DH908" s="6"/>
      <c r="DI908" s="6"/>
      <c r="DJ908" s="7">
        <v>0</v>
      </c>
      <c r="DK908" s="7">
        <v>0</v>
      </c>
      <c r="DL908" s="7">
        <v>0</v>
      </c>
      <c r="DM908" s="7">
        <v>0</v>
      </c>
      <c r="DN908" s="7">
        <v>0</v>
      </c>
      <c r="DO908" s="7">
        <v>0</v>
      </c>
      <c r="DP908" s="6"/>
      <c r="DQ908" s="4" t="s">
        <v>125</v>
      </c>
    </row>
    <row r="909" spans="1:121" ht="20" customHeight="1" x14ac:dyDescent="0.15">
      <c r="A909" s="5">
        <v>2018</v>
      </c>
      <c r="B909" s="3" t="s">
        <v>226</v>
      </c>
      <c r="C909" s="4" t="str">
        <f t="shared" si="255"/>
        <v>1380011</v>
      </c>
      <c r="D909" s="4" t="s">
        <v>1060</v>
      </c>
      <c r="E909" s="4" t="str">
        <f>"1380911"</f>
        <v>1380911</v>
      </c>
      <c r="F909" s="4" t="s">
        <v>327</v>
      </c>
      <c r="G909" s="4" t="s">
        <v>338</v>
      </c>
      <c r="H909" s="7">
        <v>6</v>
      </c>
      <c r="I909" s="4" t="s">
        <v>335</v>
      </c>
      <c r="J909" s="4" t="s">
        <v>330</v>
      </c>
      <c r="K909" s="7">
        <v>676.274629</v>
      </c>
      <c r="L909" s="7">
        <v>950</v>
      </c>
      <c r="M909" s="7">
        <v>71.186802999999998</v>
      </c>
      <c r="N909" s="7">
        <v>2</v>
      </c>
      <c r="O909" s="7">
        <v>0</v>
      </c>
      <c r="P909" s="7">
        <v>63.990423999999997</v>
      </c>
      <c r="Q909" s="7">
        <v>42.660283</v>
      </c>
      <c r="R909" s="7">
        <v>50</v>
      </c>
      <c r="S909" s="7">
        <v>60.110858999999998</v>
      </c>
      <c r="T909" s="7">
        <v>70.790091000000004</v>
      </c>
      <c r="U909" s="7">
        <v>40.073906000000001</v>
      </c>
      <c r="V909" s="7">
        <v>50</v>
      </c>
      <c r="W909" s="7">
        <v>59.812165</v>
      </c>
      <c r="X909" s="7">
        <v>39.874777000000002</v>
      </c>
      <c r="Y909" s="7">
        <v>50</v>
      </c>
      <c r="Z909" s="7">
        <v>67.378737000000001</v>
      </c>
      <c r="AA909" s="7">
        <v>55.495041999999998</v>
      </c>
      <c r="AB909" s="7">
        <v>36.996695000000003</v>
      </c>
      <c r="AC909" s="7">
        <v>50</v>
      </c>
      <c r="AD909" s="7">
        <v>63.987903000000003</v>
      </c>
      <c r="AE909" s="7">
        <v>42.658602000000002</v>
      </c>
      <c r="AF909" s="7">
        <v>50</v>
      </c>
      <c r="AG909" s="7">
        <v>61.529102000000002</v>
      </c>
      <c r="AH909" s="7">
        <v>69.129031999999995</v>
      </c>
      <c r="AI909" s="7">
        <v>41.019401999999999</v>
      </c>
      <c r="AJ909" s="7">
        <v>50</v>
      </c>
      <c r="AK909" s="7">
        <v>10.67</v>
      </c>
      <c r="AL909" s="7">
        <v>11.88</v>
      </c>
      <c r="AM909" s="7">
        <v>7.59</v>
      </c>
      <c r="AN909" s="7">
        <v>0.57037400000000005</v>
      </c>
      <c r="AO909" s="7">
        <v>57.037351000000001</v>
      </c>
      <c r="AP909" s="7">
        <v>100</v>
      </c>
      <c r="AQ909" s="7">
        <v>0.59853500000000004</v>
      </c>
      <c r="AR909" s="7">
        <v>59.853482999999997</v>
      </c>
      <c r="AS909" s="7">
        <v>100</v>
      </c>
      <c r="AT909" s="7">
        <v>0.57947499999999996</v>
      </c>
      <c r="AU909" s="7">
        <v>0.55555100000000002</v>
      </c>
      <c r="AV909" s="7">
        <v>57.947526000000003</v>
      </c>
      <c r="AW909" s="7">
        <v>100</v>
      </c>
      <c r="AX909" s="7">
        <v>0.61186200000000002</v>
      </c>
      <c r="AY909" s="7">
        <v>0.57683099999999998</v>
      </c>
      <c r="AZ909" s="7">
        <v>61.186166999999998</v>
      </c>
      <c r="BA909" s="7">
        <v>100</v>
      </c>
      <c r="BB909" s="7">
        <v>0.82843599999999995</v>
      </c>
      <c r="BC909" s="7">
        <v>41.421785</v>
      </c>
      <c r="BD909" s="7">
        <v>50</v>
      </c>
      <c r="BE909" s="7">
        <v>0.74563199999999996</v>
      </c>
      <c r="BF909" s="7">
        <v>37.281602999999997</v>
      </c>
      <c r="BG909" s="7">
        <v>50</v>
      </c>
      <c r="BH909" s="7">
        <v>0</v>
      </c>
      <c r="BI909" s="7">
        <v>1</v>
      </c>
      <c r="BJ909" s="7">
        <v>1</v>
      </c>
      <c r="BK909" s="7">
        <v>1</v>
      </c>
      <c r="BL909" s="7">
        <v>1</v>
      </c>
      <c r="BM909" s="7">
        <v>1</v>
      </c>
      <c r="BN909" s="7">
        <v>1</v>
      </c>
      <c r="BO909" s="7">
        <v>1</v>
      </c>
      <c r="BP909" s="7">
        <v>1</v>
      </c>
      <c r="BQ909" s="7">
        <v>1</v>
      </c>
      <c r="BR909" s="7">
        <v>7.0064000000000001E-2</v>
      </c>
      <c r="BS909" s="7">
        <v>45.987260999999997</v>
      </c>
      <c r="BT909" s="7">
        <v>50</v>
      </c>
      <c r="BU909" s="7">
        <v>9.1503000000000001E-2</v>
      </c>
      <c r="BV909" s="7">
        <v>41.699345999999998</v>
      </c>
      <c r="BW909" s="7">
        <v>50</v>
      </c>
      <c r="BX909" s="4" t="s">
        <v>124</v>
      </c>
      <c r="BY909" s="4" t="s">
        <v>124</v>
      </c>
      <c r="BZ909" s="4" t="s">
        <v>124</v>
      </c>
      <c r="CA909" s="4" t="s">
        <v>124</v>
      </c>
      <c r="CB909" s="4" t="s">
        <v>124</v>
      </c>
      <c r="CC909" s="4" t="s">
        <v>124</v>
      </c>
      <c r="CD909" s="4" t="s">
        <v>124</v>
      </c>
      <c r="CE909" s="4" t="s">
        <v>124</v>
      </c>
      <c r="CF909" s="4" t="s">
        <v>124</v>
      </c>
      <c r="CG909" s="4" t="s">
        <v>124</v>
      </c>
      <c r="CH909" s="4" t="s">
        <v>124</v>
      </c>
      <c r="CI909" s="4" t="s">
        <v>124</v>
      </c>
      <c r="CJ909" s="4" t="s">
        <v>124</v>
      </c>
      <c r="CK909" s="4" t="s">
        <v>124</v>
      </c>
      <c r="CL909" s="4" t="s">
        <v>124</v>
      </c>
      <c r="CM909" s="4" t="s">
        <v>124</v>
      </c>
      <c r="CN909" s="4" t="s">
        <v>124</v>
      </c>
      <c r="CO909" s="4" t="s">
        <v>124</v>
      </c>
      <c r="CP909" s="4" t="s">
        <v>124</v>
      </c>
      <c r="CQ909" s="7">
        <v>0.45864700000000003</v>
      </c>
      <c r="CR909" s="7">
        <v>0.992537</v>
      </c>
      <c r="CS909" s="7">
        <v>30.576440999999999</v>
      </c>
      <c r="CT909" s="7">
        <v>50</v>
      </c>
      <c r="CU909" s="4" t="s">
        <v>124</v>
      </c>
      <c r="CV909" s="4" t="s">
        <v>124</v>
      </c>
      <c r="CW909" s="4" t="s">
        <v>124</v>
      </c>
      <c r="CX909" s="4" t="s">
        <v>124</v>
      </c>
      <c r="CY909" s="4" t="s">
        <v>124</v>
      </c>
      <c r="CZ909" s="4" t="s">
        <v>124</v>
      </c>
      <c r="DA909" s="7">
        <v>15.314097</v>
      </c>
      <c r="DB909" s="7">
        <v>17.400950000000002</v>
      </c>
      <c r="DC909" s="7">
        <v>16.332519999999999</v>
      </c>
      <c r="DD909" s="4" t="s">
        <v>124</v>
      </c>
      <c r="DE909" s="7">
        <v>0</v>
      </c>
      <c r="DF909" s="6"/>
      <c r="DG909" s="6"/>
      <c r="DH909" s="6"/>
      <c r="DI909" s="6"/>
      <c r="DJ909" s="7">
        <v>0</v>
      </c>
      <c r="DK909" s="7">
        <v>0</v>
      </c>
      <c r="DL909" s="7">
        <v>0</v>
      </c>
      <c r="DM909" s="7">
        <v>0</v>
      </c>
      <c r="DN909" s="7">
        <v>0</v>
      </c>
      <c r="DO909" s="7">
        <v>0</v>
      </c>
      <c r="DP909" s="6"/>
      <c r="DQ909" s="4" t="s">
        <v>125</v>
      </c>
    </row>
    <row r="910" spans="1:121" ht="20" customHeight="1" x14ac:dyDescent="0.15">
      <c r="A910" s="5">
        <v>2018</v>
      </c>
      <c r="B910" s="3" t="s">
        <v>226</v>
      </c>
      <c r="C910" s="4" t="str">
        <f>"1380011"</f>
        <v>1380011</v>
      </c>
      <c r="D910" s="4" t="s">
        <v>1061</v>
      </c>
      <c r="E910" s="4" t="str">
        <f>"1381011"</f>
        <v>1381011</v>
      </c>
      <c r="F910" s="4" t="s">
        <v>327</v>
      </c>
      <c r="G910" s="4" t="s">
        <v>328</v>
      </c>
      <c r="H910" s="7">
        <v>6</v>
      </c>
      <c r="I910" s="6"/>
      <c r="J910" s="4" t="s">
        <v>330</v>
      </c>
      <c r="K910" s="7">
        <v>703.69189700000004</v>
      </c>
      <c r="L910" s="7">
        <v>950</v>
      </c>
      <c r="M910" s="7">
        <v>74.072830999999994</v>
      </c>
      <c r="N910" s="7">
        <v>2</v>
      </c>
      <c r="O910" s="7">
        <v>0</v>
      </c>
      <c r="P910" s="7">
        <v>68.986780999999993</v>
      </c>
      <c r="Q910" s="7">
        <v>45.991186999999996</v>
      </c>
      <c r="R910" s="7">
        <v>50</v>
      </c>
      <c r="S910" s="7">
        <v>65.783063999999996</v>
      </c>
      <c r="T910" s="7">
        <v>73.601658999999998</v>
      </c>
      <c r="U910" s="7">
        <v>43.855376</v>
      </c>
      <c r="V910" s="7">
        <v>50</v>
      </c>
      <c r="W910" s="7">
        <v>66.451345000000003</v>
      </c>
      <c r="X910" s="7">
        <v>44.300896999999999</v>
      </c>
      <c r="Y910" s="7">
        <v>50</v>
      </c>
      <c r="Z910" s="7">
        <v>72.340369999999993</v>
      </c>
      <c r="AA910" s="7">
        <v>62.363097000000003</v>
      </c>
      <c r="AB910" s="7">
        <v>41.575398</v>
      </c>
      <c r="AC910" s="7">
        <v>50</v>
      </c>
      <c r="AD910" s="7">
        <v>61.783681000000001</v>
      </c>
      <c r="AE910" s="7">
        <v>41.189121</v>
      </c>
      <c r="AF910" s="7">
        <v>50</v>
      </c>
      <c r="AG910" s="7">
        <v>61.054434999999998</v>
      </c>
      <c r="AH910" s="4" t="s">
        <v>124</v>
      </c>
      <c r="AI910" s="7">
        <v>40.702956999999998</v>
      </c>
      <c r="AJ910" s="7">
        <v>50</v>
      </c>
      <c r="AK910" s="7">
        <v>7.81</v>
      </c>
      <c r="AL910" s="7">
        <v>9.9700000000000006</v>
      </c>
      <c r="AM910" s="4" t="s">
        <v>124</v>
      </c>
      <c r="AN910" s="7">
        <v>0.54233200000000004</v>
      </c>
      <c r="AO910" s="7">
        <v>54.233231000000004</v>
      </c>
      <c r="AP910" s="7">
        <v>100</v>
      </c>
      <c r="AQ910" s="7">
        <v>0.78122899999999995</v>
      </c>
      <c r="AR910" s="7">
        <v>78.122910000000005</v>
      </c>
      <c r="AS910" s="7">
        <v>100</v>
      </c>
      <c r="AT910" s="7">
        <v>0.51518699999999995</v>
      </c>
      <c r="AU910" s="7">
        <v>0.57644700000000004</v>
      </c>
      <c r="AV910" s="7">
        <v>51.518698000000001</v>
      </c>
      <c r="AW910" s="7">
        <v>100</v>
      </c>
      <c r="AX910" s="7">
        <v>0.73714100000000005</v>
      </c>
      <c r="AY910" s="7">
        <v>0.83663699999999996</v>
      </c>
      <c r="AZ910" s="7">
        <v>73.714121000000006</v>
      </c>
      <c r="BA910" s="7">
        <v>100</v>
      </c>
      <c r="BB910" s="7">
        <v>0.62616300000000003</v>
      </c>
      <c r="BC910" s="7">
        <v>31.308147999999999</v>
      </c>
      <c r="BD910" s="7">
        <v>50</v>
      </c>
      <c r="BE910" s="7">
        <v>0.57694599999999996</v>
      </c>
      <c r="BF910" s="7">
        <v>28.847299</v>
      </c>
      <c r="BG910" s="7">
        <v>50</v>
      </c>
      <c r="BH910" s="7">
        <v>0</v>
      </c>
      <c r="BI910" s="7">
        <v>1</v>
      </c>
      <c r="BJ910" s="7">
        <v>1</v>
      </c>
      <c r="BK910" s="7">
        <v>1</v>
      </c>
      <c r="BL910" s="7">
        <v>1</v>
      </c>
      <c r="BM910" s="7">
        <v>1</v>
      </c>
      <c r="BN910" s="7">
        <v>1</v>
      </c>
      <c r="BO910" s="7">
        <v>1</v>
      </c>
      <c r="BP910" s="7">
        <v>1</v>
      </c>
      <c r="BQ910" s="4" t="s">
        <v>124</v>
      </c>
      <c r="BR910" s="7">
        <v>8.7855000000000003E-2</v>
      </c>
      <c r="BS910" s="7">
        <v>42.428941000000002</v>
      </c>
      <c r="BT910" s="7">
        <v>50</v>
      </c>
      <c r="BU910" s="7">
        <v>0.12048200000000001</v>
      </c>
      <c r="BV910" s="7">
        <v>35.903613999999997</v>
      </c>
      <c r="BW910" s="7">
        <v>50</v>
      </c>
      <c r="BX910" s="4" t="s">
        <v>124</v>
      </c>
      <c r="BY910" s="4" t="s">
        <v>124</v>
      </c>
      <c r="BZ910" s="4" t="s">
        <v>124</v>
      </c>
      <c r="CA910" s="4" t="s">
        <v>124</v>
      </c>
      <c r="CB910" s="4" t="s">
        <v>124</v>
      </c>
      <c r="CC910" s="4" t="s">
        <v>124</v>
      </c>
      <c r="CD910" s="4" t="s">
        <v>124</v>
      </c>
      <c r="CE910" s="4" t="s">
        <v>124</v>
      </c>
      <c r="CF910" s="4" t="s">
        <v>124</v>
      </c>
      <c r="CG910" s="4" t="s">
        <v>124</v>
      </c>
      <c r="CH910" s="4" t="s">
        <v>124</v>
      </c>
      <c r="CI910" s="4" t="s">
        <v>124</v>
      </c>
      <c r="CJ910" s="4" t="s">
        <v>124</v>
      </c>
      <c r="CK910" s="4" t="s">
        <v>124</v>
      </c>
      <c r="CL910" s="4" t="s">
        <v>124</v>
      </c>
      <c r="CM910" s="4" t="s">
        <v>124</v>
      </c>
      <c r="CN910" s="4" t="s">
        <v>124</v>
      </c>
      <c r="CO910" s="4" t="s">
        <v>124</v>
      </c>
      <c r="CP910" s="4" t="s">
        <v>124</v>
      </c>
      <c r="CQ910" s="7">
        <v>0.75206600000000001</v>
      </c>
      <c r="CR910" s="7">
        <v>0.95275600000000005</v>
      </c>
      <c r="CS910" s="7">
        <v>50</v>
      </c>
      <c r="CT910" s="7">
        <v>50</v>
      </c>
      <c r="CU910" s="4" t="s">
        <v>124</v>
      </c>
      <c r="CV910" s="4" t="s">
        <v>124</v>
      </c>
      <c r="CW910" s="4" t="s">
        <v>124</v>
      </c>
      <c r="CX910" s="4" t="s">
        <v>124</v>
      </c>
      <c r="CY910" s="4" t="s">
        <v>124</v>
      </c>
      <c r="CZ910" s="4" t="s">
        <v>124</v>
      </c>
      <c r="DA910" s="7">
        <v>15.314097</v>
      </c>
      <c r="DB910" s="7">
        <v>17.400950000000002</v>
      </c>
      <c r="DC910" s="7">
        <v>16.332519999999999</v>
      </c>
      <c r="DD910" s="4" t="s">
        <v>124</v>
      </c>
      <c r="DE910" s="7">
        <v>0</v>
      </c>
      <c r="DF910" s="6"/>
      <c r="DG910" s="6"/>
      <c r="DH910" s="6"/>
      <c r="DI910" s="6"/>
      <c r="DJ910" s="7">
        <v>0</v>
      </c>
      <c r="DK910" s="7">
        <v>0</v>
      </c>
      <c r="DL910" s="7">
        <v>0</v>
      </c>
      <c r="DM910" s="7">
        <v>0</v>
      </c>
      <c r="DN910" s="7">
        <v>0</v>
      </c>
      <c r="DO910" s="7">
        <v>0</v>
      </c>
      <c r="DP910" s="6"/>
      <c r="DQ910" s="4" t="s">
        <v>125</v>
      </c>
    </row>
    <row r="911" spans="1:121" ht="20" customHeight="1" x14ac:dyDescent="0.15">
      <c r="A911" s="5">
        <v>2018</v>
      </c>
      <c r="B911" s="3" t="s">
        <v>226</v>
      </c>
      <c r="C911" s="4" t="str">
        <f t="shared" si="255"/>
        <v>1380011</v>
      </c>
      <c r="D911" s="4" t="s">
        <v>1062</v>
      </c>
      <c r="E911" s="4" t="str">
        <f>"1381511"</f>
        <v>1381511</v>
      </c>
      <c r="F911" s="4" t="s">
        <v>327</v>
      </c>
      <c r="G911" s="7">
        <v>2</v>
      </c>
      <c r="H911" s="7">
        <v>6</v>
      </c>
      <c r="I911" s="4" t="s">
        <v>335</v>
      </c>
      <c r="J911" s="4" t="s">
        <v>330</v>
      </c>
      <c r="K911" s="7">
        <v>614.81542999999999</v>
      </c>
      <c r="L911" s="7">
        <v>950</v>
      </c>
      <c r="M911" s="7">
        <v>64.717414000000005</v>
      </c>
      <c r="N911" s="7">
        <v>3</v>
      </c>
      <c r="O911" s="7">
        <v>0</v>
      </c>
      <c r="P911" s="7">
        <v>60.529350000000001</v>
      </c>
      <c r="Q911" s="7">
        <v>40.352899999999998</v>
      </c>
      <c r="R911" s="7">
        <v>50</v>
      </c>
      <c r="S911" s="7">
        <v>56.974015000000001</v>
      </c>
      <c r="T911" s="7">
        <v>70.813059999999993</v>
      </c>
      <c r="U911" s="7">
        <v>37.982675999999998</v>
      </c>
      <c r="V911" s="7">
        <v>50</v>
      </c>
      <c r="W911" s="7">
        <v>54.975732000000001</v>
      </c>
      <c r="X911" s="7">
        <v>36.650488000000003</v>
      </c>
      <c r="Y911" s="7">
        <v>50</v>
      </c>
      <c r="Z911" s="7">
        <v>64.766014999999996</v>
      </c>
      <c r="AA911" s="7">
        <v>51.590986999999998</v>
      </c>
      <c r="AB911" s="7">
        <v>34.393991</v>
      </c>
      <c r="AC911" s="7">
        <v>50</v>
      </c>
      <c r="AD911" s="7">
        <v>60.443455</v>
      </c>
      <c r="AE911" s="7">
        <v>40.295636000000002</v>
      </c>
      <c r="AF911" s="7">
        <v>50</v>
      </c>
      <c r="AG911" s="7">
        <v>57.363624999999999</v>
      </c>
      <c r="AH911" s="4" t="s">
        <v>124</v>
      </c>
      <c r="AI911" s="7">
        <v>38.242417000000003</v>
      </c>
      <c r="AJ911" s="7">
        <v>50</v>
      </c>
      <c r="AK911" s="7">
        <v>13.83</v>
      </c>
      <c r="AL911" s="7">
        <v>13.17</v>
      </c>
      <c r="AM911" s="4" t="s">
        <v>124</v>
      </c>
      <c r="AN911" s="7">
        <v>0.52763400000000005</v>
      </c>
      <c r="AO911" s="7">
        <v>52.763362999999998</v>
      </c>
      <c r="AP911" s="7">
        <v>100</v>
      </c>
      <c r="AQ911" s="7">
        <v>0.57185299999999994</v>
      </c>
      <c r="AR911" s="7">
        <v>57.185322999999997</v>
      </c>
      <c r="AS911" s="7">
        <v>100</v>
      </c>
      <c r="AT911" s="7">
        <v>0.49834000000000001</v>
      </c>
      <c r="AU911" s="7">
        <v>0.60646699999999998</v>
      </c>
      <c r="AV911" s="7">
        <v>49.834032999999998</v>
      </c>
      <c r="AW911" s="7">
        <v>100</v>
      </c>
      <c r="AX911" s="7">
        <v>0.52623900000000001</v>
      </c>
      <c r="AY911" s="7">
        <v>0.694608</v>
      </c>
      <c r="AZ911" s="7">
        <v>52.623930000000001</v>
      </c>
      <c r="BA911" s="7">
        <v>100</v>
      </c>
      <c r="BB911" s="7">
        <v>0.75680000000000003</v>
      </c>
      <c r="BC911" s="7">
        <v>37.840001999999998</v>
      </c>
      <c r="BD911" s="7">
        <v>50</v>
      </c>
      <c r="BE911" s="7">
        <v>0.42396499999999998</v>
      </c>
      <c r="BF911" s="7">
        <v>21.198233999999999</v>
      </c>
      <c r="BG911" s="7">
        <v>50</v>
      </c>
      <c r="BH911" s="7">
        <v>0</v>
      </c>
      <c r="BI911" s="7">
        <v>0.99728300000000003</v>
      </c>
      <c r="BJ911" s="7">
        <v>1</v>
      </c>
      <c r="BK911" s="7">
        <v>0.98936199999999996</v>
      </c>
      <c r="BL911" s="7">
        <v>0.99728300000000003</v>
      </c>
      <c r="BM911" s="7">
        <v>1</v>
      </c>
      <c r="BN911" s="7">
        <v>0.98936199999999996</v>
      </c>
      <c r="BO911" s="7">
        <v>1</v>
      </c>
      <c r="BP911" s="7">
        <v>1</v>
      </c>
      <c r="BQ911" s="4" t="s">
        <v>124</v>
      </c>
      <c r="BR911" s="7">
        <v>5.6769E-2</v>
      </c>
      <c r="BS911" s="7">
        <v>48.646287999999998</v>
      </c>
      <c r="BT911" s="7">
        <v>50</v>
      </c>
      <c r="BU911" s="7">
        <v>6.8966E-2</v>
      </c>
      <c r="BV911" s="7">
        <v>46.206896999999998</v>
      </c>
      <c r="BW911" s="7">
        <v>50</v>
      </c>
      <c r="BX911" s="4" t="s">
        <v>124</v>
      </c>
      <c r="BY911" s="4" t="s">
        <v>124</v>
      </c>
      <c r="BZ911" s="4" t="s">
        <v>124</v>
      </c>
      <c r="CA911" s="4" t="s">
        <v>124</v>
      </c>
      <c r="CB911" s="4" t="s">
        <v>124</v>
      </c>
      <c r="CC911" s="4" t="s">
        <v>124</v>
      </c>
      <c r="CD911" s="4" t="s">
        <v>124</v>
      </c>
      <c r="CE911" s="4" t="s">
        <v>124</v>
      </c>
      <c r="CF911" s="4" t="s">
        <v>124</v>
      </c>
      <c r="CG911" s="4" t="s">
        <v>124</v>
      </c>
      <c r="CH911" s="4" t="s">
        <v>124</v>
      </c>
      <c r="CI911" s="4" t="s">
        <v>124</v>
      </c>
      <c r="CJ911" s="4" t="s">
        <v>124</v>
      </c>
      <c r="CK911" s="4" t="s">
        <v>124</v>
      </c>
      <c r="CL911" s="4" t="s">
        <v>124</v>
      </c>
      <c r="CM911" s="4" t="s">
        <v>124</v>
      </c>
      <c r="CN911" s="4" t="s">
        <v>124</v>
      </c>
      <c r="CO911" s="4" t="s">
        <v>124</v>
      </c>
      <c r="CP911" s="4" t="s">
        <v>124</v>
      </c>
      <c r="CQ911" s="7">
        <v>0.30898900000000001</v>
      </c>
      <c r="CR911" s="7">
        <v>0.98888900000000002</v>
      </c>
      <c r="CS911" s="7">
        <v>20.599250999999999</v>
      </c>
      <c r="CT911" s="7">
        <v>50</v>
      </c>
      <c r="CU911" s="4" t="s">
        <v>124</v>
      </c>
      <c r="CV911" s="4" t="s">
        <v>124</v>
      </c>
      <c r="CW911" s="4" t="s">
        <v>124</v>
      </c>
      <c r="CX911" s="4" t="s">
        <v>124</v>
      </c>
      <c r="CY911" s="4" t="s">
        <v>124</v>
      </c>
      <c r="CZ911" s="4" t="s">
        <v>124</v>
      </c>
      <c r="DA911" s="7">
        <v>15.314097</v>
      </c>
      <c r="DB911" s="7">
        <v>17.400950000000002</v>
      </c>
      <c r="DC911" s="7">
        <v>16.332519999999999</v>
      </c>
      <c r="DD911" s="4" t="s">
        <v>124</v>
      </c>
      <c r="DE911" s="7">
        <v>0</v>
      </c>
      <c r="DF911" s="6"/>
      <c r="DG911" s="6"/>
      <c r="DH911" s="6"/>
      <c r="DI911" s="6"/>
      <c r="DJ911" s="7">
        <v>0</v>
      </c>
      <c r="DK911" s="7">
        <v>0</v>
      </c>
      <c r="DL911" s="7">
        <v>0</v>
      </c>
      <c r="DM911" s="7">
        <v>0</v>
      </c>
      <c r="DN911" s="7">
        <v>0</v>
      </c>
      <c r="DO911" s="7">
        <v>0</v>
      </c>
      <c r="DP911" s="6"/>
      <c r="DQ911" s="4" t="s">
        <v>125</v>
      </c>
    </row>
    <row r="912" spans="1:121" ht="20" customHeight="1" x14ac:dyDescent="0.15">
      <c r="A912" s="5">
        <v>2018</v>
      </c>
      <c r="B912" s="3" t="s">
        <v>226</v>
      </c>
      <c r="C912" s="4" t="str">
        <f t="shared" si="255"/>
        <v>1380011</v>
      </c>
      <c r="D912" s="4" t="s">
        <v>1063</v>
      </c>
      <c r="E912" s="4" t="str">
        <f>"1382211"</f>
        <v>1382211</v>
      </c>
      <c r="F912" s="4" t="s">
        <v>327</v>
      </c>
      <c r="G912" s="4" t="s">
        <v>328</v>
      </c>
      <c r="H912" s="7">
        <v>1</v>
      </c>
      <c r="I912" s="4" t="s">
        <v>335</v>
      </c>
      <c r="J912" s="4" t="s">
        <v>330</v>
      </c>
      <c r="K912" s="7">
        <v>60.606060999999997</v>
      </c>
      <c r="L912" s="7">
        <v>100</v>
      </c>
      <c r="M912" s="7">
        <v>60.606060999999997</v>
      </c>
      <c r="N912" s="4" t="s">
        <v>124</v>
      </c>
      <c r="O912" s="4" t="s">
        <v>124</v>
      </c>
      <c r="P912" s="4" t="s">
        <v>124</v>
      </c>
      <c r="Q912" s="4" t="s">
        <v>124</v>
      </c>
      <c r="R912" s="4" t="s">
        <v>124</v>
      </c>
      <c r="S912" s="4" t="s">
        <v>124</v>
      </c>
      <c r="T912" s="4" t="s">
        <v>124</v>
      </c>
      <c r="U912" s="4" t="s">
        <v>124</v>
      </c>
      <c r="V912" s="4" t="s">
        <v>124</v>
      </c>
      <c r="W912" s="4" t="s">
        <v>124</v>
      </c>
      <c r="X912" s="4" t="s">
        <v>124</v>
      </c>
      <c r="Y912" s="4" t="s">
        <v>124</v>
      </c>
      <c r="Z912" s="4" t="s">
        <v>124</v>
      </c>
      <c r="AA912" s="4" t="s">
        <v>124</v>
      </c>
      <c r="AB912" s="4" t="s">
        <v>124</v>
      </c>
      <c r="AC912" s="4" t="s">
        <v>124</v>
      </c>
      <c r="AD912" s="4" t="s">
        <v>124</v>
      </c>
      <c r="AE912" s="4" t="s">
        <v>124</v>
      </c>
      <c r="AF912" s="4" t="s">
        <v>124</v>
      </c>
      <c r="AG912" s="4" t="s">
        <v>124</v>
      </c>
      <c r="AH912" s="4" t="s">
        <v>124</v>
      </c>
      <c r="AI912" s="4" t="s">
        <v>124</v>
      </c>
      <c r="AJ912" s="4" t="s">
        <v>124</v>
      </c>
      <c r="AK912" s="4" t="s">
        <v>124</v>
      </c>
      <c r="AL912" s="4" t="s">
        <v>124</v>
      </c>
      <c r="AM912" s="4" t="s">
        <v>124</v>
      </c>
      <c r="AN912" s="4" t="s">
        <v>124</v>
      </c>
      <c r="AO912" s="4" t="s">
        <v>124</v>
      </c>
      <c r="AP912" s="4" t="s">
        <v>124</v>
      </c>
      <c r="AQ912" s="4" t="s">
        <v>124</v>
      </c>
      <c r="AR912" s="4" t="s">
        <v>124</v>
      </c>
      <c r="AS912" s="4" t="s">
        <v>124</v>
      </c>
      <c r="AT912" s="4" t="s">
        <v>124</v>
      </c>
      <c r="AU912" s="4" t="s">
        <v>124</v>
      </c>
      <c r="AV912" s="4" t="s">
        <v>124</v>
      </c>
      <c r="AW912" s="4" t="s">
        <v>124</v>
      </c>
      <c r="AX912" s="4" t="s">
        <v>124</v>
      </c>
      <c r="AY912" s="4" t="s">
        <v>124</v>
      </c>
      <c r="AZ912" s="4" t="s">
        <v>124</v>
      </c>
      <c r="BA912" s="4" t="s">
        <v>124</v>
      </c>
      <c r="BB912" s="4" t="s">
        <v>124</v>
      </c>
      <c r="BC912" s="4" t="s">
        <v>124</v>
      </c>
      <c r="BD912" s="4" t="s">
        <v>124</v>
      </c>
      <c r="BE912" s="4" t="s">
        <v>124</v>
      </c>
      <c r="BF912" s="4" t="s">
        <v>124</v>
      </c>
      <c r="BG912" s="4" t="s">
        <v>124</v>
      </c>
      <c r="BH912" s="4" t="s">
        <v>124</v>
      </c>
      <c r="BI912" s="4" t="s">
        <v>124</v>
      </c>
      <c r="BJ912" s="4" t="s">
        <v>124</v>
      </c>
      <c r="BK912" s="4" t="s">
        <v>124</v>
      </c>
      <c r="BL912" s="4" t="s">
        <v>124</v>
      </c>
      <c r="BM912" s="4" t="s">
        <v>124</v>
      </c>
      <c r="BN912" s="4" t="s">
        <v>124</v>
      </c>
      <c r="BO912" s="4" t="s">
        <v>124</v>
      </c>
      <c r="BP912" s="4" t="s">
        <v>124</v>
      </c>
      <c r="BQ912" s="4" t="s">
        <v>124</v>
      </c>
      <c r="BR912" s="7">
        <v>0.127273</v>
      </c>
      <c r="BS912" s="7">
        <v>34.545454999999997</v>
      </c>
      <c r="BT912" s="7">
        <v>50</v>
      </c>
      <c r="BU912" s="7">
        <v>0.16969699999999999</v>
      </c>
      <c r="BV912" s="7">
        <v>26.060606</v>
      </c>
      <c r="BW912" s="7">
        <v>50</v>
      </c>
      <c r="BX912" s="4" t="s">
        <v>124</v>
      </c>
      <c r="BY912" s="4" t="s">
        <v>124</v>
      </c>
      <c r="BZ912" s="4" t="s">
        <v>124</v>
      </c>
      <c r="CA912" s="4" t="s">
        <v>124</v>
      </c>
      <c r="CB912" s="4" t="s">
        <v>124</v>
      </c>
      <c r="CC912" s="4" t="s">
        <v>124</v>
      </c>
      <c r="CD912" s="4" t="s">
        <v>124</v>
      </c>
      <c r="CE912" s="4" t="s">
        <v>124</v>
      </c>
      <c r="CF912" s="4" t="s">
        <v>124</v>
      </c>
      <c r="CG912" s="4" t="s">
        <v>124</v>
      </c>
      <c r="CH912" s="4" t="s">
        <v>124</v>
      </c>
      <c r="CI912" s="4" t="s">
        <v>124</v>
      </c>
      <c r="CJ912" s="4" t="s">
        <v>124</v>
      </c>
      <c r="CK912" s="4" t="s">
        <v>124</v>
      </c>
      <c r="CL912" s="4" t="s">
        <v>124</v>
      </c>
      <c r="CM912" s="4" t="s">
        <v>124</v>
      </c>
      <c r="CN912" s="4" t="s">
        <v>124</v>
      </c>
      <c r="CO912" s="4" t="s">
        <v>124</v>
      </c>
      <c r="CP912" s="4" t="s">
        <v>124</v>
      </c>
      <c r="CQ912" s="4" t="s">
        <v>124</v>
      </c>
      <c r="CR912" s="4" t="s">
        <v>124</v>
      </c>
      <c r="CS912" s="4" t="s">
        <v>124</v>
      </c>
      <c r="CT912" s="4" t="s">
        <v>124</v>
      </c>
      <c r="CU912" s="4" t="s">
        <v>124</v>
      </c>
      <c r="CV912" s="4" t="s">
        <v>124</v>
      </c>
      <c r="CW912" s="4" t="s">
        <v>124</v>
      </c>
      <c r="CX912" s="4" t="s">
        <v>124</v>
      </c>
      <c r="CY912" s="4" t="s">
        <v>124</v>
      </c>
      <c r="CZ912" s="4" t="s">
        <v>124</v>
      </c>
      <c r="DA912" s="4" t="s">
        <v>124</v>
      </c>
      <c r="DB912" s="4" t="s">
        <v>124</v>
      </c>
      <c r="DC912" s="4" t="s">
        <v>124</v>
      </c>
      <c r="DD912" s="4" t="s">
        <v>124</v>
      </c>
      <c r="DE912" s="4" t="s">
        <v>124</v>
      </c>
      <c r="DF912" s="6"/>
      <c r="DG912" s="6"/>
      <c r="DH912" s="6"/>
      <c r="DI912" s="6"/>
      <c r="DJ912" s="4" t="s">
        <v>124</v>
      </c>
      <c r="DK912" s="4" t="s">
        <v>124</v>
      </c>
      <c r="DL912" s="4" t="s">
        <v>124</v>
      </c>
      <c r="DM912" s="4" t="s">
        <v>124</v>
      </c>
      <c r="DN912" s="4" t="s">
        <v>124</v>
      </c>
      <c r="DO912" s="4" t="s">
        <v>124</v>
      </c>
      <c r="DP912" s="6"/>
      <c r="DQ912" s="4" t="s">
        <v>125</v>
      </c>
    </row>
    <row r="913" spans="1:121" ht="20" customHeight="1" x14ac:dyDescent="0.15">
      <c r="A913" s="5">
        <v>2018</v>
      </c>
      <c r="B913" s="3" t="s">
        <v>226</v>
      </c>
      <c r="C913" s="4" t="str">
        <f t="shared" si="255"/>
        <v>1380011</v>
      </c>
      <c r="D913" s="4" t="s">
        <v>1064</v>
      </c>
      <c r="E913" s="4" t="str">
        <f>"1386111"</f>
        <v>1386111</v>
      </c>
      <c r="F913" s="4" t="s">
        <v>327</v>
      </c>
      <c r="G913" s="7">
        <v>9</v>
      </c>
      <c r="H913" s="7">
        <v>12</v>
      </c>
      <c r="I913" s="6"/>
      <c r="J913" s="4" t="s">
        <v>330</v>
      </c>
      <c r="K913" s="7">
        <v>1070.6227260000001</v>
      </c>
      <c r="L913" s="7">
        <v>1550</v>
      </c>
      <c r="M913" s="7">
        <v>69.072434000000001</v>
      </c>
      <c r="N913" s="7">
        <v>3</v>
      </c>
      <c r="O913" s="7">
        <v>0</v>
      </c>
      <c r="P913" s="7">
        <v>52.423802000000002</v>
      </c>
      <c r="Q913" s="7">
        <v>104.847604</v>
      </c>
      <c r="R913" s="7">
        <v>150</v>
      </c>
      <c r="S913" s="7">
        <v>46.774250000000002</v>
      </c>
      <c r="T913" s="7">
        <v>60.161231999999998</v>
      </c>
      <c r="U913" s="7">
        <v>93.548501000000002</v>
      </c>
      <c r="V913" s="7">
        <v>150</v>
      </c>
      <c r="W913" s="7">
        <v>46.803261999999997</v>
      </c>
      <c r="X913" s="7">
        <v>93.606523999999993</v>
      </c>
      <c r="Y913" s="7">
        <v>150</v>
      </c>
      <c r="Z913" s="7">
        <v>52.528986000000003</v>
      </c>
      <c r="AA913" s="7">
        <v>42.622574999999998</v>
      </c>
      <c r="AB913" s="7">
        <v>85.245149999999995</v>
      </c>
      <c r="AC913" s="7">
        <v>150</v>
      </c>
      <c r="AD913" s="7">
        <v>55.529386000000002</v>
      </c>
      <c r="AE913" s="7">
        <v>74.039180999999999</v>
      </c>
      <c r="AF913" s="7">
        <v>100</v>
      </c>
      <c r="AG913" s="7">
        <v>49.787320000000001</v>
      </c>
      <c r="AH913" s="7">
        <v>63.47054</v>
      </c>
      <c r="AI913" s="7">
        <v>66.383094</v>
      </c>
      <c r="AJ913" s="7">
        <v>100</v>
      </c>
      <c r="AK913" s="7">
        <v>13.38</v>
      </c>
      <c r="AL913" s="7">
        <v>9.9</v>
      </c>
      <c r="AM913" s="7">
        <v>13.68</v>
      </c>
      <c r="AN913" s="4" t="s">
        <v>124</v>
      </c>
      <c r="AO913" s="4" t="s">
        <v>124</v>
      </c>
      <c r="AP913" s="4" t="s">
        <v>124</v>
      </c>
      <c r="AQ913" s="4" t="s">
        <v>124</v>
      </c>
      <c r="AR913" s="4" t="s">
        <v>124</v>
      </c>
      <c r="AS913" s="4" t="s">
        <v>124</v>
      </c>
      <c r="AT913" s="4" t="s">
        <v>124</v>
      </c>
      <c r="AU913" s="4" t="s">
        <v>124</v>
      </c>
      <c r="AV913" s="4" t="s">
        <v>124</v>
      </c>
      <c r="AW913" s="4" t="s">
        <v>124</v>
      </c>
      <c r="AX913" s="4" t="s">
        <v>124</v>
      </c>
      <c r="AY913" s="4" t="s">
        <v>124</v>
      </c>
      <c r="AZ913" s="4" t="s">
        <v>124</v>
      </c>
      <c r="BA913" s="4" t="s">
        <v>124</v>
      </c>
      <c r="BB913" s="7">
        <v>0.633413</v>
      </c>
      <c r="BC913" s="7">
        <v>31.670652</v>
      </c>
      <c r="BD913" s="7">
        <v>50</v>
      </c>
      <c r="BE913" s="7">
        <v>0.68273399999999995</v>
      </c>
      <c r="BF913" s="7">
        <v>34.136704999999999</v>
      </c>
      <c r="BG913" s="7">
        <v>50</v>
      </c>
      <c r="BH913" s="7">
        <v>0</v>
      </c>
      <c r="BI913" s="7">
        <v>0.98333300000000001</v>
      </c>
      <c r="BJ913" s="7">
        <v>0.97931000000000001</v>
      </c>
      <c r="BK913" s="7">
        <v>0.98947399999999996</v>
      </c>
      <c r="BL913" s="7">
        <v>0.98333300000000001</v>
      </c>
      <c r="BM913" s="7">
        <v>0.97931000000000001</v>
      </c>
      <c r="BN913" s="7">
        <v>0.98947399999999996</v>
      </c>
      <c r="BO913" s="7">
        <v>0.99581600000000003</v>
      </c>
      <c r="BP913" s="7">
        <v>0.99305600000000005</v>
      </c>
      <c r="BQ913" s="7">
        <v>1</v>
      </c>
      <c r="BR913" s="7">
        <v>0.23705999999999999</v>
      </c>
      <c r="BS913" s="7">
        <v>12.587992</v>
      </c>
      <c r="BT913" s="7">
        <v>50</v>
      </c>
      <c r="BU913" s="7">
        <v>0.31066199999999999</v>
      </c>
      <c r="BV913" s="7">
        <v>0</v>
      </c>
      <c r="BW913" s="7">
        <v>50</v>
      </c>
      <c r="BX913" s="7">
        <v>0.83870999999999996</v>
      </c>
      <c r="BY913" s="7">
        <v>50</v>
      </c>
      <c r="BZ913" s="7">
        <v>50</v>
      </c>
      <c r="CA913" s="7">
        <v>0.26021499999999997</v>
      </c>
      <c r="CB913" s="7">
        <v>17.347670000000001</v>
      </c>
      <c r="CC913" s="7">
        <v>50</v>
      </c>
      <c r="CD913" s="7">
        <v>0.87704899999999997</v>
      </c>
      <c r="CE913" s="7">
        <v>46.651552000000002</v>
      </c>
      <c r="CF913" s="7">
        <v>50</v>
      </c>
      <c r="CG913" s="7">
        <v>0.93951600000000002</v>
      </c>
      <c r="CH913" s="7">
        <v>99.948524000000006</v>
      </c>
      <c r="CI913" s="7">
        <v>100</v>
      </c>
      <c r="CJ913" s="7">
        <v>0</v>
      </c>
      <c r="CK913" s="7">
        <v>0.94244600000000001</v>
      </c>
      <c r="CL913" s="7">
        <v>100</v>
      </c>
      <c r="CM913" s="7">
        <v>100</v>
      </c>
      <c r="CN913" s="7">
        <v>0.72916700000000001</v>
      </c>
      <c r="CO913" s="7">
        <v>97.222222000000002</v>
      </c>
      <c r="CP913" s="7">
        <v>100</v>
      </c>
      <c r="CQ913" s="7">
        <v>0.400862</v>
      </c>
      <c r="CR913" s="7">
        <v>0.90272399999999997</v>
      </c>
      <c r="CS913" s="7">
        <v>26.724138</v>
      </c>
      <c r="CT913" s="7">
        <v>50</v>
      </c>
      <c r="CU913" s="7">
        <v>0.43995899999999999</v>
      </c>
      <c r="CV913" s="7">
        <v>36.663215999999998</v>
      </c>
      <c r="CW913" s="7">
        <v>50</v>
      </c>
      <c r="CX913" s="7">
        <v>0.94244600000000001</v>
      </c>
      <c r="CY913" s="7">
        <v>0.94</v>
      </c>
      <c r="CZ913" s="7">
        <v>-2.4459999999999998E-3</v>
      </c>
      <c r="DA913" s="7">
        <v>15.314097</v>
      </c>
      <c r="DB913" s="7">
        <v>17.400950000000002</v>
      </c>
      <c r="DC913" s="7">
        <v>16.332519999999999</v>
      </c>
      <c r="DD913" s="7">
        <v>7.9891730000000001</v>
      </c>
      <c r="DE913" s="7">
        <v>0</v>
      </c>
      <c r="DF913" s="6"/>
      <c r="DG913" s="6"/>
      <c r="DH913" s="6"/>
      <c r="DI913" s="6"/>
      <c r="DJ913" s="7">
        <v>0</v>
      </c>
      <c r="DK913" s="7">
        <v>0</v>
      </c>
      <c r="DL913" s="7">
        <v>0</v>
      </c>
      <c r="DM913" s="7">
        <v>0</v>
      </c>
      <c r="DN913" s="7">
        <v>0</v>
      </c>
      <c r="DO913" s="7">
        <v>0</v>
      </c>
      <c r="DP913" s="6"/>
      <c r="DQ913" s="4" t="s">
        <v>125</v>
      </c>
    </row>
    <row r="914" spans="1:121" ht="20" customHeight="1" x14ac:dyDescent="0.15">
      <c r="A914" s="5">
        <v>2018</v>
      </c>
      <c r="B914" s="3" t="s">
        <v>226</v>
      </c>
      <c r="C914" s="4" t="str">
        <f t="shared" si="255"/>
        <v>1380011</v>
      </c>
      <c r="D914" s="4" t="s">
        <v>1065</v>
      </c>
      <c r="E914" s="4" t="str">
        <f>"1381411"</f>
        <v>1381411</v>
      </c>
      <c r="F914" s="4" t="s">
        <v>327</v>
      </c>
      <c r="G914" s="4" t="s">
        <v>338</v>
      </c>
      <c r="H914" s="7">
        <v>6</v>
      </c>
      <c r="I914" s="6"/>
      <c r="J914" s="4" t="s">
        <v>330</v>
      </c>
      <c r="K914" s="7">
        <v>652.71861799999999</v>
      </c>
      <c r="L914" s="7">
        <v>850</v>
      </c>
      <c r="M914" s="7">
        <v>76.790425999999997</v>
      </c>
      <c r="N914" s="7">
        <v>2</v>
      </c>
      <c r="O914" s="7">
        <v>0</v>
      </c>
      <c r="P914" s="7">
        <v>69.032135999999994</v>
      </c>
      <c r="Q914" s="7">
        <v>46.021424000000003</v>
      </c>
      <c r="R914" s="7">
        <v>50</v>
      </c>
      <c r="S914" s="7">
        <v>60.968811000000002</v>
      </c>
      <c r="T914" s="7">
        <v>75</v>
      </c>
      <c r="U914" s="7">
        <v>40.645873999999999</v>
      </c>
      <c r="V914" s="7">
        <v>50</v>
      </c>
      <c r="W914" s="7">
        <v>62.960794</v>
      </c>
      <c r="X914" s="7">
        <v>41.973863000000001</v>
      </c>
      <c r="Y914" s="7">
        <v>50</v>
      </c>
      <c r="Z914" s="7">
        <v>70.288651999999999</v>
      </c>
      <c r="AA914" s="7">
        <v>55.290512</v>
      </c>
      <c r="AB914" s="7">
        <v>36.860342000000003</v>
      </c>
      <c r="AC914" s="7">
        <v>50</v>
      </c>
      <c r="AD914" s="7">
        <v>65.326408000000001</v>
      </c>
      <c r="AE914" s="7">
        <v>43.550939</v>
      </c>
      <c r="AF914" s="7">
        <v>50</v>
      </c>
      <c r="AG914" s="7">
        <v>57.320098999999999</v>
      </c>
      <c r="AH914" s="7">
        <v>71.634409000000005</v>
      </c>
      <c r="AI914" s="7">
        <v>38.2134</v>
      </c>
      <c r="AJ914" s="7">
        <v>50</v>
      </c>
      <c r="AK914" s="7">
        <v>14.03</v>
      </c>
      <c r="AL914" s="7">
        <v>14.99</v>
      </c>
      <c r="AM914" s="7">
        <v>14.31</v>
      </c>
      <c r="AN914" s="7">
        <v>0.69335899999999995</v>
      </c>
      <c r="AO914" s="7">
        <v>69.335851000000005</v>
      </c>
      <c r="AP914" s="7">
        <v>100</v>
      </c>
      <c r="AQ914" s="7">
        <v>0.63478100000000004</v>
      </c>
      <c r="AR914" s="7">
        <v>63.478057</v>
      </c>
      <c r="AS914" s="7">
        <v>100</v>
      </c>
      <c r="AT914" s="7">
        <v>0.650088</v>
      </c>
      <c r="AU914" s="7">
        <v>0.732047</v>
      </c>
      <c r="AV914" s="7">
        <v>65.008842999999999</v>
      </c>
      <c r="AW914" s="7">
        <v>100</v>
      </c>
      <c r="AX914" s="7">
        <v>0.64535699999999996</v>
      </c>
      <c r="AY914" s="7">
        <v>0.62532399999999999</v>
      </c>
      <c r="AZ914" s="7">
        <v>64.535719999999998</v>
      </c>
      <c r="BA914" s="7">
        <v>100</v>
      </c>
      <c r="BB914" s="4" t="s">
        <v>124</v>
      </c>
      <c r="BC914" s="4" t="s">
        <v>124</v>
      </c>
      <c r="BD914" s="4" t="s">
        <v>124</v>
      </c>
      <c r="BE914" s="4" t="s">
        <v>124</v>
      </c>
      <c r="BF914" s="4" t="s">
        <v>124</v>
      </c>
      <c r="BG914" s="4" t="s">
        <v>124</v>
      </c>
      <c r="BH914" s="7">
        <v>0</v>
      </c>
      <c r="BI914" s="7">
        <v>0.99145300000000003</v>
      </c>
      <c r="BJ914" s="7">
        <v>0.99166699999999997</v>
      </c>
      <c r="BK914" s="7">
        <v>0.991228</v>
      </c>
      <c r="BL914" s="7">
        <v>0.99145300000000003</v>
      </c>
      <c r="BM914" s="7">
        <v>0.99166699999999997</v>
      </c>
      <c r="BN914" s="7">
        <v>0.991228</v>
      </c>
      <c r="BO914" s="7">
        <v>0.98360700000000001</v>
      </c>
      <c r="BP914" s="7">
        <v>1</v>
      </c>
      <c r="BQ914" s="7">
        <v>0.97058800000000001</v>
      </c>
      <c r="BR914" s="7">
        <v>3.3591999999999997E-2</v>
      </c>
      <c r="BS914" s="7">
        <v>50</v>
      </c>
      <c r="BT914" s="7">
        <v>50</v>
      </c>
      <c r="BU914" s="7">
        <v>5.7692E-2</v>
      </c>
      <c r="BV914" s="7">
        <v>48.461537999999997</v>
      </c>
      <c r="BW914" s="7">
        <v>50</v>
      </c>
      <c r="BX914" s="4" t="s">
        <v>124</v>
      </c>
      <c r="BY914" s="4" t="s">
        <v>124</v>
      </c>
      <c r="BZ914" s="4" t="s">
        <v>124</v>
      </c>
      <c r="CA914" s="4" t="s">
        <v>124</v>
      </c>
      <c r="CB914" s="4" t="s">
        <v>124</v>
      </c>
      <c r="CC914" s="4" t="s">
        <v>124</v>
      </c>
      <c r="CD914" s="4" t="s">
        <v>124</v>
      </c>
      <c r="CE914" s="4" t="s">
        <v>124</v>
      </c>
      <c r="CF914" s="4" t="s">
        <v>124</v>
      </c>
      <c r="CG914" s="4" t="s">
        <v>124</v>
      </c>
      <c r="CH914" s="4" t="s">
        <v>124</v>
      </c>
      <c r="CI914" s="4" t="s">
        <v>124</v>
      </c>
      <c r="CJ914" s="4" t="s">
        <v>124</v>
      </c>
      <c r="CK914" s="4" t="s">
        <v>124</v>
      </c>
      <c r="CL914" s="4" t="s">
        <v>124</v>
      </c>
      <c r="CM914" s="4" t="s">
        <v>124</v>
      </c>
      <c r="CN914" s="4" t="s">
        <v>124</v>
      </c>
      <c r="CO914" s="4" t="s">
        <v>124</v>
      </c>
      <c r="CP914" s="4" t="s">
        <v>124</v>
      </c>
      <c r="CQ914" s="7">
        <v>0.66949199999999998</v>
      </c>
      <c r="CR914" s="7">
        <v>1.0172410000000001</v>
      </c>
      <c r="CS914" s="7">
        <v>44.632767999999999</v>
      </c>
      <c r="CT914" s="7">
        <v>50</v>
      </c>
      <c r="CU914" s="4" t="s">
        <v>124</v>
      </c>
      <c r="CV914" s="4" t="s">
        <v>124</v>
      </c>
      <c r="CW914" s="4" t="s">
        <v>124</v>
      </c>
      <c r="CX914" s="4" t="s">
        <v>124</v>
      </c>
      <c r="CY914" s="4" t="s">
        <v>124</v>
      </c>
      <c r="CZ914" s="4" t="s">
        <v>124</v>
      </c>
      <c r="DA914" s="7">
        <v>15.314097</v>
      </c>
      <c r="DB914" s="7">
        <v>17.400950000000002</v>
      </c>
      <c r="DC914" s="7">
        <v>16.332519999999999</v>
      </c>
      <c r="DD914" s="4" t="s">
        <v>124</v>
      </c>
      <c r="DE914" s="7">
        <v>0</v>
      </c>
      <c r="DF914" s="6"/>
      <c r="DG914" s="6"/>
      <c r="DH914" s="6"/>
      <c r="DI914" s="6"/>
      <c r="DJ914" s="7">
        <v>0</v>
      </c>
      <c r="DK914" s="7">
        <v>0</v>
      </c>
      <c r="DL914" s="7">
        <v>0</v>
      </c>
      <c r="DM914" s="7">
        <v>0</v>
      </c>
      <c r="DN914" s="7">
        <v>0</v>
      </c>
      <c r="DO914" s="7">
        <v>0</v>
      </c>
      <c r="DP914" s="6"/>
      <c r="DQ914" s="4" t="s">
        <v>125</v>
      </c>
    </row>
    <row r="915" spans="1:121" ht="20" customHeight="1" x14ac:dyDescent="0.15">
      <c r="A915" s="5">
        <v>2018</v>
      </c>
      <c r="B915" s="3" t="s">
        <v>201</v>
      </c>
      <c r="C915" s="4" t="str">
        <f t="shared" si="76"/>
        <v>1390011</v>
      </c>
      <c r="D915" s="4" t="s">
        <v>1066</v>
      </c>
      <c r="E915" s="4" t="str">
        <f>"1390411"</f>
        <v>1390411</v>
      </c>
      <c r="F915" s="4" t="s">
        <v>327</v>
      </c>
      <c r="G915" s="4" t="s">
        <v>328</v>
      </c>
      <c r="H915" s="7">
        <v>2</v>
      </c>
      <c r="I915" s="4" t="s">
        <v>329</v>
      </c>
      <c r="J915" s="4" t="s">
        <v>330</v>
      </c>
      <c r="K915" s="7">
        <v>85.851910000000004</v>
      </c>
      <c r="L915" s="7">
        <v>100</v>
      </c>
      <c r="M915" s="7">
        <v>85.851910000000004</v>
      </c>
      <c r="N915" s="4" t="s">
        <v>124</v>
      </c>
      <c r="O915" s="4" t="s">
        <v>124</v>
      </c>
      <c r="P915" s="4" t="s">
        <v>124</v>
      </c>
      <c r="Q915" s="4" t="s">
        <v>124</v>
      </c>
      <c r="R915" s="4" t="s">
        <v>124</v>
      </c>
      <c r="S915" s="4" t="s">
        <v>124</v>
      </c>
      <c r="T915" s="4" t="s">
        <v>124</v>
      </c>
      <c r="U915" s="4" t="s">
        <v>124</v>
      </c>
      <c r="V915" s="4" t="s">
        <v>124</v>
      </c>
      <c r="W915" s="4" t="s">
        <v>124</v>
      </c>
      <c r="X915" s="4" t="s">
        <v>124</v>
      </c>
      <c r="Y915" s="4" t="s">
        <v>124</v>
      </c>
      <c r="Z915" s="4" t="s">
        <v>124</v>
      </c>
      <c r="AA915" s="4" t="s">
        <v>124</v>
      </c>
      <c r="AB915" s="4" t="s">
        <v>124</v>
      </c>
      <c r="AC915" s="4" t="s">
        <v>124</v>
      </c>
      <c r="AD915" s="4" t="s">
        <v>124</v>
      </c>
      <c r="AE915" s="4" t="s">
        <v>124</v>
      </c>
      <c r="AF915" s="4" t="s">
        <v>124</v>
      </c>
      <c r="AG915" s="4" t="s">
        <v>124</v>
      </c>
      <c r="AH915" s="4" t="s">
        <v>124</v>
      </c>
      <c r="AI915" s="4" t="s">
        <v>124</v>
      </c>
      <c r="AJ915" s="4" t="s">
        <v>124</v>
      </c>
      <c r="AK915" s="4" t="s">
        <v>124</v>
      </c>
      <c r="AL915" s="4" t="s">
        <v>124</v>
      </c>
      <c r="AM915" s="4" t="s">
        <v>124</v>
      </c>
      <c r="AN915" s="4" t="s">
        <v>124</v>
      </c>
      <c r="AO915" s="4" t="s">
        <v>124</v>
      </c>
      <c r="AP915" s="4" t="s">
        <v>124</v>
      </c>
      <c r="AQ915" s="4" t="s">
        <v>124</v>
      </c>
      <c r="AR915" s="4" t="s">
        <v>124</v>
      </c>
      <c r="AS915" s="4" t="s">
        <v>124</v>
      </c>
      <c r="AT915" s="4" t="s">
        <v>124</v>
      </c>
      <c r="AU915" s="4" t="s">
        <v>124</v>
      </c>
      <c r="AV915" s="4" t="s">
        <v>124</v>
      </c>
      <c r="AW915" s="4" t="s">
        <v>124</v>
      </c>
      <c r="AX915" s="4" t="s">
        <v>124</v>
      </c>
      <c r="AY915" s="4" t="s">
        <v>124</v>
      </c>
      <c r="AZ915" s="4" t="s">
        <v>124</v>
      </c>
      <c r="BA915" s="4" t="s">
        <v>124</v>
      </c>
      <c r="BB915" s="4" t="s">
        <v>124</v>
      </c>
      <c r="BC915" s="4" t="s">
        <v>124</v>
      </c>
      <c r="BD915" s="4" t="s">
        <v>124</v>
      </c>
      <c r="BE915" s="4" t="s">
        <v>124</v>
      </c>
      <c r="BF915" s="4" t="s">
        <v>124</v>
      </c>
      <c r="BG915" s="4" t="s">
        <v>124</v>
      </c>
      <c r="BH915" s="4" t="s">
        <v>124</v>
      </c>
      <c r="BI915" s="4" t="s">
        <v>124</v>
      </c>
      <c r="BJ915" s="4" t="s">
        <v>124</v>
      </c>
      <c r="BK915" s="4" t="s">
        <v>124</v>
      </c>
      <c r="BL915" s="4" t="s">
        <v>124</v>
      </c>
      <c r="BM915" s="4" t="s">
        <v>124</v>
      </c>
      <c r="BN915" s="4" t="s">
        <v>124</v>
      </c>
      <c r="BO915" s="4" t="s">
        <v>124</v>
      </c>
      <c r="BP915" s="4" t="s">
        <v>124</v>
      </c>
      <c r="BQ915" s="4" t="s">
        <v>124</v>
      </c>
      <c r="BR915" s="7">
        <v>5.5696000000000002E-2</v>
      </c>
      <c r="BS915" s="7">
        <v>48.860759000000002</v>
      </c>
      <c r="BT915" s="7">
        <v>50</v>
      </c>
      <c r="BU915" s="7">
        <v>0.11504399999999999</v>
      </c>
      <c r="BV915" s="7">
        <v>36.991149999999998</v>
      </c>
      <c r="BW915" s="7">
        <v>50</v>
      </c>
      <c r="BX915" s="4" t="s">
        <v>124</v>
      </c>
      <c r="BY915" s="4" t="s">
        <v>124</v>
      </c>
      <c r="BZ915" s="4" t="s">
        <v>124</v>
      </c>
      <c r="CA915" s="4" t="s">
        <v>124</v>
      </c>
      <c r="CB915" s="4" t="s">
        <v>124</v>
      </c>
      <c r="CC915" s="4" t="s">
        <v>124</v>
      </c>
      <c r="CD915" s="4" t="s">
        <v>124</v>
      </c>
      <c r="CE915" s="4" t="s">
        <v>124</v>
      </c>
      <c r="CF915" s="4" t="s">
        <v>124</v>
      </c>
      <c r="CG915" s="4" t="s">
        <v>124</v>
      </c>
      <c r="CH915" s="4" t="s">
        <v>124</v>
      </c>
      <c r="CI915" s="4" t="s">
        <v>124</v>
      </c>
      <c r="CJ915" s="4" t="s">
        <v>124</v>
      </c>
      <c r="CK915" s="4" t="s">
        <v>124</v>
      </c>
      <c r="CL915" s="4" t="s">
        <v>124</v>
      </c>
      <c r="CM915" s="4" t="s">
        <v>124</v>
      </c>
      <c r="CN915" s="4" t="s">
        <v>124</v>
      </c>
      <c r="CO915" s="4" t="s">
        <v>124</v>
      </c>
      <c r="CP915" s="4" t="s">
        <v>124</v>
      </c>
      <c r="CQ915" s="4" t="s">
        <v>124</v>
      </c>
      <c r="CR915" s="4" t="s">
        <v>124</v>
      </c>
      <c r="CS915" s="4" t="s">
        <v>124</v>
      </c>
      <c r="CT915" s="4" t="s">
        <v>124</v>
      </c>
      <c r="CU915" s="4" t="s">
        <v>124</v>
      </c>
      <c r="CV915" s="4" t="s">
        <v>124</v>
      </c>
      <c r="CW915" s="4" t="s">
        <v>124</v>
      </c>
      <c r="CX915" s="4" t="s">
        <v>124</v>
      </c>
      <c r="CY915" s="4" t="s">
        <v>124</v>
      </c>
      <c r="CZ915" s="4" t="s">
        <v>124</v>
      </c>
      <c r="DA915" s="4" t="s">
        <v>124</v>
      </c>
      <c r="DB915" s="4" t="s">
        <v>124</v>
      </c>
      <c r="DC915" s="4" t="s">
        <v>124</v>
      </c>
      <c r="DD915" s="4" t="s">
        <v>124</v>
      </c>
      <c r="DE915" s="4" t="s">
        <v>124</v>
      </c>
      <c r="DF915" s="6"/>
      <c r="DG915" s="6"/>
      <c r="DH915" s="6"/>
      <c r="DI915" s="6"/>
      <c r="DJ915" s="4" t="s">
        <v>124</v>
      </c>
      <c r="DK915" s="4" t="s">
        <v>124</v>
      </c>
      <c r="DL915" s="4" t="s">
        <v>124</v>
      </c>
      <c r="DM915" s="4" t="s">
        <v>124</v>
      </c>
      <c r="DN915" s="4" t="s">
        <v>124</v>
      </c>
      <c r="DO915" s="4" t="s">
        <v>124</v>
      </c>
      <c r="DP915" s="6"/>
      <c r="DQ915" s="4" t="s">
        <v>125</v>
      </c>
    </row>
    <row r="916" spans="1:121" ht="20" customHeight="1" x14ac:dyDescent="0.15">
      <c r="A916" s="5">
        <v>2018</v>
      </c>
      <c r="B916" s="3" t="s">
        <v>201</v>
      </c>
      <c r="C916" s="4" t="str">
        <f t="shared" ref="C916:C918" si="256">"1390011"</f>
        <v>1390011</v>
      </c>
      <c r="D916" s="4" t="s">
        <v>1067</v>
      </c>
      <c r="E916" s="4" t="str">
        <f>"1390311"</f>
        <v>1390311</v>
      </c>
      <c r="F916" s="4" t="s">
        <v>327</v>
      </c>
      <c r="G916" s="7">
        <v>3</v>
      </c>
      <c r="H916" s="7">
        <v>5</v>
      </c>
      <c r="I916" s="4" t="s">
        <v>329</v>
      </c>
      <c r="J916" s="4" t="s">
        <v>330</v>
      </c>
      <c r="K916" s="7">
        <v>648.53058299999998</v>
      </c>
      <c r="L916" s="7">
        <v>850</v>
      </c>
      <c r="M916" s="7">
        <v>76.297715999999994</v>
      </c>
      <c r="N916" s="7">
        <v>3</v>
      </c>
      <c r="O916" s="7">
        <v>1</v>
      </c>
      <c r="P916" s="7">
        <v>74.131440999999995</v>
      </c>
      <c r="Q916" s="7">
        <v>49.420960999999998</v>
      </c>
      <c r="R916" s="7">
        <v>50</v>
      </c>
      <c r="S916" s="7">
        <v>64.446625999999995</v>
      </c>
      <c r="T916" s="7">
        <v>75</v>
      </c>
      <c r="U916" s="7">
        <v>42.964418000000002</v>
      </c>
      <c r="V916" s="7">
        <v>50</v>
      </c>
      <c r="W916" s="7">
        <v>69.292293000000001</v>
      </c>
      <c r="X916" s="7">
        <v>46.194862000000001</v>
      </c>
      <c r="Y916" s="7">
        <v>50</v>
      </c>
      <c r="Z916" s="7">
        <v>74.789807999999994</v>
      </c>
      <c r="AA916" s="7">
        <v>56.418945999999998</v>
      </c>
      <c r="AB916" s="7">
        <v>37.612631</v>
      </c>
      <c r="AC916" s="7">
        <v>50</v>
      </c>
      <c r="AD916" s="7">
        <v>74.741202000000001</v>
      </c>
      <c r="AE916" s="7">
        <v>49.827468000000003</v>
      </c>
      <c r="AF916" s="7">
        <v>50</v>
      </c>
      <c r="AG916" s="7">
        <v>64.900293000000005</v>
      </c>
      <c r="AH916" s="7">
        <v>75</v>
      </c>
      <c r="AI916" s="7">
        <v>43.266862000000003</v>
      </c>
      <c r="AJ916" s="7">
        <v>50</v>
      </c>
      <c r="AK916" s="7">
        <v>10.55</v>
      </c>
      <c r="AL916" s="7">
        <v>18.37</v>
      </c>
      <c r="AM916" s="7">
        <v>10.09</v>
      </c>
      <c r="AN916" s="7">
        <v>0.65027000000000001</v>
      </c>
      <c r="AO916" s="7">
        <v>65.026983999999999</v>
      </c>
      <c r="AP916" s="7">
        <v>100</v>
      </c>
      <c r="AQ916" s="7">
        <v>0.70291400000000004</v>
      </c>
      <c r="AR916" s="7">
        <v>70.291371999999996</v>
      </c>
      <c r="AS916" s="7">
        <v>100</v>
      </c>
      <c r="AT916" s="7">
        <v>0.57573300000000005</v>
      </c>
      <c r="AU916" s="7">
        <v>0.675369</v>
      </c>
      <c r="AV916" s="7">
        <v>57.573259999999998</v>
      </c>
      <c r="AW916" s="7">
        <v>100</v>
      </c>
      <c r="AX916" s="7">
        <v>0.65808699999999998</v>
      </c>
      <c r="AY916" s="7">
        <v>0.71823700000000001</v>
      </c>
      <c r="AZ916" s="7">
        <v>65.808717000000001</v>
      </c>
      <c r="BA916" s="7">
        <v>100</v>
      </c>
      <c r="BB916" s="4" t="s">
        <v>124</v>
      </c>
      <c r="BC916" s="4" t="s">
        <v>124</v>
      </c>
      <c r="BD916" s="4" t="s">
        <v>124</v>
      </c>
      <c r="BE916" s="4" t="s">
        <v>124</v>
      </c>
      <c r="BF916" s="4" t="s">
        <v>124</v>
      </c>
      <c r="BG916" s="4" t="s">
        <v>124</v>
      </c>
      <c r="BH916" s="7">
        <v>1</v>
      </c>
      <c r="BI916" s="7">
        <v>0.98801000000000005</v>
      </c>
      <c r="BJ916" s="7">
        <v>0.97709900000000005</v>
      </c>
      <c r="BK916" s="7">
        <v>0.99300699999999997</v>
      </c>
      <c r="BL916" s="7">
        <v>0.98803799999999997</v>
      </c>
      <c r="BM916" s="7">
        <v>0.97727299999999995</v>
      </c>
      <c r="BN916" s="7">
        <v>0.99300699999999997</v>
      </c>
      <c r="BO916" s="7">
        <v>0.97122299999999995</v>
      </c>
      <c r="BP916" s="7">
        <v>0.94444399999999995</v>
      </c>
      <c r="BQ916" s="7">
        <v>0.98058299999999998</v>
      </c>
      <c r="BR916" s="7">
        <v>2.6315999999999999E-2</v>
      </c>
      <c r="BS916" s="7">
        <v>50</v>
      </c>
      <c r="BT916" s="7">
        <v>50</v>
      </c>
      <c r="BU916" s="7">
        <v>7.8740000000000004E-2</v>
      </c>
      <c r="BV916" s="7">
        <v>44.251969000000003</v>
      </c>
      <c r="BW916" s="7">
        <v>50</v>
      </c>
      <c r="BX916" s="4" t="s">
        <v>124</v>
      </c>
      <c r="BY916" s="4" t="s">
        <v>124</v>
      </c>
      <c r="BZ916" s="4" t="s">
        <v>124</v>
      </c>
      <c r="CA916" s="4" t="s">
        <v>124</v>
      </c>
      <c r="CB916" s="4" t="s">
        <v>124</v>
      </c>
      <c r="CC916" s="4" t="s">
        <v>124</v>
      </c>
      <c r="CD916" s="4" t="s">
        <v>124</v>
      </c>
      <c r="CE916" s="4" t="s">
        <v>124</v>
      </c>
      <c r="CF916" s="4" t="s">
        <v>124</v>
      </c>
      <c r="CG916" s="4" t="s">
        <v>124</v>
      </c>
      <c r="CH916" s="4" t="s">
        <v>124</v>
      </c>
      <c r="CI916" s="4" t="s">
        <v>124</v>
      </c>
      <c r="CJ916" s="4" t="s">
        <v>124</v>
      </c>
      <c r="CK916" s="4" t="s">
        <v>124</v>
      </c>
      <c r="CL916" s="4" t="s">
        <v>124</v>
      </c>
      <c r="CM916" s="4" t="s">
        <v>124</v>
      </c>
      <c r="CN916" s="4" t="s">
        <v>124</v>
      </c>
      <c r="CO916" s="4" t="s">
        <v>124</v>
      </c>
      <c r="CP916" s="4" t="s">
        <v>124</v>
      </c>
      <c r="CQ916" s="7">
        <v>0.39436599999999999</v>
      </c>
      <c r="CR916" s="7">
        <v>0.98611099999999996</v>
      </c>
      <c r="CS916" s="7">
        <v>26.291080000000001</v>
      </c>
      <c r="CT916" s="7">
        <v>50</v>
      </c>
      <c r="CU916" s="4" t="s">
        <v>124</v>
      </c>
      <c r="CV916" s="4" t="s">
        <v>124</v>
      </c>
      <c r="CW916" s="4" t="s">
        <v>124</v>
      </c>
      <c r="CX916" s="4" t="s">
        <v>124</v>
      </c>
      <c r="CY916" s="4" t="s">
        <v>124</v>
      </c>
      <c r="CZ916" s="4" t="s">
        <v>124</v>
      </c>
      <c r="DA916" s="7">
        <v>15.314097</v>
      </c>
      <c r="DB916" s="7">
        <v>17.400950000000002</v>
      </c>
      <c r="DC916" s="7">
        <v>16.332519999999999</v>
      </c>
      <c r="DD916" s="4" t="s">
        <v>124</v>
      </c>
      <c r="DE916" s="7">
        <v>1</v>
      </c>
      <c r="DF916" s="6"/>
      <c r="DG916" s="6"/>
      <c r="DH916" s="6"/>
      <c r="DI916" s="6"/>
      <c r="DJ916" s="7">
        <v>0</v>
      </c>
      <c r="DK916" s="7">
        <v>0</v>
      </c>
      <c r="DL916" s="7">
        <v>0</v>
      </c>
      <c r="DM916" s="7">
        <v>0</v>
      </c>
      <c r="DN916" s="7">
        <v>0</v>
      </c>
      <c r="DO916" s="7">
        <v>0</v>
      </c>
      <c r="DP916" s="6"/>
      <c r="DQ916" s="4" t="s">
        <v>125</v>
      </c>
    </row>
    <row r="917" spans="1:121" ht="20" customHeight="1" x14ac:dyDescent="0.15">
      <c r="A917" s="5">
        <v>2018</v>
      </c>
      <c r="B917" s="3" t="s">
        <v>201</v>
      </c>
      <c r="C917" s="4" t="str">
        <f t="shared" si="256"/>
        <v>1390011</v>
      </c>
      <c r="D917" s="4" t="s">
        <v>1068</v>
      </c>
      <c r="E917" s="4" t="str">
        <f>"1396111"</f>
        <v>1396111</v>
      </c>
      <c r="F917" s="4" t="s">
        <v>327</v>
      </c>
      <c r="G917" s="7">
        <v>9</v>
      </c>
      <c r="H917" s="7">
        <v>12</v>
      </c>
      <c r="I917" s="6"/>
      <c r="J917" s="4" t="s">
        <v>330</v>
      </c>
      <c r="K917" s="7">
        <v>1187.9268950000001</v>
      </c>
      <c r="L917" s="7">
        <v>1450</v>
      </c>
      <c r="M917" s="7">
        <v>81.925993000000005</v>
      </c>
      <c r="N917" s="7">
        <v>2</v>
      </c>
      <c r="O917" s="7">
        <v>0</v>
      </c>
      <c r="P917" s="7">
        <v>64.467157999999998</v>
      </c>
      <c r="Q917" s="7">
        <v>128.934316</v>
      </c>
      <c r="R917" s="7">
        <v>150</v>
      </c>
      <c r="S917" s="7">
        <v>53.391812999999999</v>
      </c>
      <c r="T917" s="7">
        <v>67.410256000000004</v>
      </c>
      <c r="U917" s="7">
        <v>106.783626</v>
      </c>
      <c r="V917" s="7">
        <v>150</v>
      </c>
      <c r="W917" s="7">
        <v>59.848373000000002</v>
      </c>
      <c r="X917" s="7">
        <v>119.696746</v>
      </c>
      <c r="Y917" s="7">
        <v>150</v>
      </c>
      <c r="Z917" s="7">
        <v>61.769230999999998</v>
      </c>
      <c r="AA917" s="7">
        <v>52.619883000000002</v>
      </c>
      <c r="AB917" s="7">
        <v>105.239766</v>
      </c>
      <c r="AC917" s="7">
        <v>150</v>
      </c>
      <c r="AD917" s="7">
        <v>74.505335000000002</v>
      </c>
      <c r="AE917" s="7">
        <v>99.340446999999998</v>
      </c>
      <c r="AF917" s="7">
        <v>100</v>
      </c>
      <c r="AG917" s="7">
        <v>60.193773</v>
      </c>
      <c r="AH917" s="7">
        <v>75</v>
      </c>
      <c r="AI917" s="7">
        <v>80.258364</v>
      </c>
      <c r="AJ917" s="7">
        <v>100</v>
      </c>
      <c r="AK917" s="7">
        <v>14.01</v>
      </c>
      <c r="AL917" s="7">
        <v>9.14</v>
      </c>
      <c r="AM917" s="7">
        <v>14.8</v>
      </c>
      <c r="AN917" s="4" t="s">
        <v>124</v>
      </c>
      <c r="AO917" s="4" t="s">
        <v>124</v>
      </c>
      <c r="AP917" s="4" t="s">
        <v>124</v>
      </c>
      <c r="AQ917" s="4" t="s">
        <v>124</v>
      </c>
      <c r="AR917" s="4" t="s">
        <v>124</v>
      </c>
      <c r="AS917" s="4" t="s">
        <v>124</v>
      </c>
      <c r="AT917" s="4" t="s">
        <v>124</v>
      </c>
      <c r="AU917" s="4" t="s">
        <v>124</v>
      </c>
      <c r="AV917" s="4" t="s">
        <v>124</v>
      </c>
      <c r="AW917" s="4" t="s">
        <v>124</v>
      </c>
      <c r="AX917" s="4" t="s">
        <v>124</v>
      </c>
      <c r="AY917" s="4" t="s">
        <v>124</v>
      </c>
      <c r="AZ917" s="4" t="s">
        <v>124</v>
      </c>
      <c r="BA917" s="4" t="s">
        <v>124</v>
      </c>
      <c r="BB917" s="4" t="s">
        <v>124</v>
      </c>
      <c r="BC917" s="4" t="s">
        <v>124</v>
      </c>
      <c r="BD917" s="4" t="s">
        <v>124</v>
      </c>
      <c r="BE917" s="4" t="s">
        <v>124</v>
      </c>
      <c r="BF917" s="4" t="s">
        <v>124</v>
      </c>
      <c r="BG917" s="4" t="s">
        <v>124</v>
      </c>
      <c r="BH917" s="7">
        <v>0</v>
      </c>
      <c r="BI917" s="7">
        <v>0.97860999999999998</v>
      </c>
      <c r="BJ917" s="7">
        <v>0.95238100000000003</v>
      </c>
      <c r="BK917" s="7">
        <v>0.98620699999999994</v>
      </c>
      <c r="BL917" s="7">
        <v>0.97860999999999998</v>
      </c>
      <c r="BM917" s="7">
        <v>0.95238100000000003</v>
      </c>
      <c r="BN917" s="7">
        <v>0.98620699999999994</v>
      </c>
      <c r="BO917" s="7">
        <v>0.98930499999999999</v>
      </c>
      <c r="BP917" s="7">
        <v>0.97619</v>
      </c>
      <c r="BQ917" s="7">
        <v>0.99310299999999996</v>
      </c>
      <c r="BR917" s="7">
        <v>7.7969999999999998E-2</v>
      </c>
      <c r="BS917" s="7">
        <v>44.405940999999999</v>
      </c>
      <c r="BT917" s="7">
        <v>50</v>
      </c>
      <c r="BU917" s="7">
        <v>0.205128</v>
      </c>
      <c r="BV917" s="7">
        <v>18.974359</v>
      </c>
      <c r="BW917" s="7">
        <v>50</v>
      </c>
      <c r="BX917" s="7">
        <v>0.98205100000000001</v>
      </c>
      <c r="BY917" s="7">
        <v>50</v>
      </c>
      <c r="BZ917" s="7">
        <v>50</v>
      </c>
      <c r="CA917" s="7">
        <v>0.59230799999999995</v>
      </c>
      <c r="CB917" s="7">
        <v>39.487178999999998</v>
      </c>
      <c r="CC917" s="7">
        <v>50</v>
      </c>
      <c r="CD917" s="7">
        <v>0.96261699999999994</v>
      </c>
      <c r="CE917" s="7">
        <v>50</v>
      </c>
      <c r="CF917" s="7">
        <v>50</v>
      </c>
      <c r="CG917" s="7">
        <v>0.97326199999999996</v>
      </c>
      <c r="CH917" s="7">
        <v>100</v>
      </c>
      <c r="CI917" s="7">
        <v>100</v>
      </c>
      <c r="CJ917" s="7">
        <v>0</v>
      </c>
      <c r="CK917" s="7">
        <v>0.86666699999999997</v>
      </c>
      <c r="CL917" s="7">
        <v>92.198582000000002</v>
      </c>
      <c r="CM917" s="7">
        <v>100</v>
      </c>
      <c r="CN917" s="7">
        <v>0.75956299999999999</v>
      </c>
      <c r="CO917" s="7">
        <v>100</v>
      </c>
      <c r="CP917" s="7">
        <v>100</v>
      </c>
      <c r="CQ917" s="7">
        <v>0.58503400000000005</v>
      </c>
      <c r="CR917" s="7">
        <v>0.72058800000000001</v>
      </c>
      <c r="CS917" s="7">
        <v>19.501134</v>
      </c>
      <c r="CT917" s="7">
        <v>50</v>
      </c>
      <c r="CU917" s="7">
        <v>0.39727699999999999</v>
      </c>
      <c r="CV917" s="7">
        <v>33.106436000000002</v>
      </c>
      <c r="CW917" s="7">
        <v>50</v>
      </c>
      <c r="CX917" s="7">
        <v>0.86666699999999997</v>
      </c>
      <c r="CY917" s="7">
        <v>0.94</v>
      </c>
      <c r="CZ917" s="7">
        <v>7.3332999999999995E-2</v>
      </c>
      <c r="DA917" s="7">
        <v>15.314097</v>
      </c>
      <c r="DB917" s="7">
        <v>17.400950000000002</v>
      </c>
      <c r="DC917" s="7">
        <v>16.332519999999999</v>
      </c>
      <c r="DD917" s="7">
        <v>7.9891730000000001</v>
      </c>
      <c r="DE917" s="7">
        <v>0</v>
      </c>
      <c r="DF917" s="6"/>
      <c r="DG917" s="6"/>
      <c r="DH917" s="6"/>
      <c r="DI917" s="6"/>
      <c r="DJ917" s="7">
        <v>0</v>
      </c>
      <c r="DK917" s="7">
        <v>0</v>
      </c>
      <c r="DL917" s="7">
        <v>0</v>
      </c>
      <c r="DM917" s="7">
        <v>0</v>
      </c>
      <c r="DN917" s="7">
        <v>0</v>
      </c>
      <c r="DO917" s="7">
        <v>0</v>
      </c>
      <c r="DP917" s="6"/>
      <c r="DQ917" s="4" t="s">
        <v>125</v>
      </c>
    </row>
    <row r="918" spans="1:121" ht="20" customHeight="1" x14ac:dyDescent="0.15">
      <c r="A918" s="5">
        <v>2018</v>
      </c>
      <c r="B918" s="3" t="s">
        <v>201</v>
      </c>
      <c r="C918" s="4" t="str">
        <f t="shared" si="256"/>
        <v>1390011</v>
      </c>
      <c r="D918" s="4" t="s">
        <v>1069</v>
      </c>
      <c r="E918" s="4" t="str">
        <f>"1395111"</f>
        <v>1395111</v>
      </c>
      <c r="F918" s="4" t="s">
        <v>327</v>
      </c>
      <c r="G918" s="7">
        <v>6</v>
      </c>
      <c r="H918" s="7">
        <v>8</v>
      </c>
      <c r="I918" s="6"/>
      <c r="J918" s="4" t="s">
        <v>330</v>
      </c>
      <c r="K918" s="7">
        <v>691.06428800000003</v>
      </c>
      <c r="L918" s="7">
        <v>900</v>
      </c>
      <c r="M918" s="7">
        <v>76.784920999999997</v>
      </c>
      <c r="N918" s="7">
        <v>3</v>
      </c>
      <c r="O918" s="7">
        <v>1</v>
      </c>
      <c r="P918" s="7">
        <v>77.125639000000007</v>
      </c>
      <c r="Q918" s="7">
        <v>50</v>
      </c>
      <c r="R918" s="7">
        <v>50</v>
      </c>
      <c r="S918" s="7">
        <v>64.031422000000006</v>
      </c>
      <c r="T918" s="7">
        <v>75</v>
      </c>
      <c r="U918" s="7">
        <v>42.687615000000001</v>
      </c>
      <c r="V918" s="7">
        <v>50</v>
      </c>
      <c r="W918" s="7">
        <v>71.832257999999996</v>
      </c>
      <c r="X918" s="7">
        <v>47.888171999999997</v>
      </c>
      <c r="Y918" s="7">
        <v>50</v>
      </c>
      <c r="Z918" s="7">
        <v>75</v>
      </c>
      <c r="AA918" s="7">
        <v>57.470298</v>
      </c>
      <c r="AB918" s="7">
        <v>38.313532000000002</v>
      </c>
      <c r="AC918" s="7">
        <v>50</v>
      </c>
      <c r="AD918" s="7">
        <v>71.969560000000001</v>
      </c>
      <c r="AE918" s="7">
        <v>47.979706999999998</v>
      </c>
      <c r="AF918" s="7">
        <v>50</v>
      </c>
      <c r="AG918" s="7">
        <v>56.774194000000001</v>
      </c>
      <c r="AH918" s="7">
        <v>75</v>
      </c>
      <c r="AI918" s="7">
        <v>37.849462000000003</v>
      </c>
      <c r="AJ918" s="7">
        <v>50</v>
      </c>
      <c r="AK918" s="7">
        <v>10.96</v>
      </c>
      <c r="AL918" s="7">
        <v>17.52</v>
      </c>
      <c r="AM918" s="7">
        <v>18.22</v>
      </c>
      <c r="AN918" s="7">
        <v>0.664466</v>
      </c>
      <c r="AO918" s="7">
        <v>66.446562999999998</v>
      </c>
      <c r="AP918" s="7">
        <v>100</v>
      </c>
      <c r="AQ918" s="7">
        <v>0.76559100000000002</v>
      </c>
      <c r="AR918" s="7">
        <v>76.559089</v>
      </c>
      <c r="AS918" s="7">
        <v>100</v>
      </c>
      <c r="AT918" s="7">
        <v>0.59213099999999996</v>
      </c>
      <c r="AU918" s="7">
        <v>0.68612399999999996</v>
      </c>
      <c r="AV918" s="7">
        <v>59.213051999999998</v>
      </c>
      <c r="AW918" s="7">
        <v>100</v>
      </c>
      <c r="AX918" s="7">
        <v>0.71849300000000005</v>
      </c>
      <c r="AY918" s="7">
        <v>0.77955600000000003</v>
      </c>
      <c r="AZ918" s="7">
        <v>71.849284999999995</v>
      </c>
      <c r="BA918" s="7">
        <v>100</v>
      </c>
      <c r="BB918" s="4" t="s">
        <v>124</v>
      </c>
      <c r="BC918" s="4" t="s">
        <v>124</v>
      </c>
      <c r="BD918" s="4" t="s">
        <v>124</v>
      </c>
      <c r="BE918" s="4" t="s">
        <v>124</v>
      </c>
      <c r="BF918" s="4" t="s">
        <v>124</v>
      </c>
      <c r="BG918" s="4" t="s">
        <v>124</v>
      </c>
      <c r="BH918" s="7">
        <v>1</v>
      </c>
      <c r="BI918" s="7">
        <v>0.97903600000000002</v>
      </c>
      <c r="BJ918" s="7">
        <v>0.94214900000000001</v>
      </c>
      <c r="BK918" s="7">
        <v>0.99157300000000004</v>
      </c>
      <c r="BL918" s="7">
        <v>0.97903600000000002</v>
      </c>
      <c r="BM918" s="7">
        <v>0.93388400000000005</v>
      </c>
      <c r="BN918" s="7">
        <v>0.99438199999999999</v>
      </c>
      <c r="BO918" s="7">
        <v>0.97368399999999999</v>
      </c>
      <c r="BP918" s="7">
        <v>0.93939399999999995</v>
      </c>
      <c r="BQ918" s="7">
        <v>0.98319299999999998</v>
      </c>
      <c r="BR918" s="7">
        <v>7.1129999999999999E-2</v>
      </c>
      <c r="BS918" s="7">
        <v>45.774059000000001</v>
      </c>
      <c r="BT918" s="7">
        <v>50</v>
      </c>
      <c r="BU918" s="7">
        <v>0.15126100000000001</v>
      </c>
      <c r="BV918" s="7">
        <v>29.747899</v>
      </c>
      <c r="BW918" s="7">
        <v>50</v>
      </c>
      <c r="BX918" s="4" t="s">
        <v>124</v>
      </c>
      <c r="BY918" s="4" t="s">
        <v>124</v>
      </c>
      <c r="BZ918" s="4" t="s">
        <v>124</v>
      </c>
      <c r="CA918" s="4" t="s">
        <v>124</v>
      </c>
      <c r="CB918" s="4" t="s">
        <v>124</v>
      </c>
      <c r="CC918" s="4" t="s">
        <v>124</v>
      </c>
      <c r="CD918" s="7">
        <v>0.96629200000000004</v>
      </c>
      <c r="CE918" s="7">
        <v>50</v>
      </c>
      <c r="CF918" s="7">
        <v>50</v>
      </c>
      <c r="CG918" s="4" t="s">
        <v>124</v>
      </c>
      <c r="CH918" s="4" t="s">
        <v>124</v>
      </c>
      <c r="CI918" s="4" t="s">
        <v>124</v>
      </c>
      <c r="CJ918" s="4" t="s">
        <v>124</v>
      </c>
      <c r="CK918" s="4" t="s">
        <v>124</v>
      </c>
      <c r="CL918" s="4" t="s">
        <v>124</v>
      </c>
      <c r="CM918" s="4" t="s">
        <v>124</v>
      </c>
      <c r="CN918" s="4" t="s">
        <v>124</v>
      </c>
      <c r="CO918" s="4" t="s">
        <v>124</v>
      </c>
      <c r="CP918" s="4" t="s">
        <v>124</v>
      </c>
      <c r="CQ918" s="7">
        <v>0.40133799999999997</v>
      </c>
      <c r="CR918" s="7">
        <v>0.96451600000000004</v>
      </c>
      <c r="CS918" s="7">
        <v>26.755852999999998</v>
      </c>
      <c r="CT918" s="7">
        <v>50</v>
      </c>
      <c r="CU918" s="4" t="s">
        <v>124</v>
      </c>
      <c r="CV918" s="4" t="s">
        <v>124</v>
      </c>
      <c r="CW918" s="4" t="s">
        <v>124</v>
      </c>
      <c r="CX918" s="4" t="s">
        <v>124</v>
      </c>
      <c r="CY918" s="4" t="s">
        <v>124</v>
      </c>
      <c r="CZ918" s="4" t="s">
        <v>124</v>
      </c>
      <c r="DA918" s="7">
        <v>15.314097</v>
      </c>
      <c r="DB918" s="7">
        <v>17.400950000000002</v>
      </c>
      <c r="DC918" s="7">
        <v>16.332519999999999</v>
      </c>
      <c r="DD918" s="4" t="s">
        <v>124</v>
      </c>
      <c r="DE918" s="7">
        <v>1</v>
      </c>
      <c r="DF918" s="6"/>
      <c r="DG918" s="6"/>
      <c r="DH918" s="6"/>
      <c r="DI918" s="6"/>
      <c r="DJ918" s="7">
        <v>0</v>
      </c>
      <c r="DK918" s="7">
        <v>0</v>
      </c>
      <c r="DL918" s="7">
        <v>0</v>
      </c>
      <c r="DM918" s="7">
        <v>0</v>
      </c>
      <c r="DN918" s="7">
        <v>0</v>
      </c>
      <c r="DO918" s="7">
        <v>0</v>
      </c>
      <c r="DP918" s="6"/>
      <c r="DQ918" s="4" t="s">
        <v>125</v>
      </c>
    </row>
    <row r="919" spans="1:121" ht="20" customHeight="1" x14ac:dyDescent="0.15">
      <c r="A919" s="5">
        <v>2018</v>
      </c>
      <c r="B919" s="3" t="s">
        <v>214</v>
      </c>
      <c r="C919" s="4" t="str">
        <f t="shared" si="89"/>
        <v>1400011</v>
      </c>
      <c r="D919" s="4" t="s">
        <v>381</v>
      </c>
      <c r="E919" s="4" t="str">
        <f>"1400111"</f>
        <v>1400111</v>
      </c>
      <c r="F919" s="4" t="s">
        <v>327</v>
      </c>
      <c r="G919" s="4" t="s">
        <v>328</v>
      </c>
      <c r="H919" s="7">
        <v>3</v>
      </c>
      <c r="I919" s="4" t="s">
        <v>329</v>
      </c>
      <c r="J919" s="4" t="s">
        <v>330</v>
      </c>
      <c r="K919" s="7">
        <v>401.066464</v>
      </c>
      <c r="L919" s="7">
        <v>500</v>
      </c>
      <c r="M919" s="7">
        <v>80.213292999999993</v>
      </c>
      <c r="N919" s="7">
        <v>3</v>
      </c>
      <c r="O919" s="7">
        <v>1</v>
      </c>
      <c r="P919" s="7">
        <v>65.378595000000004</v>
      </c>
      <c r="Q919" s="7">
        <v>87.171459999999996</v>
      </c>
      <c r="R919" s="7">
        <v>100</v>
      </c>
      <c r="S919" s="7">
        <v>53.742632999999998</v>
      </c>
      <c r="T919" s="7">
        <v>71.942470999999998</v>
      </c>
      <c r="U919" s="7">
        <v>71.656842999999995</v>
      </c>
      <c r="V919" s="7">
        <v>100</v>
      </c>
      <c r="W919" s="7">
        <v>58.264268000000001</v>
      </c>
      <c r="X919" s="7">
        <v>77.685691000000006</v>
      </c>
      <c r="Y919" s="7">
        <v>100</v>
      </c>
      <c r="Z919" s="7">
        <v>63.820632000000003</v>
      </c>
      <c r="AA919" s="7">
        <v>48.414352000000001</v>
      </c>
      <c r="AB919" s="7">
        <v>64.552469000000002</v>
      </c>
      <c r="AC919" s="7">
        <v>100</v>
      </c>
      <c r="AD919" s="4" t="s">
        <v>124</v>
      </c>
      <c r="AE919" s="4" t="s">
        <v>124</v>
      </c>
      <c r="AF919" s="4" t="s">
        <v>124</v>
      </c>
      <c r="AG919" s="4" t="s">
        <v>124</v>
      </c>
      <c r="AH919" s="4" t="s">
        <v>124</v>
      </c>
      <c r="AI919" s="4" t="s">
        <v>124</v>
      </c>
      <c r="AJ919" s="4" t="s">
        <v>124</v>
      </c>
      <c r="AK919" s="7">
        <v>18.190000000000001</v>
      </c>
      <c r="AL919" s="7">
        <v>15.4</v>
      </c>
      <c r="AM919" s="4" t="s">
        <v>124</v>
      </c>
      <c r="AN919" s="4" t="s">
        <v>124</v>
      </c>
      <c r="AO919" s="4" t="s">
        <v>124</v>
      </c>
      <c r="AP919" s="4" t="s">
        <v>124</v>
      </c>
      <c r="AQ919" s="4" t="s">
        <v>124</v>
      </c>
      <c r="AR919" s="4" t="s">
        <v>124</v>
      </c>
      <c r="AS919" s="4" t="s">
        <v>124</v>
      </c>
      <c r="AT919" s="4" t="s">
        <v>124</v>
      </c>
      <c r="AU919" s="4" t="s">
        <v>124</v>
      </c>
      <c r="AV919" s="4" t="s">
        <v>124</v>
      </c>
      <c r="AW919" s="4" t="s">
        <v>124</v>
      </c>
      <c r="AX919" s="4" t="s">
        <v>124</v>
      </c>
      <c r="AY919" s="4" t="s">
        <v>124</v>
      </c>
      <c r="AZ919" s="4" t="s">
        <v>124</v>
      </c>
      <c r="BA919" s="4" t="s">
        <v>124</v>
      </c>
      <c r="BB919" s="4" t="s">
        <v>124</v>
      </c>
      <c r="BC919" s="4" t="s">
        <v>124</v>
      </c>
      <c r="BD919" s="4" t="s">
        <v>124</v>
      </c>
      <c r="BE919" s="4" t="s">
        <v>124</v>
      </c>
      <c r="BF919" s="4" t="s">
        <v>124</v>
      </c>
      <c r="BG919" s="4" t="s">
        <v>124</v>
      </c>
      <c r="BH919" s="7">
        <v>1</v>
      </c>
      <c r="BI919" s="7">
        <v>0.96923099999999995</v>
      </c>
      <c r="BJ919" s="7">
        <v>0.92</v>
      </c>
      <c r="BK919" s="7">
        <v>1</v>
      </c>
      <c r="BL919" s="7">
        <v>0.98461500000000002</v>
      </c>
      <c r="BM919" s="7">
        <v>0.96</v>
      </c>
      <c r="BN919" s="7">
        <v>1</v>
      </c>
      <c r="BO919" s="4" t="s">
        <v>124</v>
      </c>
      <c r="BP919" s="4" t="s">
        <v>124</v>
      </c>
      <c r="BQ919" s="4" t="s">
        <v>124</v>
      </c>
      <c r="BR919" s="7">
        <v>8.1300000000000001E-3</v>
      </c>
      <c r="BS919" s="7">
        <v>50</v>
      </c>
      <c r="BT919" s="7">
        <v>50</v>
      </c>
      <c r="BU919" s="7">
        <v>1.8692E-2</v>
      </c>
      <c r="BV919" s="7">
        <v>50</v>
      </c>
      <c r="BW919" s="7">
        <v>50</v>
      </c>
      <c r="BX919" s="4" t="s">
        <v>124</v>
      </c>
      <c r="BY919" s="4" t="s">
        <v>124</v>
      </c>
      <c r="BZ919" s="4" t="s">
        <v>124</v>
      </c>
      <c r="CA919" s="4" t="s">
        <v>124</v>
      </c>
      <c r="CB919" s="4" t="s">
        <v>124</v>
      </c>
      <c r="CC919" s="4" t="s">
        <v>124</v>
      </c>
      <c r="CD919" s="4" t="s">
        <v>124</v>
      </c>
      <c r="CE919" s="4" t="s">
        <v>124</v>
      </c>
      <c r="CF919" s="4" t="s">
        <v>124</v>
      </c>
      <c r="CG919" s="4" t="s">
        <v>124</v>
      </c>
      <c r="CH919" s="4" t="s">
        <v>124</v>
      </c>
      <c r="CI919" s="4" t="s">
        <v>124</v>
      </c>
      <c r="CJ919" s="4" t="s">
        <v>124</v>
      </c>
      <c r="CK919" s="4" t="s">
        <v>124</v>
      </c>
      <c r="CL919" s="4" t="s">
        <v>124</v>
      </c>
      <c r="CM919" s="4" t="s">
        <v>124</v>
      </c>
      <c r="CN919" s="4" t="s">
        <v>124</v>
      </c>
      <c r="CO919" s="4" t="s">
        <v>124</v>
      </c>
      <c r="CP919" s="4" t="s">
        <v>124</v>
      </c>
      <c r="CQ919" s="4" t="s">
        <v>124</v>
      </c>
      <c r="CR919" s="4" t="s">
        <v>124</v>
      </c>
      <c r="CS919" s="4" t="s">
        <v>124</v>
      </c>
      <c r="CT919" s="4" t="s">
        <v>124</v>
      </c>
      <c r="CU919" s="4" t="s">
        <v>124</v>
      </c>
      <c r="CV919" s="4" t="s">
        <v>124</v>
      </c>
      <c r="CW919" s="4" t="s">
        <v>124</v>
      </c>
      <c r="CX919" s="4" t="s">
        <v>124</v>
      </c>
      <c r="CY919" s="4" t="s">
        <v>124</v>
      </c>
      <c r="CZ919" s="4" t="s">
        <v>124</v>
      </c>
      <c r="DA919" s="7">
        <v>15.314097</v>
      </c>
      <c r="DB919" s="7">
        <v>17.400950000000002</v>
      </c>
      <c r="DC919" s="7">
        <v>16.332519999999999</v>
      </c>
      <c r="DD919" s="4" t="s">
        <v>124</v>
      </c>
      <c r="DE919" s="7">
        <v>1</v>
      </c>
      <c r="DF919" s="6"/>
      <c r="DG919" s="6"/>
      <c r="DH919" s="6"/>
      <c r="DI919" s="6"/>
      <c r="DJ919" s="7">
        <v>0</v>
      </c>
      <c r="DK919" s="7">
        <v>0</v>
      </c>
      <c r="DL919" s="7">
        <v>0</v>
      </c>
      <c r="DM919" s="7">
        <v>0</v>
      </c>
      <c r="DN919" s="7">
        <v>0</v>
      </c>
      <c r="DO919" s="7">
        <v>0</v>
      </c>
      <c r="DP919" s="6"/>
      <c r="DQ919" s="4" t="s">
        <v>125</v>
      </c>
    </row>
    <row r="920" spans="1:121" ht="20" customHeight="1" x14ac:dyDescent="0.15">
      <c r="A920" s="5">
        <v>2018</v>
      </c>
      <c r="B920" s="3" t="s">
        <v>214</v>
      </c>
      <c r="C920" s="4" t="str">
        <f t="shared" ref="C920:C921" si="257">"1400011"</f>
        <v>1400011</v>
      </c>
      <c r="D920" s="4" t="s">
        <v>1070</v>
      </c>
      <c r="E920" s="4" t="str">
        <f>"1400211"</f>
        <v>1400211</v>
      </c>
      <c r="F920" s="4" t="s">
        <v>327</v>
      </c>
      <c r="G920" s="7">
        <v>4</v>
      </c>
      <c r="H920" s="7">
        <v>6</v>
      </c>
      <c r="I920" s="4" t="s">
        <v>329</v>
      </c>
      <c r="J920" s="4" t="s">
        <v>330</v>
      </c>
      <c r="K920" s="7">
        <v>621.04172500000004</v>
      </c>
      <c r="L920" s="7">
        <v>850</v>
      </c>
      <c r="M920" s="7">
        <v>73.063732000000002</v>
      </c>
      <c r="N920" s="7">
        <v>2</v>
      </c>
      <c r="O920" s="7">
        <v>0</v>
      </c>
      <c r="P920" s="7">
        <v>70.321789999999993</v>
      </c>
      <c r="Q920" s="7">
        <v>46.881194000000001</v>
      </c>
      <c r="R920" s="7">
        <v>50</v>
      </c>
      <c r="S920" s="7">
        <v>60.517194000000003</v>
      </c>
      <c r="T920" s="7">
        <v>75</v>
      </c>
      <c r="U920" s="7">
        <v>40.344796000000002</v>
      </c>
      <c r="V920" s="7">
        <v>50</v>
      </c>
      <c r="W920" s="7">
        <v>63.878745000000002</v>
      </c>
      <c r="X920" s="7">
        <v>42.585830000000001</v>
      </c>
      <c r="Y920" s="7">
        <v>50</v>
      </c>
      <c r="Z920" s="7">
        <v>67.944416000000004</v>
      </c>
      <c r="AA920" s="7">
        <v>56.77899</v>
      </c>
      <c r="AB920" s="7">
        <v>37.85266</v>
      </c>
      <c r="AC920" s="7">
        <v>50</v>
      </c>
      <c r="AD920" s="7">
        <v>68.956988999999993</v>
      </c>
      <c r="AE920" s="7">
        <v>45.971325999999998</v>
      </c>
      <c r="AF920" s="7">
        <v>50</v>
      </c>
      <c r="AG920" s="7">
        <v>58.931612999999999</v>
      </c>
      <c r="AH920" s="7">
        <v>75</v>
      </c>
      <c r="AI920" s="7">
        <v>39.287742000000001</v>
      </c>
      <c r="AJ920" s="7">
        <v>50</v>
      </c>
      <c r="AK920" s="7">
        <v>14.48</v>
      </c>
      <c r="AL920" s="7">
        <v>11.16</v>
      </c>
      <c r="AM920" s="7">
        <v>16.059999999999999</v>
      </c>
      <c r="AN920" s="7">
        <v>0.65789600000000004</v>
      </c>
      <c r="AO920" s="7">
        <v>65.789552999999998</v>
      </c>
      <c r="AP920" s="7">
        <v>100</v>
      </c>
      <c r="AQ920" s="7">
        <v>0.67732899999999996</v>
      </c>
      <c r="AR920" s="7">
        <v>67.732938000000004</v>
      </c>
      <c r="AS920" s="7">
        <v>100</v>
      </c>
      <c r="AT920" s="7">
        <v>0.62615699999999996</v>
      </c>
      <c r="AU920" s="7">
        <v>0.67528299999999997</v>
      </c>
      <c r="AV920" s="7">
        <v>62.615689000000003</v>
      </c>
      <c r="AW920" s="7">
        <v>100</v>
      </c>
      <c r="AX920" s="7">
        <v>0.67995399999999995</v>
      </c>
      <c r="AY920" s="7">
        <v>0.67591400000000001</v>
      </c>
      <c r="AZ920" s="7">
        <v>67.995402999999996</v>
      </c>
      <c r="BA920" s="7">
        <v>100</v>
      </c>
      <c r="BB920" s="4" t="s">
        <v>124</v>
      </c>
      <c r="BC920" s="4" t="s">
        <v>124</v>
      </c>
      <c r="BD920" s="4" t="s">
        <v>124</v>
      </c>
      <c r="BE920" s="4" t="s">
        <v>124</v>
      </c>
      <c r="BF920" s="4" t="s">
        <v>124</v>
      </c>
      <c r="BG920" s="4" t="s">
        <v>124</v>
      </c>
      <c r="BH920" s="7">
        <v>0</v>
      </c>
      <c r="BI920" s="7">
        <v>0.98484799999999995</v>
      </c>
      <c r="BJ920" s="7">
        <v>1</v>
      </c>
      <c r="BK920" s="7">
        <v>0.97560999999999998</v>
      </c>
      <c r="BL920" s="7">
        <v>0.98484799999999995</v>
      </c>
      <c r="BM920" s="7">
        <v>1</v>
      </c>
      <c r="BN920" s="7">
        <v>0.97560999999999998</v>
      </c>
      <c r="BO920" s="7">
        <v>0.95</v>
      </c>
      <c r="BP920" s="7">
        <v>1</v>
      </c>
      <c r="BQ920" s="7">
        <v>0.90909099999999998</v>
      </c>
      <c r="BR920" s="7">
        <v>3.5533000000000002E-2</v>
      </c>
      <c r="BS920" s="7">
        <v>50</v>
      </c>
      <c r="BT920" s="7">
        <v>50</v>
      </c>
      <c r="BU920" s="7">
        <v>8.7499999999999994E-2</v>
      </c>
      <c r="BV920" s="7">
        <v>42.5</v>
      </c>
      <c r="BW920" s="7">
        <v>50</v>
      </c>
      <c r="BX920" s="4" t="s">
        <v>124</v>
      </c>
      <c r="BY920" s="4" t="s">
        <v>124</v>
      </c>
      <c r="BZ920" s="4" t="s">
        <v>124</v>
      </c>
      <c r="CA920" s="4" t="s">
        <v>124</v>
      </c>
      <c r="CB920" s="4" t="s">
        <v>124</v>
      </c>
      <c r="CC920" s="4" t="s">
        <v>124</v>
      </c>
      <c r="CD920" s="4" t="s">
        <v>124</v>
      </c>
      <c r="CE920" s="4" t="s">
        <v>124</v>
      </c>
      <c r="CF920" s="4" t="s">
        <v>124</v>
      </c>
      <c r="CG920" s="4" t="s">
        <v>124</v>
      </c>
      <c r="CH920" s="4" t="s">
        <v>124</v>
      </c>
      <c r="CI920" s="4" t="s">
        <v>124</v>
      </c>
      <c r="CJ920" s="4" t="s">
        <v>124</v>
      </c>
      <c r="CK920" s="4" t="s">
        <v>124</v>
      </c>
      <c r="CL920" s="4" t="s">
        <v>124</v>
      </c>
      <c r="CM920" s="4" t="s">
        <v>124</v>
      </c>
      <c r="CN920" s="4" t="s">
        <v>124</v>
      </c>
      <c r="CO920" s="4" t="s">
        <v>124</v>
      </c>
      <c r="CP920" s="4" t="s">
        <v>124</v>
      </c>
      <c r="CQ920" s="7">
        <v>0.34453800000000001</v>
      </c>
      <c r="CR920" s="7">
        <v>0.86861299999999997</v>
      </c>
      <c r="CS920" s="7">
        <v>11.484594</v>
      </c>
      <c r="CT920" s="7">
        <v>50</v>
      </c>
      <c r="CU920" s="4" t="s">
        <v>124</v>
      </c>
      <c r="CV920" s="4" t="s">
        <v>124</v>
      </c>
      <c r="CW920" s="4" t="s">
        <v>124</v>
      </c>
      <c r="CX920" s="4" t="s">
        <v>124</v>
      </c>
      <c r="CY920" s="4" t="s">
        <v>124</v>
      </c>
      <c r="CZ920" s="4" t="s">
        <v>124</v>
      </c>
      <c r="DA920" s="7">
        <v>15.314097</v>
      </c>
      <c r="DB920" s="7">
        <v>17.400950000000002</v>
      </c>
      <c r="DC920" s="7">
        <v>16.332519999999999</v>
      </c>
      <c r="DD920" s="4" t="s">
        <v>124</v>
      </c>
      <c r="DE920" s="7">
        <v>0</v>
      </c>
      <c r="DF920" s="6"/>
      <c r="DG920" s="6"/>
      <c r="DH920" s="6"/>
      <c r="DI920" s="6"/>
      <c r="DJ920" s="7">
        <v>0</v>
      </c>
      <c r="DK920" s="7">
        <v>0</v>
      </c>
      <c r="DL920" s="7">
        <v>0</v>
      </c>
      <c r="DM920" s="7">
        <v>0</v>
      </c>
      <c r="DN920" s="7">
        <v>0</v>
      </c>
      <c r="DO920" s="7">
        <v>0</v>
      </c>
      <c r="DP920" s="6"/>
      <c r="DQ920" s="4" t="s">
        <v>125</v>
      </c>
    </row>
    <row r="921" spans="1:121" ht="20" customHeight="1" x14ac:dyDescent="0.15">
      <c r="A921" s="5">
        <v>2018</v>
      </c>
      <c r="B921" s="3" t="s">
        <v>214</v>
      </c>
      <c r="C921" s="4" t="str">
        <f t="shared" si="257"/>
        <v>1400011</v>
      </c>
      <c r="D921" s="4" t="s">
        <v>1071</v>
      </c>
      <c r="E921" s="4" t="str">
        <f>"1406211"</f>
        <v>1406211</v>
      </c>
      <c r="F921" s="4" t="s">
        <v>327</v>
      </c>
      <c r="G921" s="7">
        <v>7</v>
      </c>
      <c r="H921" s="7">
        <v>12</v>
      </c>
      <c r="I921" s="6"/>
      <c r="J921" s="4" t="s">
        <v>330</v>
      </c>
      <c r="K921" s="7">
        <v>1033.6221849999999</v>
      </c>
      <c r="L921" s="7">
        <v>1350</v>
      </c>
      <c r="M921" s="7">
        <v>76.564605999999998</v>
      </c>
      <c r="N921" s="7">
        <v>3</v>
      </c>
      <c r="O921" s="7">
        <v>1</v>
      </c>
      <c r="P921" s="7">
        <v>67.788561999999999</v>
      </c>
      <c r="Q921" s="7">
        <v>45.192374000000001</v>
      </c>
      <c r="R921" s="7">
        <v>50</v>
      </c>
      <c r="S921" s="7">
        <v>55.198822</v>
      </c>
      <c r="T921" s="7">
        <v>75</v>
      </c>
      <c r="U921" s="7">
        <v>36.799214999999997</v>
      </c>
      <c r="V921" s="7">
        <v>50</v>
      </c>
      <c r="W921" s="7">
        <v>60.327790999999998</v>
      </c>
      <c r="X921" s="7">
        <v>40.218527000000002</v>
      </c>
      <c r="Y921" s="7">
        <v>50</v>
      </c>
      <c r="Z921" s="7">
        <v>65.725678000000002</v>
      </c>
      <c r="AA921" s="7">
        <v>51.707284000000001</v>
      </c>
      <c r="AB921" s="7">
        <v>34.471522999999998</v>
      </c>
      <c r="AC921" s="7">
        <v>50</v>
      </c>
      <c r="AD921" s="7">
        <v>64.909949999999995</v>
      </c>
      <c r="AE921" s="7">
        <v>43.273299999999999</v>
      </c>
      <c r="AF921" s="7">
        <v>50</v>
      </c>
      <c r="AG921" s="7">
        <v>51.497138</v>
      </c>
      <c r="AH921" s="7">
        <v>71.361682999999999</v>
      </c>
      <c r="AI921" s="7">
        <v>34.331425000000003</v>
      </c>
      <c r="AJ921" s="7">
        <v>50</v>
      </c>
      <c r="AK921" s="7">
        <v>19.8</v>
      </c>
      <c r="AL921" s="7">
        <v>14.01</v>
      </c>
      <c r="AM921" s="7">
        <v>19.86</v>
      </c>
      <c r="AN921" s="7">
        <v>0.52249100000000004</v>
      </c>
      <c r="AO921" s="7">
        <v>52.249099000000001</v>
      </c>
      <c r="AP921" s="7">
        <v>100</v>
      </c>
      <c r="AQ921" s="7">
        <v>0.63187199999999999</v>
      </c>
      <c r="AR921" s="7">
        <v>63.187179999999998</v>
      </c>
      <c r="AS921" s="7">
        <v>100</v>
      </c>
      <c r="AT921" s="7">
        <v>0.42905500000000002</v>
      </c>
      <c r="AU921" s="7">
        <v>0.58851900000000001</v>
      </c>
      <c r="AV921" s="7">
        <v>42.905459999999998</v>
      </c>
      <c r="AW921" s="7">
        <v>100</v>
      </c>
      <c r="AX921" s="7">
        <v>0.71320099999999997</v>
      </c>
      <c r="AY921" s="7">
        <v>0.57472199999999996</v>
      </c>
      <c r="AZ921" s="7">
        <v>71.320077999999995</v>
      </c>
      <c r="BA921" s="7">
        <v>100</v>
      </c>
      <c r="BB921" s="4" t="s">
        <v>124</v>
      </c>
      <c r="BC921" s="4" t="s">
        <v>124</v>
      </c>
      <c r="BD921" s="4" t="s">
        <v>124</v>
      </c>
      <c r="BE921" s="4" t="s">
        <v>124</v>
      </c>
      <c r="BF921" s="4" t="s">
        <v>124</v>
      </c>
      <c r="BG921" s="4" t="s">
        <v>124</v>
      </c>
      <c r="BH921" s="7">
        <v>0</v>
      </c>
      <c r="BI921" s="7">
        <v>0.994475</v>
      </c>
      <c r="BJ921" s="7">
        <v>1</v>
      </c>
      <c r="BK921" s="7">
        <v>0.99090900000000004</v>
      </c>
      <c r="BL921" s="7">
        <v>0.98895</v>
      </c>
      <c r="BM921" s="7">
        <v>1</v>
      </c>
      <c r="BN921" s="7">
        <v>0.98181799999999997</v>
      </c>
      <c r="BO921" s="7">
        <v>0.99180299999999999</v>
      </c>
      <c r="BP921" s="7">
        <v>1</v>
      </c>
      <c r="BQ921" s="7">
        <v>0.98765400000000003</v>
      </c>
      <c r="BR921" s="7">
        <v>6.4788999999999999E-2</v>
      </c>
      <c r="BS921" s="7">
        <v>47.042254</v>
      </c>
      <c r="BT921" s="7">
        <v>50</v>
      </c>
      <c r="BU921" s="7">
        <v>0.116788</v>
      </c>
      <c r="BV921" s="7">
        <v>36.642336</v>
      </c>
      <c r="BW921" s="7">
        <v>50</v>
      </c>
      <c r="BX921" s="7">
        <v>0.81308400000000003</v>
      </c>
      <c r="BY921" s="7">
        <v>50</v>
      </c>
      <c r="BZ921" s="7">
        <v>50</v>
      </c>
      <c r="CA921" s="7">
        <v>0.485981</v>
      </c>
      <c r="CB921" s="7">
        <v>32.398753999999997</v>
      </c>
      <c r="CC921" s="7">
        <v>50</v>
      </c>
      <c r="CD921" s="7">
        <v>0.99199999999999999</v>
      </c>
      <c r="CE921" s="7">
        <v>50</v>
      </c>
      <c r="CF921" s="7">
        <v>50</v>
      </c>
      <c r="CG921" s="7">
        <v>0.96491199999999999</v>
      </c>
      <c r="CH921" s="7">
        <v>100</v>
      </c>
      <c r="CI921" s="7">
        <v>100</v>
      </c>
      <c r="CJ921" s="7">
        <v>0</v>
      </c>
      <c r="CK921" s="7">
        <v>1</v>
      </c>
      <c r="CL921" s="7">
        <v>100</v>
      </c>
      <c r="CM921" s="7">
        <v>100</v>
      </c>
      <c r="CN921" s="7">
        <v>0.68965500000000002</v>
      </c>
      <c r="CO921" s="7">
        <v>91.954023000000007</v>
      </c>
      <c r="CP921" s="7">
        <v>100</v>
      </c>
      <c r="CQ921" s="7">
        <v>0.66666700000000001</v>
      </c>
      <c r="CR921" s="7">
        <v>0.84782599999999997</v>
      </c>
      <c r="CS921" s="7">
        <v>22.222221999999999</v>
      </c>
      <c r="CT921" s="7">
        <v>50</v>
      </c>
      <c r="CU921" s="7">
        <v>0.47297299999999998</v>
      </c>
      <c r="CV921" s="7">
        <v>39.414414000000001</v>
      </c>
      <c r="CW921" s="7">
        <v>50</v>
      </c>
      <c r="CX921" s="7">
        <v>1</v>
      </c>
      <c r="CY921" s="7">
        <v>0.94</v>
      </c>
      <c r="CZ921" s="7">
        <v>-0.06</v>
      </c>
      <c r="DA921" s="7">
        <v>15.314097</v>
      </c>
      <c r="DB921" s="7">
        <v>17.400950000000002</v>
      </c>
      <c r="DC921" s="7">
        <v>16.332519999999999</v>
      </c>
      <c r="DD921" s="7">
        <v>7.9891730000000001</v>
      </c>
      <c r="DE921" s="7">
        <v>1</v>
      </c>
      <c r="DF921" s="6"/>
      <c r="DG921" s="6"/>
      <c r="DH921" s="6"/>
      <c r="DI921" s="6"/>
      <c r="DJ921" s="7">
        <v>0</v>
      </c>
      <c r="DK921" s="7">
        <v>0</v>
      </c>
      <c r="DL921" s="7">
        <v>0</v>
      </c>
      <c r="DM921" s="7">
        <v>0</v>
      </c>
      <c r="DN921" s="7">
        <v>0</v>
      </c>
      <c r="DO921" s="7">
        <v>0</v>
      </c>
      <c r="DP921" s="6"/>
      <c r="DQ921" s="4" t="s">
        <v>125</v>
      </c>
    </row>
    <row r="922" spans="1:121" ht="20" customHeight="1" x14ac:dyDescent="0.15">
      <c r="A922" s="5">
        <v>2018</v>
      </c>
      <c r="B922" s="3" t="s">
        <v>215</v>
      </c>
      <c r="C922" s="4" t="str">
        <f t="shared" si="90"/>
        <v>1410011</v>
      </c>
      <c r="D922" s="4" t="s">
        <v>1072</v>
      </c>
      <c r="E922" s="4" t="str">
        <f>"1410111"</f>
        <v>1410111</v>
      </c>
      <c r="F922" s="4" t="s">
        <v>327</v>
      </c>
      <c r="G922" s="4" t="s">
        <v>328</v>
      </c>
      <c r="H922" s="7">
        <v>4</v>
      </c>
      <c r="I922" s="4" t="s">
        <v>329</v>
      </c>
      <c r="J922" s="4" t="s">
        <v>330</v>
      </c>
      <c r="K922" s="7">
        <v>506.10750300000001</v>
      </c>
      <c r="L922" s="7">
        <v>750</v>
      </c>
      <c r="M922" s="7">
        <v>67.480999999999995</v>
      </c>
      <c r="N922" s="7">
        <v>3</v>
      </c>
      <c r="O922" s="7">
        <v>0</v>
      </c>
      <c r="P922" s="7">
        <v>70.267122999999998</v>
      </c>
      <c r="Q922" s="7">
        <v>46.844748000000003</v>
      </c>
      <c r="R922" s="7">
        <v>50</v>
      </c>
      <c r="S922" s="7">
        <v>63.658977999999998</v>
      </c>
      <c r="T922" s="7">
        <v>75</v>
      </c>
      <c r="U922" s="7">
        <v>42.439318</v>
      </c>
      <c r="V922" s="7">
        <v>50</v>
      </c>
      <c r="W922" s="7">
        <v>66.548941999999997</v>
      </c>
      <c r="X922" s="7">
        <v>44.365960999999999</v>
      </c>
      <c r="Y922" s="7">
        <v>50</v>
      </c>
      <c r="Z922" s="7">
        <v>73.565888999999999</v>
      </c>
      <c r="AA922" s="7">
        <v>60.233690000000003</v>
      </c>
      <c r="AB922" s="7">
        <v>40.155793000000003</v>
      </c>
      <c r="AC922" s="7">
        <v>50</v>
      </c>
      <c r="AD922" s="4" t="s">
        <v>124</v>
      </c>
      <c r="AE922" s="4" t="s">
        <v>124</v>
      </c>
      <c r="AF922" s="4" t="s">
        <v>124</v>
      </c>
      <c r="AG922" s="4" t="s">
        <v>124</v>
      </c>
      <c r="AH922" s="4" t="s">
        <v>124</v>
      </c>
      <c r="AI922" s="4" t="s">
        <v>124</v>
      </c>
      <c r="AJ922" s="4" t="s">
        <v>124</v>
      </c>
      <c r="AK922" s="7">
        <v>11.34</v>
      </c>
      <c r="AL922" s="7">
        <v>13.33</v>
      </c>
      <c r="AM922" s="4" t="s">
        <v>124</v>
      </c>
      <c r="AN922" s="7">
        <v>0.585619</v>
      </c>
      <c r="AO922" s="7">
        <v>58.561945000000001</v>
      </c>
      <c r="AP922" s="7">
        <v>100</v>
      </c>
      <c r="AQ922" s="7">
        <v>0.60752399999999995</v>
      </c>
      <c r="AR922" s="7">
        <v>60.752364999999998</v>
      </c>
      <c r="AS922" s="7">
        <v>100</v>
      </c>
      <c r="AT922" s="7">
        <v>0.55810800000000005</v>
      </c>
      <c r="AU922" s="7">
        <v>0.61234500000000003</v>
      </c>
      <c r="AV922" s="7">
        <v>55.810780000000001</v>
      </c>
      <c r="AW922" s="7">
        <v>100</v>
      </c>
      <c r="AX922" s="7">
        <v>0.52709700000000004</v>
      </c>
      <c r="AY922" s="7">
        <v>0.68335400000000002</v>
      </c>
      <c r="AZ922" s="7">
        <v>52.709708999999997</v>
      </c>
      <c r="BA922" s="7">
        <v>100</v>
      </c>
      <c r="BB922" s="4" t="s">
        <v>124</v>
      </c>
      <c r="BC922" s="4" t="s">
        <v>124</v>
      </c>
      <c r="BD922" s="4" t="s">
        <v>124</v>
      </c>
      <c r="BE922" s="4" t="s">
        <v>124</v>
      </c>
      <c r="BF922" s="4" t="s">
        <v>124</v>
      </c>
      <c r="BG922" s="4" t="s">
        <v>124</v>
      </c>
      <c r="BH922" s="7">
        <v>0</v>
      </c>
      <c r="BI922" s="7">
        <v>0.99315100000000001</v>
      </c>
      <c r="BJ922" s="7">
        <v>1</v>
      </c>
      <c r="BK922" s="7">
        <v>0.985294</v>
      </c>
      <c r="BL922" s="7">
        <v>0.98630099999999998</v>
      </c>
      <c r="BM922" s="7">
        <v>0.98717900000000003</v>
      </c>
      <c r="BN922" s="7">
        <v>0.985294</v>
      </c>
      <c r="BO922" s="4" t="s">
        <v>124</v>
      </c>
      <c r="BP922" s="4" t="s">
        <v>124</v>
      </c>
      <c r="BQ922" s="4" t="s">
        <v>124</v>
      </c>
      <c r="BR922" s="7">
        <v>8.7999999999999995E-2</v>
      </c>
      <c r="BS922" s="7">
        <v>42.4</v>
      </c>
      <c r="BT922" s="7">
        <v>50</v>
      </c>
      <c r="BU922" s="7">
        <v>0.14077700000000001</v>
      </c>
      <c r="BV922" s="7">
        <v>31.844660000000001</v>
      </c>
      <c r="BW922" s="7">
        <v>50</v>
      </c>
      <c r="BX922" s="4" t="s">
        <v>124</v>
      </c>
      <c r="BY922" s="4" t="s">
        <v>124</v>
      </c>
      <c r="BZ922" s="4" t="s">
        <v>124</v>
      </c>
      <c r="CA922" s="4" t="s">
        <v>124</v>
      </c>
      <c r="CB922" s="4" t="s">
        <v>124</v>
      </c>
      <c r="CC922" s="4" t="s">
        <v>124</v>
      </c>
      <c r="CD922" s="4" t="s">
        <v>124</v>
      </c>
      <c r="CE922" s="4" t="s">
        <v>124</v>
      </c>
      <c r="CF922" s="4" t="s">
        <v>124</v>
      </c>
      <c r="CG922" s="4" t="s">
        <v>124</v>
      </c>
      <c r="CH922" s="4" t="s">
        <v>124</v>
      </c>
      <c r="CI922" s="4" t="s">
        <v>124</v>
      </c>
      <c r="CJ922" s="4" t="s">
        <v>124</v>
      </c>
      <c r="CK922" s="4" t="s">
        <v>124</v>
      </c>
      <c r="CL922" s="4" t="s">
        <v>124</v>
      </c>
      <c r="CM922" s="4" t="s">
        <v>124</v>
      </c>
      <c r="CN922" s="4" t="s">
        <v>124</v>
      </c>
      <c r="CO922" s="4" t="s">
        <v>124</v>
      </c>
      <c r="CP922" s="4" t="s">
        <v>124</v>
      </c>
      <c r="CQ922" s="7">
        <v>0.45333299999999999</v>
      </c>
      <c r="CR922" s="7">
        <v>0.94936699999999996</v>
      </c>
      <c r="CS922" s="7">
        <v>30.222221999999999</v>
      </c>
      <c r="CT922" s="7">
        <v>50</v>
      </c>
      <c r="CU922" s="4" t="s">
        <v>124</v>
      </c>
      <c r="CV922" s="4" t="s">
        <v>124</v>
      </c>
      <c r="CW922" s="4" t="s">
        <v>124</v>
      </c>
      <c r="CX922" s="4" t="s">
        <v>124</v>
      </c>
      <c r="CY922" s="4" t="s">
        <v>124</v>
      </c>
      <c r="CZ922" s="4" t="s">
        <v>124</v>
      </c>
      <c r="DA922" s="7">
        <v>15.314097</v>
      </c>
      <c r="DB922" s="7">
        <v>17.400950000000002</v>
      </c>
      <c r="DC922" s="7">
        <v>16.332519999999999</v>
      </c>
      <c r="DD922" s="4" t="s">
        <v>124</v>
      </c>
      <c r="DE922" s="7">
        <v>0</v>
      </c>
      <c r="DF922" s="6"/>
      <c r="DG922" s="6"/>
      <c r="DH922" s="6"/>
      <c r="DI922" s="6"/>
      <c r="DJ922" s="7">
        <v>0</v>
      </c>
      <c r="DK922" s="7">
        <v>0</v>
      </c>
      <c r="DL922" s="7">
        <v>0</v>
      </c>
      <c r="DM922" s="7">
        <v>0</v>
      </c>
      <c r="DN922" s="7">
        <v>0</v>
      </c>
      <c r="DO922" s="7">
        <v>0</v>
      </c>
      <c r="DP922" s="6"/>
      <c r="DQ922" s="4" t="s">
        <v>125</v>
      </c>
    </row>
    <row r="923" spans="1:121" ht="20" customHeight="1" x14ac:dyDescent="0.15">
      <c r="A923" s="5">
        <v>2018</v>
      </c>
      <c r="B923" s="3" t="s">
        <v>215</v>
      </c>
      <c r="C923" s="4" t="str">
        <f t="shared" ref="C923:C924" si="258">"1410011"</f>
        <v>1410011</v>
      </c>
      <c r="D923" s="4" t="s">
        <v>1073</v>
      </c>
      <c r="E923" s="4" t="str">
        <f>"1415111"</f>
        <v>1415111</v>
      </c>
      <c r="F923" s="4" t="s">
        <v>327</v>
      </c>
      <c r="G923" s="7">
        <v>5</v>
      </c>
      <c r="H923" s="7">
        <v>8</v>
      </c>
      <c r="I923" s="6"/>
      <c r="J923" s="4" t="s">
        <v>330</v>
      </c>
      <c r="K923" s="7">
        <v>495.84516300000001</v>
      </c>
      <c r="L923" s="7">
        <v>900</v>
      </c>
      <c r="M923" s="7">
        <v>55.093907000000002</v>
      </c>
      <c r="N923" s="7">
        <v>3</v>
      </c>
      <c r="O923" s="7">
        <v>0</v>
      </c>
      <c r="P923" s="7">
        <v>57.74427</v>
      </c>
      <c r="Q923" s="7">
        <v>38.496180000000003</v>
      </c>
      <c r="R923" s="7">
        <v>50</v>
      </c>
      <c r="S923" s="7">
        <v>50.884639</v>
      </c>
      <c r="T923" s="7">
        <v>63.555294000000004</v>
      </c>
      <c r="U923" s="7">
        <v>33.923093000000001</v>
      </c>
      <c r="V923" s="7">
        <v>50</v>
      </c>
      <c r="W923" s="7">
        <v>53.961658999999997</v>
      </c>
      <c r="X923" s="7">
        <v>35.974440000000001</v>
      </c>
      <c r="Y923" s="7">
        <v>50</v>
      </c>
      <c r="Z923" s="7">
        <v>58.621299999999998</v>
      </c>
      <c r="AA923" s="7">
        <v>48.419511</v>
      </c>
      <c r="AB923" s="7">
        <v>32.279674</v>
      </c>
      <c r="AC923" s="7">
        <v>50</v>
      </c>
      <c r="AD923" s="7">
        <v>60.650073999999996</v>
      </c>
      <c r="AE923" s="7">
        <v>40.433382000000002</v>
      </c>
      <c r="AF923" s="7">
        <v>50</v>
      </c>
      <c r="AG923" s="7">
        <v>54.771172</v>
      </c>
      <c r="AH923" s="7">
        <v>65.453565999999995</v>
      </c>
      <c r="AI923" s="7">
        <v>36.514114999999997</v>
      </c>
      <c r="AJ923" s="7">
        <v>50</v>
      </c>
      <c r="AK923" s="7">
        <v>12.67</v>
      </c>
      <c r="AL923" s="7">
        <v>10.199999999999999</v>
      </c>
      <c r="AM923" s="7">
        <v>10.68</v>
      </c>
      <c r="AN923" s="7">
        <v>0.42689700000000003</v>
      </c>
      <c r="AO923" s="7">
        <v>42.689746999999997</v>
      </c>
      <c r="AP923" s="7">
        <v>100</v>
      </c>
      <c r="AQ923" s="7">
        <v>0.40173700000000001</v>
      </c>
      <c r="AR923" s="7">
        <v>40.173662999999998</v>
      </c>
      <c r="AS923" s="7">
        <v>100</v>
      </c>
      <c r="AT923" s="7">
        <v>0.41228999999999999</v>
      </c>
      <c r="AU923" s="7">
        <v>0.43869900000000001</v>
      </c>
      <c r="AV923" s="7">
        <v>41.229010000000002</v>
      </c>
      <c r="AW923" s="7">
        <v>100</v>
      </c>
      <c r="AX923" s="7">
        <v>0.40037400000000001</v>
      </c>
      <c r="AY923" s="7">
        <v>0.40281899999999998</v>
      </c>
      <c r="AZ923" s="7">
        <v>40.037444000000001</v>
      </c>
      <c r="BA923" s="7">
        <v>100</v>
      </c>
      <c r="BB923" s="4" t="s">
        <v>124</v>
      </c>
      <c r="BC923" s="4" t="s">
        <v>124</v>
      </c>
      <c r="BD923" s="4" t="s">
        <v>124</v>
      </c>
      <c r="BE923" s="4" t="s">
        <v>124</v>
      </c>
      <c r="BF923" s="4" t="s">
        <v>124</v>
      </c>
      <c r="BG923" s="4" t="s">
        <v>124</v>
      </c>
      <c r="BH923" s="7">
        <v>1</v>
      </c>
      <c r="BI923" s="7">
        <v>0.95846600000000004</v>
      </c>
      <c r="BJ923" s="7">
        <v>0.95890399999999998</v>
      </c>
      <c r="BK923" s="7">
        <v>0.95808400000000005</v>
      </c>
      <c r="BL923" s="7">
        <v>0.95527200000000001</v>
      </c>
      <c r="BM923" s="7">
        <v>0.95205499999999998</v>
      </c>
      <c r="BN923" s="7">
        <v>0.95808400000000005</v>
      </c>
      <c r="BO923" s="7">
        <v>0.93827199999999999</v>
      </c>
      <c r="BP923" s="7">
        <v>0.92105300000000001</v>
      </c>
      <c r="BQ923" s="7">
        <v>0.953488</v>
      </c>
      <c r="BR923" s="7">
        <v>0.105431</v>
      </c>
      <c r="BS923" s="7">
        <v>38.913738000000002</v>
      </c>
      <c r="BT923" s="7">
        <v>50</v>
      </c>
      <c r="BU923" s="7">
        <v>0.16891900000000001</v>
      </c>
      <c r="BV923" s="7">
        <v>26.216215999999999</v>
      </c>
      <c r="BW923" s="7">
        <v>50</v>
      </c>
      <c r="BX923" s="4" t="s">
        <v>124</v>
      </c>
      <c r="BY923" s="4" t="s">
        <v>124</v>
      </c>
      <c r="BZ923" s="4" t="s">
        <v>124</v>
      </c>
      <c r="CA923" s="4" t="s">
        <v>124</v>
      </c>
      <c r="CB923" s="4" t="s">
        <v>124</v>
      </c>
      <c r="CC923" s="4" t="s">
        <v>124</v>
      </c>
      <c r="CD923" s="7">
        <v>0.77647100000000002</v>
      </c>
      <c r="CE923" s="7">
        <v>41.301627000000003</v>
      </c>
      <c r="CF923" s="7">
        <v>50</v>
      </c>
      <c r="CG923" s="4" t="s">
        <v>124</v>
      </c>
      <c r="CH923" s="4" t="s">
        <v>124</v>
      </c>
      <c r="CI923" s="4" t="s">
        <v>124</v>
      </c>
      <c r="CJ923" s="4" t="s">
        <v>124</v>
      </c>
      <c r="CK923" s="4" t="s">
        <v>124</v>
      </c>
      <c r="CL923" s="4" t="s">
        <v>124</v>
      </c>
      <c r="CM923" s="4" t="s">
        <v>124</v>
      </c>
      <c r="CN923" s="4" t="s">
        <v>124</v>
      </c>
      <c r="CO923" s="4" t="s">
        <v>124</v>
      </c>
      <c r="CP923" s="4" t="s">
        <v>124</v>
      </c>
      <c r="CQ923" s="7">
        <v>0.114943</v>
      </c>
      <c r="CR923" s="7">
        <v>1.067485</v>
      </c>
      <c r="CS923" s="7">
        <v>7.6628350000000003</v>
      </c>
      <c r="CT923" s="7">
        <v>50</v>
      </c>
      <c r="CU923" s="4" t="s">
        <v>124</v>
      </c>
      <c r="CV923" s="4" t="s">
        <v>124</v>
      </c>
      <c r="CW923" s="4" t="s">
        <v>124</v>
      </c>
      <c r="CX923" s="4" t="s">
        <v>124</v>
      </c>
      <c r="CY923" s="4" t="s">
        <v>124</v>
      </c>
      <c r="CZ923" s="4" t="s">
        <v>124</v>
      </c>
      <c r="DA923" s="7">
        <v>15.314097</v>
      </c>
      <c r="DB923" s="7">
        <v>17.400950000000002</v>
      </c>
      <c r="DC923" s="7">
        <v>16.332519999999999</v>
      </c>
      <c r="DD923" s="4" t="s">
        <v>124</v>
      </c>
      <c r="DE923" s="7">
        <v>1</v>
      </c>
      <c r="DF923" s="6"/>
      <c r="DG923" s="6"/>
      <c r="DH923" s="6"/>
      <c r="DI923" s="6"/>
      <c r="DJ923" s="7">
        <v>0</v>
      </c>
      <c r="DK923" s="7">
        <v>0</v>
      </c>
      <c r="DL923" s="7">
        <v>0</v>
      </c>
      <c r="DM923" s="7">
        <v>0</v>
      </c>
      <c r="DN923" s="7">
        <v>0</v>
      </c>
      <c r="DO923" s="7">
        <v>0</v>
      </c>
      <c r="DP923" s="6"/>
      <c r="DQ923" s="4" t="s">
        <v>125</v>
      </c>
    </row>
    <row r="924" spans="1:121" ht="20" customHeight="1" x14ac:dyDescent="0.15">
      <c r="A924" s="5">
        <v>2018</v>
      </c>
      <c r="B924" s="3" t="s">
        <v>215</v>
      </c>
      <c r="C924" s="4" t="str">
        <f t="shared" si="258"/>
        <v>1410011</v>
      </c>
      <c r="D924" s="4" t="s">
        <v>1074</v>
      </c>
      <c r="E924" s="4" t="str">
        <f>"1416111"</f>
        <v>1416111</v>
      </c>
      <c r="F924" s="4" t="s">
        <v>327</v>
      </c>
      <c r="G924" s="7">
        <v>9</v>
      </c>
      <c r="H924" s="7">
        <v>12</v>
      </c>
      <c r="I924" s="6"/>
      <c r="J924" s="4" t="s">
        <v>330</v>
      </c>
      <c r="K924" s="7">
        <v>786.09926199999995</v>
      </c>
      <c r="L924" s="7">
        <v>1050</v>
      </c>
      <c r="M924" s="7">
        <v>74.866596000000001</v>
      </c>
      <c r="N924" s="7">
        <v>3</v>
      </c>
      <c r="O924" s="7">
        <v>0</v>
      </c>
      <c r="P924" s="7">
        <v>55.733333000000002</v>
      </c>
      <c r="Q924" s="7">
        <v>111.466667</v>
      </c>
      <c r="R924" s="7">
        <v>150</v>
      </c>
      <c r="S924" s="4" t="s">
        <v>124</v>
      </c>
      <c r="T924" s="7">
        <v>58.470238000000002</v>
      </c>
      <c r="U924" s="4" t="s">
        <v>124</v>
      </c>
      <c r="V924" s="4" t="s">
        <v>124</v>
      </c>
      <c r="W924" s="7">
        <v>49.270833000000003</v>
      </c>
      <c r="X924" s="7">
        <v>98.541667000000004</v>
      </c>
      <c r="Y924" s="7">
        <v>150</v>
      </c>
      <c r="Z924" s="7">
        <v>52.511904999999999</v>
      </c>
      <c r="AA924" s="4" t="s">
        <v>124</v>
      </c>
      <c r="AB924" s="4" t="s">
        <v>124</v>
      </c>
      <c r="AC924" s="4" t="s">
        <v>124</v>
      </c>
      <c r="AD924" s="7">
        <v>49.945343999999999</v>
      </c>
      <c r="AE924" s="7">
        <v>66.593791999999993</v>
      </c>
      <c r="AF924" s="7">
        <v>100</v>
      </c>
      <c r="AG924" s="4" t="s">
        <v>124</v>
      </c>
      <c r="AH924" s="7">
        <v>55.325443999999997</v>
      </c>
      <c r="AI924" s="4" t="s">
        <v>124</v>
      </c>
      <c r="AJ924" s="4" t="s">
        <v>124</v>
      </c>
      <c r="AK924" s="4" t="s">
        <v>124</v>
      </c>
      <c r="AL924" s="4" t="s">
        <v>124</v>
      </c>
      <c r="AM924" s="4" t="s">
        <v>124</v>
      </c>
      <c r="AN924" s="4" t="s">
        <v>124</v>
      </c>
      <c r="AO924" s="4" t="s">
        <v>124</v>
      </c>
      <c r="AP924" s="4" t="s">
        <v>124</v>
      </c>
      <c r="AQ924" s="4" t="s">
        <v>124</v>
      </c>
      <c r="AR924" s="4" t="s">
        <v>124</v>
      </c>
      <c r="AS924" s="4" t="s">
        <v>124</v>
      </c>
      <c r="AT924" s="4" t="s">
        <v>124</v>
      </c>
      <c r="AU924" s="4" t="s">
        <v>124</v>
      </c>
      <c r="AV924" s="4" t="s">
        <v>124</v>
      </c>
      <c r="AW924" s="4" t="s">
        <v>124</v>
      </c>
      <c r="AX924" s="4" t="s">
        <v>124</v>
      </c>
      <c r="AY924" s="4" t="s">
        <v>124</v>
      </c>
      <c r="AZ924" s="4" t="s">
        <v>124</v>
      </c>
      <c r="BA924" s="4" t="s">
        <v>124</v>
      </c>
      <c r="BB924" s="4" t="s">
        <v>124</v>
      </c>
      <c r="BC924" s="4" t="s">
        <v>124</v>
      </c>
      <c r="BD924" s="4" t="s">
        <v>124</v>
      </c>
      <c r="BE924" s="4" t="s">
        <v>124</v>
      </c>
      <c r="BF924" s="4" t="s">
        <v>124</v>
      </c>
      <c r="BG924" s="4" t="s">
        <v>124</v>
      </c>
      <c r="BH924" s="7">
        <v>1</v>
      </c>
      <c r="BI924" s="7">
        <v>0.87234</v>
      </c>
      <c r="BJ924" s="4" t="s">
        <v>124</v>
      </c>
      <c r="BK924" s="7">
        <v>0.93333299999999997</v>
      </c>
      <c r="BL924" s="7">
        <v>0.87234</v>
      </c>
      <c r="BM924" s="4" t="s">
        <v>124</v>
      </c>
      <c r="BN924" s="7">
        <v>0.93333299999999997</v>
      </c>
      <c r="BO924" s="7">
        <v>0.86666699999999997</v>
      </c>
      <c r="BP924" s="4" t="s">
        <v>124</v>
      </c>
      <c r="BQ924" s="7">
        <v>0.89655200000000002</v>
      </c>
      <c r="BR924" s="7">
        <v>8.0169000000000004E-2</v>
      </c>
      <c r="BS924" s="7">
        <v>43.966245000000001</v>
      </c>
      <c r="BT924" s="7">
        <v>50</v>
      </c>
      <c r="BU924" s="7">
        <v>0.15238099999999999</v>
      </c>
      <c r="BV924" s="7">
        <v>29.523810000000001</v>
      </c>
      <c r="BW924" s="7">
        <v>50</v>
      </c>
      <c r="BX924" s="7">
        <v>0.65420599999999995</v>
      </c>
      <c r="BY924" s="7">
        <v>43.613706999999998</v>
      </c>
      <c r="BZ924" s="7">
        <v>50</v>
      </c>
      <c r="CA924" s="7">
        <v>0.32710299999999998</v>
      </c>
      <c r="CB924" s="7">
        <v>21.806854000000001</v>
      </c>
      <c r="CC924" s="7">
        <v>50</v>
      </c>
      <c r="CD924" s="7">
        <v>0.618421</v>
      </c>
      <c r="CE924" s="7">
        <v>32.894736999999999</v>
      </c>
      <c r="CF924" s="7">
        <v>50</v>
      </c>
      <c r="CG924" s="7">
        <v>0.84848500000000004</v>
      </c>
      <c r="CH924" s="7">
        <v>90.264346000000003</v>
      </c>
      <c r="CI924" s="7">
        <v>100</v>
      </c>
      <c r="CJ924" s="7">
        <v>0</v>
      </c>
      <c r="CK924" s="7">
        <v>0.94117600000000001</v>
      </c>
      <c r="CL924" s="7">
        <v>100</v>
      </c>
      <c r="CM924" s="7">
        <v>100</v>
      </c>
      <c r="CN924" s="7">
        <v>0.6</v>
      </c>
      <c r="CO924" s="7">
        <v>80</v>
      </c>
      <c r="CP924" s="7">
        <v>100</v>
      </c>
      <c r="CQ924" s="7">
        <v>0.32575799999999999</v>
      </c>
      <c r="CR924" s="7">
        <v>2.4444439999999998</v>
      </c>
      <c r="CS924" s="7">
        <v>21.717172000000001</v>
      </c>
      <c r="CT924" s="7">
        <v>50</v>
      </c>
      <c r="CU924" s="7">
        <v>0.54852299999999998</v>
      </c>
      <c r="CV924" s="7">
        <v>45.710267000000002</v>
      </c>
      <c r="CW924" s="7">
        <v>50</v>
      </c>
      <c r="CX924" s="7">
        <v>0.94117600000000001</v>
      </c>
      <c r="CY924" s="7">
        <v>0.94</v>
      </c>
      <c r="CZ924" s="7">
        <v>-1.176E-3</v>
      </c>
      <c r="DA924" s="7">
        <v>15.314097</v>
      </c>
      <c r="DB924" s="7">
        <v>17.400950000000002</v>
      </c>
      <c r="DC924" s="7">
        <v>16.332519999999999</v>
      </c>
      <c r="DD924" s="7">
        <v>7.9891730000000001</v>
      </c>
      <c r="DE924" s="7">
        <v>1</v>
      </c>
      <c r="DF924" s="6"/>
      <c r="DG924" s="6"/>
      <c r="DH924" s="6"/>
      <c r="DI924" s="6"/>
      <c r="DJ924" s="7">
        <v>0</v>
      </c>
      <c r="DK924" s="7">
        <v>0</v>
      </c>
      <c r="DL924" s="7">
        <v>0</v>
      </c>
      <c r="DM924" s="7">
        <v>0</v>
      </c>
      <c r="DN924" s="7">
        <v>0</v>
      </c>
      <c r="DO924" s="7">
        <v>0</v>
      </c>
      <c r="DP924" s="6"/>
      <c r="DQ924" s="4" t="s">
        <v>125</v>
      </c>
    </row>
    <row r="925" spans="1:121" ht="20" customHeight="1" x14ac:dyDescent="0.15">
      <c r="A925" s="5">
        <v>2018</v>
      </c>
      <c r="B925" s="3" t="s">
        <v>216</v>
      </c>
      <c r="C925" s="4" t="str">
        <f t="shared" si="91"/>
        <v>1420011</v>
      </c>
      <c r="D925" s="4" t="s">
        <v>1075</v>
      </c>
      <c r="E925" s="4" t="str">
        <f>"1420111"</f>
        <v>1420111</v>
      </c>
      <c r="F925" s="4" t="s">
        <v>327</v>
      </c>
      <c r="G925" s="4" t="s">
        <v>328</v>
      </c>
      <c r="H925" s="7">
        <v>2</v>
      </c>
      <c r="I925" s="4" t="s">
        <v>329</v>
      </c>
      <c r="J925" s="4" t="s">
        <v>330</v>
      </c>
      <c r="K925" s="7">
        <v>85</v>
      </c>
      <c r="L925" s="7">
        <v>100</v>
      </c>
      <c r="M925" s="7">
        <v>85</v>
      </c>
      <c r="N925" s="4" t="s">
        <v>124</v>
      </c>
      <c r="O925" s="4" t="s">
        <v>124</v>
      </c>
      <c r="P925" s="4" t="s">
        <v>124</v>
      </c>
      <c r="Q925" s="4" t="s">
        <v>124</v>
      </c>
      <c r="R925" s="4" t="s">
        <v>124</v>
      </c>
      <c r="S925" s="4" t="s">
        <v>124</v>
      </c>
      <c r="T925" s="4" t="s">
        <v>124</v>
      </c>
      <c r="U925" s="4" t="s">
        <v>124</v>
      </c>
      <c r="V925" s="4" t="s">
        <v>124</v>
      </c>
      <c r="W925" s="4" t="s">
        <v>124</v>
      </c>
      <c r="X925" s="4" t="s">
        <v>124</v>
      </c>
      <c r="Y925" s="4" t="s">
        <v>124</v>
      </c>
      <c r="Z925" s="4" t="s">
        <v>124</v>
      </c>
      <c r="AA925" s="4" t="s">
        <v>124</v>
      </c>
      <c r="AB925" s="4" t="s">
        <v>124</v>
      </c>
      <c r="AC925" s="4" t="s">
        <v>124</v>
      </c>
      <c r="AD925" s="4" t="s">
        <v>124</v>
      </c>
      <c r="AE925" s="4" t="s">
        <v>124</v>
      </c>
      <c r="AF925" s="4" t="s">
        <v>124</v>
      </c>
      <c r="AG925" s="4" t="s">
        <v>124</v>
      </c>
      <c r="AH925" s="4" t="s">
        <v>124</v>
      </c>
      <c r="AI925" s="4" t="s">
        <v>124</v>
      </c>
      <c r="AJ925" s="4" t="s">
        <v>124</v>
      </c>
      <c r="AK925" s="4" t="s">
        <v>124</v>
      </c>
      <c r="AL925" s="4" t="s">
        <v>124</v>
      </c>
      <c r="AM925" s="4" t="s">
        <v>124</v>
      </c>
      <c r="AN925" s="4" t="s">
        <v>124</v>
      </c>
      <c r="AO925" s="4" t="s">
        <v>124</v>
      </c>
      <c r="AP925" s="4" t="s">
        <v>124</v>
      </c>
      <c r="AQ925" s="4" t="s">
        <v>124</v>
      </c>
      <c r="AR925" s="4" t="s">
        <v>124</v>
      </c>
      <c r="AS925" s="4" t="s">
        <v>124</v>
      </c>
      <c r="AT925" s="4" t="s">
        <v>124</v>
      </c>
      <c r="AU925" s="4" t="s">
        <v>124</v>
      </c>
      <c r="AV925" s="4" t="s">
        <v>124</v>
      </c>
      <c r="AW925" s="4" t="s">
        <v>124</v>
      </c>
      <c r="AX925" s="4" t="s">
        <v>124</v>
      </c>
      <c r="AY925" s="4" t="s">
        <v>124</v>
      </c>
      <c r="AZ925" s="4" t="s">
        <v>124</v>
      </c>
      <c r="BA925" s="4" t="s">
        <v>124</v>
      </c>
      <c r="BB925" s="4" t="s">
        <v>124</v>
      </c>
      <c r="BC925" s="4" t="s">
        <v>124</v>
      </c>
      <c r="BD925" s="4" t="s">
        <v>124</v>
      </c>
      <c r="BE925" s="4" t="s">
        <v>124</v>
      </c>
      <c r="BF925" s="4" t="s">
        <v>124</v>
      </c>
      <c r="BG925" s="4" t="s">
        <v>124</v>
      </c>
      <c r="BH925" s="4" t="s">
        <v>124</v>
      </c>
      <c r="BI925" s="4" t="s">
        <v>124</v>
      </c>
      <c r="BJ925" s="4" t="s">
        <v>124</v>
      </c>
      <c r="BK925" s="4" t="s">
        <v>124</v>
      </c>
      <c r="BL925" s="4" t="s">
        <v>124</v>
      </c>
      <c r="BM925" s="4" t="s">
        <v>124</v>
      </c>
      <c r="BN925" s="4" t="s">
        <v>124</v>
      </c>
      <c r="BO925" s="4" t="s">
        <v>124</v>
      </c>
      <c r="BP925" s="4" t="s">
        <v>124</v>
      </c>
      <c r="BQ925" s="4" t="s">
        <v>124</v>
      </c>
      <c r="BR925" s="7">
        <v>4.7169999999999997E-2</v>
      </c>
      <c r="BS925" s="7">
        <v>50</v>
      </c>
      <c r="BT925" s="7">
        <v>50</v>
      </c>
      <c r="BU925" s="7">
        <v>0.125</v>
      </c>
      <c r="BV925" s="7">
        <v>35</v>
      </c>
      <c r="BW925" s="7">
        <v>50</v>
      </c>
      <c r="BX925" s="4" t="s">
        <v>124</v>
      </c>
      <c r="BY925" s="4" t="s">
        <v>124</v>
      </c>
      <c r="BZ925" s="4" t="s">
        <v>124</v>
      </c>
      <c r="CA925" s="4" t="s">
        <v>124</v>
      </c>
      <c r="CB925" s="4" t="s">
        <v>124</v>
      </c>
      <c r="CC925" s="4" t="s">
        <v>124</v>
      </c>
      <c r="CD925" s="4" t="s">
        <v>124</v>
      </c>
      <c r="CE925" s="4" t="s">
        <v>124</v>
      </c>
      <c r="CF925" s="4" t="s">
        <v>124</v>
      </c>
      <c r="CG925" s="4" t="s">
        <v>124</v>
      </c>
      <c r="CH925" s="4" t="s">
        <v>124</v>
      </c>
      <c r="CI925" s="4" t="s">
        <v>124</v>
      </c>
      <c r="CJ925" s="4" t="s">
        <v>124</v>
      </c>
      <c r="CK925" s="4" t="s">
        <v>124</v>
      </c>
      <c r="CL925" s="4" t="s">
        <v>124</v>
      </c>
      <c r="CM925" s="4" t="s">
        <v>124</v>
      </c>
      <c r="CN925" s="4" t="s">
        <v>124</v>
      </c>
      <c r="CO925" s="4" t="s">
        <v>124</v>
      </c>
      <c r="CP925" s="4" t="s">
        <v>124</v>
      </c>
      <c r="CQ925" s="4" t="s">
        <v>124</v>
      </c>
      <c r="CR925" s="4" t="s">
        <v>124</v>
      </c>
      <c r="CS925" s="4" t="s">
        <v>124</v>
      </c>
      <c r="CT925" s="4" t="s">
        <v>124</v>
      </c>
      <c r="CU925" s="4" t="s">
        <v>124</v>
      </c>
      <c r="CV925" s="4" t="s">
        <v>124</v>
      </c>
      <c r="CW925" s="4" t="s">
        <v>124</v>
      </c>
      <c r="CX925" s="4" t="s">
        <v>124</v>
      </c>
      <c r="CY925" s="4" t="s">
        <v>124</v>
      </c>
      <c r="CZ925" s="4" t="s">
        <v>124</v>
      </c>
      <c r="DA925" s="4" t="s">
        <v>124</v>
      </c>
      <c r="DB925" s="4" t="s">
        <v>124</v>
      </c>
      <c r="DC925" s="4" t="s">
        <v>124</v>
      </c>
      <c r="DD925" s="4" t="s">
        <v>124</v>
      </c>
      <c r="DE925" s="4" t="s">
        <v>124</v>
      </c>
      <c r="DF925" s="6"/>
      <c r="DG925" s="6"/>
      <c r="DH925" s="6"/>
      <c r="DI925" s="6"/>
      <c r="DJ925" s="4" t="s">
        <v>124</v>
      </c>
      <c r="DK925" s="4" t="s">
        <v>124</v>
      </c>
      <c r="DL925" s="4" t="s">
        <v>124</v>
      </c>
      <c r="DM925" s="4" t="s">
        <v>124</v>
      </c>
      <c r="DN925" s="4" t="s">
        <v>124</v>
      </c>
      <c r="DO925" s="4" t="s">
        <v>124</v>
      </c>
      <c r="DP925" s="6"/>
      <c r="DQ925" s="4" t="s">
        <v>125</v>
      </c>
    </row>
    <row r="926" spans="1:121" ht="20" customHeight="1" x14ac:dyDescent="0.15">
      <c r="A926" s="5">
        <v>2018</v>
      </c>
      <c r="B926" s="3" t="s">
        <v>216</v>
      </c>
      <c r="C926" s="4" t="str">
        <f t="shared" ref="C926:C928" si="259">"1420011"</f>
        <v>1420011</v>
      </c>
      <c r="D926" s="4" t="s">
        <v>1076</v>
      </c>
      <c r="E926" s="4" t="str">
        <f>"1426111"</f>
        <v>1426111</v>
      </c>
      <c r="F926" s="4" t="s">
        <v>327</v>
      </c>
      <c r="G926" s="7">
        <v>9</v>
      </c>
      <c r="H926" s="7">
        <v>12</v>
      </c>
      <c r="I926" s="6"/>
      <c r="J926" s="4" t="s">
        <v>330</v>
      </c>
      <c r="K926" s="7">
        <v>1261.151656</v>
      </c>
      <c r="L926" s="7">
        <v>1450</v>
      </c>
      <c r="M926" s="7">
        <v>86.975976000000003</v>
      </c>
      <c r="N926" s="7">
        <v>1</v>
      </c>
      <c r="O926" s="7">
        <v>0</v>
      </c>
      <c r="P926" s="7">
        <v>65.824073999999996</v>
      </c>
      <c r="Q926" s="7">
        <v>131.64814799999999</v>
      </c>
      <c r="R926" s="7">
        <v>150</v>
      </c>
      <c r="S926" s="7">
        <v>55.427778000000004</v>
      </c>
      <c r="T926" s="7">
        <v>67.680555999999996</v>
      </c>
      <c r="U926" s="7">
        <v>110.85555600000001</v>
      </c>
      <c r="V926" s="7">
        <v>150</v>
      </c>
      <c r="W926" s="7">
        <v>68.092592999999994</v>
      </c>
      <c r="X926" s="7">
        <v>136.18518499999999</v>
      </c>
      <c r="Y926" s="7">
        <v>150</v>
      </c>
      <c r="Z926" s="7">
        <v>70.332341</v>
      </c>
      <c r="AA926" s="7">
        <v>55.55</v>
      </c>
      <c r="AB926" s="7">
        <v>111.1</v>
      </c>
      <c r="AC926" s="7">
        <v>150</v>
      </c>
      <c r="AD926" s="7">
        <v>69.833639000000005</v>
      </c>
      <c r="AE926" s="7">
        <v>93.111518000000004</v>
      </c>
      <c r="AF926" s="7">
        <v>100</v>
      </c>
      <c r="AG926" s="7">
        <v>56.496886000000003</v>
      </c>
      <c r="AH926" s="7">
        <v>72.215200999999993</v>
      </c>
      <c r="AI926" s="7">
        <v>75.329182000000003</v>
      </c>
      <c r="AJ926" s="7">
        <v>100</v>
      </c>
      <c r="AK926" s="7">
        <v>12.25</v>
      </c>
      <c r="AL926" s="7">
        <v>14.78</v>
      </c>
      <c r="AM926" s="7">
        <v>15.71</v>
      </c>
      <c r="AN926" s="4" t="s">
        <v>124</v>
      </c>
      <c r="AO926" s="4" t="s">
        <v>124</v>
      </c>
      <c r="AP926" s="4" t="s">
        <v>124</v>
      </c>
      <c r="AQ926" s="4" t="s">
        <v>124</v>
      </c>
      <c r="AR926" s="4" t="s">
        <v>124</v>
      </c>
      <c r="AS926" s="4" t="s">
        <v>124</v>
      </c>
      <c r="AT926" s="4" t="s">
        <v>124</v>
      </c>
      <c r="AU926" s="4" t="s">
        <v>124</v>
      </c>
      <c r="AV926" s="4" t="s">
        <v>124</v>
      </c>
      <c r="AW926" s="4" t="s">
        <v>124</v>
      </c>
      <c r="AX926" s="4" t="s">
        <v>124</v>
      </c>
      <c r="AY926" s="4" t="s">
        <v>124</v>
      </c>
      <c r="AZ926" s="4" t="s">
        <v>124</v>
      </c>
      <c r="BA926" s="4" t="s">
        <v>124</v>
      </c>
      <c r="BB926" s="4" t="s">
        <v>124</v>
      </c>
      <c r="BC926" s="4" t="s">
        <v>124</v>
      </c>
      <c r="BD926" s="4" t="s">
        <v>124</v>
      </c>
      <c r="BE926" s="4" t="s">
        <v>124</v>
      </c>
      <c r="BF926" s="4" t="s">
        <v>124</v>
      </c>
      <c r="BG926" s="4" t="s">
        <v>124</v>
      </c>
      <c r="BH926" s="7">
        <v>0</v>
      </c>
      <c r="BI926" s="7">
        <v>0.98522200000000004</v>
      </c>
      <c r="BJ926" s="7">
        <v>0.96969700000000003</v>
      </c>
      <c r="BK926" s="7">
        <v>0.98823499999999997</v>
      </c>
      <c r="BL926" s="7">
        <v>0.98522200000000004</v>
      </c>
      <c r="BM926" s="7">
        <v>0.96969700000000003</v>
      </c>
      <c r="BN926" s="7">
        <v>0.98823499999999997</v>
      </c>
      <c r="BO926" s="7">
        <v>0.98522200000000004</v>
      </c>
      <c r="BP926" s="7">
        <v>0.96969700000000003</v>
      </c>
      <c r="BQ926" s="7">
        <v>0.98823499999999997</v>
      </c>
      <c r="BR926" s="7">
        <v>5.2239000000000001E-2</v>
      </c>
      <c r="BS926" s="7">
        <v>49.552239</v>
      </c>
      <c r="BT926" s="7">
        <v>50</v>
      </c>
      <c r="BU926" s="7">
        <v>0.121212</v>
      </c>
      <c r="BV926" s="7">
        <v>35.757576</v>
      </c>
      <c r="BW926" s="7">
        <v>50</v>
      </c>
      <c r="BX926" s="7">
        <v>0.76515200000000005</v>
      </c>
      <c r="BY926" s="7">
        <v>50</v>
      </c>
      <c r="BZ926" s="7">
        <v>50</v>
      </c>
      <c r="CA926" s="7">
        <v>0.709596</v>
      </c>
      <c r="CB926" s="7">
        <v>47.306396999999997</v>
      </c>
      <c r="CC926" s="7">
        <v>50</v>
      </c>
      <c r="CD926" s="7">
        <v>0.99481900000000001</v>
      </c>
      <c r="CE926" s="7">
        <v>50</v>
      </c>
      <c r="CF926" s="7">
        <v>50</v>
      </c>
      <c r="CG926" s="7">
        <v>0.99024400000000001</v>
      </c>
      <c r="CH926" s="7">
        <v>100</v>
      </c>
      <c r="CI926" s="7">
        <v>100</v>
      </c>
      <c r="CJ926" s="7">
        <v>0</v>
      </c>
      <c r="CK926" s="7">
        <v>0.95</v>
      </c>
      <c r="CL926" s="7">
        <v>100</v>
      </c>
      <c r="CM926" s="7">
        <v>100</v>
      </c>
      <c r="CN926" s="7">
        <v>0.84313700000000003</v>
      </c>
      <c r="CO926" s="7">
        <v>100</v>
      </c>
      <c r="CP926" s="7">
        <v>100</v>
      </c>
      <c r="CQ926" s="7">
        <v>0.46534700000000001</v>
      </c>
      <c r="CR926" s="7">
        <v>0.93953500000000001</v>
      </c>
      <c r="CS926" s="7">
        <v>31.023102000000002</v>
      </c>
      <c r="CT926" s="7">
        <v>50</v>
      </c>
      <c r="CU926" s="7">
        <v>0.47139300000000001</v>
      </c>
      <c r="CV926" s="7">
        <v>39.282753</v>
      </c>
      <c r="CW926" s="7">
        <v>50</v>
      </c>
      <c r="CX926" s="7">
        <v>0.95</v>
      </c>
      <c r="CY926" s="7">
        <v>0.94</v>
      </c>
      <c r="CZ926" s="7">
        <v>-0.01</v>
      </c>
      <c r="DA926" s="7">
        <v>15.314097</v>
      </c>
      <c r="DB926" s="7">
        <v>17.400950000000002</v>
      </c>
      <c r="DC926" s="7">
        <v>16.332519999999999</v>
      </c>
      <c r="DD926" s="7">
        <v>7.9891730000000001</v>
      </c>
      <c r="DE926" s="7">
        <v>0</v>
      </c>
      <c r="DF926" s="6"/>
      <c r="DG926" s="6"/>
      <c r="DH926" s="6"/>
      <c r="DI926" s="6"/>
      <c r="DJ926" s="7">
        <v>0</v>
      </c>
      <c r="DK926" s="7">
        <v>0</v>
      </c>
      <c r="DL926" s="7">
        <v>0</v>
      </c>
      <c r="DM926" s="7">
        <v>0</v>
      </c>
      <c r="DN926" s="7">
        <v>0</v>
      </c>
      <c r="DO926" s="7">
        <v>0</v>
      </c>
      <c r="DP926" s="6"/>
      <c r="DQ926" s="4" t="s">
        <v>125</v>
      </c>
    </row>
    <row r="927" spans="1:121" ht="20" customHeight="1" x14ac:dyDescent="0.15">
      <c r="A927" s="5">
        <v>2018</v>
      </c>
      <c r="B927" s="3" t="s">
        <v>216</v>
      </c>
      <c r="C927" s="4" t="str">
        <f t="shared" si="259"/>
        <v>1420011</v>
      </c>
      <c r="D927" s="4" t="s">
        <v>1077</v>
      </c>
      <c r="E927" s="4" t="str">
        <f>"1420211"</f>
        <v>1420211</v>
      </c>
      <c r="F927" s="4" t="s">
        <v>327</v>
      </c>
      <c r="G927" s="7">
        <v>3</v>
      </c>
      <c r="H927" s="7">
        <v>5</v>
      </c>
      <c r="I927" s="4" t="s">
        <v>329</v>
      </c>
      <c r="J927" s="4" t="s">
        <v>330</v>
      </c>
      <c r="K927" s="7">
        <v>628.83394699999997</v>
      </c>
      <c r="L927" s="7">
        <v>850</v>
      </c>
      <c r="M927" s="7">
        <v>73.980463999999998</v>
      </c>
      <c r="N927" s="7">
        <v>3</v>
      </c>
      <c r="O927" s="7">
        <v>0</v>
      </c>
      <c r="P927" s="7">
        <v>74.265445</v>
      </c>
      <c r="Q927" s="7">
        <v>49.510297000000001</v>
      </c>
      <c r="R927" s="7">
        <v>50</v>
      </c>
      <c r="S927" s="7">
        <v>63.486738000000003</v>
      </c>
      <c r="T927" s="7">
        <v>75</v>
      </c>
      <c r="U927" s="7">
        <v>42.324491999999999</v>
      </c>
      <c r="V927" s="7">
        <v>50</v>
      </c>
      <c r="W927" s="7">
        <v>70.742362999999997</v>
      </c>
      <c r="X927" s="7">
        <v>47.161574999999999</v>
      </c>
      <c r="Y927" s="7">
        <v>50</v>
      </c>
      <c r="Z927" s="7">
        <v>75</v>
      </c>
      <c r="AA927" s="7">
        <v>59.437041999999998</v>
      </c>
      <c r="AB927" s="7">
        <v>39.624695000000003</v>
      </c>
      <c r="AC927" s="7">
        <v>50</v>
      </c>
      <c r="AD927" s="7">
        <v>74.648765999999995</v>
      </c>
      <c r="AE927" s="7">
        <v>49.765844000000001</v>
      </c>
      <c r="AF927" s="7">
        <v>50</v>
      </c>
      <c r="AG927" s="7">
        <v>61.827956999999998</v>
      </c>
      <c r="AH927" s="7">
        <v>75</v>
      </c>
      <c r="AI927" s="7">
        <v>41.218637999999999</v>
      </c>
      <c r="AJ927" s="7">
        <v>50</v>
      </c>
      <c r="AK927" s="7">
        <v>11.51</v>
      </c>
      <c r="AL927" s="7">
        <v>15.56</v>
      </c>
      <c r="AM927" s="7">
        <v>13.17</v>
      </c>
      <c r="AN927" s="7">
        <v>0.57815399999999995</v>
      </c>
      <c r="AO927" s="7">
        <v>57.815413999999997</v>
      </c>
      <c r="AP927" s="7">
        <v>100</v>
      </c>
      <c r="AQ927" s="7">
        <v>0.661771</v>
      </c>
      <c r="AR927" s="7">
        <v>66.177119000000005</v>
      </c>
      <c r="AS927" s="7">
        <v>100</v>
      </c>
      <c r="AT927" s="7">
        <v>0.55892500000000001</v>
      </c>
      <c r="AU927" s="7">
        <v>0.58584599999999998</v>
      </c>
      <c r="AV927" s="7">
        <v>55.892533</v>
      </c>
      <c r="AW927" s="7">
        <v>100</v>
      </c>
      <c r="AX927" s="7">
        <v>0.63927599999999996</v>
      </c>
      <c r="AY927" s="7">
        <v>0.67076899999999995</v>
      </c>
      <c r="AZ927" s="7">
        <v>63.927627999999999</v>
      </c>
      <c r="BA927" s="7">
        <v>100</v>
      </c>
      <c r="BB927" s="4" t="s">
        <v>124</v>
      </c>
      <c r="BC927" s="4" t="s">
        <v>124</v>
      </c>
      <c r="BD927" s="4" t="s">
        <v>124</v>
      </c>
      <c r="BE927" s="4" t="s">
        <v>124</v>
      </c>
      <c r="BF927" s="4" t="s">
        <v>124</v>
      </c>
      <c r="BG927" s="4" t="s">
        <v>124</v>
      </c>
      <c r="BH927" s="7">
        <v>1</v>
      </c>
      <c r="BI927" s="7">
        <v>0.98262499999999997</v>
      </c>
      <c r="BJ927" s="7">
        <v>0.98064499999999999</v>
      </c>
      <c r="BK927" s="7">
        <v>0.98347099999999998</v>
      </c>
      <c r="BL927" s="7">
        <v>0.98262499999999997</v>
      </c>
      <c r="BM927" s="7">
        <v>0.98064499999999999</v>
      </c>
      <c r="BN927" s="7">
        <v>0.98347099999999998</v>
      </c>
      <c r="BO927" s="7">
        <v>0.97837799999999997</v>
      </c>
      <c r="BP927" s="7">
        <v>0.94</v>
      </c>
      <c r="BQ927" s="7">
        <v>0.99259299999999995</v>
      </c>
      <c r="BR927" s="7">
        <v>2.7132E-2</v>
      </c>
      <c r="BS927" s="7">
        <v>50</v>
      </c>
      <c r="BT927" s="7">
        <v>50</v>
      </c>
      <c r="BU927" s="7">
        <v>5.2631999999999998E-2</v>
      </c>
      <c r="BV927" s="7">
        <v>49.473683999999999</v>
      </c>
      <c r="BW927" s="7">
        <v>50</v>
      </c>
      <c r="BX927" s="4" t="s">
        <v>124</v>
      </c>
      <c r="BY927" s="4" t="s">
        <v>124</v>
      </c>
      <c r="BZ927" s="4" t="s">
        <v>124</v>
      </c>
      <c r="CA927" s="4" t="s">
        <v>124</v>
      </c>
      <c r="CB927" s="4" t="s">
        <v>124</v>
      </c>
      <c r="CC927" s="4" t="s">
        <v>124</v>
      </c>
      <c r="CD927" s="4" t="s">
        <v>124</v>
      </c>
      <c r="CE927" s="4" t="s">
        <v>124</v>
      </c>
      <c r="CF927" s="4" t="s">
        <v>124</v>
      </c>
      <c r="CG927" s="4" t="s">
        <v>124</v>
      </c>
      <c r="CH927" s="4" t="s">
        <v>124</v>
      </c>
      <c r="CI927" s="4" t="s">
        <v>124</v>
      </c>
      <c r="CJ927" s="4" t="s">
        <v>124</v>
      </c>
      <c r="CK927" s="4" t="s">
        <v>124</v>
      </c>
      <c r="CL927" s="4" t="s">
        <v>124</v>
      </c>
      <c r="CM927" s="4" t="s">
        <v>124</v>
      </c>
      <c r="CN927" s="4" t="s">
        <v>124</v>
      </c>
      <c r="CO927" s="4" t="s">
        <v>124</v>
      </c>
      <c r="CP927" s="4" t="s">
        <v>124</v>
      </c>
      <c r="CQ927" s="7">
        <v>0.23913000000000001</v>
      </c>
      <c r="CR927" s="7">
        <v>0.96335099999999996</v>
      </c>
      <c r="CS927" s="7">
        <v>15.942029</v>
      </c>
      <c r="CT927" s="7">
        <v>50</v>
      </c>
      <c r="CU927" s="4" t="s">
        <v>124</v>
      </c>
      <c r="CV927" s="4" t="s">
        <v>124</v>
      </c>
      <c r="CW927" s="4" t="s">
        <v>124</v>
      </c>
      <c r="CX927" s="4" t="s">
        <v>124</v>
      </c>
      <c r="CY927" s="4" t="s">
        <v>124</v>
      </c>
      <c r="CZ927" s="4" t="s">
        <v>124</v>
      </c>
      <c r="DA927" s="7">
        <v>15.314097</v>
      </c>
      <c r="DB927" s="7">
        <v>17.400950000000002</v>
      </c>
      <c r="DC927" s="7">
        <v>16.332519999999999</v>
      </c>
      <c r="DD927" s="4" t="s">
        <v>124</v>
      </c>
      <c r="DE927" s="7">
        <v>1</v>
      </c>
      <c r="DF927" s="6"/>
      <c r="DG927" s="6"/>
      <c r="DH927" s="6"/>
      <c r="DI927" s="6"/>
      <c r="DJ927" s="7">
        <v>0</v>
      </c>
      <c r="DK927" s="7">
        <v>0</v>
      </c>
      <c r="DL927" s="7">
        <v>0</v>
      </c>
      <c r="DM927" s="7">
        <v>0</v>
      </c>
      <c r="DN927" s="7">
        <v>0</v>
      </c>
      <c r="DO927" s="7">
        <v>0</v>
      </c>
      <c r="DP927" s="6"/>
      <c r="DQ927" s="4" t="s">
        <v>125</v>
      </c>
    </row>
    <row r="928" spans="1:121" ht="20" customHeight="1" x14ac:dyDescent="0.15">
      <c r="A928" s="5">
        <v>2018</v>
      </c>
      <c r="B928" s="3" t="s">
        <v>216</v>
      </c>
      <c r="C928" s="4" t="str">
        <f t="shared" si="259"/>
        <v>1420011</v>
      </c>
      <c r="D928" s="4" t="s">
        <v>1078</v>
      </c>
      <c r="E928" s="4" t="str">
        <f>"1425111"</f>
        <v>1425111</v>
      </c>
      <c r="F928" s="4" t="s">
        <v>327</v>
      </c>
      <c r="G928" s="7">
        <v>6</v>
      </c>
      <c r="H928" s="7">
        <v>8</v>
      </c>
      <c r="I928" s="6"/>
      <c r="J928" s="4" t="s">
        <v>330</v>
      </c>
      <c r="K928" s="7">
        <v>645.55137300000001</v>
      </c>
      <c r="L928" s="7">
        <v>900</v>
      </c>
      <c r="M928" s="7">
        <v>71.727930000000001</v>
      </c>
      <c r="N928" s="7">
        <v>3</v>
      </c>
      <c r="O928" s="7">
        <v>1</v>
      </c>
      <c r="P928" s="7">
        <v>72.329020999999997</v>
      </c>
      <c r="Q928" s="7">
        <v>48.219346999999999</v>
      </c>
      <c r="R928" s="7">
        <v>50</v>
      </c>
      <c r="S928" s="7">
        <v>57.530987000000003</v>
      </c>
      <c r="T928" s="7">
        <v>75</v>
      </c>
      <c r="U928" s="7">
        <v>38.353991000000001</v>
      </c>
      <c r="V928" s="7">
        <v>50</v>
      </c>
      <c r="W928" s="7">
        <v>70.003145000000004</v>
      </c>
      <c r="X928" s="7">
        <v>46.668762999999998</v>
      </c>
      <c r="Y928" s="7">
        <v>50</v>
      </c>
      <c r="Z928" s="7">
        <v>75</v>
      </c>
      <c r="AA928" s="7">
        <v>53.692968999999998</v>
      </c>
      <c r="AB928" s="7">
        <v>35.795313</v>
      </c>
      <c r="AC928" s="7">
        <v>50</v>
      </c>
      <c r="AD928" s="7">
        <v>73.601901999999995</v>
      </c>
      <c r="AE928" s="7">
        <v>49.067934999999999</v>
      </c>
      <c r="AF928" s="7">
        <v>50</v>
      </c>
      <c r="AG928" s="7">
        <v>61.212842000000002</v>
      </c>
      <c r="AH928" s="7">
        <v>75</v>
      </c>
      <c r="AI928" s="7">
        <v>40.808560999999997</v>
      </c>
      <c r="AJ928" s="7">
        <v>50</v>
      </c>
      <c r="AK928" s="7">
        <v>17.46</v>
      </c>
      <c r="AL928" s="7">
        <v>21.3</v>
      </c>
      <c r="AM928" s="7">
        <v>13.78</v>
      </c>
      <c r="AN928" s="7">
        <v>0.50605800000000001</v>
      </c>
      <c r="AO928" s="7">
        <v>50.605803999999999</v>
      </c>
      <c r="AP928" s="7">
        <v>100</v>
      </c>
      <c r="AQ928" s="7">
        <v>0.68096599999999996</v>
      </c>
      <c r="AR928" s="7">
        <v>68.096639999999994</v>
      </c>
      <c r="AS928" s="7">
        <v>100</v>
      </c>
      <c r="AT928" s="7">
        <v>0.40184399999999998</v>
      </c>
      <c r="AU928" s="7">
        <v>0.53613999999999995</v>
      </c>
      <c r="AV928" s="7">
        <v>40.184449000000001</v>
      </c>
      <c r="AW928" s="7">
        <v>100</v>
      </c>
      <c r="AX928" s="7">
        <v>0.48648799999999998</v>
      </c>
      <c r="AY928" s="7">
        <v>0.73703700000000005</v>
      </c>
      <c r="AZ928" s="7">
        <v>48.648817999999999</v>
      </c>
      <c r="BA928" s="7">
        <v>100</v>
      </c>
      <c r="BB928" s="4" t="s">
        <v>124</v>
      </c>
      <c r="BC928" s="4" t="s">
        <v>124</v>
      </c>
      <c r="BD928" s="4" t="s">
        <v>124</v>
      </c>
      <c r="BE928" s="4" t="s">
        <v>124</v>
      </c>
      <c r="BF928" s="4" t="s">
        <v>124</v>
      </c>
      <c r="BG928" s="4" t="s">
        <v>124</v>
      </c>
      <c r="BH928" s="7">
        <v>1</v>
      </c>
      <c r="BI928" s="7">
        <v>0.91652199999999995</v>
      </c>
      <c r="BJ928" s="7">
        <v>0.90714300000000003</v>
      </c>
      <c r="BK928" s="7">
        <v>0.91954000000000002</v>
      </c>
      <c r="BL928" s="7">
        <v>0.90782600000000002</v>
      </c>
      <c r="BM928" s="7">
        <v>0.89285700000000001</v>
      </c>
      <c r="BN928" s="7">
        <v>0.91264400000000001</v>
      </c>
      <c r="BO928" s="7">
        <v>0.76683900000000005</v>
      </c>
      <c r="BP928" s="7">
        <v>0.78947400000000001</v>
      </c>
      <c r="BQ928" s="7">
        <v>0.76129000000000002</v>
      </c>
      <c r="BR928" s="7">
        <v>2.4306000000000001E-2</v>
      </c>
      <c r="BS928" s="7">
        <v>50</v>
      </c>
      <c r="BT928" s="7">
        <v>50</v>
      </c>
      <c r="BU928" s="7">
        <v>6.5693000000000001E-2</v>
      </c>
      <c r="BV928" s="7">
        <v>46.861314</v>
      </c>
      <c r="BW928" s="7">
        <v>50</v>
      </c>
      <c r="BX928" s="4" t="s">
        <v>124</v>
      </c>
      <c r="BY928" s="4" t="s">
        <v>124</v>
      </c>
      <c r="BZ928" s="4" t="s">
        <v>124</v>
      </c>
      <c r="CA928" s="4" t="s">
        <v>124</v>
      </c>
      <c r="CB928" s="4" t="s">
        <v>124</v>
      </c>
      <c r="CC928" s="4" t="s">
        <v>124</v>
      </c>
      <c r="CD928" s="7">
        <v>1</v>
      </c>
      <c r="CE928" s="7">
        <v>50</v>
      </c>
      <c r="CF928" s="7">
        <v>50</v>
      </c>
      <c r="CG928" s="4" t="s">
        <v>124</v>
      </c>
      <c r="CH928" s="4" t="s">
        <v>124</v>
      </c>
      <c r="CI928" s="4" t="s">
        <v>124</v>
      </c>
      <c r="CJ928" s="4" t="s">
        <v>124</v>
      </c>
      <c r="CK928" s="4" t="s">
        <v>124</v>
      </c>
      <c r="CL928" s="4" t="s">
        <v>124</v>
      </c>
      <c r="CM928" s="4" t="s">
        <v>124</v>
      </c>
      <c r="CN928" s="4" t="s">
        <v>124</v>
      </c>
      <c r="CO928" s="4" t="s">
        <v>124</v>
      </c>
      <c r="CP928" s="4" t="s">
        <v>124</v>
      </c>
      <c r="CQ928" s="7">
        <v>0.48360700000000001</v>
      </c>
      <c r="CR928" s="7">
        <v>0.94573600000000002</v>
      </c>
      <c r="CS928" s="7">
        <v>32.240437</v>
      </c>
      <c r="CT928" s="7">
        <v>50</v>
      </c>
      <c r="CU928" s="4" t="s">
        <v>124</v>
      </c>
      <c r="CV928" s="4" t="s">
        <v>124</v>
      </c>
      <c r="CW928" s="4" t="s">
        <v>124</v>
      </c>
      <c r="CX928" s="4" t="s">
        <v>124</v>
      </c>
      <c r="CY928" s="4" t="s">
        <v>124</v>
      </c>
      <c r="CZ928" s="4" t="s">
        <v>124</v>
      </c>
      <c r="DA928" s="7">
        <v>15.314097</v>
      </c>
      <c r="DB928" s="7">
        <v>17.400950000000002</v>
      </c>
      <c r="DC928" s="7">
        <v>16.332519999999999</v>
      </c>
      <c r="DD928" s="4" t="s">
        <v>124</v>
      </c>
      <c r="DE928" s="7">
        <v>1</v>
      </c>
      <c r="DF928" s="6"/>
      <c r="DG928" s="6"/>
      <c r="DH928" s="6"/>
      <c r="DI928" s="6"/>
      <c r="DJ928" s="7">
        <v>0</v>
      </c>
      <c r="DK928" s="7">
        <v>0</v>
      </c>
      <c r="DL928" s="7">
        <v>0</v>
      </c>
      <c r="DM928" s="7">
        <v>0</v>
      </c>
      <c r="DN928" s="7">
        <v>0</v>
      </c>
      <c r="DO928" s="7">
        <v>0</v>
      </c>
      <c r="DP928" s="6"/>
      <c r="DQ928" s="4" t="s">
        <v>125</v>
      </c>
    </row>
    <row r="929" spans="1:121" ht="20" customHeight="1" x14ac:dyDescent="0.15">
      <c r="A929" s="5">
        <v>2018</v>
      </c>
      <c r="B929" s="3" t="s">
        <v>186</v>
      </c>
      <c r="C929" s="4" t="str">
        <f t="shared" si="61"/>
        <v>1430011</v>
      </c>
      <c r="D929" s="4" t="s">
        <v>1079</v>
      </c>
      <c r="E929" s="4" t="str">
        <f>"1430211"</f>
        <v>1430211</v>
      </c>
      <c r="F929" s="4" t="s">
        <v>327</v>
      </c>
      <c r="G929" s="7">
        <v>4</v>
      </c>
      <c r="H929" s="7">
        <v>5</v>
      </c>
      <c r="I929" s="4" t="s">
        <v>329</v>
      </c>
      <c r="J929" s="4" t="s">
        <v>330</v>
      </c>
      <c r="K929" s="7">
        <v>608.22526700000003</v>
      </c>
      <c r="L929" s="7">
        <v>950</v>
      </c>
      <c r="M929" s="7">
        <v>64.023712000000003</v>
      </c>
      <c r="N929" s="7">
        <v>3</v>
      </c>
      <c r="O929" s="7">
        <v>0</v>
      </c>
      <c r="P929" s="7">
        <v>64.786641000000003</v>
      </c>
      <c r="Q929" s="7">
        <v>43.191094</v>
      </c>
      <c r="R929" s="7">
        <v>50</v>
      </c>
      <c r="S929" s="7">
        <v>61.242544000000002</v>
      </c>
      <c r="T929" s="7">
        <v>73.701688000000004</v>
      </c>
      <c r="U929" s="7">
        <v>40.828363000000003</v>
      </c>
      <c r="V929" s="7">
        <v>50</v>
      </c>
      <c r="W929" s="7">
        <v>59.725951000000002</v>
      </c>
      <c r="X929" s="7">
        <v>39.817301</v>
      </c>
      <c r="Y929" s="7">
        <v>50</v>
      </c>
      <c r="Z929" s="7">
        <v>68.566922000000005</v>
      </c>
      <c r="AA929" s="7">
        <v>56.196838999999997</v>
      </c>
      <c r="AB929" s="7">
        <v>37.464559000000001</v>
      </c>
      <c r="AC929" s="7">
        <v>50</v>
      </c>
      <c r="AD929" s="7">
        <v>64.434766999999994</v>
      </c>
      <c r="AE929" s="7">
        <v>42.956510999999999</v>
      </c>
      <c r="AF929" s="7">
        <v>50</v>
      </c>
      <c r="AG929" s="7">
        <v>59.922682999999999</v>
      </c>
      <c r="AH929" s="7">
        <v>74.962963000000002</v>
      </c>
      <c r="AI929" s="7">
        <v>39.948455000000003</v>
      </c>
      <c r="AJ929" s="7">
        <v>50</v>
      </c>
      <c r="AK929" s="7">
        <v>12.45</v>
      </c>
      <c r="AL929" s="7">
        <v>12.37</v>
      </c>
      <c r="AM929" s="7">
        <v>15.04</v>
      </c>
      <c r="AN929" s="7">
        <v>0.50968899999999995</v>
      </c>
      <c r="AO929" s="7">
        <v>50.968854999999998</v>
      </c>
      <c r="AP929" s="7">
        <v>100</v>
      </c>
      <c r="AQ929" s="7">
        <v>0.54772100000000001</v>
      </c>
      <c r="AR929" s="7">
        <v>54.772117000000001</v>
      </c>
      <c r="AS929" s="7">
        <v>100</v>
      </c>
      <c r="AT929" s="7">
        <v>0.48179</v>
      </c>
      <c r="AU929" s="7">
        <v>0.57587299999999997</v>
      </c>
      <c r="AV929" s="7">
        <v>48.179020999999999</v>
      </c>
      <c r="AW929" s="7">
        <v>100</v>
      </c>
      <c r="AX929" s="7">
        <v>0.50763899999999995</v>
      </c>
      <c r="AY929" s="7">
        <v>0.64238399999999996</v>
      </c>
      <c r="AZ929" s="7">
        <v>50.763865000000003</v>
      </c>
      <c r="BA929" s="7">
        <v>100</v>
      </c>
      <c r="BB929" s="7">
        <v>0.70266300000000004</v>
      </c>
      <c r="BC929" s="7">
        <v>35.133141000000002</v>
      </c>
      <c r="BD929" s="7">
        <v>50</v>
      </c>
      <c r="BE929" s="7">
        <v>0.65145600000000004</v>
      </c>
      <c r="BF929" s="7">
        <v>32.572794000000002</v>
      </c>
      <c r="BG929" s="7">
        <v>50</v>
      </c>
      <c r="BH929" s="7">
        <v>0</v>
      </c>
      <c r="BI929" s="7">
        <v>0.98333300000000001</v>
      </c>
      <c r="BJ929" s="7">
        <v>0.98823499999999997</v>
      </c>
      <c r="BK929" s="7">
        <v>0.97142899999999999</v>
      </c>
      <c r="BL929" s="7">
        <v>0.98050099999999996</v>
      </c>
      <c r="BM929" s="7">
        <v>0.98431400000000002</v>
      </c>
      <c r="BN929" s="7">
        <v>0.97115399999999996</v>
      </c>
      <c r="BO929" s="7">
        <v>0.98429299999999997</v>
      </c>
      <c r="BP929" s="7">
        <v>0.98473299999999997</v>
      </c>
      <c r="BQ929" s="7">
        <v>0.98333300000000001</v>
      </c>
      <c r="BR929" s="7">
        <v>9.7492999999999996E-2</v>
      </c>
      <c r="BS929" s="7">
        <v>40.501393</v>
      </c>
      <c r="BT929" s="7">
        <v>50</v>
      </c>
      <c r="BU929" s="7">
        <v>0.117647</v>
      </c>
      <c r="BV929" s="7">
        <v>36.470587999999999</v>
      </c>
      <c r="BW929" s="7">
        <v>50</v>
      </c>
      <c r="BX929" s="4" t="s">
        <v>124</v>
      </c>
      <c r="BY929" s="4" t="s">
        <v>124</v>
      </c>
      <c r="BZ929" s="4" t="s">
        <v>124</v>
      </c>
      <c r="CA929" s="4" t="s">
        <v>124</v>
      </c>
      <c r="CB929" s="4" t="s">
        <v>124</v>
      </c>
      <c r="CC929" s="4" t="s">
        <v>124</v>
      </c>
      <c r="CD929" s="4" t="s">
        <v>124</v>
      </c>
      <c r="CE929" s="4" t="s">
        <v>124</v>
      </c>
      <c r="CF929" s="4" t="s">
        <v>124</v>
      </c>
      <c r="CG929" s="4" t="s">
        <v>124</v>
      </c>
      <c r="CH929" s="4" t="s">
        <v>124</v>
      </c>
      <c r="CI929" s="4" t="s">
        <v>124</v>
      </c>
      <c r="CJ929" s="4" t="s">
        <v>124</v>
      </c>
      <c r="CK929" s="4" t="s">
        <v>124</v>
      </c>
      <c r="CL929" s="4" t="s">
        <v>124</v>
      </c>
      <c r="CM929" s="4" t="s">
        <v>124</v>
      </c>
      <c r="CN929" s="4" t="s">
        <v>124</v>
      </c>
      <c r="CO929" s="4" t="s">
        <v>124</v>
      </c>
      <c r="CP929" s="4" t="s">
        <v>124</v>
      </c>
      <c r="CQ929" s="7">
        <v>0.439716</v>
      </c>
      <c r="CR929" s="7">
        <v>0.82941200000000004</v>
      </c>
      <c r="CS929" s="7">
        <v>14.657209999999999</v>
      </c>
      <c r="CT929" s="7">
        <v>50</v>
      </c>
      <c r="CU929" s="4" t="s">
        <v>124</v>
      </c>
      <c r="CV929" s="4" t="s">
        <v>124</v>
      </c>
      <c r="CW929" s="4" t="s">
        <v>124</v>
      </c>
      <c r="CX929" s="4" t="s">
        <v>124</v>
      </c>
      <c r="CY929" s="4" t="s">
        <v>124</v>
      </c>
      <c r="CZ929" s="4" t="s">
        <v>124</v>
      </c>
      <c r="DA929" s="7">
        <v>15.314097</v>
      </c>
      <c r="DB929" s="7">
        <v>17.400950000000002</v>
      </c>
      <c r="DC929" s="7">
        <v>16.332519999999999</v>
      </c>
      <c r="DD929" s="4" t="s">
        <v>124</v>
      </c>
      <c r="DE929" s="7">
        <v>0</v>
      </c>
      <c r="DF929" s="6"/>
      <c r="DG929" s="6"/>
      <c r="DH929" s="6"/>
      <c r="DI929" s="6"/>
      <c r="DJ929" s="7">
        <v>0</v>
      </c>
      <c r="DK929" s="7">
        <v>0</v>
      </c>
      <c r="DL929" s="7">
        <v>0</v>
      </c>
      <c r="DM929" s="7">
        <v>0</v>
      </c>
      <c r="DN929" s="7">
        <v>0</v>
      </c>
      <c r="DO929" s="7">
        <v>0</v>
      </c>
      <c r="DP929" s="6"/>
      <c r="DQ929" s="4" t="s">
        <v>125</v>
      </c>
    </row>
    <row r="930" spans="1:121" ht="20" customHeight="1" x14ac:dyDescent="0.15">
      <c r="A930" s="5">
        <v>2018</v>
      </c>
      <c r="B930" s="3" t="s">
        <v>186</v>
      </c>
      <c r="C930" s="4" t="str">
        <f t="shared" ref="C930:C934" si="260">"1430011"</f>
        <v>1430011</v>
      </c>
      <c r="D930" s="4" t="s">
        <v>1080</v>
      </c>
      <c r="E930" s="4" t="str">
        <f>"1430811"</f>
        <v>1430811</v>
      </c>
      <c r="F930" s="4" t="s">
        <v>327</v>
      </c>
      <c r="G930" s="7">
        <v>4</v>
      </c>
      <c r="H930" s="7">
        <v>5</v>
      </c>
      <c r="I930" s="4" t="s">
        <v>329</v>
      </c>
      <c r="J930" s="4" t="s">
        <v>330</v>
      </c>
      <c r="K930" s="7">
        <v>629.82181600000001</v>
      </c>
      <c r="L930" s="7">
        <v>950</v>
      </c>
      <c r="M930" s="7">
        <v>66.297032999999999</v>
      </c>
      <c r="N930" s="7">
        <v>3</v>
      </c>
      <c r="O930" s="7">
        <v>0</v>
      </c>
      <c r="P930" s="7">
        <v>66.581227999999996</v>
      </c>
      <c r="Q930" s="7">
        <v>44.387486000000003</v>
      </c>
      <c r="R930" s="7">
        <v>50</v>
      </c>
      <c r="S930" s="7">
        <v>63.768816999999999</v>
      </c>
      <c r="T930" s="7">
        <v>75</v>
      </c>
      <c r="U930" s="7">
        <v>42.512545000000003</v>
      </c>
      <c r="V930" s="7">
        <v>50</v>
      </c>
      <c r="W930" s="7">
        <v>61.627158000000001</v>
      </c>
      <c r="X930" s="7">
        <v>41.084772000000001</v>
      </c>
      <c r="Y930" s="7">
        <v>50</v>
      </c>
      <c r="Z930" s="7">
        <v>70.750223000000005</v>
      </c>
      <c r="AA930" s="7">
        <v>59.396189999999997</v>
      </c>
      <c r="AB930" s="7">
        <v>39.597459999999998</v>
      </c>
      <c r="AC930" s="7">
        <v>50</v>
      </c>
      <c r="AD930" s="7">
        <v>63.998491999999999</v>
      </c>
      <c r="AE930" s="7">
        <v>42.665661</v>
      </c>
      <c r="AF930" s="7">
        <v>50</v>
      </c>
      <c r="AG930" s="7">
        <v>61.241934999999998</v>
      </c>
      <c r="AH930" s="7">
        <v>75</v>
      </c>
      <c r="AI930" s="7">
        <v>40.827956999999998</v>
      </c>
      <c r="AJ930" s="7">
        <v>50</v>
      </c>
      <c r="AK930" s="7">
        <v>11.23</v>
      </c>
      <c r="AL930" s="7">
        <v>11.35</v>
      </c>
      <c r="AM930" s="7">
        <v>13.75</v>
      </c>
      <c r="AN930" s="7">
        <v>0.530362</v>
      </c>
      <c r="AO930" s="7">
        <v>53.036169999999998</v>
      </c>
      <c r="AP930" s="7">
        <v>100</v>
      </c>
      <c r="AQ930" s="7">
        <v>0.599997</v>
      </c>
      <c r="AR930" s="7">
        <v>59.999715999999999</v>
      </c>
      <c r="AS930" s="7">
        <v>100</v>
      </c>
      <c r="AT930" s="7">
        <v>0.49332999999999999</v>
      </c>
      <c r="AU930" s="7">
        <v>0.66224700000000003</v>
      </c>
      <c r="AV930" s="7">
        <v>49.332976000000002</v>
      </c>
      <c r="AW930" s="7">
        <v>100</v>
      </c>
      <c r="AX930" s="7">
        <v>0.56772299999999998</v>
      </c>
      <c r="AY930" s="7">
        <v>0.71494000000000002</v>
      </c>
      <c r="AZ930" s="7">
        <v>56.772258000000001</v>
      </c>
      <c r="BA930" s="7">
        <v>100</v>
      </c>
      <c r="BB930" s="7">
        <v>0.43800600000000001</v>
      </c>
      <c r="BC930" s="7">
        <v>21.900279999999999</v>
      </c>
      <c r="BD930" s="7">
        <v>50</v>
      </c>
      <c r="BE930" s="7">
        <v>0.63017100000000004</v>
      </c>
      <c r="BF930" s="7">
        <v>31.508557</v>
      </c>
      <c r="BG930" s="7">
        <v>50</v>
      </c>
      <c r="BH930" s="7">
        <v>0</v>
      </c>
      <c r="BI930" s="7">
        <v>1</v>
      </c>
      <c r="BJ930" s="7">
        <v>1</v>
      </c>
      <c r="BK930" s="7">
        <v>1</v>
      </c>
      <c r="BL930" s="7">
        <v>1</v>
      </c>
      <c r="BM930" s="7">
        <v>1</v>
      </c>
      <c r="BN930" s="7">
        <v>1</v>
      </c>
      <c r="BO930" s="7">
        <v>1</v>
      </c>
      <c r="BP930" s="7">
        <v>1</v>
      </c>
      <c r="BQ930" s="7">
        <v>1</v>
      </c>
      <c r="BR930" s="7">
        <v>0.108197</v>
      </c>
      <c r="BS930" s="7">
        <v>38.360655999999999</v>
      </c>
      <c r="BT930" s="7">
        <v>50</v>
      </c>
      <c r="BU930" s="7">
        <v>0.12748999999999999</v>
      </c>
      <c r="BV930" s="7">
        <v>34.501992000000001</v>
      </c>
      <c r="BW930" s="7">
        <v>50</v>
      </c>
      <c r="BX930" s="4" t="s">
        <v>124</v>
      </c>
      <c r="BY930" s="4" t="s">
        <v>124</v>
      </c>
      <c r="BZ930" s="4" t="s">
        <v>124</v>
      </c>
      <c r="CA930" s="4" t="s">
        <v>124</v>
      </c>
      <c r="CB930" s="4" t="s">
        <v>124</v>
      </c>
      <c r="CC930" s="4" t="s">
        <v>124</v>
      </c>
      <c r="CD930" s="4" t="s">
        <v>124</v>
      </c>
      <c r="CE930" s="4" t="s">
        <v>124</v>
      </c>
      <c r="CF930" s="4" t="s">
        <v>124</v>
      </c>
      <c r="CG930" s="4" t="s">
        <v>124</v>
      </c>
      <c r="CH930" s="4" t="s">
        <v>124</v>
      </c>
      <c r="CI930" s="4" t="s">
        <v>124</v>
      </c>
      <c r="CJ930" s="4" t="s">
        <v>124</v>
      </c>
      <c r="CK930" s="4" t="s">
        <v>124</v>
      </c>
      <c r="CL930" s="4" t="s">
        <v>124</v>
      </c>
      <c r="CM930" s="4" t="s">
        <v>124</v>
      </c>
      <c r="CN930" s="4" t="s">
        <v>124</v>
      </c>
      <c r="CO930" s="4" t="s">
        <v>124</v>
      </c>
      <c r="CP930" s="4" t="s">
        <v>124</v>
      </c>
      <c r="CQ930" s="7">
        <v>0.5</v>
      </c>
      <c r="CR930" s="7">
        <v>0.98734200000000005</v>
      </c>
      <c r="CS930" s="7">
        <v>33.333333000000003</v>
      </c>
      <c r="CT930" s="7">
        <v>50</v>
      </c>
      <c r="CU930" s="4" t="s">
        <v>124</v>
      </c>
      <c r="CV930" s="4" t="s">
        <v>124</v>
      </c>
      <c r="CW930" s="4" t="s">
        <v>124</v>
      </c>
      <c r="CX930" s="4" t="s">
        <v>124</v>
      </c>
      <c r="CY930" s="4" t="s">
        <v>124</v>
      </c>
      <c r="CZ930" s="4" t="s">
        <v>124</v>
      </c>
      <c r="DA930" s="7">
        <v>15.314097</v>
      </c>
      <c r="DB930" s="7">
        <v>17.400950000000002</v>
      </c>
      <c r="DC930" s="7">
        <v>16.332519999999999</v>
      </c>
      <c r="DD930" s="4" t="s">
        <v>124</v>
      </c>
      <c r="DE930" s="7">
        <v>0</v>
      </c>
      <c r="DF930" s="6"/>
      <c r="DG930" s="6"/>
      <c r="DH930" s="6"/>
      <c r="DI930" s="6"/>
      <c r="DJ930" s="7">
        <v>0</v>
      </c>
      <c r="DK930" s="7">
        <v>0</v>
      </c>
      <c r="DL930" s="7">
        <v>0</v>
      </c>
      <c r="DM930" s="7">
        <v>0</v>
      </c>
      <c r="DN930" s="7">
        <v>0</v>
      </c>
      <c r="DO930" s="7">
        <v>0</v>
      </c>
      <c r="DP930" s="6"/>
      <c r="DQ930" s="4" t="s">
        <v>125</v>
      </c>
    </row>
    <row r="931" spans="1:121" ht="20" customHeight="1" x14ac:dyDescent="0.15">
      <c r="A931" s="5">
        <v>2018</v>
      </c>
      <c r="B931" s="3" t="s">
        <v>186</v>
      </c>
      <c r="C931" s="4" t="str">
        <f t="shared" si="260"/>
        <v>1430011</v>
      </c>
      <c r="D931" s="4" t="s">
        <v>1081</v>
      </c>
      <c r="E931" s="4" t="str">
        <f>"1430911"</f>
        <v>1430911</v>
      </c>
      <c r="F931" s="4" t="s">
        <v>327</v>
      </c>
      <c r="G931" s="4" t="s">
        <v>338</v>
      </c>
      <c r="H931" s="7">
        <v>3</v>
      </c>
      <c r="I931" s="6"/>
      <c r="J931" s="4" t="s">
        <v>330</v>
      </c>
      <c r="K931" s="7">
        <v>455.11089900000002</v>
      </c>
      <c r="L931" s="7">
        <v>600</v>
      </c>
      <c r="M931" s="7">
        <v>75.851816999999997</v>
      </c>
      <c r="N931" s="7">
        <v>2</v>
      </c>
      <c r="O931" s="7">
        <v>0</v>
      </c>
      <c r="P931" s="7">
        <v>66.142674999999997</v>
      </c>
      <c r="Q931" s="7">
        <v>88.190234000000004</v>
      </c>
      <c r="R931" s="7">
        <v>100</v>
      </c>
      <c r="S931" s="7">
        <v>62.572878000000003</v>
      </c>
      <c r="T931" s="7">
        <v>73.853437999999997</v>
      </c>
      <c r="U931" s="7">
        <v>83.430503000000002</v>
      </c>
      <c r="V931" s="7">
        <v>100</v>
      </c>
      <c r="W931" s="7">
        <v>60.781703999999998</v>
      </c>
      <c r="X931" s="7">
        <v>81.042271999999997</v>
      </c>
      <c r="Y931" s="7">
        <v>100</v>
      </c>
      <c r="Z931" s="7">
        <v>67.344443999999996</v>
      </c>
      <c r="AA931" s="7">
        <v>57.743397999999999</v>
      </c>
      <c r="AB931" s="7">
        <v>76.991197999999997</v>
      </c>
      <c r="AC931" s="7">
        <v>100</v>
      </c>
      <c r="AD931" s="4" t="s">
        <v>124</v>
      </c>
      <c r="AE931" s="4" t="s">
        <v>124</v>
      </c>
      <c r="AF931" s="4" t="s">
        <v>124</v>
      </c>
      <c r="AG931" s="4" t="s">
        <v>124</v>
      </c>
      <c r="AH931" s="4" t="s">
        <v>124</v>
      </c>
      <c r="AI931" s="4" t="s">
        <v>124</v>
      </c>
      <c r="AJ931" s="4" t="s">
        <v>124</v>
      </c>
      <c r="AK931" s="7">
        <v>11.28</v>
      </c>
      <c r="AL931" s="7">
        <v>9.6</v>
      </c>
      <c r="AM931" s="4" t="s">
        <v>124</v>
      </c>
      <c r="AN931" s="4" t="s">
        <v>124</v>
      </c>
      <c r="AO931" s="4" t="s">
        <v>124</v>
      </c>
      <c r="AP931" s="4" t="s">
        <v>124</v>
      </c>
      <c r="AQ931" s="4" t="s">
        <v>124</v>
      </c>
      <c r="AR931" s="4" t="s">
        <v>124</v>
      </c>
      <c r="AS931" s="4" t="s">
        <v>124</v>
      </c>
      <c r="AT931" s="4" t="s">
        <v>124</v>
      </c>
      <c r="AU931" s="4" t="s">
        <v>124</v>
      </c>
      <c r="AV931" s="4" t="s">
        <v>124</v>
      </c>
      <c r="AW931" s="4" t="s">
        <v>124</v>
      </c>
      <c r="AX931" s="4" t="s">
        <v>124</v>
      </c>
      <c r="AY931" s="4" t="s">
        <v>124</v>
      </c>
      <c r="AZ931" s="4" t="s">
        <v>124</v>
      </c>
      <c r="BA931" s="4" t="s">
        <v>124</v>
      </c>
      <c r="BB931" s="7">
        <v>0.54045600000000005</v>
      </c>
      <c r="BC931" s="7">
        <v>27.022787999999998</v>
      </c>
      <c r="BD931" s="7">
        <v>50</v>
      </c>
      <c r="BE931" s="7">
        <v>0.47880600000000001</v>
      </c>
      <c r="BF931" s="7">
        <v>23.940314999999998</v>
      </c>
      <c r="BG931" s="7">
        <v>50</v>
      </c>
      <c r="BH931" s="7">
        <v>0</v>
      </c>
      <c r="BI931" s="7">
        <v>0.99390199999999995</v>
      </c>
      <c r="BJ931" s="7">
        <v>0.99090900000000004</v>
      </c>
      <c r="BK931" s="7">
        <v>1</v>
      </c>
      <c r="BL931" s="7">
        <v>0.99390199999999995</v>
      </c>
      <c r="BM931" s="7">
        <v>0.99090900000000004</v>
      </c>
      <c r="BN931" s="7">
        <v>1</v>
      </c>
      <c r="BO931" s="4" t="s">
        <v>124</v>
      </c>
      <c r="BP931" s="4" t="s">
        <v>124</v>
      </c>
      <c r="BQ931" s="4" t="s">
        <v>124</v>
      </c>
      <c r="BR931" s="7">
        <v>0.104615</v>
      </c>
      <c r="BS931" s="7">
        <v>39.076923000000001</v>
      </c>
      <c r="BT931" s="7">
        <v>50</v>
      </c>
      <c r="BU931" s="7">
        <v>0.122917</v>
      </c>
      <c r="BV931" s="7">
        <v>35.416666999999997</v>
      </c>
      <c r="BW931" s="7">
        <v>50</v>
      </c>
      <c r="BX931" s="4" t="s">
        <v>124</v>
      </c>
      <c r="BY931" s="4" t="s">
        <v>124</v>
      </c>
      <c r="BZ931" s="4" t="s">
        <v>124</v>
      </c>
      <c r="CA931" s="4" t="s">
        <v>124</v>
      </c>
      <c r="CB931" s="4" t="s">
        <v>124</v>
      </c>
      <c r="CC931" s="4" t="s">
        <v>124</v>
      </c>
      <c r="CD931" s="4" t="s">
        <v>124</v>
      </c>
      <c r="CE931" s="4" t="s">
        <v>124</v>
      </c>
      <c r="CF931" s="4" t="s">
        <v>124</v>
      </c>
      <c r="CG931" s="4" t="s">
        <v>124</v>
      </c>
      <c r="CH931" s="4" t="s">
        <v>124</v>
      </c>
      <c r="CI931" s="4" t="s">
        <v>124</v>
      </c>
      <c r="CJ931" s="4" t="s">
        <v>124</v>
      </c>
      <c r="CK931" s="4" t="s">
        <v>124</v>
      </c>
      <c r="CL931" s="4" t="s">
        <v>124</v>
      </c>
      <c r="CM931" s="4" t="s">
        <v>124</v>
      </c>
      <c r="CN931" s="4" t="s">
        <v>124</v>
      </c>
      <c r="CO931" s="4" t="s">
        <v>124</v>
      </c>
      <c r="CP931" s="4" t="s">
        <v>124</v>
      </c>
      <c r="CQ931" s="4" t="s">
        <v>124</v>
      </c>
      <c r="CR931" s="4" t="s">
        <v>124</v>
      </c>
      <c r="CS931" s="4" t="s">
        <v>124</v>
      </c>
      <c r="CT931" s="4" t="s">
        <v>124</v>
      </c>
      <c r="CU931" s="4" t="s">
        <v>124</v>
      </c>
      <c r="CV931" s="4" t="s">
        <v>124</v>
      </c>
      <c r="CW931" s="4" t="s">
        <v>124</v>
      </c>
      <c r="CX931" s="4" t="s">
        <v>124</v>
      </c>
      <c r="CY931" s="4" t="s">
        <v>124</v>
      </c>
      <c r="CZ931" s="4" t="s">
        <v>124</v>
      </c>
      <c r="DA931" s="7">
        <v>15.314097</v>
      </c>
      <c r="DB931" s="7">
        <v>17.400950000000002</v>
      </c>
      <c r="DC931" s="7">
        <v>16.332519999999999</v>
      </c>
      <c r="DD931" s="4" t="s">
        <v>124</v>
      </c>
      <c r="DE931" s="7">
        <v>0</v>
      </c>
      <c r="DF931" s="6"/>
      <c r="DG931" s="6"/>
      <c r="DH931" s="4" t="s">
        <v>331</v>
      </c>
      <c r="DI931" s="4" t="s">
        <v>944</v>
      </c>
      <c r="DJ931" s="7">
        <v>0</v>
      </c>
      <c r="DK931" s="7">
        <v>0</v>
      </c>
      <c r="DL931" s="7">
        <v>0</v>
      </c>
      <c r="DM931" s="7">
        <v>0</v>
      </c>
      <c r="DN931" s="7">
        <v>0</v>
      </c>
      <c r="DO931" s="7">
        <v>1</v>
      </c>
      <c r="DP931" s="6"/>
      <c r="DQ931" s="4" t="s">
        <v>125</v>
      </c>
    </row>
    <row r="932" spans="1:121" ht="20" customHeight="1" x14ac:dyDescent="0.15">
      <c r="A932" s="5">
        <v>2018</v>
      </c>
      <c r="B932" s="3" t="s">
        <v>186</v>
      </c>
      <c r="C932" s="4" t="str">
        <f t="shared" si="260"/>
        <v>1430011</v>
      </c>
      <c r="D932" s="4" t="s">
        <v>1082</v>
      </c>
      <c r="E932" s="4" t="str">
        <f>"1436111"</f>
        <v>1436111</v>
      </c>
      <c r="F932" s="4" t="s">
        <v>327</v>
      </c>
      <c r="G932" s="7">
        <v>9</v>
      </c>
      <c r="H932" s="7">
        <v>12</v>
      </c>
      <c r="I932" s="6"/>
      <c r="J932" s="4" t="s">
        <v>330</v>
      </c>
      <c r="K932" s="7">
        <v>1029.1040370000001</v>
      </c>
      <c r="L932" s="7">
        <v>1550</v>
      </c>
      <c r="M932" s="7">
        <v>66.393809000000005</v>
      </c>
      <c r="N932" s="7">
        <v>3</v>
      </c>
      <c r="O932" s="7">
        <v>1</v>
      </c>
      <c r="P932" s="7">
        <v>52.912036999999998</v>
      </c>
      <c r="Q932" s="7">
        <v>105.824074</v>
      </c>
      <c r="R932" s="7">
        <v>150</v>
      </c>
      <c r="S932" s="7">
        <v>46.369615000000003</v>
      </c>
      <c r="T932" s="7">
        <v>62.071429000000002</v>
      </c>
      <c r="U932" s="7">
        <v>92.739228999999995</v>
      </c>
      <c r="V932" s="7">
        <v>150</v>
      </c>
      <c r="W932" s="7">
        <v>48.375991999999997</v>
      </c>
      <c r="X932" s="7">
        <v>96.751983999999993</v>
      </c>
      <c r="Y932" s="7">
        <v>150</v>
      </c>
      <c r="Z932" s="7">
        <v>54.607143000000001</v>
      </c>
      <c r="AA932" s="7">
        <v>43.925170000000001</v>
      </c>
      <c r="AB932" s="7">
        <v>87.850340000000003</v>
      </c>
      <c r="AC932" s="7">
        <v>150</v>
      </c>
      <c r="AD932" s="7">
        <v>47.994886999999999</v>
      </c>
      <c r="AE932" s="7">
        <v>63.993183000000002</v>
      </c>
      <c r="AF932" s="7">
        <v>100</v>
      </c>
      <c r="AG932" s="7">
        <v>44.597200000000001</v>
      </c>
      <c r="AH932" s="7">
        <v>52.751648000000003</v>
      </c>
      <c r="AI932" s="7">
        <v>59.462933999999997</v>
      </c>
      <c r="AJ932" s="7">
        <v>100</v>
      </c>
      <c r="AK932" s="7">
        <v>15.7</v>
      </c>
      <c r="AL932" s="7">
        <v>10.68</v>
      </c>
      <c r="AM932" s="7">
        <v>8.15</v>
      </c>
      <c r="AN932" s="4" t="s">
        <v>124</v>
      </c>
      <c r="AO932" s="4" t="s">
        <v>124</v>
      </c>
      <c r="AP932" s="4" t="s">
        <v>124</v>
      </c>
      <c r="AQ932" s="4" t="s">
        <v>124</v>
      </c>
      <c r="AR932" s="4" t="s">
        <v>124</v>
      </c>
      <c r="AS932" s="4" t="s">
        <v>124</v>
      </c>
      <c r="AT932" s="4" t="s">
        <v>124</v>
      </c>
      <c r="AU932" s="4" t="s">
        <v>124</v>
      </c>
      <c r="AV932" s="4" t="s">
        <v>124</v>
      </c>
      <c r="AW932" s="4" t="s">
        <v>124</v>
      </c>
      <c r="AX932" s="4" t="s">
        <v>124</v>
      </c>
      <c r="AY932" s="4" t="s">
        <v>124</v>
      </c>
      <c r="AZ932" s="4" t="s">
        <v>124</v>
      </c>
      <c r="BA932" s="4" t="s">
        <v>124</v>
      </c>
      <c r="BB932" s="7">
        <v>0.265982</v>
      </c>
      <c r="BC932" s="7">
        <v>13.299085</v>
      </c>
      <c r="BD932" s="7">
        <v>50</v>
      </c>
      <c r="BE932" s="7">
        <v>0.49259700000000001</v>
      </c>
      <c r="BF932" s="7">
        <v>24.629842</v>
      </c>
      <c r="BG932" s="7">
        <v>50</v>
      </c>
      <c r="BH932" s="7">
        <v>0</v>
      </c>
      <c r="BI932" s="7">
        <v>0.96791400000000005</v>
      </c>
      <c r="BJ932" s="7">
        <v>0.95575200000000005</v>
      </c>
      <c r="BK932" s="7">
        <v>0.98648599999999997</v>
      </c>
      <c r="BL932" s="7">
        <v>0.96791400000000005</v>
      </c>
      <c r="BM932" s="7">
        <v>0.95575200000000005</v>
      </c>
      <c r="BN932" s="7">
        <v>0.98648599999999997</v>
      </c>
      <c r="BO932" s="7">
        <v>0.97326199999999996</v>
      </c>
      <c r="BP932" s="7">
        <v>0.96460199999999996</v>
      </c>
      <c r="BQ932" s="7">
        <v>0.98648599999999997</v>
      </c>
      <c r="BR932" s="7">
        <v>0.11432</v>
      </c>
      <c r="BS932" s="7">
        <v>37.135981000000001</v>
      </c>
      <c r="BT932" s="7">
        <v>50</v>
      </c>
      <c r="BU932" s="7">
        <v>0.15596299999999999</v>
      </c>
      <c r="BV932" s="7">
        <v>28.807338999999999</v>
      </c>
      <c r="BW932" s="7">
        <v>50</v>
      </c>
      <c r="BX932" s="7">
        <v>0.88174799999999998</v>
      </c>
      <c r="BY932" s="7">
        <v>50</v>
      </c>
      <c r="BZ932" s="7">
        <v>50</v>
      </c>
      <c r="CA932" s="7">
        <v>0.25192799999999999</v>
      </c>
      <c r="CB932" s="7">
        <v>16.795200999999999</v>
      </c>
      <c r="CC932" s="7">
        <v>50</v>
      </c>
      <c r="CD932" s="7">
        <v>0.80155600000000005</v>
      </c>
      <c r="CE932" s="7">
        <v>42.635980000000004</v>
      </c>
      <c r="CF932" s="7">
        <v>50</v>
      </c>
      <c r="CG932" s="7">
        <v>0.83913000000000004</v>
      </c>
      <c r="CH932" s="7">
        <v>89.269194999999996</v>
      </c>
      <c r="CI932" s="7">
        <v>100</v>
      </c>
      <c r="CJ932" s="7">
        <v>1</v>
      </c>
      <c r="CK932" s="7">
        <v>0.77124199999999998</v>
      </c>
      <c r="CL932" s="7">
        <v>82.047003000000004</v>
      </c>
      <c r="CM932" s="7">
        <v>100</v>
      </c>
      <c r="CN932" s="7">
        <v>0.61194000000000004</v>
      </c>
      <c r="CO932" s="7">
        <v>81.592039999999997</v>
      </c>
      <c r="CP932" s="7">
        <v>100</v>
      </c>
      <c r="CQ932" s="7">
        <v>0.37623800000000002</v>
      </c>
      <c r="CR932" s="7">
        <v>0.52061900000000005</v>
      </c>
      <c r="CS932" s="7">
        <v>6.2706270000000002</v>
      </c>
      <c r="CT932" s="7">
        <v>50</v>
      </c>
      <c r="CU932" s="7">
        <v>0.67990399999999995</v>
      </c>
      <c r="CV932" s="7">
        <v>50</v>
      </c>
      <c r="CW932" s="7">
        <v>50</v>
      </c>
      <c r="CX932" s="7">
        <v>0.77124199999999998</v>
      </c>
      <c r="CY932" s="7">
        <v>0.94</v>
      </c>
      <c r="CZ932" s="7">
        <v>0.16875799999999999</v>
      </c>
      <c r="DA932" s="7">
        <v>15.314097</v>
      </c>
      <c r="DB932" s="7">
        <v>17.400950000000002</v>
      </c>
      <c r="DC932" s="7">
        <v>16.332519999999999</v>
      </c>
      <c r="DD932" s="7">
        <v>7.9891730000000001</v>
      </c>
      <c r="DE932" s="7">
        <v>1</v>
      </c>
      <c r="DF932" s="6"/>
      <c r="DG932" s="6"/>
      <c r="DH932" s="6"/>
      <c r="DI932" s="6"/>
      <c r="DJ932" s="7">
        <v>0</v>
      </c>
      <c r="DK932" s="7">
        <v>0</v>
      </c>
      <c r="DL932" s="7">
        <v>0</v>
      </c>
      <c r="DM932" s="7">
        <v>0</v>
      </c>
      <c r="DN932" s="7">
        <v>0</v>
      </c>
      <c r="DO932" s="7">
        <v>0</v>
      </c>
      <c r="DP932" s="6"/>
      <c r="DQ932" s="4" t="s">
        <v>125</v>
      </c>
    </row>
    <row r="933" spans="1:121" ht="20" customHeight="1" x14ac:dyDescent="0.15">
      <c r="A933" s="5">
        <v>2018</v>
      </c>
      <c r="B933" s="3" t="s">
        <v>186</v>
      </c>
      <c r="C933" s="4" t="str">
        <f t="shared" si="260"/>
        <v>1430011</v>
      </c>
      <c r="D933" s="4" t="s">
        <v>1083</v>
      </c>
      <c r="E933" s="4" t="str">
        <f>"1435111"</f>
        <v>1435111</v>
      </c>
      <c r="F933" s="4" t="s">
        <v>327</v>
      </c>
      <c r="G933" s="7">
        <v>6</v>
      </c>
      <c r="H933" s="7">
        <v>8</v>
      </c>
      <c r="I933" s="6"/>
      <c r="J933" s="4" t="s">
        <v>330</v>
      </c>
      <c r="K933" s="7">
        <v>625.78438100000005</v>
      </c>
      <c r="L933" s="7">
        <v>1000</v>
      </c>
      <c r="M933" s="7">
        <v>62.578437999999998</v>
      </c>
      <c r="N933" s="7">
        <v>3</v>
      </c>
      <c r="O933" s="7">
        <v>0</v>
      </c>
      <c r="P933" s="7">
        <v>61.399417</v>
      </c>
      <c r="Q933" s="7">
        <v>40.932944999999997</v>
      </c>
      <c r="R933" s="7">
        <v>50</v>
      </c>
      <c r="S933" s="7">
        <v>56.806587</v>
      </c>
      <c r="T933" s="7">
        <v>70.732757000000007</v>
      </c>
      <c r="U933" s="7">
        <v>37.871057999999998</v>
      </c>
      <c r="V933" s="7">
        <v>50</v>
      </c>
      <c r="W933" s="7">
        <v>53.423966999999998</v>
      </c>
      <c r="X933" s="7">
        <v>35.615977999999998</v>
      </c>
      <c r="Y933" s="7">
        <v>50</v>
      </c>
      <c r="Z933" s="7">
        <v>63.438952</v>
      </c>
      <c r="AA933" s="7">
        <v>48.472025000000002</v>
      </c>
      <c r="AB933" s="7">
        <v>32.314683000000002</v>
      </c>
      <c r="AC933" s="7">
        <v>50</v>
      </c>
      <c r="AD933" s="7">
        <v>59.325803000000001</v>
      </c>
      <c r="AE933" s="7">
        <v>39.550536000000001</v>
      </c>
      <c r="AF933" s="7">
        <v>50</v>
      </c>
      <c r="AG933" s="7">
        <v>55.073301999999998</v>
      </c>
      <c r="AH933" s="7">
        <v>66.943327999999994</v>
      </c>
      <c r="AI933" s="7">
        <v>36.715535000000003</v>
      </c>
      <c r="AJ933" s="7">
        <v>50</v>
      </c>
      <c r="AK933" s="7">
        <v>13.92</v>
      </c>
      <c r="AL933" s="7">
        <v>14.96</v>
      </c>
      <c r="AM933" s="7">
        <v>11.87</v>
      </c>
      <c r="AN933" s="7">
        <v>0.539211</v>
      </c>
      <c r="AO933" s="7">
        <v>53.921073999999997</v>
      </c>
      <c r="AP933" s="7">
        <v>100</v>
      </c>
      <c r="AQ933" s="7">
        <v>0.57434200000000002</v>
      </c>
      <c r="AR933" s="7">
        <v>57.434185999999997</v>
      </c>
      <c r="AS933" s="7">
        <v>100</v>
      </c>
      <c r="AT933" s="7">
        <v>0.52357100000000001</v>
      </c>
      <c r="AU933" s="7">
        <v>0.56866099999999997</v>
      </c>
      <c r="AV933" s="7">
        <v>52.357140999999999</v>
      </c>
      <c r="AW933" s="7">
        <v>100</v>
      </c>
      <c r="AX933" s="7">
        <v>0.55971400000000004</v>
      </c>
      <c r="AY933" s="7">
        <v>0.601657</v>
      </c>
      <c r="AZ933" s="7">
        <v>55.971378999999999</v>
      </c>
      <c r="BA933" s="7">
        <v>100</v>
      </c>
      <c r="BB933" s="7">
        <v>0.57359099999999996</v>
      </c>
      <c r="BC933" s="7">
        <v>28.679565</v>
      </c>
      <c r="BD933" s="7">
        <v>50</v>
      </c>
      <c r="BE933" s="7">
        <v>0.59045499999999995</v>
      </c>
      <c r="BF933" s="7">
        <v>29.522766000000001</v>
      </c>
      <c r="BG933" s="7">
        <v>50</v>
      </c>
      <c r="BH933" s="7">
        <v>0</v>
      </c>
      <c r="BI933" s="7">
        <v>0.98116899999999996</v>
      </c>
      <c r="BJ933" s="7">
        <v>0.98370400000000002</v>
      </c>
      <c r="BK933" s="7">
        <v>0.97604800000000003</v>
      </c>
      <c r="BL933" s="7">
        <v>0.98017799999999999</v>
      </c>
      <c r="BM933" s="7">
        <v>0.98219599999999996</v>
      </c>
      <c r="BN933" s="7">
        <v>0.97611899999999996</v>
      </c>
      <c r="BO933" s="7">
        <v>0.97667599999999999</v>
      </c>
      <c r="BP933" s="7">
        <v>0.97757799999999995</v>
      </c>
      <c r="BQ933" s="7">
        <v>0.97499999999999998</v>
      </c>
      <c r="BR933" s="7">
        <v>0.120159</v>
      </c>
      <c r="BS933" s="7">
        <v>35.968221999999997</v>
      </c>
      <c r="BT933" s="7">
        <v>50</v>
      </c>
      <c r="BU933" s="7">
        <v>0.15709999999999999</v>
      </c>
      <c r="BV933" s="7">
        <v>28.58006</v>
      </c>
      <c r="BW933" s="7">
        <v>50</v>
      </c>
      <c r="BX933" s="4" t="s">
        <v>124</v>
      </c>
      <c r="BY933" s="4" t="s">
        <v>124</v>
      </c>
      <c r="BZ933" s="4" t="s">
        <v>124</v>
      </c>
      <c r="CA933" s="4" t="s">
        <v>124</v>
      </c>
      <c r="CB933" s="4" t="s">
        <v>124</v>
      </c>
      <c r="CC933" s="4" t="s">
        <v>124</v>
      </c>
      <c r="CD933" s="7">
        <v>0.91591599999999995</v>
      </c>
      <c r="CE933" s="7">
        <v>48.718932000000002</v>
      </c>
      <c r="CF933" s="7">
        <v>50</v>
      </c>
      <c r="CG933" s="4" t="s">
        <v>124</v>
      </c>
      <c r="CH933" s="4" t="s">
        <v>124</v>
      </c>
      <c r="CI933" s="4" t="s">
        <v>124</v>
      </c>
      <c r="CJ933" s="4" t="s">
        <v>124</v>
      </c>
      <c r="CK933" s="4" t="s">
        <v>124</v>
      </c>
      <c r="CL933" s="4" t="s">
        <v>124</v>
      </c>
      <c r="CM933" s="4" t="s">
        <v>124</v>
      </c>
      <c r="CN933" s="4" t="s">
        <v>124</v>
      </c>
      <c r="CO933" s="4" t="s">
        <v>124</v>
      </c>
      <c r="CP933" s="4" t="s">
        <v>124</v>
      </c>
      <c r="CQ933" s="7">
        <v>0.174455</v>
      </c>
      <c r="CR933" s="7">
        <v>0.94690300000000005</v>
      </c>
      <c r="CS933" s="7">
        <v>11.630322</v>
      </c>
      <c r="CT933" s="7">
        <v>50</v>
      </c>
      <c r="CU933" s="4" t="s">
        <v>124</v>
      </c>
      <c r="CV933" s="4" t="s">
        <v>124</v>
      </c>
      <c r="CW933" s="4" t="s">
        <v>124</v>
      </c>
      <c r="CX933" s="4" t="s">
        <v>124</v>
      </c>
      <c r="CY933" s="4" t="s">
        <v>124</v>
      </c>
      <c r="CZ933" s="4" t="s">
        <v>124</v>
      </c>
      <c r="DA933" s="7">
        <v>15.314097</v>
      </c>
      <c r="DB933" s="7">
        <v>17.400950000000002</v>
      </c>
      <c r="DC933" s="7">
        <v>16.332519999999999</v>
      </c>
      <c r="DD933" s="4" t="s">
        <v>124</v>
      </c>
      <c r="DE933" s="7">
        <v>0</v>
      </c>
      <c r="DF933" s="6"/>
      <c r="DG933" s="6"/>
      <c r="DH933" s="6"/>
      <c r="DI933" s="6"/>
      <c r="DJ933" s="7">
        <v>0</v>
      </c>
      <c r="DK933" s="7">
        <v>0</v>
      </c>
      <c r="DL933" s="7">
        <v>0</v>
      </c>
      <c r="DM933" s="7">
        <v>0</v>
      </c>
      <c r="DN933" s="7">
        <v>0</v>
      </c>
      <c r="DO933" s="7">
        <v>0</v>
      </c>
      <c r="DP933" s="6"/>
      <c r="DQ933" s="4" t="s">
        <v>125</v>
      </c>
    </row>
    <row r="934" spans="1:121" ht="20" customHeight="1" x14ac:dyDescent="0.15">
      <c r="A934" s="5">
        <v>2018</v>
      </c>
      <c r="B934" s="3" t="s">
        <v>186</v>
      </c>
      <c r="C934" s="4" t="str">
        <f t="shared" si="260"/>
        <v>1430011</v>
      </c>
      <c r="D934" s="4" t="s">
        <v>1084</v>
      </c>
      <c r="E934" s="4" t="str">
        <f>"1431311"</f>
        <v>1431311</v>
      </c>
      <c r="F934" s="4" t="s">
        <v>327</v>
      </c>
      <c r="G934" s="4" t="s">
        <v>338</v>
      </c>
      <c r="H934" s="7">
        <v>3</v>
      </c>
      <c r="I934" s="4" t="s">
        <v>329</v>
      </c>
      <c r="J934" s="4" t="s">
        <v>330</v>
      </c>
      <c r="K934" s="7">
        <v>456.812838</v>
      </c>
      <c r="L934" s="7">
        <v>600</v>
      </c>
      <c r="M934" s="7">
        <v>76.135473000000005</v>
      </c>
      <c r="N934" s="7">
        <v>2</v>
      </c>
      <c r="O934" s="7">
        <v>0</v>
      </c>
      <c r="P934" s="7">
        <v>65.940770000000001</v>
      </c>
      <c r="Q934" s="7">
        <v>87.921025999999998</v>
      </c>
      <c r="R934" s="7">
        <v>100</v>
      </c>
      <c r="S934" s="7">
        <v>62.661312000000002</v>
      </c>
      <c r="T934" s="7">
        <v>75</v>
      </c>
      <c r="U934" s="7">
        <v>83.548416000000003</v>
      </c>
      <c r="V934" s="7">
        <v>100</v>
      </c>
      <c r="W934" s="7">
        <v>58.593107000000003</v>
      </c>
      <c r="X934" s="7">
        <v>78.124143000000004</v>
      </c>
      <c r="Y934" s="7">
        <v>100</v>
      </c>
      <c r="Z934" s="7">
        <v>69.498457000000002</v>
      </c>
      <c r="AA934" s="7">
        <v>55.064906000000001</v>
      </c>
      <c r="AB934" s="7">
        <v>73.419873999999993</v>
      </c>
      <c r="AC934" s="7">
        <v>100</v>
      </c>
      <c r="AD934" s="4" t="s">
        <v>124</v>
      </c>
      <c r="AE934" s="4" t="s">
        <v>124</v>
      </c>
      <c r="AF934" s="4" t="s">
        <v>124</v>
      </c>
      <c r="AG934" s="4" t="s">
        <v>124</v>
      </c>
      <c r="AH934" s="4" t="s">
        <v>124</v>
      </c>
      <c r="AI934" s="4" t="s">
        <v>124</v>
      </c>
      <c r="AJ934" s="4" t="s">
        <v>124</v>
      </c>
      <c r="AK934" s="7">
        <v>12.33</v>
      </c>
      <c r="AL934" s="7">
        <v>14.43</v>
      </c>
      <c r="AM934" s="4" t="s">
        <v>124</v>
      </c>
      <c r="AN934" s="4" t="s">
        <v>124</v>
      </c>
      <c r="AO934" s="4" t="s">
        <v>124</v>
      </c>
      <c r="AP934" s="4" t="s">
        <v>124</v>
      </c>
      <c r="AQ934" s="4" t="s">
        <v>124</v>
      </c>
      <c r="AR934" s="4" t="s">
        <v>124</v>
      </c>
      <c r="AS934" s="4" t="s">
        <v>124</v>
      </c>
      <c r="AT934" s="4" t="s">
        <v>124</v>
      </c>
      <c r="AU934" s="4" t="s">
        <v>124</v>
      </c>
      <c r="AV934" s="4" t="s">
        <v>124</v>
      </c>
      <c r="AW934" s="4" t="s">
        <v>124</v>
      </c>
      <c r="AX934" s="4" t="s">
        <v>124</v>
      </c>
      <c r="AY934" s="4" t="s">
        <v>124</v>
      </c>
      <c r="AZ934" s="4" t="s">
        <v>124</v>
      </c>
      <c r="BA934" s="4" t="s">
        <v>124</v>
      </c>
      <c r="BB934" s="7">
        <v>0.65087600000000001</v>
      </c>
      <c r="BC934" s="7">
        <v>32.543805999999996</v>
      </c>
      <c r="BD934" s="7">
        <v>50</v>
      </c>
      <c r="BE934" s="7">
        <v>0.48988399999999999</v>
      </c>
      <c r="BF934" s="7">
        <v>24.494192000000002</v>
      </c>
      <c r="BG934" s="7">
        <v>50</v>
      </c>
      <c r="BH934" s="7">
        <v>0</v>
      </c>
      <c r="BI934" s="7">
        <v>0.99346400000000001</v>
      </c>
      <c r="BJ934" s="7">
        <v>0.99107100000000004</v>
      </c>
      <c r="BK934" s="7">
        <v>1</v>
      </c>
      <c r="BL934" s="7">
        <v>0.99346400000000001</v>
      </c>
      <c r="BM934" s="7">
        <v>0.99107100000000004</v>
      </c>
      <c r="BN934" s="7">
        <v>1</v>
      </c>
      <c r="BO934" s="4" t="s">
        <v>124</v>
      </c>
      <c r="BP934" s="4" t="s">
        <v>124</v>
      </c>
      <c r="BQ934" s="4" t="s">
        <v>124</v>
      </c>
      <c r="BR934" s="7">
        <v>9.8545999999999995E-2</v>
      </c>
      <c r="BS934" s="7">
        <v>40.290792000000003</v>
      </c>
      <c r="BT934" s="7">
        <v>50</v>
      </c>
      <c r="BU934" s="7">
        <v>0.117647</v>
      </c>
      <c r="BV934" s="7">
        <v>36.470587999999999</v>
      </c>
      <c r="BW934" s="7">
        <v>50</v>
      </c>
      <c r="BX934" s="4" t="s">
        <v>124</v>
      </c>
      <c r="BY934" s="4" t="s">
        <v>124</v>
      </c>
      <c r="BZ934" s="4" t="s">
        <v>124</v>
      </c>
      <c r="CA934" s="4" t="s">
        <v>124</v>
      </c>
      <c r="CB934" s="4" t="s">
        <v>124</v>
      </c>
      <c r="CC934" s="4" t="s">
        <v>124</v>
      </c>
      <c r="CD934" s="4" t="s">
        <v>124</v>
      </c>
      <c r="CE934" s="4" t="s">
        <v>124</v>
      </c>
      <c r="CF934" s="4" t="s">
        <v>124</v>
      </c>
      <c r="CG934" s="4" t="s">
        <v>124</v>
      </c>
      <c r="CH934" s="4" t="s">
        <v>124</v>
      </c>
      <c r="CI934" s="4" t="s">
        <v>124</v>
      </c>
      <c r="CJ934" s="4" t="s">
        <v>124</v>
      </c>
      <c r="CK934" s="4" t="s">
        <v>124</v>
      </c>
      <c r="CL934" s="4" t="s">
        <v>124</v>
      </c>
      <c r="CM934" s="4" t="s">
        <v>124</v>
      </c>
      <c r="CN934" s="4" t="s">
        <v>124</v>
      </c>
      <c r="CO934" s="4" t="s">
        <v>124</v>
      </c>
      <c r="CP934" s="4" t="s">
        <v>124</v>
      </c>
      <c r="CQ934" s="4" t="s">
        <v>124</v>
      </c>
      <c r="CR934" s="4" t="s">
        <v>124</v>
      </c>
      <c r="CS934" s="4" t="s">
        <v>124</v>
      </c>
      <c r="CT934" s="4" t="s">
        <v>124</v>
      </c>
      <c r="CU934" s="4" t="s">
        <v>124</v>
      </c>
      <c r="CV934" s="4" t="s">
        <v>124</v>
      </c>
      <c r="CW934" s="4" t="s">
        <v>124</v>
      </c>
      <c r="CX934" s="4" t="s">
        <v>124</v>
      </c>
      <c r="CY934" s="4" t="s">
        <v>124</v>
      </c>
      <c r="CZ934" s="4" t="s">
        <v>124</v>
      </c>
      <c r="DA934" s="7">
        <v>15.314097</v>
      </c>
      <c r="DB934" s="7">
        <v>17.400950000000002</v>
      </c>
      <c r="DC934" s="7">
        <v>16.332519999999999</v>
      </c>
      <c r="DD934" s="4" t="s">
        <v>124</v>
      </c>
      <c r="DE934" s="7">
        <v>0</v>
      </c>
      <c r="DF934" s="6"/>
      <c r="DG934" s="6"/>
      <c r="DH934" s="4" t="s">
        <v>331</v>
      </c>
      <c r="DI934" s="4" t="s">
        <v>944</v>
      </c>
      <c r="DJ934" s="7">
        <v>0</v>
      </c>
      <c r="DK934" s="7">
        <v>0</v>
      </c>
      <c r="DL934" s="7">
        <v>0</v>
      </c>
      <c r="DM934" s="7">
        <v>0</v>
      </c>
      <c r="DN934" s="7">
        <v>0</v>
      </c>
      <c r="DO934" s="7">
        <v>1</v>
      </c>
      <c r="DP934" s="6"/>
      <c r="DQ934" s="4" t="s">
        <v>125</v>
      </c>
    </row>
    <row r="935" spans="1:121" ht="20" customHeight="1" x14ac:dyDescent="0.15">
      <c r="A935" s="5">
        <v>2018</v>
      </c>
      <c r="B935" s="3" t="s">
        <v>199</v>
      </c>
      <c r="C935" s="4" t="str">
        <f t="shared" si="74"/>
        <v>1440011</v>
      </c>
      <c r="D935" s="4" t="s">
        <v>987</v>
      </c>
      <c r="E935" s="4" t="str">
        <f>"1440111"</f>
        <v>1440111</v>
      </c>
      <c r="F935" s="4" t="s">
        <v>327</v>
      </c>
      <c r="G935" s="4" t="s">
        <v>338</v>
      </c>
      <c r="H935" s="7">
        <v>5</v>
      </c>
      <c r="I935" s="6"/>
      <c r="J935" s="4" t="s">
        <v>330</v>
      </c>
      <c r="K935" s="7">
        <v>824.53903600000001</v>
      </c>
      <c r="L935" s="7">
        <v>950</v>
      </c>
      <c r="M935" s="7">
        <v>86.793582999999998</v>
      </c>
      <c r="N935" s="7">
        <v>1</v>
      </c>
      <c r="O935" s="7">
        <v>0</v>
      </c>
      <c r="P935" s="7">
        <v>82.151028999999994</v>
      </c>
      <c r="Q935" s="7">
        <v>50</v>
      </c>
      <c r="R935" s="7">
        <v>50</v>
      </c>
      <c r="S935" s="7">
        <v>74.461247</v>
      </c>
      <c r="T935" s="7">
        <v>75</v>
      </c>
      <c r="U935" s="7">
        <v>49.640830999999999</v>
      </c>
      <c r="V935" s="7">
        <v>50</v>
      </c>
      <c r="W935" s="7">
        <v>79.376779999999997</v>
      </c>
      <c r="X935" s="7">
        <v>50</v>
      </c>
      <c r="Y935" s="7">
        <v>50</v>
      </c>
      <c r="Z935" s="7">
        <v>75</v>
      </c>
      <c r="AA935" s="7">
        <v>73.818568999999997</v>
      </c>
      <c r="AB935" s="7">
        <v>49.212380000000003</v>
      </c>
      <c r="AC935" s="7">
        <v>50</v>
      </c>
      <c r="AD935" s="7">
        <v>80.870217999999994</v>
      </c>
      <c r="AE935" s="7">
        <v>50</v>
      </c>
      <c r="AF935" s="7">
        <v>50</v>
      </c>
      <c r="AG935" s="7">
        <v>78.835904999999997</v>
      </c>
      <c r="AH935" s="7">
        <v>75</v>
      </c>
      <c r="AI935" s="7">
        <v>50</v>
      </c>
      <c r="AJ935" s="7">
        <v>50</v>
      </c>
      <c r="AK935" s="7">
        <v>0.53</v>
      </c>
      <c r="AL935" s="7">
        <v>1.18</v>
      </c>
      <c r="AM935" s="7">
        <v>-3.83</v>
      </c>
      <c r="AN935" s="7">
        <v>0.82245299999999999</v>
      </c>
      <c r="AO935" s="7">
        <v>82.245330999999993</v>
      </c>
      <c r="AP935" s="7">
        <v>100</v>
      </c>
      <c r="AQ935" s="7">
        <v>0.78367100000000001</v>
      </c>
      <c r="AR935" s="7">
        <v>78.367138999999995</v>
      </c>
      <c r="AS935" s="7">
        <v>100</v>
      </c>
      <c r="AT935" s="7">
        <v>0.75632699999999997</v>
      </c>
      <c r="AU935" s="7">
        <v>0.84212699999999996</v>
      </c>
      <c r="AV935" s="7">
        <v>75.632682000000003</v>
      </c>
      <c r="AW935" s="7">
        <v>100</v>
      </c>
      <c r="AX935" s="7">
        <v>0.73138300000000001</v>
      </c>
      <c r="AY935" s="7">
        <v>0.79922800000000005</v>
      </c>
      <c r="AZ935" s="7">
        <v>73.138343000000006</v>
      </c>
      <c r="BA935" s="7">
        <v>100</v>
      </c>
      <c r="BB935" s="7">
        <v>0.85964099999999999</v>
      </c>
      <c r="BC935" s="7">
        <v>42.982073999999997</v>
      </c>
      <c r="BD935" s="7">
        <v>50</v>
      </c>
      <c r="BE935" s="7">
        <v>0.644868</v>
      </c>
      <c r="BF935" s="7">
        <v>32.243389000000001</v>
      </c>
      <c r="BG935" s="7">
        <v>50</v>
      </c>
      <c r="BH935" s="7">
        <v>0</v>
      </c>
      <c r="BI935" s="7">
        <v>0.99196799999999996</v>
      </c>
      <c r="BJ935" s="7">
        <v>0.98630099999999998</v>
      </c>
      <c r="BK935" s="7">
        <v>0.99431800000000004</v>
      </c>
      <c r="BL935" s="7">
        <v>0.99196799999999996</v>
      </c>
      <c r="BM935" s="7">
        <v>0.98630099999999998</v>
      </c>
      <c r="BN935" s="7">
        <v>0.99431800000000004</v>
      </c>
      <c r="BO935" s="7">
        <v>0.98863599999999996</v>
      </c>
      <c r="BP935" s="7">
        <v>1</v>
      </c>
      <c r="BQ935" s="7">
        <v>0.98461500000000002</v>
      </c>
      <c r="BR935" s="7">
        <v>4.0084000000000002E-2</v>
      </c>
      <c r="BS935" s="7">
        <v>50</v>
      </c>
      <c r="BT935" s="7">
        <v>50</v>
      </c>
      <c r="BU935" s="7">
        <v>7.2464000000000001E-2</v>
      </c>
      <c r="BV935" s="7">
        <v>45.507246000000002</v>
      </c>
      <c r="BW935" s="7">
        <v>50</v>
      </c>
      <c r="BX935" s="4" t="s">
        <v>124</v>
      </c>
      <c r="BY935" s="4" t="s">
        <v>124</v>
      </c>
      <c r="BZ935" s="4" t="s">
        <v>124</v>
      </c>
      <c r="CA935" s="4" t="s">
        <v>124</v>
      </c>
      <c r="CB935" s="4" t="s">
        <v>124</v>
      </c>
      <c r="CC935" s="4" t="s">
        <v>124</v>
      </c>
      <c r="CD935" s="4" t="s">
        <v>124</v>
      </c>
      <c r="CE935" s="4" t="s">
        <v>124</v>
      </c>
      <c r="CF935" s="4" t="s">
        <v>124</v>
      </c>
      <c r="CG935" s="4" t="s">
        <v>124</v>
      </c>
      <c r="CH935" s="4" t="s">
        <v>124</v>
      </c>
      <c r="CI935" s="4" t="s">
        <v>124</v>
      </c>
      <c r="CJ935" s="4" t="s">
        <v>124</v>
      </c>
      <c r="CK935" s="4" t="s">
        <v>124</v>
      </c>
      <c r="CL935" s="4" t="s">
        <v>124</v>
      </c>
      <c r="CM935" s="4" t="s">
        <v>124</v>
      </c>
      <c r="CN935" s="4" t="s">
        <v>124</v>
      </c>
      <c r="CO935" s="4" t="s">
        <v>124</v>
      </c>
      <c r="CP935" s="4" t="s">
        <v>124</v>
      </c>
      <c r="CQ935" s="7">
        <v>0.68354400000000004</v>
      </c>
      <c r="CR935" s="7">
        <v>0.98750000000000004</v>
      </c>
      <c r="CS935" s="7">
        <v>45.56962</v>
      </c>
      <c r="CT935" s="7">
        <v>50</v>
      </c>
      <c r="CU935" s="4" t="s">
        <v>124</v>
      </c>
      <c r="CV935" s="4" t="s">
        <v>124</v>
      </c>
      <c r="CW935" s="4" t="s">
        <v>124</v>
      </c>
      <c r="CX935" s="4" t="s">
        <v>124</v>
      </c>
      <c r="CY935" s="4" t="s">
        <v>124</v>
      </c>
      <c r="CZ935" s="4" t="s">
        <v>124</v>
      </c>
      <c r="DA935" s="7">
        <v>15.314097</v>
      </c>
      <c r="DB935" s="7">
        <v>17.400950000000002</v>
      </c>
      <c r="DC935" s="7">
        <v>16.332519999999999</v>
      </c>
      <c r="DD935" s="4" t="s">
        <v>124</v>
      </c>
      <c r="DE935" s="7">
        <v>0</v>
      </c>
      <c r="DF935" s="6"/>
      <c r="DG935" s="6"/>
      <c r="DH935" s="4" t="s">
        <v>331</v>
      </c>
      <c r="DI935" s="4" t="s">
        <v>450</v>
      </c>
      <c r="DJ935" s="7">
        <v>1</v>
      </c>
      <c r="DK935" s="7">
        <v>1</v>
      </c>
      <c r="DL935" s="7">
        <v>0</v>
      </c>
      <c r="DM935" s="7">
        <v>1</v>
      </c>
      <c r="DN935" s="7">
        <v>0</v>
      </c>
      <c r="DO935" s="7">
        <v>0</v>
      </c>
      <c r="DP935" s="6"/>
      <c r="DQ935" s="4" t="s">
        <v>125</v>
      </c>
    </row>
    <row r="936" spans="1:121" ht="20" customHeight="1" x14ac:dyDescent="0.15">
      <c r="A936" s="5">
        <v>2018</v>
      </c>
      <c r="B936" s="3" t="s">
        <v>199</v>
      </c>
      <c r="C936" s="4" t="str">
        <f t="shared" ref="C936:C943" si="261">"1440011"</f>
        <v>1440011</v>
      </c>
      <c r="D936" s="4" t="s">
        <v>1085</v>
      </c>
      <c r="E936" s="4" t="str">
        <f>"1440811"</f>
        <v>1440811</v>
      </c>
      <c r="F936" s="4" t="s">
        <v>327</v>
      </c>
      <c r="G936" s="4" t="s">
        <v>338</v>
      </c>
      <c r="H936" s="7">
        <v>5</v>
      </c>
      <c r="I936" s="6"/>
      <c r="J936" s="4" t="s">
        <v>330</v>
      </c>
      <c r="K936" s="7">
        <v>724.35623099999998</v>
      </c>
      <c r="L936" s="7">
        <v>850</v>
      </c>
      <c r="M936" s="7">
        <v>85.218379999999996</v>
      </c>
      <c r="N936" s="7">
        <v>1</v>
      </c>
      <c r="O936" s="7">
        <v>0</v>
      </c>
      <c r="P936" s="7">
        <v>86.490078999999994</v>
      </c>
      <c r="Q936" s="7">
        <v>50</v>
      </c>
      <c r="R936" s="7">
        <v>50</v>
      </c>
      <c r="S936" s="7">
        <v>73.602628999999993</v>
      </c>
      <c r="T936" s="7">
        <v>75</v>
      </c>
      <c r="U936" s="7">
        <v>49.068420000000003</v>
      </c>
      <c r="V936" s="7">
        <v>50</v>
      </c>
      <c r="W936" s="7">
        <v>83.928704999999994</v>
      </c>
      <c r="X936" s="7">
        <v>50</v>
      </c>
      <c r="Y936" s="7">
        <v>50</v>
      </c>
      <c r="Z936" s="7">
        <v>75</v>
      </c>
      <c r="AA936" s="7">
        <v>74.838978999999995</v>
      </c>
      <c r="AB936" s="7">
        <v>49.892653000000003</v>
      </c>
      <c r="AC936" s="7">
        <v>50</v>
      </c>
      <c r="AD936" s="7">
        <v>82.270471000000001</v>
      </c>
      <c r="AE936" s="7">
        <v>50</v>
      </c>
      <c r="AF936" s="7">
        <v>50</v>
      </c>
      <c r="AG936" s="7">
        <v>71.227418999999998</v>
      </c>
      <c r="AH936" s="7">
        <v>75</v>
      </c>
      <c r="AI936" s="7">
        <v>47.484946000000001</v>
      </c>
      <c r="AJ936" s="7">
        <v>50</v>
      </c>
      <c r="AK936" s="7">
        <v>1.39</v>
      </c>
      <c r="AL936" s="7">
        <v>0.16</v>
      </c>
      <c r="AM936" s="7">
        <v>3.77</v>
      </c>
      <c r="AN936" s="7">
        <v>0.78860799999999998</v>
      </c>
      <c r="AO936" s="7">
        <v>78.860771</v>
      </c>
      <c r="AP936" s="7">
        <v>100</v>
      </c>
      <c r="AQ936" s="7">
        <v>0.76981299999999997</v>
      </c>
      <c r="AR936" s="7">
        <v>76.981296</v>
      </c>
      <c r="AS936" s="7">
        <v>100</v>
      </c>
      <c r="AT936" s="7">
        <v>0.60073600000000005</v>
      </c>
      <c r="AU936" s="7">
        <v>0.82700499999999999</v>
      </c>
      <c r="AV936" s="7">
        <v>60.073599999999999</v>
      </c>
      <c r="AW936" s="7">
        <v>100</v>
      </c>
      <c r="AX936" s="7">
        <v>0.62198600000000004</v>
      </c>
      <c r="AY936" s="7">
        <v>0.80002600000000001</v>
      </c>
      <c r="AZ936" s="7">
        <v>62.198627999999999</v>
      </c>
      <c r="BA936" s="7">
        <v>100</v>
      </c>
      <c r="BB936" s="4" t="s">
        <v>124</v>
      </c>
      <c r="BC936" s="4" t="s">
        <v>124</v>
      </c>
      <c r="BD936" s="4" t="s">
        <v>124</v>
      </c>
      <c r="BE936" s="4" t="s">
        <v>124</v>
      </c>
      <c r="BF936" s="4" t="s">
        <v>124</v>
      </c>
      <c r="BG936" s="4" t="s">
        <v>124</v>
      </c>
      <c r="BH936" s="7">
        <v>0</v>
      </c>
      <c r="BI936" s="7">
        <v>1</v>
      </c>
      <c r="BJ936" s="7">
        <v>1</v>
      </c>
      <c r="BK936" s="7">
        <v>1</v>
      </c>
      <c r="BL936" s="7">
        <v>1</v>
      </c>
      <c r="BM936" s="7">
        <v>1</v>
      </c>
      <c r="BN936" s="7">
        <v>1</v>
      </c>
      <c r="BO936" s="7">
        <v>1</v>
      </c>
      <c r="BP936" s="7">
        <v>1</v>
      </c>
      <c r="BQ936" s="7">
        <v>1</v>
      </c>
      <c r="BR936" s="7">
        <v>2.3857E-2</v>
      </c>
      <c r="BS936" s="7">
        <v>50</v>
      </c>
      <c r="BT936" s="7">
        <v>50</v>
      </c>
      <c r="BU936" s="7">
        <v>5.1020000000000003E-2</v>
      </c>
      <c r="BV936" s="7">
        <v>49.795918</v>
      </c>
      <c r="BW936" s="7">
        <v>50</v>
      </c>
      <c r="BX936" s="4" t="s">
        <v>124</v>
      </c>
      <c r="BY936" s="4" t="s">
        <v>124</v>
      </c>
      <c r="BZ936" s="4" t="s">
        <v>124</v>
      </c>
      <c r="CA936" s="4" t="s">
        <v>124</v>
      </c>
      <c r="CB936" s="4" t="s">
        <v>124</v>
      </c>
      <c r="CC936" s="4" t="s">
        <v>124</v>
      </c>
      <c r="CD936" s="4" t="s">
        <v>124</v>
      </c>
      <c r="CE936" s="4" t="s">
        <v>124</v>
      </c>
      <c r="CF936" s="4" t="s">
        <v>124</v>
      </c>
      <c r="CG936" s="4" t="s">
        <v>124</v>
      </c>
      <c r="CH936" s="4" t="s">
        <v>124</v>
      </c>
      <c r="CI936" s="4" t="s">
        <v>124</v>
      </c>
      <c r="CJ936" s="4" t="s">
        <v>124</v>
      </c>
      <c r="CK936" s="4" t="s">
        <v>124</v>
      </c>
      <c r="CL936" s="4" t="s">
        <v>124</v>
      </c>
      <c r="CM936" s="4" t="s">
        <v>124</v>
      </c>
      <c r="CN936" s="4" t="s">
        <v>124</v>
      </c>
      <c r="CO936" s="4" t="s">
        <v>124</v>
      </c>
      <c r="CP936" s="4" t="s">
        <v>124</v>
      </c>
      <c r="CQ936" s="7">
        <v>0.85542200000000002</v>
      </c>
      <c r="CR936" s="7">
        <v>1</v>
      </c>
      <c r="CS936" s="7">
        <v>50</v>
      </c>
      <c r="CT936" s="7">
        <v>50</v>
      </c>
      <c r="CU936" s="4" t="s">
        <v>124</v>
      </c>
      <c r="CV936" s="4" t="s">
        <v>124</v>
      </c>
      <c r="CW936" s="4" t="s">
        <v>124</v>
      </c>
      <c r="CX936" s="4" t="s">
        <v>124</v>
      </c>
      <c r="CY936" s="4" t="s">
        <v>124</v>
      </c>
      <c r="CZ936" s="4" t="s">
        <v>124</v>
      </c>
      <c r="DA936" s="7">
        <v>15.314097</v>
      </c>
      <c r="DB936" s="7">
        <v>17.400950000000002</v>
      </c>
      <c r="DC936" s="7">
        <v>16.332519999999999</v>
      </c>
      <c r="DD936" s="4" t="s">
        <v>124</v>
      </c>
      <c r="DE936" s="7">
        <v>0</v>
      </c>
      <c r="DF936" s="6"/>
      <c r="DG936" s="6"/>
      <c r="DH936" s="4" t="s">
        <v>331</v>
      </c>
      <c r="DI936" s="4" t="s">
        <v>500</v>
      </c>
      <c r="DJ936" s="7">
        <v>0</v>
      </c>
      <c r="DK936" s="7">
        <v>1</v>
      </c>
      <c r="DL936" s="7">
        <v>0</v>
      </c>
      <c r="DM936" s="7">
        <v>0</v>
      </c>
      <c r="DN936" s="7">
        <v>0</v>
      </c>
      <c r="DO936" s="7">
        <v>0</v>
      </c>
      <c r="DP936" s="6"/>
      <c r="DQ936" s="4" t="s">
        <v>125</v>
      </c>
    </row>
    <row r="937" spans="1:121" ht="20" customHeight="1" x14ac:dyDescent="0.15">
      <c r="A937" s="5">
        <v>2018</v>
      </c>
      <c r="B937" s="3" t="s">
        <v>199</v>
      </c>
      <c r="C937" s="4" t="str">
        <f t="shared" si="261"/>
        <v>1440011</v>
      </c>
      <c r="D937" s="4" t="s">
        <v>1086</v>
      </c>
      <c r="E937" s="4" t="str">
        <f>"1441011"</f>
        <v>1441011</v>
      </c>
      <c r="F937" s="4" t="s">
        <v>327</v>
      </c>
      <c r="G937" s="4" t="s">
        <v>338</v>
      </c>
      <c r="H937" s="7">
        <v>5</v>
      </c>
      <c r="I937" s="4" t="s">
        <v>329</v>
      </c>
      <c r="J937" s="4" t="s">
        <v>330</v>
      </c>
      <c r="K937" s="7">
        <v>751.44709899999998</v>
      </c>
      <c r="L937" s="7">
        <v>950</v>
      </c>
      <c r="M937" s="7">
        <v>79.099694999999997</v>
      </c>
      <c r="N937" s="7">
        <v>2</v>
      </c>
      <c r="O937" s="7">
        <v>0</v>
      </c>
      <c r="P937" s="7">
        <v>77.583444</v>
      </c>
      <c r="Q937" s="7">
        <v>50</v>
      </c>
      <c r="R937" s="7">
        <v>50</v>
      </c>
      <c r="S937" s="7">
        <v>67.347496000000007</v>
      </c>
      <c r="T937" s="7">
        <v>75</v>
      </c>
      <c r="U937" s="7">
        <v>44.898330999999999</v>
      </c>
      <c r="V937" s="7">
        <v>50</v>
      </c>
      <c r="W937" s="7">
        <v>75.023266000000007</v>
      </c>
      <c r="X937" s="7">
        <v>50</v>
      </c>
      <c r="Y937" s="7">
        <v>50</v>
      </c>
      <c r="Z937" s="7">
        <v>75</v>
      </c>
      <c r="AA937" s="7">
        <v>67.020668999999998</v>
      </c>
      <c r="AB937" s="7">
        <v>44.680446000000003</v>
      </c>
      <c r="AC937" s="7">
        <v>50</v>
      </c>
      <c r="AD937" s="7">
        <v>73.167084000000003</v>
      </c>
      <c r="AE937" s="7">
        <v>48.778055999999999</v>
      </c>
      <c r="AF937" s="7">
        <v>50</v>
      </c>
      <c r="AG937" s="7">
        <v>62.877507000000001</v>
      </c>
      <c r="AH937" s="7">
        <v>75</v>
      </c>
      <c r="AI937" s="7">
        <v>41.918337999999999</v>
      </c>
      <c r="AJ937" s="7">
        <v>50</v>
      </c>
      <c r="AK937" s="7">
        <v>7.65</v>
      </c>
      <c r="AL937" s="7">
        <v>7.97</v>
      </c>
      <c r="AM937" s="7">
        <v>12.12</v>
      </c>
      <c r="AN937" s="7">
        <v>0.66486100000000004</v>
      </c>
      <c r="AO937" s="7">
        <v>66.486146000000005</v>
      </c>
      <c r="AP937" s="7">
        <v>100</v>
      </c>
      <c r="AQ937" s="7">
        <v>0.739456</v>
      </c>
      <c r="AR937" s="7">
        <v>73.945611</v>
      </c>
      <c r="AS937" s="7">
        <v>100</v>
      </c>
      <c r="AT937" s="7">
        <v>0.58708199999999999</v>
      </c>
      <c r="AU937" s="7">
        <v>0.70830599999999999</v>
      </c>
      <c r="AV937" s="7">
        <v>58.708226000000003</v>
      </c>
      <c r="AW937" s="7">
        <v>100</v>
      </c>
      <c r="AX937" s="7">
        <v>0.75996900000000001</v>
      </c>
      <c r="AY937" s="7">
        <v>0.72799800000000003</v>
      </c>
      <c r="AZ937" s="7">
        <v>75.996926999999999</v>
      </c>
      <c r="BA937" s="7">
        <v>100</v>
      </c>
      <c r="BB937" s="7">
        <v>0.784717</v>
      </c>
      <c r="BC937" s="7">
        <v>39.235827999999998</v>
      </c>
      <c r="BD937" s="7">
        <v>50</v>
      </c>
      <c r="BE937" s="7">
        <v>0.48947800000000002</v>
      </c>
      <c r="BF937" s="7">
        <v>24.473897000000001</v>
      </c>
      <c r="BG937" s="7">
        <v>50</v>
      </c>
      <c r="BH937" s="7">
        <v>0</v>
      </c>
      <c r="BI937" s="7">
        <v>1</v>
      </c>
      <c r="BJ937" s="7">
        <v>1</v>
      </c>
      <c r="BK937" s="7">
        <v>1</v>
      </c>
      <c r="BL937" s="7">
        <v>0.99615399999999998</v>
      </c>
      <c r="BM937" s="7">
        <v>0.99029100000000003</v>
      </c>
      <c r="BN937" s="7">
        <v>1</v>
      </c>
      <c r="BO937" s="7">
        <v>0.99065400000000003</v>
      </c>
      <c r="BP937" s="7">
        <v>0.97435899999999998</v>
      </c>
      <c r="BQ937" s="7">
        <v>1</v>
      </c>
      <c r="BR937" s="7">
        <v>4.5999999999999999E-2</v>
      </c>
      <c r="BS937" s="7">
        <v>50</v>
      </c>
      <c r="BT937" s="7">
        <v>50</v>
      </c>
      <c r="BU937" s="7">
        <v>9.1837000000000002E-2</v>
      </c>
      <c r="BV937" s="7">
        <v>41.632652999999998</v>
      </c>
      <c r="BW937" s="7">
        <v>50</v>
      </c>
      <c r="BX937" s="4" t="s">
        <v>124</v>
      </c>
      <c r="BY937" s="4" t="s">
        <v>124</v>
      </c>
      <c r="BZ937" s="4" t="s">
        <v>124</v>
      </c>
      <c r="CA937" s="4" t="s">
        <v>124</v>
      </c>
      <c r="CB937" s="4" t="s">
        <v>124</v>
      </c>
      <c r="CC937" s="4" t="s">
        <v>124</v>
      </c>
      <c r="CD937" s="4" t="s">
        <v>124</v>
      </c>
      <c r="CE937" s="4" t="s">
        <v>124</v>
      </c>
      <c r="CF937" s="4" t="s">
        <v>124</v>
      </c>
      <c r="CG937" s="4" t="s">
        <v>124</v>
      </c>
      <c r="CH937" s="4" t="s">
        <v>124</v>
      </c>
      <c r="CI937" s="4" t="s">
        <v>124</v>
      </c>
      <c r="CJ937" s="4" t="s">
        <v>124</v>
      </c>
      <c r="CK937" s="4" t="s">
        <v>124</v>
      </c>
      <c r="CL937" s="4" t="s">
        <v>124</v>
      </c>
      <c r="CM937" s="4" t="s">
        <v>124</v>
      </c>
      <c r="CN937" s="4" t="s">
        <v>124</v>
      </c>
      <c r="CO937" s="4" t="s">
        <v>124</v>
      </c>
      <c r="CP937" s="4" t="s">
        <v>124</v>
      </c>
      <c r="CQ937" s="7">
        <v>0.61038999999999999</v>
      </c>
      <c r="CR937" s="7">
        <v>1</v>
      </c>
      <c r="CS937" s="7">
        <v>40.692641000000002</v>
      </c>
      <c r="CT937" s="7">
        <v>50</v>
      </c>
      <c r="CU937" s="4" t="s">
        <v>124</v>
      </c>
      <c r="CV937" s="4" t="s">
        <v>124</v>
      </c>
      <c r="CW937" s="4" t="s">
        <v>124</v>
      </c>
      <c r="CX937" s="4" t="s">
        <v>124</v>
      </c>
      <c r="CY937" s="4" t="s">
        <v>124</v>
      </c>
      <c r="CZ937" s="4" t="s">
        <v>124</v>
      </c>
      <c r="DA937" s="7">
        <v>15.314097</v>
      </c>
      <c r="DB937" s="7">
        <v>17.400950000000002</v>
      </c>
      <c r="DC937" s="7">
        <v>16.332519999999999</v>
      </c>
      <c r="DD937" s="4" t="s">
        <v>124</v>
      </c>
      <c r="DE937" s="7">
        <v>0</v>
      </c>
      <c r="DF937" s="6"/>
      <c r="DG937" s="6"/>
      <c r="DH937" s="6"/>
      <c r="DI937" s="6"/>
      <c r="DJ937" s="7">
        <v>0</v>
      </c>
      <c r="DK937" s="7">
        <v>0</v>
      </c>
      <c r="DL937" s="7">
        <v>0</v>
      </c>
      <c r="DM937" s="7">
        <v>0</v>
      </c>
      <c r="DN937" s="7">
        <v>0</v>
      </c>
      <c r="DO937" s="7">
        <v>0</v>
      </c>
      <c r="DP937" s="6"/>
      <c r="DQ937" s="4" t="s">
        <v>125</v>
      </c>
    </row>
    <row r="938" spans="1:121" ht="20" customHeight="1" x14ac:dyDescent="0.15">
      <c r="A938" s="5">
        <v>2018</v>
      </c>
      <c r="B938" s="3" t="s">
        <v>199</v>
      </c>
      <c r="C938" s="4" t="str">
        <f t="shared" si="261"/>
        <v>1440011</v>
      </c>
      <c r="D938" s="4" t="s">
        <v>1087</v>
      </c>
      <c r="E938" s="4" t="str">
        <f>"1445211"</f>
        <v>1445211</v>
      </c>
      <c r="F938" s="4" t="s">
        <v>327</v>
      </c>
      <c r="G938" s="7">
        <v>6</v>
      </c>
      <c r="H938" s="7">
        <v>8</v>
      </c>
      <c r="I938" s="6"/>
      <c r="J938" s="4" t="s">
        <v>330</v>
      </c>
      <c r="K938" s="7">
        <v>757.04716199999996</v>
      </c>
      <c r="L938" s="7">
        <v>900</v>
      </c>
      <c r="M938" s="7">
        <v>84.116350999999995</v>
      </c>
      <c r="N938" s="7">
        <v>2</v>
      </c>
      <c r="O938" s="7">
        <v>0</v>
      </c>
      <c r="P938" s="7">
        <v>85.881536999999994</v>
      </c>
      <c r="Q938" s="7">
        <v>50</v>
      </c>
      <c r="R938" s="7">
        <v>50</v>
      </c>
      <c r="S938" s="7">
        <v>73.587997999999999</v>
      </c>
      <c r="T938" s="7">
        <v>75</v>
      </c>
      <c r="U938" s="7">
        <v>49.058664999999998</v>
      </c>
      <c r="V938" s="7">
        <v>50</v>
      </c>
      <c r="W938" s="7">
        <v>80.810225000000003</v>
      </c>
      <c r="X938" s="7">
        <v>50</v>
      </c>
      <c r="Y938" s="7">
        <v>50</v>
      </c>
      <c r="Z938" s="7">
        <v>75</v>
      </c>
      <c r="AA938" s="7">
        <v>67.250613999999999</v>
      </c>
      <c r="AB938" s="7">
        <v>44.833742999999998</v>
      </c>
      <c r="AC938" s="7">
        <v>50</v>
      </c>
      <c r="AD938" s="7">
        <v>81.817240999999996</v>
      </c>
      <c r="AE938" s="7">
        <v>50</v>
      </c>
      <c r="AF938" s="7">
        <v>50</v>
      </c>
      <c r="AG938" s="7">
        <v>68.455172000000005</v>
      </c>
      <c r="AH938" s="7">
        <v>75</v>
      </c>
      <c r="AI938" s="7">
        <v>45.636781999999997</v>
      </c>
      <c r="AJ938" s="7">
        <v>50</v>
      </c>
      <c r="AK938" s="7">
        <v>1.41</v>
      </c>
      <c r="AL938" s="7">
        <v>7.74</v>
      </c>
      <c r="AM938" s="7">
        <v>6.54</v>
      </c>
      <c r="AN938" s="7">
        <v>0.70660000000000001</v>
      </c>
      <c r="AO938" s="7">
        <v>70.659982999999997</v>
      </c>
      <c r="AP938" s="7">
        <v>100</v>
      </c>
      <c r="AQ938" s="7">
        <v>0.75859299999999996</v>
      </c>
      <c r="AR938" s="7">
        <v>75.859313999999998</v>
      </c>
      <c r="AS938" s="7">
        <v>100</v>
      </c>
      <c r="AT938" s="7">
        <v>0.63187800000000005</v>
      </c>
      <c r="AU938" s="7">
        <v>0.72874000000000005</v>
      </c>
      <c r="AV938" s="7">
        <v>63.187779999999997</v>
      </c>
      <c r="AW938" s="7">
        <v>100</v>
      </c>
      <c r="AX938" s="7">
        <v>0.65816799999999998</v>
      </c>
      <c r="AY938" s="7">
        <v>0.78840399999999999</v>
      </c>
      <c r="AZ938" s="7">
        <v>65.816792000000007</v>
      </c>
      <c r="BA938" s="7">
        <v>100</v>
      </c>
      <c r="BB938" s="4" t="s">
        <v>124</v>
      </c>
      <c r="BC938" s="4" t="s">
        <v>124</v>
      </c>
      <c r="BD938" s="4" t="s">
        <v>124</v>
      </c>
      <c r="BE938" s="4" t="s">
        <v>124</v>
      </c>
      <c r="BF938" s="4" t="s">
        <v>124</v>
      </c>
      <c r="BG938" s="4" t="s">
        <v>124</v>
      </c>
      <c r="BH938" s="7">
        <v>0</v>
      </c>
      <c r="BI938" s="7">
        <v>0.99449799999999999</v>
      </c>
      <c r="BJ938" s="7">
        <v>0.98876399999999998</v>
      </c>
      <c r="BK938" s="7">
        <v>0.99635700000000005</v>
      </c>
      <c r="BL938" s="7">
        <v>0.99449799999999999</v>
      </c>
      <c r="BM938" s="7">
        <v>0.98876399999999998</v>
      </c>
      <c r="BN938" s="7">
        <v>0.99635700000000005</v>
      </c>
      <c r="BO938" s="7">
        <v>0.99590199999999995</v>
      </c>
      <c r="BP938" s="7">
        <v>0.98275900000000005</v>
      </c>
      <c r="BQ938" s="7">
        <v>1</v>
      </c>
      <c r="BR938" s="7">
        <v>2.7548E-2</v>
      </c>
      <c r="BS938" s="7">
        <v>50</v>
      </c>
      <c r="BT938" s="7">
        <v>50</v>
      </c>
      <c r="BU938" s="7">
        <v>7.1006E-2</v>
      </c>
      <c r="BV938" s="7">
        <v>45.798817</v>
      </c>
      <c r="BW938" s="7">
        <v>50</v>
      </c>
      <c r="BX938" s="4" t="s">
        <v>124</v>
      </c>
      <c r="BY938" s="4" t="s">
        <v>124</v>
      </c>
      <c r="BZ938" s="4" t="s">
        <v>124</v>
      </c>
      <c r="CA938" s="4" t="s">
        <v>124</v>
      </c>
      <c r="CB938" s="4" t="s">
        <v>124</v>
      </c>
      <c r="CC938" s="4" t="s">
        <v>124</v>
      </c>
      <c r="CD938" s="7">
        <v>0.98809499999999995</v>
      </c>
      <c r="CE938" s="7">
        <v>50</v>
      </c>
      <c r="CF938" s="7">
        <v>50</v>
      </c>
      <c r="CG938" s="4" t="s">
        <v>124</v>
      </c>
      <c r="CH938" s="4" t="s">
        <v>124</v>
      </c>
      <c r="CI938" s="4" t="s">
        <v>124</v>
      </c>
      <c r="CJ938" s="4" t="s">
        <v>124</v>
      </c>
      <c r="CK938" s="4" t="s">
        <v>124</v>
      </c>
      <c r="CL938" s="4" t="s">
        <v>124</v>
      </c>
      <c r="CM938" s="4" t="s">
        <v>124</v>
      </c>
      <c r="CN938" s="4" t="s">
        <v>124</v>
      </c>
      <c r="CO938" s="4" t="s">
        <v>124</v>
      </c>
      <c r="CP938" s="4" t="s">
        <v>124</v>
      </c>
      <c r="CQ938" s="7">
        <v>0.69292900000000002</v>
      </c>
      <c r="CR938" s="7">
        <v>0.99397599999999997</v>
      </c>
      <c r="CS938" s="7">
        <v>46.195286000000003</v>
      </c>
      <c r="CT938" s="7">
        <v>50</v>
      </c>
      <c r="CU938" s="4" t="s">
        <v>124</v>
      </c>
      <c r="CV938" s="4" t="s">
        <v>124</v>
      </c>
      <c r="CW938" s="4" t="s">
        <v>124</v>
      </c>
      <c r="CX938" s="4" t="s">
        <v>124</v>
      </c>
      <c r="CY938" s="4" t="s">
        <v>124</v>
      </c>
      <c r="CZ938" s="4" t="s">
        <v>124</v>
      </c>
      <c r="DA938" s="7">
        <v>15.314097</v>
      </c>
      <c r="DB938" s="7">
        <v>17.400950000000002</v>
      </c>
      <c r="DC938" s="7">
        <v>16.332519999999999</v>
      </c>
      <c r="DD938" s="4" t="s">
        <v>124</v>
      </c>
      <c r="DE938" s="7">
        <v>0</v>
      </c>
      <c r="DF938" s="6"/>
      <c r="DG938" s="6"/>
      <c r="DH938" s="6"/>
      <c r="DI938" s="6"/>
      <c r="DJ938" s="7">
        <v>0</v>
      </c>
      <c r="DK938" s="7">
        <v>0</v>
      </c>
      <c r="DL938" s="7">
        <v>0</v>
      </c>
      <c r="DM938" s="7">
        <v>0</v>
      </c>
      <c r="DN938" s="7">
        <v>0</v>
      </c>
      <c r="DO938" s="7">
        <v>0</v>
      </c>
      <c r="DP938" s="6"/>
      <c r="DQ938" s="4" t="s">
        <v>125</v>
      </c>
    </row>
    <row r="939" spans="1:121" ht="20" customHeight="1" x14ac:dyDescent="0.15">
      <c r="A939" s="5">
        <v>2018</v>
      </c>
      <c r="B939" s="3" t="s">
        <v>199</v>
      </c>
      <c r="C939" s="4" t="str">
        <f t="shared" si="261"/>
        <v>1440011</v>
      </c>
      <c r="D939" s="4" t="s">
        <v>1088</v>
      </c>
      <c r="E939" s="4" t="str">
        <f>"1440411"</f>
        <v>1440411</v>
      </c>
      <c r="F939" s="4" t="s">
        <v>327</v>
      </c>
      <c r="G939" s="4" t="s">
        <v>338</v>
      </c>
      <c r="H939" s="7">
        <v>5</v>
      </c>
      <c r="I939" s="6"/>
      <c r="J939" s="4" t="s">
        <v>330</v>
      </c>
      <c r="K939" s="7">
        <v>706.47260400000005</v>
      </c>
      <c r="L939" s="7">
        <v>850</v>
      </c>
      <c r="M939" s="7">
        <v>83.114424</v>
      </c>
      <c r="N939" s="7">
        <v>2</v>
      </c>
      <c r="O939" s="7">
        <v>0</v>
      </c>
      <c r="P939" s="7">
        <v>81.891469000000001</v>
      </c>
      <c r="Q939" s="7">
        <v>50</v>
      </c>
      <c r="R939" s="7">
        <v>50</v>
      </c>
      <c r="S939" s="7">
        <v>73.890499000000005</v>
      </c>
      <c r="T939" s="7">
        <v>75</v>
      </c>
      <c r="U939" s="7">
        <v>49.260331999999998</v>
      </c>
      <c r="V939" s="7">
        <v>50</v>
      </c>
      <c r="W939" s="7">
        <v>78.633588000000003</v>
      </c>
      <c r="X939" s="7">
        <v>50</v>
      </c>
      <c r="Y939" s="7">
        <v>50</v>
      </c>
      <c r="Z939" s="7">
        <v>75</v>
      </c>
      <c r="AA939" s="7">
        <v>70.352101000000005</v>
      </c>
      <c r="AB939" s="7">
        <v>46.901400000000002</v>
      </c>
      <c r="AC939" s="7">
        <v>50</v>
      </c>
      <c r="AD939" s="7">
        <v>78.239363999999995</v>
      </c>
      <c r="AE939" s="7">
        <v>50</v>
      </c>
      <c r="AF939" s="7">
        <v>50</v>
      </c>
      <c r="AG939" s="7">
        <v>64.387096999999997</v>
      </c>
      <c r="AH939" s="7">
        <v>75</v>
      </c>
      <c r="AI939" s="7">
        <v>42.924731000000001</v>
      </c>
      <c r="AJ939" s="7">
        <v>50</v>
      </c>
      <c r="AK939" s="7">
        <v>1.1000000000000001</v>
      </c>
      <c r="AL939" s="7">
        <v>4.6399999999999997</v>
      </c>
      <c r="AM939" s="7">
        <v>10.61</v>
      </c>
      <c r="AN939" s="7">
        <v>0.74819899999999995</v>
      </c>
      <c r="AO939" s="7">
        <v>74.819918000000001</v>
      </c>
      <c r="AP939" s="7">
        <v>100</v>
      </c>
      <c r="AQ939" s="7">
        <v>0.78449800000000003</v>
      </c>
      <c r="AR939" s="7">
        <v>78.449770000000001</v>
      </c>
      <c r="AS939" s="7">
        <v>100</v>
      </c>
      <c r="AT939" s="7">
        <v>0.71617399999999998</v>
      </c>
      <c r="AU939" s="7">
        <v>0.76322299999999998</v>
      </c>
      <c r="AV939" s="7">
        <v>71.617371000000006</v>
      </c>
      <c r="AW939" s="7">
        <v>100</v>
      </c>
      <c r="AX939" s="7">
        <v>0.66083999999999998</v>
      </c>
      <c r="AY939" s="7">
        <v>0.84250999999999998</v>
      </c>
      <c r="AZ939" s="7">
        <v>66.083986999999993</v>
      </c>
      <c r="BA939" s="7">
        <v>100</v>
      </c>
      <c r="BB939" s="4" t="s">
        <v>124</v>
      </c>
      <c r="BC939" s="4" t="s">
        <v>124</v>
      </c>
      <c r="BD939" s="4" t="s">
        <v>124</v>
      </c>
      <c r="BE939" s="4" t="s">
        <v>124</v>
      </c>
      <c r="BF939" s="4" t="s">
        <v>124</v>
      </c>
      <c r="BG939" s="4" t="s">
        <v>124</v>
      </c>
      <c r="BH939" s="7">
        <v>0</v>
      </c>
      <c r="BI939" s="7">
        <v>0.99502500000000005</v>
      </c>
      <c r="BJ939" s="7">
        <v>0.98333300000000001</v>
      </c>
      <c r="BK939" s="7">
        <v>1</v>
      </c>
      <c r="BL939" s="7">
        <v>0.99502500000000005</v>
      </c>
      <c r="BM939" s="7">
        <v>0.98333300000000001</v>
      </c>
      <c r="BN939" s="7">
        <v>1</v>
      </c>
      <c r="BO939" s="7">
        <v>1</v>
      </c>
      <c r="BP939" s="7">
        <v>1</v>
      </c>
      <c r="BQ939" s="7">
        <v>1</v>
      </c>
      <c r="BR939" s="7">
        <v>2.4937999999999998E-2</v>
      </c>
      <c r="BS939" s="7">
        <v>50</v>
      </c>
      <c r="BT939" s="7">
        <v>50</v>
      </c>
      <c r="BU939" s="7">
        <v>3.3708000000000002E-2</v>
      </c>
      <c r="BV939" s="7">
        <v>50</v>
      </c>
      <c r="BW939" s="7">
        <v>50</v>
      </c>
      <c r="BX939" s="4" t="s">
        <v>124</v>
      </c>
      <c r="BY939" s="4" t="s">
        <v>124</v>
      </c>
      <c r="BZ939" s="4" t="s">
        <v>124</v>
      </c>
      <c r="CA939" s="4" t="s">
        <v>124</v>
      </c>
      <c r="CB939" s="4" t="s">
        <v>124</v>
      </c>
      <c r="CC939" s="4" t="s">
        <v>124</v>
      </c>
      <c r="CD939" s="4" t="s">
        <v>124</v>
      </c>
      <c r="CE939" s="4" t="s">
        <v>124</v>
      </c>
      <c r="CF939" s="4" t="s">
        <v>124</v>
      </c>
      <c r="CG939" s="4" t="s">
        <v>124</v>
      </c>
      <c r="CH939" s="4" t="s">
        <v>124</v>
      </c>
      <c r="CI939" s="4" t="s">
        <v>124</v>
      </c>
      <c r="CJ939" s="4" t="s">
        <v>124</v>
      </c>
      <c r="CK939" s="4" t="s">
        <v>124</v>
      </c>
      <c r="CL939" s="4" t="s">
        <v>124</v>
      </c>
      <c r="CM939" s="4" t="s">
        <v>124</v>
      </c>
      <c r="CN939" s="4" t="s">
        <v>124</v>
      </c>
      <c r="CO939" s="4" t="s">
        <v>124</v>
      </c>
      <c r="CP939" s="4" t="s">
        <v>124</v>
      </c>
      <c r="CQ939" s="7">
        <v>0.39622600000000002</v>
      </c>
      <c r="CR939" s="7">
        <v>1.019231</v>
      </c>
      <c r="CS939" s="7">
        <v>26.415094</v>
      </c>
      <c r="CT939" s="7">
        <v>50</v>
      </c>
      <c r="CU939" s="4" t="s">
        <v>124</v>
      </c>
      <c r="CV939" s="4" t="s">
        <v>124</v>
      </c>
      <c r="CW939" s="4" t="s">
        <v>124</v>
      </c>
      <c r="CX939" s="4" t="s">
        <v>124</v>
      </c>
      <c r="CY939" s="4" t="s">
        <v>124</v>
      </c>
      <c r="CZ939" s="4" t="s">
        <v>124</v>
      </c>
      <c r="DA939" s="7">
        <v>15.314097</v>
      </c>
      <c r="DB939" s="7">
        <v>17.400950000000002</v>
      </c>
      <c r="DC939" s="7">
        <v>16.332519999999999</v>
      </c>
      <c r="DD939" s="4" t="s">
        <v>124</v>
      </c>
      <c r="DE939" s="7">
        <v>0</v>
      </c>
      <c r="DF939" s="6"/>
      <c r="DG939" s="6"/>
      <c r="DH939" s="4" t="s">
        <v>331</v>
      </c>
      <c r="DI939" s="4" t="s">
        <v>523</v>
      </c>
      <c r="DJ939" s="7">
        <v>0</v>
      </c>
      <c r="DK939" s="7">
        <v>0</v>
      </c>
      <c r="DL939" s="7">
        <v>0</v>
      </c>
      <c r="DM939" s="7">
        <v>1</v>
      </c>
      <c r="DN939" s="7">
        <v>0</v>
      </c>
      <c r="DO939" s="7">
        <v>0</v>
      </c>
      <c r="DP939" s="6"/>
      <c r="DQ939" s="4" t="s">
        <v>125</v>
      </c>
    </row>
    <row r="940" spans="1:121" ht="20" customHeight="1" x14ac:dyDescent="0.15">
      <c r="A940" s="5">
        <v>2018</v>
      </c>
      <c r="B940" s="3" t="s">
        <v>199</v>
      </c>
      <c r="C940" s="4" t="str">
        <f t="shared" si="261"/>
        <v>1440011</v>
      </c>
      <c r="D940" s="4" t="s">
        <v>1089</v>
      </c>
      <c r="E940" s="4" t="str">
        <f>"1445111"</f>
        <v>1445111</v>
      </c>
      <c r="F940" s="4" t="s">
        <v>327</v>
      </c>
      <c r="G940" s="7">
        <v>6</v>
      </c>
      <c r="H940" s="7">
        <v>8</v>
      </c>
      <c r="I940" s="6"/>
      <c r="J940" s="4" t="s">
        <v>330</v>
      </c>
      <c r="K940" s="7">
        <v>669.04970600000001</v>
      </c>
      <c r="L940" s="7">
        <v>900</v>
      </c>
      <c r="M940" s="7">
        <v>74.338856000000007</v>
      </c>
      <c r="N940" s="7">
        <v>2</v>
      </c>
      <c r="O940" s="7">
        <v>0</v>
      </c>
      <c r="P940" s="7">
        <v>78.383002000000005</v>
      </c>
      <c r="Q940" s="7">
        <v>50</v>
      </c>
      <c r="R940" s="7">
        <v>50</v>
      </c>
      <c r="S940" s="7">
        <v>66.062106999999997</v>
      </c>
      <c r="T940" s="7">
        <v>75</v>
      </c>
      <c r="U940" s="7">
        <v>44.041404999999997</v>
      </c>
      <c r="V940" s="7">
        <v>50</v>
      </c>
      <c r="W940" s="7">
        <v>75.384782000000001</v>
      </c>
      <c r="X940" s="7">
        <v>50</v>
      </c>
      <c r="Y940" s="7">
        <v>50</v>
      </c>
      <c r="Z940" s="7">
        <v>75</v>
      </c>
      <c r="AA940" s="7">
        <v>62.066369000000002</v>
      </c>
      <c r="AB940" s="7">
        <v>41.377580000000002</v>
      </c>
      <c r="AC940" s="7">
        <v>50</v>
      </c>
      <c r="AD940" s="7">
        <v>73.884540999999999</v>
      </c>
      <c r="AE940" s="7">
        <v>49.256360999999998</v>
      </c>
      <c r="AF940" s="7">
        <v>50</v>
      </c>
      <c r="AG940" s="7">
        <v>59.795938</v>
      </c>
      <c r="AH940" s="7">
        <v>75</v>
      </c>
      <c r="AI940" s="7">
        <v>39.863957999999997</v>
      </c>
      <c r="AJ940" s="7">
        <v>50</v>
      </c>
      <c r="AK940" s="7">
        <v>8.93</v>
      </c>
      <c r="AL940" s="7">
        <v>12.93</v>
      </c>
      <c r="AM940" s="7">
        <v>15.2</v>
      </c>
      <c r="AN940" s="7">
        <v>0.56328900000000004</v>
      </c>
      <c r="AO940" s="7">
        <v>56.328921999999999</v>
      </c>
      <c r="AP940" s="7">
        <v>100</v>
      </c>
      <c r="AQ940" s="7">
        <v>0.63610500000000003</v>
      </c>
      <c r="AR940" s="7">
        <v>63.610484</v>
      </c>
      <c r="AS940" s="7">
        <v>100</v>
      </c>
      <c r="AT940" s="7">
        <v>0.48327900000000001</v>
      </c>
      <c r="AU940" s="7">
        <v>0.592032</v>
      </c>
      <c r="AV940" s="7">
        <v>48.327855</v>
      </c>
      <c r="AW940" s="7">
        <v>100</v>
      </c>
      <c r="AX940" s="7">
        <v>0.51788599999999996</v>
      </c>
      <c r="AY940" s="7">
        <v>0.678311</v>
      </c>
      <c r="AZ940" s="7">
        <v>51.788615999999998</v>
      </c>
      <c r="BA940" s="7">
        <v>100</v>
      </c>
      <c r="BB940" s="4" t="s">
        <v>124</v>
      </c>
      <c r="BC940" s="4" t="s">
        <v>124</v>
      </c>
      <c r="BD940" s="4" t="s">
        <v>124</v>
      </c>
      <c r="BE940" s="4" t="s">
        <v>124</v>
      </c>
      <c r="BF940" s="4" t="s">
        <v>124</v>
      </c>
      <c r="BG940" s="4" t="s">
        <v>124</v>
      </c>
      <c r="BH940" s="7">
        <v>0</v>
      </c>
      <c r="BI940" s="7">
        <v>0.98339299999999996</v>
      </c>
      <c r="BJ940" s="7">
        <v>0.97950800000000005</v>
      </c>
      <c r="BK940" s="7">
        <v>0.98497500000000004</v>
      </c>
      <c r="BL940" s="7">
        <v>0.97864799999999996</v>
      </c>
      <c r="BM940" s="7">
        <v>0.96721299999999999</v>
      </c>
      <c r="BN940" s="7">
        <v>0.98330600000000001</v>
      </c>
      <c r="BO940" s="7">
        <v>0.98905100000000001</v>
      </c>
      <c r="BP940" s="7">
        <v>0.97368399999999999</v>
      </c>
      <c r="BQ940" s="7">
        <v>0.99494899999999997</v>
      </c>
      <c r="BR940" s="7">
        <v>5.4697000000000003E-2</v>
      </c>
      <c r="BS940" s="7">
        <v>49.060642000000001</v>
      </c>
      <c r="BT940" s="7">
        <v>50</v>
      </c>
      <c r="BU940" s="7">
        <v>9.4421000000000005E-2</v>
      </c>
      <c r="BV940" s="7">
        <v>41.115879999999997</v>
      </c>
      <c r="BW940" s="7">
        <v>50</v>
      </c>
      <c r="BX940" s="4" t="s">
        <v>124</v>
      </c>
      <c r="BY940" s="4" t="s">
        <v>124</v>
      </c>
      <c r="BZ940" s="4" t="s">
        <v>124</v>
      </c>
      <c r="CA940" s="4" t="s">
        <v>124</v>
      </c>
      <c r="CB940" s="4" t="s">
        <v>124</v>
      </c>
      <c r="CC940" s="4" t="s">
        <v>124</v>
      </c>
      <c r="CD940" s="7">
        <v>0.98518499999999998</v>
      </c>
      <c r="CE940" s="7">
        <v>50</v>
      </c>
      <c r="CF940" s="7">
        <v>50</v>
      </c>
      <c r="CG940" s="4" t="s">
        <v>124</v>
      </c>
      <c r="CH940" s="4" t="s">
        <v>124</v>
      </c>
      <c r="CI940" s="4" t="s">
        <v>124</v>
      </c>
      <c r="CJ940" s="4" t="s">
        <v>124</v>
      </c>
      <c r="CK940" s="4" t="s">
        <v>124</v>
      </c>
      <c r="CL940" s="4" t="s">
        <v>124</v>
      </c>
      <c r="CM940" s="4" t="s">
        <v>124</v>
      </c>
      <c r="CN940" s="4" t="s">
        <v>124</v>
      </c>
      <c r="CO940" s="4" t="s">
        <v>124</v>
      </c>
      <c r="CP940" s="4" t="s">
        <v>124</v>
      </c>
      <c r="CQ940" s="7">
        <v>0.51417000000000002</v>
      </c>
      <c r="CR940" s="7">
        <v>0.92509399999999997</v>
      </c>
      <c r="CS940" s="7">
        <v>34.278002999999998</v>
      </c>
      <c r="CT940" s="7">
        <v>50</v>
      </c>
      <c r="CU940" s="4" t="s">
        <v>124</v>
      </c>
      <c r="CV940" s="4" t="s">
        <v>124</v>
      </c>
      <c r="CW940" s="4" t="s">
        <v>124</v>
      </c>
      <c r="CX940" s="4" t="s">
        <v>124</v>
      </c>
      <c r="CY940" s="4" t="s">
        <v>124</v>
      </c>
      <c r="CZ940" s="4" t="s">
        <v>124</v>
      </c>
      <c r="DA940" s="7">
        <v>15.314097</v>
      </c>
      <c r="DB940" s="7">
        <v>17.400950000000002</v>
      </c>
      <c r="DC940" s="7">
        <v>16.332519999999999</v>
      </c>
      <c r="DD940" s="4" t="s">
        <v>124</v>
      </c>
      <c r="DE940" s="7">
        <v>0</v>
      </c>
      <c r="DF940" s="6"/>
      <c r="DG940" s="6"/>
      <c r="DH940" s="6"/>
      <c r="DI940" s="6"/>
      <c r="DJ940" s="7">
        <v>0</v>
      </c>
      <c r="DK940" s="7">
        <v>0</v>
      </c>
      <c r="DL940" s="7">
        <v>0</v>
      </c>
      <c r="DM940" s="7">
        <v>0</v>
      </c>
      <c r="DN940" s="7">
        <v>0</v>
      </c>
      <c r="DO940" s="7">
        <v>0</v>
      </c>
      <c r="DP940" s="6"/>
      <c r="DQ940" s="4" t="s">
        <v>125</v>
      </c>
    </row>
    <row r="941" spans="1:121" ht="20" customHeight="1" x14ac:dyDescent="0.15">
      <c r="A941" s="5">
        <v>2018</v>
      </c>
      <c r="B941" s="3" t="s">
        <v>199</v>
      </c>
      <c r="C941" s="4" t="str">
        <f t="shared" si="261"/>
        <v>1440011</v>
      </c>
      <c r="D941" s="4" t="s">
        <v>1090</v>
      </c>
      <c r="E941" s="4" t="str">
        <f>"1440311"</f>
        <v>1440311</v>
      </c>
      <c r="F941" s="4" t="s">
        <v>327</v>
      </c>
      <c r="G941" s="4" t="s">
        <v>338</v>
      </c>
      <c r="H941" s="7">
        <v>5</v>
      </c>
      <c r="I941" s="4" t="s">
        <v>329</v>
      </c>
      <c r="J941" s="4" t="s">
        <v>330</v>
      </c>
      <c r="K941" s="7">
        <v>774.64314899999999</v>
      </c>
      <c r="L941" s="7">
        <v>950</v>
      </c>
      <c r="M941" s="7">
        <v>81.541383999999994</v>
      </c>
      <c r="N941" s="7">
        <v>2</v>
      </c>
      <c r="O941" s="7">
        <v>0</v>
      </c>
      <c r="P941" s="7">
        <v>83.123986000000002</v>
      </c>
      <c r="Q941" s="7">
        <v>50</v>
      </c>
      <c r="R941" s="7">
        <v>50</v>
      </c>
      <c r="S941" s="7">
        <v>74.581136000000001</v>
      </c>
      <c r="T941" s="7">
        <v>75</v>
      </c>
      <c r="U941" s="7">
        <v>49.720756999999999</v>
      </c>
      <c r="V941" s="7">
        <v>50</v>
      </c>
      <c r="W941" s="7">
        <v>78.255279999999999</v>
      </c>
      <c r="X941" s="7">
        <v>50</v>
      </c>
      <c r="Y941" s="7">
        <v>50</v>
      </c>
      <c r="Z941" s="7">
        <v>75</v>
      </c>
      <c r="AA941" s="7">
        <v>70.219997000000006</v>
      </c>
      <c r="AB941" s="7">
        <v>46.813332000000003</v>
      </c>
      <c r="AC941" s="7">
        <v>50</v>
      </c>
      <c r="AD941" s="7">
        <v>78.728894999999994</v>
      </c>
      <c r="AE941" s="7">
        <v>50</v>
      </c>
      <c r="AF941" s="7">
        <v>50</v>
      </c>
      <c r="AG941" s="7">
        <v>69.430108000000004</v>
      </c>
      <c r="AH941" s="7">
        <v>75</v>
      </c>
      <c r="AI941" s="7">
        <v>46.286738</v>
      </c>
      <c r="AJ941" s="7">
        <v>50</v>
      </c>
      <c r="AK941" s="7">
        <v>0.41</v>
      </c>
      <c r="AL941" s="7">
        <v>4.78</v>
      </c>
      <c r="AM941" s="7">
        <v>5.56</v>
      </c>
      <c r="AN941" s="7">
        <v>0.76694499999999999</v>
      </c>
      <c r="AO941" s="7">
        <v>76.694481999999994</v>
      </c>
      <c r="AP941" s="7">
        <v>100</v>
      </c>
      <c r="AQ941" s="7">
        <v>0.75346500000000005</v>
      </c>
      <c r="AR941" s="7">
        <v>75.346509999999995</v>
      </c>
      <c r="AS941" s="7">
        <v>100</v>
      </c>
      <c r="AT941" s="7">
        <v>0.71892400000000001</v>
      </c>
      <c r="AU941" s="7">
        <v>0.79719799999999996</v>
      </c>
      <c r="AV941" s="7">
        <v>71.892377999999994</v>
      </c>
      <c r="AW941" s="7">
        <v>100</v>
      </c>
      <c r="AX941" s="7">
        <v>0.700021</v>
      </c>
      <c r="AY941" s="7">
        <v>0.786802</v>
      </c>
      <c r="AZ941" s="7">
        <v>70.002101999999994</v>
      </c>
      <c r="BA941" s="7">
        <v>100</v>
      </c>
      <c r="BB941" s="7">
        <v>0.67155600000000004</v>
      </c>
      <c r="BC941" s="7">
        <v>33.577778000000002</v>
      </c>
      <c r="BD941" s="7">
        <v>50</v>
      </c>
      <c r="BE941" s="7">
        <v>0.391847</v>
      </c>
      <c r="BF941" s="7">
        <v>19.592362000000001</v>
      </c>
      <c r="BG941" s="7">
        <v>50</v>
      </c>
      <c r="BH941" s="7">
        <v>0</v>
      </c>
      <c r="BI941" s="7">
        <v>0.99261999999999995</v>
      </c>
      <c r="BJ941" s="7">
        <v>1</v>
      </c>
      <c r="BK941" s="7">
        <v>0.98717900000000003</v>
      </c>
      <c r="BL941" s="7">
        <v>0.99631000000000003</v>
      </c>
      <c r="BM941" s="7">
        <v>1</v>
      </c>
      <c r="BN941" s="7">
        <v>0.99358999999999997</v>
      </c>
      <c r="BO941" s="7">
        <v>1</v>
      </c>
      <c r="BP941" s="7">
        <v>1</v>
      </c>
      <c r="BQ941" s="7">
        <v>1</v>
      </c>
      <c r="BR941" s="7">
        <v>5.5985E-2</v>
      </c>
      <c r="BS941" s="7">
        <v>48.803089</v>
      </c>
      <c r="BT941" s="7">
        <v>50</v>
      </c>
      <c r="BU941" s="7">
        <v>9.5238000000000003E-2</v>
      </c>
      <c r="BV941" s="7">
        <v>40.952381000000003</v>
      </c>
      <c r="BW941" s="7">
        <v>50</v>
      </c>
      <c r="BX941" s="4" t="s">
        <v>124</v>
      </c>
      <c r="BY941" s="4" t="s">
        <v>124</v>
      </c>
      <c r="BZ941" s="4" t="s">
        <v>124</v>
      </c>
      <c r="CA941" s="4" t="s">
        <v>124</v>
      </c>
      <c r="CB941" s="4" t="s">
        <v>124</v>
      </c>
      <c r="CC941" s="4" t="s">
        <v>124</v>
      </c>
      <c r="CD941" s="4" t="s">
        <v>124</v>
      </c>
      <c r="CE941" s="4" t="s">
        <v>124</v>
      </c>
      <c r="CF941" s="4" t="s">
        <v>124</v>
      </c>
      <c r="CG941" s="4" t="s">
        <v>124</v>
      </c>
      <c r="CH941" s="4" t="s">
        <v>124</v>
      </c>
      <c r="CI941" s="4" t="s">
        <v>124</v>
      </c>
      <c r="CJ941" s="4" t="s">
        <v>124</v>
      </c>
      <c r="CK941" s="4" t="s">
        <v>124</v>
      </c>
      <c r="CL941" s="4" t="s">
        <v>124</v>
      </c>
      <c r="CM941" s="4" t="s">
        <v>124</v>
      </c>
      <c r="CN941" s="4" t="s">
        <v>124</v>
      </c>
      <c r="CO941" s="4" t="s">
        <v>124</v>
      </c>
      <c r="CP941" s="4" t="s">
        <v>124</v>
      </c>
      <c r="CQ941" s="7">
        <v>0.67441899999999999</v>
      </c>
      <c r="CR941" s="7">
        <v>1</v>
      </c>
      <c r="CS941" s="7">
        <v>44.961239999999997</v>
      </c>
      <c r="CT941" s="7">
        <v>50</v>
      </c>
      <c r="CU941" s="4" t="s">
        <v>124</v>
      </c>
      <c r="CV941" s="4" t="s">
        <v>124</v>
      </c>
      <c r="CW941" s="4" t="s">
        <v>124</v>
      </c>
      <c r="CX941" s="4" t="s">
        <v>124</v>
      </c>
      <c r="CY941" s="4" t="s">
        <v>124</v>
      </c>
      <c r="CZ941" s="4" t="s">
        <v>124</v>
      </c>
      <c r="DA941" s="7">
        <v>15.314097</v>
      </c>
      <c r="DB941" s="7">
        <v>17.400950000000002</v>
      </c>
      <c r="DC941" s="7">
        <v>16.332519999999999</v>
      </c>
      <c r="DD941" s="4" t="s">
        <v>124</v>
      </c>
      <c r="DE941" s="7">
        <v>0</v>
      </c>
      <c r="DF941" s="6"/>
      <c r="DG941" s="6"/>
      <c r="DH941" s="4" t="s">
        <v>331</v>
      </c>
      <c r="DI941" s="4" t="s">
        <v>523</v>
      </c>
      <c r="DJ941" s="7">
        <v>0</v>
      </c>
      <c r="DK941" s="7">
        <v>0</v>
      </c>
      <c r="DL941" s="7">
        <v>0</v>
      </c>
      <c r="DM941" s="7">
        <v>1</v>
      </c>
      <c r="DN941" s="7">
        <v>0</v>
      </c>
      <c r="DO941" s="7">
        <v>0</v>
      </c>
      <c r="DP941" s="6"/>
      <c r="DQ941" s="4" t="s">
        <v>125</v>
      </c>
    </row>
    <row r="942" spans="1:121" ht="20" customHeight="1" x14ac:dyDescent="0.15">
      <c r="A942" s="5">
        <v>2018</v>
      </c>
      <c r="B942" s="3" t="s">
        <v>199</v>
      </c>
      <c r="C942" s="4" t="str">
        <f t="shared" si="261"/>
        <v>1440011</v>
      </c>
      <c r="D942" s="4" t="s">
        <v>1091</v>
      </c>
      <c r="E942" s="4" t="str">
        <f>"1440911"</f>
        <v>1440911</v>
      </c>
      <c r="F942" s="4" t="s">
        <v>327</v>
      </c>
      <c r="G942" s="4" t="s">
        <v>338</v>
      </c>
      <c r="H942" s="7">
        <v>5</v>
      </c>
      <c r="I942" s="6"/>
      <c r="J942" s="4" t="s">
        <v>330</v>
      </c>
      <c r="K942" s="7">
        <v>713.67462699999999</v>
      </c>
      <c r="L942" s="7">
        <v>800</v>
      </c>
      <c r="M942" s="7">
        <v>89.209327999999999</v>
      </c>
      <c r="N942" s="7">
        <v>1</v>
      </c>
      <c r="O942" s="7">
        <v>0</v>
      </c>
      <c r="P942" s="7">
        <v>86.019104999999996</v>
      </c>
      <c r="Q942" s="7">
        <v>50</v>
      </c>
      <c r="R942" s="7">
        <v>50</v>
      </c>
      <c r="S942" s="7">
        <v>70.378551999999999</v>
      </c>
      <c r="T942" s="7">
        <v>75</v>
      </c>
      <c r="U942" s="7">
        <v>46.919035000000001</v>
      </c>
      <c r="V942" s="7">
        <v>50</v>
      </c>
      <c r="W942" s="7">
        <v>84.632126</v>
      </c>
      <c r="X942" s="7">
        <v>50</v>
      </c>
      <c r="Y942" s="7">
        <v>50</v>
      </c>
      <c r="Z942" s="7">
        <v>75</v>
      </c>
      <c r="AA942" s="7">
        <v>72.704879000000005</v>
      </c>
      <c r="AB942" s="7">
        <v>48.469918999999997</v>
      </c>
      <c r="AC942" s="7">
        <v>50</v>
      </c>
      <c r="AD942" s="7">
        <v>90.612178999999998</v>
      </c>
      <c r="AE942" s="7">
        <v>50</v>
      </c>
      <c r="AF942" s="7">
        <v>50</v>
      </c>
      <c r="AG942" s="4" t="s">
        <v>124</v>
      </c>
      <c r="AH942" s="7">
        <v>75</v>
      </c>
      <c r="AI942" s="4" t="s">
        <v>124</v>
      </c>
      <c r="AJ942" s="4" t="s">
        <v>124</v>
      </c>
      <c r="AK942" s="7">
        <v>4.62</v>
      </c>
      <c r="AL942" s="7">
        <v>2.29</v>
      </c>
      <c r="AM942" s="4" t="s">
        <v>124</v>
      </c>
      <c r="AN942" s="7">
        <v>0.87087400000000004</v>
      </c>
      <c r="AO942" s="7">
        <v>87.087388000000004</v>
      </c>
      <c r="AP942" s="7">
        <v>100</v>
      </c>
      <c r="AQ942" s="7">
        <v>0.87027100000000002</v>
      </c>
      <c r="AR942" s="7">
        <v>87.027108999999996</v>
      </c>
      <c r="AS942" s="7">
        <v>100</v>
      </c>
      <c r="AT942" s="7">
        <v>0.68854099999999996</v>
      </c>
      <c r="AU942" s="7">
        <v>0.90763400000000005</v>
      </c>
      <c r="AV942" s="7">
        <v>68.854140999999998</v>
      </c>
      <c r="AW942" s="7">
        <v>100</v>
      </c>
      <c r="AX942" s="7">
        <v>0.75317000000000001</v>
      </c>
      <c r="AY942" s="7">
        <v>0.89388000000000001</v>
      </c>
      <c r="AZ942" s="7">
        <v>75.317035000000004</v>
      </c>
      <c r="BA942" s="7">
        <v>100</v>
      </c>
      <c r="BB942" s="4" t="s">
        <v>124</v>
      </c>
      <c r="BC942" s="4" t="s">
        <v>124</v>
      </c>
      <c r="BD942" s="4" t="s">
        <v>124</v>
      </c>
      <c r="BE942" s="4" t="s">
        <v>124</v>
      </c>
      <c r="BF942" s="4" t="s">
        <v>124</v>
      </c>
      <c r="BG942" s="4" t="s">
        <v>124</v>
      </c>
      <c r="BH942" s="7">
        <v>0</v>
      </c>
      <c r="BI942" s="7">
        <v>0.99583299999999997</v>
      </c>
      <c r="BJ942" s="7">
        <v>1</v>
      </c>
      <c r="BK942" s="7">
        <v>0.99484499999999998</v>
      </c>
      <c r="BL942" s="7">
        <v>0.99583299999999997</v>
      </c>
      <c r="BM942" s="7">
        <v>1</v>
      </c>
      <c r="BN942" s="7">
        <v>0.99484499999999998</v>
      </c>
      <c r="BO942" s="7">
        <v>1</v>
      </c>
      <c r="BP942" s="4" t="s">
        <v>124</v>
      </c>
      <c r="BQ942" s="7">
        <v>1</v>
      </c>
      <c r="BR942" s="7">
        <v>4.6299999999999996E-3</v>
      </c>
      <c r="BS942" s="7">
        <v>50</v>
      </c>
      <c r="BT942" s="7">
        <v>50</v>
      </c>
      <c r="BU942" s="7">
        <v>1.2821000000000001E-2</v>
      </c>
      <c r="BV942" s="7">
        <v>50</v>
      </c>
      <c r="BW942" s="7">
        <v>50</v>
      </c>
      <c r="BX942" s="4" t="s">
        <v>124</v>
      </c>
      <c r="BY942" s="4" t="s">
        <v>124</v>
      </c>
      <c r="BZ942" s="4" t="s">
        <v>124</v>
      </c>
      <c r="CA942" s="4" t="s">
        <v>124</v>
      </c>
      <c r="CB942" s="4" t="s">
        <v>124</v>
      </c>
      <c r="CC942" s="4" t="s">
        <v>124</v>
      </c>
      <c r="CD942" s="4" t="s">
        <v>124</v>
      </c>
      <c r="CE942" s="4" t="s">
        <v>124</v>
      </c>
      <c r="CF942" s="4" t="s">
        <v>124</v>
      </c>
      <c r="CG942" s="4" t="s">
        <v>124</v>
      </c>
      <c r="CH942" s="4" t="s">
        <v>124</v>
      </c>
      <c r="CI942" s="4" t="s">
        <v>124</v>
      </c>
      <c r="CJ942" s="4" t="s">
        <v>124</v>
      </c>
      <c r="CK942" s="4" t="s">
        <v>124</v>
      </c>
      <c r="CL942" s="4" t="s">
        <v>124</v>
      </c>
      <c r="CM942" s="4" t="s">
        <v>124</v>
      </c>
      <c r="CN942" s="4" t="s">
        <v>124</v>
      </c>
      <c r="CO942" s="4" t="s">
        <v>124</v>
      </c>
      <c r="CP942" s="4" t="s">
        <v>124</v>
      </c>
      <c r="CQ942" s="7">
        <v>0.84722200000000003</v>
      </c>
      <c r="CR942" s="7">
        <v>0.98630099999999998</v>
      </c>
      <c r="CS942" s="7">
        <v>50</v>
      </c>
      <c r="CT942" s="7">
        <v>50</v>
      </c>
      <c r="CU942" s="4" t="s">
        <v>124</v>
      </c>
      <c r="CV942" s="4" t="s">
        <v>124</v>
      </c>
      <c r="CW942" s="4" t="s">
        <v>124</v>
      </c>
      <c r="CX942" s="4" t="s">
        <v>124</v>
      </c>
      <c r="CY942" s="4" t="s">
        <v>124</v>
      </c>
      <c r="CZ942" s="4" t="s">
        <v>124</v>
      </c>
      <c r="DA942" s="7">
        <v>15.314097</v>
      </c>
      <c r="DB942" s="7">
        <v>17.400950000000002</v>
      </c>
      <c r="DC942" s="7">
        <v>16.332519999999999</v>
      </c>
      <c r="DD942" s="4" t="s">
        <v>124</v>
      </c>
      <c r="DE942" s="7">
        <v>0</v>
      </c>
      <c r="DF942" s="6"/>
      <c r="DG942" s="6"/>
      <c r="DH942" s="4" t="s">
        <v>331</v>
      </c>
      <c r="DI942" s="4" t="s">
        <v>497</v>
      </c>
      <c r="DJ942" s="7">
        <v>1</v>
      </c>
      <c r="DK942" s="7">
        <v>1</v>
      </c>
      <c r="DL942" s="7">
        <v>1</v>
      </c>
      <c r="DM942" s="7">
        <v>0</v>
      </c>
      <c r="DN942" s="7">
        <v>0</v>
      </c>
      <c r="DO942" s="7">
        <v>0</v>
      </c>
      <c r="DP942" s="6"/>
      <c r="DQ942" s="4" t="s">
        <v>125</v>
      </c>
    </row>
    <row r="943" spans="1:121" ht="20" customHeight="1" x14ac:dyDescent="0.15">
      <c r="A943" s="5">
        <v>2018</v>
      </c>
      <c r="B943" s="3" t="s">
        <v>199</v>
      </c>
      <c r="C943" s="4" t="str">
        <f t="shared" si="261"/>
        <v>1440011</v>
      </c>
      <c r="D943" s="4" t="s">
        <v>1092</v>
      </c>
      <c r="E943" s="4" t="str">
        <f>"1446111"</f>
        <v>1446111</v>
      </c>
      <c r="F943" s="4" t="s">
        <v>327</v>
      </c>
      <c r="G943" s="7">
        <v>9</v>
      </c>
      <c r="H943" s="7">
        <v>12</v>
      </c>
      <c r="I943" s="6"/>
      <c r="J943" s="4" t="s">
        <v>330</v>
      </c>
      <c r="K943" s="7">
        <v>1251.3727530000001</v>
      </c>
      <c r="L943" s="7">
        <v>1450</v>
      </c>
      <c r="M943" s="7">
        <v>86.301569000000001</v>
      </c>
      <c r="N943" s="7">
        <v>2</v>
      </c>
      <c r="O943" s="7">
        <v>1</v>
      </c>
      <c r="P943" s="7">
        <v>66.435952</v>
      </c>
      <c r="Q943" s="7">
        <v>132.871904</v>
      </c>
      <c r="R943" s="7">
        <v>150</v>
      </c>
      <c r="S943" s="7">
        <v>53.151389000000002</v>
      </c>
      <c r="T943" s="7">
        <v>70.977682999999999</v>
      </c>
      <c r="U943" s="7">
        <v>106.302778</v>
      </c>
      <c r="V943" s="7">
        <v>150</v>
      </c>
      <c r="W943" s="7">
        <v>67.939725999999993</v>
      </c>
      <c r="X943" s="7">
        <v>135.87945300000001</v>
      </c>
      <c r="Y943" s="7">
        <v>150</v>
      </c>
      <c r="Z943" s="7">
        <v>72.920703000000003</v>
      </c>
      <c r="AA943" s="7">
        <v>53.370370000000001</v>
      </c>
      <c r="AB943" s="7">
        <v>106.740741</v>
      </c>
      <c r="AC943" s="7">
        <v>150</v>
      </c>
      <c r="AD943" s="7">
        <v>78.916262000000003</v>
      </c>
      <c r="AE943" s="7">
        <v>100</v>
      </c>
      <c r="AF943" s="7">
        <v>100</v>
      </c>
      <c r="AG943" s="7">
        <v>63.774965000000002</v>
      </c>
      <c r="AH943" s="7">
        <v>75</v>
      </c>
      <c r="AI943" s="7">
        <v>85.033287000000001</v>
      </c>
      <c r="AJ943" s="7">
        <v>100</v>
      </c>
      <c r="AK943" s="7">
        <v>17.82</v>
      </c>
      <c r="AL943" s="7">
        <v>19.55</v>
      </c>
      <c r="AM943" s="7">
        <v>11.22</v>
      </c>
      <c r="AN943" s="4" t="s">
        <v>124</v>
      </c>
      <c r="AO943" s="4" t="s">
        <v>124</v>
      </c>
      <c r="AP943" s="4" t="s">
        <v>124</v>
      </c>
      <c r="AQ943" s="4" t="s">
        <v>124</v>
      </c>
      <c r="AR943" s="4" t="s">
        <v>124</v>
      </c>
      <c r="AS943" s="4" t="s">
        <v>124</v>
      </c>
      <c r="AT943" s="4" t="s">
        <v>124</v>
      </c>
      <c r="AU943" s="4" t="s">
        <v>124</v>
      </c>
      <c r="AV943" s="4" t="s">
        <v>124</v>
      </c>
      <c r="AW943" s="4" t="s">
        <v>124</v>
      </c>
      <c r="AX943" s="4" t="s">
        <v>124</v>
      </c>
      <c r="AY943" s="4" t="s">
        <v>124</v>
      </c>
      <c r="AZ943" s="4" t="s">
        <v>124</v>
      </c>
      <c r="BA943" s="4" t="s">
        <v>124</v>
      </c>
      <c r="BB943" s="4" t="s">
        <v>124</v>
      </c>
      <c r="BC943" s="4" t="s">
        <v>124</v>
      </c>
      <c r="BD943" s="4" t="s">
        <v>124</v>
      </c>
      <c r="BE943" s="4" t="s">
        <v>124</v>
      </c>
      <c r="BF943" s="4" t="s">
        <v>124</v>
      </c>
      <c r="BG943" s="4" t="s">
        <v>124</v>
      </c>
      <c r="BH943" s="7">
        <v>0</v>
      </c>
      <c r="BI943" s="7">
        <v>0.99372400000000005</v>
      </c>
      <c r="BJ943" s="7">
        <v>0.99187000000000003</v>
      </c>
      <c r="BK943" s="7">
        <v>0.99436599999999997</v>
      </c>
      <c r="BL943" s="7">
        <v>0.99372400000000005</v>
      </c>
      <c r="BM943" s="7">
        <v>0.99187000000000003</v>
      </c>
      <c r="BN943" s="7">
        <v>0.99436599999999997</v>
      </c>
      <c r="BO943" s="7">
        <v>0.99581600000000003</v>
      </c>
      <c r="BP943" s="7">
        <v>1</v>
      </c>
      <c r="BQ943" s="7">
        <v>0.99436599999999997</v>
      </c>
      <c r="BR943" s="7">
        <v>5.1978999999999997E-2</v>
      </c>
      <c r="BS943" s="7">
        <v>49.604196000000002</v>
      </c>
      <c r="BT943" s="7">
        <v>50</v>
      </c>
      <c r="BU943" s="7">
        <v>0.1139</v>
      </c>
      <c r="BV943" s="7">
        <v>37.220077000000003</v>
      </c>
      <c r="BW943" s="7">
        <v>50</v>
      </c>
      <c r="BX943" s="7">
        <v>0.96203799999999995</v>
      </c>
      <c r="BY943" s="7">
        <v>50</v>
      </c>
      <c r="BZ943" s="7">
        <v>50</v>
      </c>
      <c r="CA943" s="7">
        <v>0.70829200000000003</v>
      </c>
      <c r="CB943" s="7">
        <v>47.219447000000002</v>
      </c>
      <c r="CC943" s="7">
        <v>50</v>
      </c>
      <c r="CD943" s="7">
        <v>0.98412699999999997</v>
      </c>
      <c r="CE943" s="7">
        <v>50</v>
      </c>
      <c r="CF943" s="7">
        <v>50</v>
      </c>
      <c r="CG943" s="7">
        <v>0.98729599999999995</v>
      </c>
      <c r="CH943" s="7">
        <v>100</v>
      </c>
      <c r="CI943" s="7">
        <v>100</v>
      </c>
      <c r="CJ943" s="7">
        <v>0</v>
      </c>
      <c r="CK943" s="7">
        <v>0.97752799999999995</v>
      </c>
      <c r="CL943" s="7">
        <v>100</v>
      </c>
      <c r="CM943" s="7">
        <v>100</v>
      </c>
      <c r="CN943" s="7">
        <v>0.84277899999999994</v>
      </c>
      <c r="CO943" s="7">
        <v>100</v>
      </c>
      <c r="CP943" s="7">
        <v>100</v>
      </c>
      <c r="CQ943" s="7">
        <v>0.66738699999999995</v>
      </c>
      <c r="CR943" s="7">
        <v>0.87523600000000001</v>
      </c>
      <c r="CS943" s="7">
        <v>22.246220000000001</v>
      </c>
      <c r="CT943" s="7">
        <v>50</v>
      </c>
      <c r="CU943" s="7">
        <v>0.33905600000000002</v>
      </c>
      <c r="CV943" s="7">
        <v>28.254649000000001</v>
      </c>
      <c r="CW943" s="7">
        <v>50</v>
      </c>
      <c r="CX943" s="7">
        <v>0.97752799999999995</v>
      </c>
      <c r="CY943" s="7">
        <v>0.94</v>
      </c>
      <c r="CZ943" s="7">
        <v>-3.7527999999999999E-2</v>
      </c>
      <c r="DA943" s="7">
        <v>15.314097</v>
      </c>
      <c r="DB943" s="7">
        <v>17.400950000000002</v>
      </c>
      <c r="DC943" s="7">
        <v>16.332519999999999</v>
      </c>
      <c r="DD943" s="7">
        <v>7.9891730000000001</v>
      </c>
      <c r="DE943" s="7">
        <v>1</v>
      </c>
      <c r="DF943" s="6"/>
      <c r="DG943" s="6"/>
      <c r="DH943" s="6"/>
      <c r="DI943" s="6"/>
      <c r="DJ943" s="7">
        <v>0</v>
      </c>
      <c r="DK943" s="7">
        <v>0</v>
      </c>
      <c r="DL943" s="7">
        <v>0</v>
      </c>
      <c r="DM943" s="7">
        <v>0</v>
      </c>
      <c r="DN943" s="7">
        <v>0</v>
      </c>
      <c r="DO943" s="7">
        <v>0</v>
      </c>
      <c r="DP943" s="6"/>
      <c r="DQ943" s="4" t="s">
        <v>125</v>
      </c>
    </row>
    <row r="944" spans="1:121" ht="20" customHeight="1" x14ac:dyDescent="0.15">
      <c r="A944" s="5">
        <v>2018</v>
      </c>
      <c r="B944" s="3" t="s">
        <v>221</v>
      </c>
      <c r="C944" s="4" t="str">
        <f t="shared" si="96"/>
        <v>1450011</v>
      </c>
      <c r="D944" s="4" t="s">
        <v>586</v>
      </c>
      <c r="E944" s="4" t="str">
        <f>"1450111"</f>
        <v>1450111</v>
      </c>
      <c r="F944" s="4" t="s">
        <v>327</v>
      </c>
      <c r="G944" s="4" t="s">
        <v>328</v>
      </c>
      <c r="H944" s="7">
        <v>8</v>
      </c>
      <c r="I944" s="6"/>
      <c r="J944" s="4" t="s">
        <v>330</v>
      </c>
      <c r="K944" s="7">
        <v>277.11498</v>
      </c>
      <c r="L944" s="7">
        <v>350</v>
      </c>
      <c r="M944" s="7">
        <v>79.175708999999998</v>
      </c>
      <c r="N944" s="7">
        <v>2</v>
      </c>
      <c r="O944" s="7">
        <v>0</v>
      </c>
      <c r="P944" s="7">
        <v>74.215677999999997</v>
      </c>
      <c r="Q944" s="7">
        <v>49.477119000000002</v>
      </c>
      <c r="R944" s="7">
        <v>50</v>
      </c>
      <c r="S944" s="4" t="s">
        <v>124</v>
      </c>
      <c r="T944" s="4" t="s">
        <v>124</v>
      </c>
      <c r="U944" s="4" t="s">
        <v>124</v>
      </c>
      <c r="V944" s="4" t="s">
        <v>124</v>
      </c>
      <c r="W944" s="7">
        <v>64.996791999999999</v>
      </c>
      <c r="X944" s="7">
        <v>43.331194000000004</v>
      </c>
      <c r="Y944" s="7">
        <v>50</v>
      </c>
      <c r="Z944" s="4" t="s">
        <v>124</v>
      </c>
      <c r="AA944" s="4" t="s">
        <v>124</v>
      </c>
      <c r="AB944" s="4" t="s">
        <v>124</v>
      </c>
      <c r="AC944" s="4" t="s">
        <v>124</v>
      </c>
      <c r="AD944" s="4" t="s">
        <v>124</v>
      </c>
      <c r="AE944" s="4" t="s">
        <v>124</v>
      </c>
      <c r="AF944" s="4" t="s">
        <v>124</v>
      </c>
      <c r="AG944" s="4" t="s">
        <v>124</v>
      </c>
      <c r="AH944" s="4" t="s">
        <v>124</v>
      </c>
      <c r="AI944" s="4" t="s">
        <v>124</v>
      </c>
      <c r="AJ944" s="4" t="s">
        <v>124</v>
      </c>
      <c r="AK944" s="4" t="s">
        <v>124</v>
      </c>
      <c r="AL944" s="4" t="s">
        <v>124</v>
      </c>
      <c r="AM944" s="4" t="s">
        <v>124</v>
      </c>
      <c r="AN944" s="7">
        <v>0.68572699999999998</v>
      </c>
      <c r="AO944" s="7">
        <v>68.572731000000005</v>
      </c>
      <c r="AP944" s="7">
        <v>100</v>
      </c>
      <c r="AQ944" s="7">
        <v>0.65733900000000001</v>
      </c>
      <c r="AR944" s="7">
        <v>65.733936999999997</v>
      </c>
      <c r="AS944" s="7">
        <v>100</v>
      </c>
      <c r="AT944" s="4" t="s">
        <v>124</v>
      </c>
      <c r="AU944" s="4" t="s">
        <v>124</v>
      </c>
      <c r="AV944" s="4" t="s">
        <v>124</v>
      </c>
      <c r="AW944" s="4" t="s">
        <v>124</v>
      </c>
      <c r="AX944" s="4" t="s">
        <v>124</v>
      </c>
      <c r="AY944" s="4" t="s">
        <v>124</v>
      </c>
      <c r="AZ944" s="4" t="s">
        <v>124</v>
      </c>
      <c r="BA944" s="4" t="s">
        <v>124</v>
      </c>
      <c r="BB944" s="4" t="s">
        <v>124</v>
      </c>
      <c r="BC944" s="4" t="s">
        <v>124</v>
      </c>
      <c r="BD944" s="4" t="s">
        <v>124</v>
      </c>
      <c r="BE944" s="4" t="s">
        <v>124</v>
      </c>
      <c r="BF944" s="4" t="s">
        <v>124</v>
      </c>
      <c r="BG944" s="4" t="s">
        <v>124</v>
      </c>
      <c r="BH944" s="7">
        <v>0</v>
      </c>
      <c r="BI944" s="7">
        <v>1</v>
      </c>
      <c r="BJ944" s="4" t="s">
        <v>124</v>
      </c>
      <c r="BK944" s="4" t="s">
        <v>124</v>
      </c>
      <c r="BL944" s="7">
        <v>1</v>
      </c>
      <c r="BM944" s="4" t="s">
        <v>124</v>
      </c>
      <c r="BN944" s="4" t="s">
        <v>124</v>
      </c>
      <c r="BO944" s="4" t="s">
        <v>124</v>
      </c>
      <c r="BP944" s="4" t="s">
        <v>124</v>
      </c>
      <c r="BQ944" s="4" t="s">
        <v>124</v>
      </c>
      <c r="BR944" s="7">
        <v>4.3478000000000003E-2</v>
      </c>
      <c r="BS944" s="7">
        <v>50</v>
      </c>
      <c r="BT944" s="7">
        <v>50</v>
      </c>
      <c r="BU944" s="4" t="s">
        <v>124</v>
      </c>
      <c r="BV944" s="4" t="s">
        <v>124</v>
      </c>
      <c r="BW944" s="4" t="s">
        <v>124</v>
      </c>
      <c r="BX944" s="4" t="s">
        <v>124</v>
      </c>
      <c r="BY944" s="4" t="s">
        <v>124</v>
      </c>
      <c r="BZ944" s="4" t="s">
        <v>124</v>
      </c>
      <c r="CA944" s="4" t="s">
        <v>124</v>
      </c>
      <c r="CB944" s="4" t="s">
        <v>124</v>
      </c>
      <c r="CC944" s="4" t="s">
        <v>124</v>
      </c>
      <c r="CD944" s="4" t="s">
        <v>124</v>
      </c>
      <c r="CE944" s="4" t="s">
        <v>124</v>
      </c>
      <c r="CF944" s="4" t="s">
        <v>124</v>
      </c>
      <c r="CG944" s="4" t="s">
        <v>124</v>
      </c>
      <c r="CH944" s="4" t="s">
        <v>124</v>
      </c>
      <c r="CI944" s="4" t="s">
        <v>124</v>
      </c>
      <c r="CJ944" s="4" t="s">
        <v>124</v>
      </c>
      <c r="CK944" s="4" t="s">
        <v>124</v>
      </c>
      <c r="CL944" s="4" t="s">
        <v>124</v>
      </c>
      <c r="CM944" s="4" t="s">
        <v>124</v>
      </c>
      <c r="CN944" s="4" t="s">
        <v>124</v>
      </c>
      <c r="CO944" s="4" t="s">
        <v>124</v>
      </c>
      <c r="CP944" s="4" t="s">
        <v>124</v>
      </c>
      <c r="CQ944" s="4" t="s">
        <v>124</v>
      </c>
      <c r="CR944" s="4" t="s">
        <v>124</v>
      </c>
      <c r="CS944" s="4" t="s">
        <v>124</v>
      </c>
      <c r="CT944" s="4" t="s">
        <v>124</v>
      </c>
      <c r="CU944" s="4" t="s">
        <v>124</v>
      </c>
      <c r="CV944" s="4" t="s">
        <v>124</v>
      </c>
      <c r="CW944" s="4" t="s">
        <v>124</v>
      </c>
      <c r="CX944" s="4" t="s">
        <v>124</v>
      </c>
      <c r="CY944" s="4" t="s">
        <v>124</v>
      </c>
      <c r="CZ944" s="4" t="s">
        <v>124</v>
      </c>
      <c r="DA944" s="7">
        <v>15.314097</v>
      </c>
      <c r="DB944" s="7">
        <v>17.400950000000002</v>
      </c>
      <c r="DC944" s="7">
        <v>16.332519999999999</v>
      </c>
      <c r="DD944" s="4" t="s">
        <v>124</v>
      </c>
      <c r="DE944" s="7">
        <v>0</v>
      </c>
      <c r="DF944" s="6"/>
      <c r="DG944" s="6"/>
      <c r="DH944" s="6"/>
      <c r="DI944" s="6"/>
      <c r="DJ944" s="7">
        <v>0</v>
      </c>
      <c r="DK944" s="7">
        <v>0</v>
      </c>
      <c r="DL944" s="7">
        <v>0</v>
      </c>
      <c r="DM944" s="7">
        <v>0</v>
      </c>
      <c r="DN944" s="7">
        <v>0</v>
      </c>
      <c r="DO944" s="7">
        <v>0</v>
      </c>
      <c r="DP944" s="6"/>
      <c r="DQ944" s="4" t="s">
        <v>125</v>
      </c>
    </row>
    <row r="945" spans="1:121" ht="20" customHeight="1" x14ac:dyDescent="0.15">
      <c r="A945" s="5">
        <v>2018</v>
      </c>
      <c r="B945" s="3" t="s">
        <v>223</v>
      </c>
      <c r="C945" s="4" t="str">
        <f t="shared" si="98"/>
        <v>1460011</v>
      </c>
      <c r="D945" s="4" t="s">
        <v>1093</v>
      </c>
      <c r="E945" s="4" t="str">
        <f>"1461411"</f>
        <v>1461411</v>
      </c>
      <c r="F945" s="4" t="s">
        <v>327</v>
      </c>
      <c r="G945" s="4" t="s">
        <v>328</v>
      </c>
      <c r="H945" s="7">
        <v>5</v>
      </c>
      <c r="I945" s="6"/>
      <c r="J945" s="4" t="s">
        <v>330</v>
      </c>
      <c r="K945" s="7">
        <v>683.33657200000005</v>
      </c>
      <c r="L945" s="7">
        <v>850</v>
      </c>
      <c r="M945" s="7">
        <v>80.392538000000002</v>
      </c>
      <c r="N945" s="7">
        <v>2</v>
      </c>
      <c r="O945" s="7">
        <v>0</v>
      </c>
      <c r="P945" s="7">
        <v>68.749784000000005</v>
      </c>
      <c r="Q945" s="7">
        <v>45.833188999999997</v>
      </c>
      <c r="R945" s="7">
        <v>50</v>
      </c>
      <c r="S945" s="7">
        <v>62.567118999999998</v>
      </c>
      <c r="T945" s="7">
        <v>75</v>
      </c>
      <c r="U945" s="7">
        <v>41.711413</v>
      </c>
      <c r="V945" s="7">
        <v>50</v>
      </c>
      <c r="W945" s="7">
        <v>66.386784000000006</v>
      </c>
      <c r="X945" s="7">
        <v>44.257855999999997</v>
      </c>
      <c r="Y945" s="7">
        <v>50</v>
      </c>
      <c r="Z945" s="7">
        <v>74.711258999999998</v>
      </c>
      <c r="AA945" s="7">
        <v>58.512281999999999</v>
      </c>
      <c r="AB945" s="7">
        <v>39.008187999999997</v>
      </c>
      <c r="AC945" s="7">
        <v>50</v>
      </c>
      <c r="AD945" s="7">
        <v>64.225806000000006</v>
      </c>
      <c r="AE945" s="7">
        <v>42.817203999999997</v>
      </c>
      <c r="AF945" s="7">
        <v>50</v>
      </c>
      <c r="AG945" s="7">
        <v>56.888658</v>
      </c>
      <c r="AH945" s="7">
        <v>71.562955000000002</v>
      </c>
      <c r="AI945" s="7">
        <v>37.925772000000002</v>
      </c>
      <c r="AJ945" s="7">
        <v>50</v>
      </c>
      <c r="AK945" s="7">
        <v>12.43</v>
      </c>
      <c r="AL945" s="7">
        <v>16.190000000000001</v>
      </c>
      <c r="AM945" s="7">
        <v>14.67</v>
      </c>
      <c r="AN945" s="7">
        <v>0.68469899999999995</v>
      </c>
      <c r="AO945" s="7">
        <v>68.469903000000002</v>
      </c>
      <c r="AP945" s="7">
        <v>100</v>
      </c>
      <c r="AQ945" s="7">
        <v>0.78713299999999997</v>
      </c>
      <c r="AR945" s="7">
        <v>78.713262999999998</v>
      </c>
      <c r="AS945" s="7">
        <v>100</v>
      </c>
      <c r="AT945" s="7">
        <v>0.65229099999999995</v>
      </c>
      <c r="AU945" s="7">
        <v>0.71475900000000003</v>
      </c>
      <c r="AV945" s="7">
        <v>65.229066000000003</v>
      </c>
      <c r="AW945" s="7">
        <v>100</v>
      </c>
      <c r="AX945" s="7">
        <v>0.75425900000000001</v>
      </c>
      <c r="AY945" s="7">
        <v>0.81810000000000005</v>
      </c>
      <c r="AZ945" s="7">
        <v>75.425949000000003</v>
      </c>
      <c r="BA945" s="7">
        <v>100</v>
      </c>
      <c r="BB945" s="4" t="s">
        <v>124</v>
      </c>
      <c r="BC945" s="4" t="s">
        <v>124</v>
      </c>
      <c r="BD945" s="4" t="s">
        <v>124</v>
      </c>
      <c r="BE945" s="4" t="s">
        <v>124</v>
      </c>
      <c r="BF945" s="4" t="s">
        <v>124</v>
      </c>
      <c r="BG945" s="4" t="s">
        <v>124</v>
      </c>
      <c r="BH945" s="7">
        <v>0</v>
      </c>
      <c r="BI945" s="7">
        <v>0.99563299999999999</v>
      </c>
      <c r="BJ945" s="7">
        <v>0.99180299999999999</v>
      </c>
      <c r="BK945" s="7">
        <v>1</v>
      </c>
      <c r="BL945" s="7">
        <v>0.99565199999999998</v>
      </c>
      <c r="BM945" s="7">
        <v>0.99187000000000003</v>
      </c>
      <c r="BN945" s="7">
        <v>1</v>
      </c>
      <c r="BO945" s="7">
        <v>1</v>
      </c>
      <c r="BP945" s="7">
        <v>1</v>
      </c>
      <c r="BQ945" s="7">
        <v>1</v>
      </c>
      <c r="BR945" s="7">
        <v>4.3478000000000003E-2</v>
      </c>
      <c r="BS945" s="7">
        <v>50</v>
      </c>
      <c r="BT945" s="7">
        <v>50</v>
      </c>
      <c r="BU945" s="7">
        <v>6.1983000000000003E-2</v>
      </c>
      <c r="BV945" s="7">
        <v>47.603306000000003</v>
      </c>
      <c r="BW945" s="7">
        <v>50</v>
      </c>
      <c r="BX945" s="4" t="s">
        <v>124</v>
      </c>
      <c r="BY945" s="4" t="s">
        <v>124</v>
      </c>
      <c r="BZ945" s="4" t="s">
        <v>124</v>
      </c>
      <c r="CA945" s="4" t="s">
        <v>124</v>
      </c>
      <c r="CB945" s="4" t="s">
        <v>124</v>
      </c>
      <c r="CC945" s="4" t="s">
        <v>124</v>
      </c>
      <c r="CD945" s="4" t="s">
        <v>124</v>
      </c>
      <c r="CE945" s="4" t="s">
        <v>124</v>
      </c>
      <c r="CF945" s="4" t="s">
        <v>124</v>
      </c>
      <c r="CG945" s="4" t="s">
        <v>124</v>
      </c>
      <c r="CH945" s="4" t="s">
        <v>124</v>
      </c>
      <c r="CI945" s="4" t="s">
        <v>124</v>
      </c>
      <c r="CJ945" s="4" t="s">
        <v>124</v>
      </c>
      <c r="CK945" s="4" t="s">
        <v>124</v>
      </c>
      <c r="CL945" s="4" t="s">
        <v>124</v>
      </c>
      <c r="CM945" s="4" t="s">
        <v>124</v>
      </c>
      <c r="CN945" s="4" t="s">
        <v>124</v>
      </c>
      <c r="CO945" s="4" t="s">
        <v>124</v>
      </c>
      <c r="CP945" s="4" t="s">
        <v>124</v>
      </c>
      <c r="CQ945" s="7">
        <v>0.69512200000000002</v>
      </c>
      <c r="CR945" s="7">
        <v>1.051282</v>
      </c>
      <c r="CS945" s="7">
        <v>46.341462999999997</v>
      </c>
      <c r="CT945" s="7">
        <v>50</v>
      </c>
      <c r="CU945" s="4" t="s">
        <v>124</v>
      </c>
      <c r="CV945" s="4" t="s">
        <v>124</v>
      </c>
      <c r="CW945" s="4" t="s">
        <v>124</v>
      </c>
      <c r="CX945" s="4" t="s">
        <v>124</v>
      </c>
      <c r="CY945" s="4" t="s">
        <v>124</v>
      </c>
      <c r="CZ945" s="4" t="s">
        <v>124</v>
      </c>
      <c r="DA945" s="7">
        <v>15.314097</v>
      </c>
      <c r="DB945" s="7">
        <v>17.400950000000002</v>
      </c>
      <c r="DC945" s="7">
        <v>16.332519999999999</v>
      </c>
      <c r="DD945" s="4" t="s">
        <v>124</v>
      </c>
      <c r="DE945" s="7">
        <v>0</v>
      </c>
      <c r="DF945" s="6"/>
      <c r="DG945" s="6"/>
      <c r="DH945" s="6"/>
      <c r="DI945" s="6"/>
      <c r="DJ945" s="7">
        <v>0</v>
      </c>
      <c r="DK945" s="7">
        <v>0</v>
      </c>
      <c r="DL945" s="7">
        <v>0</v>
      </c>
      <c r="DM945" s="7">
        <v>0</v>
      </c>
      <c r="DN945" s="7">
        <v>0</v>
      </c>
      <c r="DO945" s="7">
        <v>0</v>
      </c>
      <c r="DP945" s="6"/>
      <c r="DQ945" s="4" t="s">
        <v>125</v>
      </c>
    </row>
    <row r="946" spans="1:121" ht="20" customHeight="1" x14ac:dyDescent="0.15">
      <c r="A946" s="5">
        <v>2018</v>
      </c>
      <c r="B946" s="3" t="s">
        <v>223</v>
      </c>
      <c r="C946" s="4" t="str">
        <f t="shared" ref="C946:C951" si="262">"1460011"</f>
        <v>1460011</v>
      </c>
      <c r="D946" s="4" t="s">
        <v>1094</v>
      </c>
      <c r="E946" s="4" t="str">
        <f>"1460111"</f>
        <v>1460111</v>
      </c>
      <c r="F946" s="4" t="s">
        <v>327</v>
      </c>
      <c r="G946" s="4" t="s">
        <v>328</v>
      </c>
      <c r="H946" s="7">
        <v>5</v>
      </c>
      <c r="I946" s="6"/>
      <c r="J946" s="4" t="s">
        <v>330</v>
      </c>
      <c r="K946" s="7">
        <v>684.58455900000001</v>
      </c>
      <c r="L946" s="7">
        <v>800</v>
      </c>
      <c r="M946" s="7">
        <v>85.573070000000001</v>
      </c>
      <c r="N946" s="7">
        <v>1</v>
      </c>
      <c r="O946" s="7">
        <v>0</v>
      </c>
      <c r="P946" s="7">
        <v>79.354136999999994</v>
      </c>
      <c r="Q946" s="7">
        <v>50</v>
      </c>
      <c r="R946" s="7">
        <v>50</v>
      </c>
      <c r="S946" s="7">
        <v>69.966752</v>
      </c>
      <c r="T946" s="7">
        <v>75</v>
      </c>
      <c r="U946" s="7">
        <v>46.644500999999998</v>
      </c>
      <c r="V946" s="7">
        <v>50</v>
      </c>
      <c r="W946" s="7">
        <v>77.235652000000002</v>
      </c>
      <c r="X946" s="7">
        <v>50</v>
      </c>
      <c r="Y946" s="7">
        <v>50</v>
      </c>
      <c r="Z946" s="7">
        <v>75</v>
      </c>
      <c r="AA946" s="7">
        <v>67.800393</v>
      </c>
      <c r="AB946" s="7">
        <v>45.200262000000002</v>
      </c>
      <c r="AC946" s="7">
        <v>50</v>
      </c>
      <c r="AD946" s="7">
        <v>76.022030000000001</v>
      </c>
      <c r="AE946" s="7">
        <v>50</v>
      </c>
      <c r="AF946" s="7">
        <v>50</v>
      </c>
      <c r="AG946" s="4" t="s">
        <v>124</v>
      </c>
      <c r="AH946" s="7">
        <v>75</v>
      </c>
      <c r="AI946" s="4" t="s">
        <v>124</v>
      </c>
      <c r="AJ946" s="4" t="s">
        <v>124</v>
      </c>
      <c r="AK946" s="7">
        <v>5.03</v>
      </c>
      <c r="AL946" s="7">
        <v>7.19</v>
      </c>
      <c r="AM946" s="4" t="s">
        <v>124</v>
      </c>
      <c r="AN946" s="7">
        <v>0.77716700000000005</v>
      </c>
      <c r="AO946" s="7">
        <v>77.716689000000002</v>
      </c>
      <c r="AP946" s="7">
        <v>100</v>
      </c>
      <c r="AQ946" s="7">
        <v>0.82577900000000004</v>
      </c>
      <c r="AR946" s="7">
        <v>82.577877999999998</v>
      </c>
      <c r="AS946" s="7">
        <v>100</v>
      </c>
      <c r="AT946" s="7">
        <v>0.68231900000000001</v>
      </c>
      <c r="AU946" s="7">
        <v>0.87201499999999998</v>
      </c>
      <c r="AV946" s="7">
        <v>68.231899999999996</v>
      </c>
      <c r="AW946" s="7">
        <v>100</v>
      </c>
      <c r="AX946" s="7">
        <v>0.72308600000000001</v>
      </c>
      <c r="AY946" s="7">
        <v>0.92847199999999996</v>
      </c>
      <c r="AZ946" s="7">
        <v>72.308566999999996</v>
      </c>
      <c r="BA946" s="7">
        <v>100</v>
      </c>
      <c r="BB946" s="4" t="s">
        <v>124</v>
      </c>
      <c r="BC946" s="4" t="s">
        <v>124</v>
      </c>
      <c r="BD946" s="4" t="s">
        <v>124</v>
      </c>
      <c r="BE946" s="4" t="s">
        <v>124</v>
      </c>
      <c r="BF946" s="4" t="s">
        <v>124</v>
      </c>
      <c r="BG946" s="4" t="s">
        <v>124</v>
      </c>
      <c r="BH946" s="7">
        <v>0</v>
      </c>
      <c r="BI946" s="7">
        <v>0.98936199999999996</v>
      </c>
      <c r="BJ946" s="7">
        <v>0.97959200000000002</v>
      </c>
      <c r="BK946" s="7">
        <v>1</v>
      </c>
      <c r="BL946" s="7">
        <v>0.98936199999999996</v>
      </c>
      <c r="BM946" s="7">
        <v>0.97959200000000002</v>
      </c>
      <c r="BN946" s="7">
        <v>1</v>
      </c>
      <c r="BO946" s="7">
        <v>1</v>
      </c>
      <c r="BP946" s="4" t="s">
        <v>124</v>
      </c>
      <c r="BQ946" s="7">
        <v>1</v>
      </c>
      <c r="BR946" s="7">
        <v>1.5873000000000002E-2</v>
      </c>
      <c r="BS946" s="7">
        <v>50</v>
      </c>
      <c r="BT946" s="7">
        <v>50</v>
      </c>
      <c r="BU946" s="7">
        <v>3.7037E-2</v>
      </c>
      <c r="BV946" s="7">
        <v>50</v>
      </c>
      <c r="BW946" s="7">
        <v>50</v>
      </c>
      <c r="BX946" s="4" t="s">
        <v>124</v>
      </c>
      <c r="BY946" s="4" t="s">
        <v>124</v>
      </c>
      <c r="BZ946" s="4" t="s">
        <v>124</v>
      </c>
      <c r="CA946" s="4" t="s">
        <v>124</v>
      </c>
      <c r="CB946" s="4" t="s">
        <v>124</v>
      </c>
      <c r="CC946" s="4" t="s">
        <v>124</v>
      </c>
      <c r="CD946" s="4" t="s">
        <v>124</v>
      </c>
      <c r="CE946" s="4" t="s">
        <v>124</v>
      </c>
      <c r="CF946" s="4" t="s">
        <v>124</v>
      </c>
      <c r="CG946" s="4" t="s">
        <v>124</v>
      </c>
      <c r="CH946" s="4" t="s">
        <v>124</v>
      </c>
      <c r="CI946" s="4" t="s">
        <v>124</v>
      </c>
      <c r="CJ946" s="4" t="s">
        <v>124</v>
      </c>
      <c r="CK946" s="4" t="s">
        <v>124</v>
      </c>
      <c r="CL946" s="4" t="s">
        <v>124</v>
      </c>
      <c r="CM946" s="4" t="s">
        <v>124</v>
      </c>
      <c r="CN946" s="4" t="s">
        <v>124</v>
      </c>
      <c r="CO946" s="4" t="s">
        <v>124</v>
      </c>
      <c r="CP946" s="4" t="s">
        <v>124</v>
      </c>
      <c r="CQ946" s="7">
        <v>0.62857099999999999</v>
      </c>
      <c r="CR946" s="7">
        <v>1</v>
      </c>
      <c r="CS946" s="7">
        <v>41.904761999999998</v>
      </c>
      <c r="CT946" s="7">
        <v>50</v>
      </c>
      <c r="CU946" s="4" t="s">
        <v>124</v>
      </c>
      <c r="CV946" s="4" t="s">
        <v>124</v>
      </c>
      <c r="CW946" s="4" t="s">
        <v>124</v>
      </c>
      <c r="CX946" s="4" t="s">
        <v>124</v>
      </c>
      <c r="CY946" s="4" t="s">
        <v>124</v>
      </c>
      <c r="CZ946" s="4" t="s">
        <v>124</v>
      </c>
      <c r="DA946" s="7">
        <v>15.314097</v>
      </c>
      <c r="DB946" s="7">
        <v>17.400950000000002</v>
      </c>
      <c r="DC946" s="7">
        <v>16.332519999999999</v>
      </c>
      <c r="DD946" s="4" t="s">
        <v>124</v>
      </c>
      <c r="DE946" s="7">
        <v>0</v>
      </c>
      <c r="DF946" s="6"/>
      <c r="DG946" s="6"/>
      <c r="DH946" s="4" t="s">
        <v>331</v>
      </c>
      <c r="DI946" s="4" t="s">
        <v>500</v>
      </c>
      <c r="DJ946" s="7">
        <v>0</v>
      </c>
      <c r="DK946" s="7">
        <v>1</v>
      </c>
      <c r="DL946" s="7">
        <v>0</v>
      </c>
      <c r="DM946" s="7">
        <v>0</v>
      </c>
      <c r="DN946" s="7">
        <v>0</v>
      </c>
      <c r="DO946" s="7">
        <v>0</v>
      </c>
      <c r="DP946" s="6"/>
      <c r="DQ946" s="4" t="s">
        <v>125</v>
      </c>
    </row>
    <row r="947" spans="1:121" ht="20" customHeight="1" x14ac:dyDescent="0.15">
      <c r="A947" s="5">
        <v>2018</v>
      </c>
      <c r="B947" s="3" t="s">
        <v>223</v>
      </c>
      <c r="C947" s="4" t="str">
        <f t="shared" si="262"/>
        <v>1460011</v>
      </c>
      <c r="D947" s="4" t="s">
        <v>1095</v>
      </c>
      <c r="E947" s="4" t="str">
        <f>"1460211"</f>
        <v>1460211</v>
      </c>
      <c r="F947" s="4" t="s">
        <v>327</v>
      </c>
      <c r="G947" s="4" t="s">
        <v>328</v>
      </c>
      <c r="H947" s="7">
        <v>5</v>
      </c>
      <c r="I947" s="4" t="s">
        <v>335</v>
      </c>
      <c r="J947" s="4" t="s">
        <v>330</v>
      </c>
      <c r="K947" s="7">
        <v>631.45184200000006</v>
      </c>
      <c r="L947" s="7">
        <v>800</v>
      </c>
      <c r="M947" s="7">
        <v>78.931479999999993</v>
      </c>
      <c r="N947" s="7">
        <v>2</v>
      </c>
      <c r="O947" s="7">
        <v>0</v>
      </c>
      <c r="P947" s="7">
        <v>67.477907000000002</v>
      </c>
      <c r="Q947" s="7">
        <v>44.985270999999997</v>
      </c>
      <c r="R947" s="7">
        <v>50</v>
      </c>
      <c r="S947" s="7">
        <v>64.988980999999995</v>
      </c>
      <c r="T947" s="7">
        <v>75</v>
      </c>
      <c r="U947" s="7">
        <v>43.325988000000002</v>
      </c>
      <c r="V947" s="7">
        <v>50</v>
      </c>
      <c r="W947" s="7">
        <v>63.900387000000002</v>
      </c>
      <c r="X947" s="7">
        <v>42.600257999999997</v>
      </c>
      <c r="Y947" s="7">
        <v>50</v>
      </c>
      <c r="Z947" s="7">
        <v>73.963161999999997</v>
      </c>
      <c r="AA947" s="7">
        <v>60.748192000000003</v>
      </c>
      <c r="AB947" s="7">
        <v>40.498795000000001</v>
      </c>
      <c r="AC947" s="7">
        <v>50</v>
      </c>
      <c r="AD947" s="7">
        <v>61.701016000000003</v>
      </c>
      <c r="AE947" s="7">
        <v>41.134010000000004</v>
      </c>
      <c r="AF947" s="7">
        <v>50</v>
      </c>
      <c r="AG947" s="4" t="s">
        <v>124</v>
      </c>
      <c r="AH947" s="4" t="s">
        <v>124</v>
      </c>
      <c r="AI947" s="4" t="s">
        <v>124</v>
      </c>
      <c r="AJ947" s="4" t="s">
        <v>124</v>
      </c>
      <c r="AK947" s="7">
        <v>10.01</v>
      </c>
      <c r="AL947" s="7">
        <v>13.21</v>
      </c>
      <c r="AM947" s="4" t="s">
        <v>124</v>
      </c>
      <c r="AN947" s="7">
        <v>0.63241700000000001</v>
      </c>
      <c r="AO947" s="7">
        <v>63.241736000000003</v>
      </c>
      <c r="AP947" s="7">
        <v>100</v>
      </c>
      <c r="AQ947" s="7">
        <v>0.78850500000000001</v>
      </c>
      <c r="AR947" s="7">
        <v>78.850510999999997</v>
      </c>
      <c r="AS947" s="7">
        <v>100</v>
      </c>
      <c r="AT947" s="7">
        <v>0.61302299999999998</v>
      </c>
      <c r="AU947" s="4" t="s">
        <v>124</v>
      </c>
      <c r="AV947" s="7">
        <v>61.302273</v>
      </c>
      <c r="AW947" s="7">
        <v>100</v>
      </c>
      <c r="AX947" s="7">
        <v>0.76371699999999998</v>
      </c>
      <c r="AY947" s="4" t="s">
        <v>124</v>
      </c>
      <c r="AZ947" s="7">
        <v>76.371724999999998</v>
      </c>
      <c r="BA947" s="7">
        <v>100</v>
      </c>
      <c r="BB947" s="4" t="s">
        <v>124</v>
      </c>
      <c r="BC947" s="4" t="s">
        <v>124</v>
      </c>
      <c r="BD947" s="4" t="s">
        <v>124</v>
      </c>
      <c r="BE947" s="4" t="s">
        <v>124</v>
      </c>
      <c r="BF947" s="4" t="s">
        <v>124</v>
      </c>
      <c r="BG947" s="4" t="s">
        <v>124</v>
      </c>
      <c r="BH947" s="7">
        <v>0</v>
      </c>
      <c r="BI947" s="7">
        <v>1</v>
      </c>
      <c r="BJ947" s="7">
        <v>1</v>
      </c>
      <c r="BK947" s="7">
        <v>1</v>
      </c>
      <c r="BL947" s="7">
        <v>1</v>
      </c>
      <c r="BM947" s="7">
        <v>1</v>
      </c>
      <c r="BN947" s="7">
        <v>1</v>
      </c>
      <c r="BO947" s="7">
        <v>1</v>
      </c>
      <c r="BP947" s="7">
        <v>1</v>
      </c>
      <c r="BQ947" s="4" t="s">
        <v>124</v>
      </c>
      <c r="BR947" s="7">
        <v>6.3670000000000004E-2</v>
      </c>
      <c r="BS947" s="7">
        <v>47.265917999999999</v>
      </c>
      <c r="BT947" s="7">
        <v>50</v>
      </c>
      <c r="BU947" s="7">
        <v>7.5471999999999997E-2</v>
      </c>
      <c r="BV947" s="7">
        <v>44.905659999999997</v>
      </c>
      <c r="BW947" s="7">
        <v>50</v>
      </c>
      <c r="BX947" s="4" t="s">
        <v>124</v>
      </c>
      <c r="BY947" s="4" t="s">
        <v>124</v>
      </c>
      <c r="BZ947" s="4" t="s">
        <v>124</v>
      </c>
      <c r="CA947" s="4" t="s">
        <v>124</v>
      </c>
      <c r="CB947" s="4" t="s">
        <v>124</v>
      </c>
      <c r="CC947" s="4" t="s">
        <v>124</v>
      </c>
      <c r="CD947" s="4" t="s">
        <v>124</v>
      </c>
      <c r="CE947" s="4" t="s">
        <v>124</v>
      </c>
      <c r="CF947" s="4" t="s">
        <v>124</v>
      </c>
      <c r="CG947" s="4" t="s">
        <v>124</v>
      </c>
      <c r="CH947" s="4" t="s">
        <v>124</v>
      </c>
      <c r="CI947" s="4" t="s">
        <v>124</v>
      </c>
      <c r="CJ947" s="4" t="s">
        <v>124</v>
      </c>
      <c r="CK947" s="4" t="s">
        <v>124</v>
      </c>
      <c r="CL947" s="4" t="s">
        <v>124</v>
      </c>
      <c r="CM947" s="4" t="s">
        <v>124</v>
      </c>
      <c r="CN947" s="4" t="s">
        <v>124</v>
      </c>
      <c r="CO947" s="4" t="s">
        <v>124</v>
      </c>
      <c r="CP947" s="4" t="s">
        <v>124</v>
      </c>
      <c r="CQ947" s="7">
        <v>0.70454499999999998</v>
      </c>
      <c r="CR947" s="7">
        <v>0.97777800000000004</v>
      </c>
      <c r="CS947" s="7">
        <v>46.969696999999996</v>
      </c>
      <c r="CT947" s="7">
        <v>50</v>
      </c>
      <c r="CU947" s="4" t="s">
        <v>124</v>
      </c>
      <c r="CV947" s="4" t="s">
        <v>124</v>
      </c>
      <c r="CW947" s="4" t="s">
        <v>124</v>
      </c>
      <c r="CX947" s="4" t="s">
        <v>124</v>
      </c>
      <c r="CY947" s="4" t="s">
        <v>124</v>
      </c>
      <c r="CZ947" s="4" t="s">
        <v>124</v>
      </c>
      <c r="DA947" s="7">
        <v>15.314097</v>
      </c>
      <c r="DB947" s="7">
        <v>17.400950000000002</v>
      </c>
      <c r="DC947" s="7">
        <v>16.332519999999999</v>
      </c>
      <c r="DD947" s="4" t="s">
        <v>124</v>
      </c>
      <c r="DE947" s="7">
        <v>0</v>
      </c>
      <c r="DF947" s="6"/>
      <c r="DG947" s="6"/>
      <c r="DH947" s="6"/>
      <c r="DI947" s="6"/>
      <c r="DJ947" s="7">
        <v>0</v>
      </c>
      <c r="DK947" s="7">
        <v>0</v>
      </c>
      <c r="DL947" s="7">
        <v>0</v>
      </c>
      <c r="DM947" s="7">
        <v>0</v>
      </c>
      <c r="DN947" s="7">
        <v>0</v>
      </c>
      <c r="DO947" s="7">
        <v>0</v>
      </c>
      <c r="DP947" s="6"/>
      <c r="DQ947" s="4" t="s">
        <v>125</v>
      </c>
    </row>
    <row r="948" spans="1:121" ht="20" customHeight="1" x14ac:dyDescent="0.15">
      <c r="A948" s="5">
        <v>2018</v>
      </c>
      <c r="B948" s="3" t="s">
        <v>223</v>
      </c>
      <c r="C948" s="4" t="str">
        <f t="shared" si="262"/>
        <v>1460011</v>
      </c>
      <c r="D948" s="4" t="s">
        <v>1033</v>
      </c>
      <c r="E948" s="4" t="str">
        <f>"1460311"</f>
        <v>1460311</v>
      </c>
      <c r="F948" s="4" t="s">
        <v>327</v>
      </c>
      <c r="G948" s="4" t="s">
        <v>328</v>
      </c>
      <c r="H948" s="7">
        <v>5</v>
      </c>
      <c r="I948" s="4" t="s">
        <v>335</v>
      </c>
      <c r="J948" s="4" t="s">
        <v>330</v>
      </c>
      <c r="K948" s="7">
        <v>693.14369499999998</v>
      </c>
      <c r="L948" s="7">
        <v>800</v>
      </c>
      <c r="M948" s="7">
        <v>86.642961999999997</v>
      </c>
      <c r="N948" s="7">
        <v>1</v>
      </c>
      <c r="O948" s="7">
        <v>0</v>
      </c>
      <c r="P948" s="7">
        <v>77.338673999999997</v>
      </c>
      <c r="Q948" s="7">
        <v>50</v>
      </c>
      <c r="R948" s="7">
        <v>50</v>
      </c>
      <c r="S948" s="7">
        <v>70.812171000000006</v>
      </c>
      <c r="T948" s="7">
        <v>75</v>
      </c>
      <c r="U948" s="7">
        <v>47.208114000000002</v>
      </c>
      <c r="V948" s="7">
        <v>50</v>
      </c>
      <c r="W948" s="7">
        <v>73.944671999999997</v>
      </c>
      <c r="X948" s="7">
        <v>49.296447999999998</v>
      </c>
      <c r="Y948" s="7">
        <v>50</v>
      </c>
      <c r="Z948" s="7">
        <v>75</v>
      </c>
      <c r="AA948" s="7">
        <v>68.126636000000005</v>
      </c>
      <c r="AB948" s="7">
        <v>45.417757000000002</v>
      </c>
      <c r="AC948" s="7">
        <v>50</v>
      </c>
      <c r="AD948" s="7">
        <v>68.928016999999997</v>
      </c>
      <c r="AE948" s="7">
        <v>45.952010999999999</v>
      </c>
      <c r="AF948" s="7">
        <v>50</v>
      </c>
      <c r="AG948" s="4" t="s">
        <v>124</v>
      </c>
      <c r="AH948" s="4" t="s">
        <v>124</v>
      </c>
      <c r="AI948" s="4" t="s">
        <v>124</v>
      </c>
      <c r="AJ948" s="4" t="s">
        <v>124</v>
      </c>
      <c r="AK948" s="7">
        <v>4.18</v>
      </c>
      <c r="AL948" s="7">
        <v>6.87</v>
      </c>
      <c r="AM948" s="4" t="s">
        <v>124</v>
      </c>
      <c r="AN948" s="7">
        <v>0.80130400000000002</v>
      </c>
      <c r="AO948" s="7">
        <v>80.130441000000005</v>
      </c>
      <c r="AP948" s="7">
        <v>100</v>
      </c>
      <c r="AQ948" s="7">
        <v>0.856456</v>
      </c>
      <c r="AR948" s="7">
        <v>85.645590999999996</v>
      </c>
      <c r="AS948" s="7">
        <v>100</v>
      </c>
      <c r="AT948" s="7">
        <v>0.74219299999999999</v>
      </c>
      <c r="AU948" s="7">
        <v>0.88750799999999996</v>
      </c>
      <c r="AV948" s="7">
        <v>74.219341999999997</v>
      </c>
      <c r="AW948" s="7">
        <v>100</v>
      </c>
      <c r="AX948" s="7">
        <v>0.85849699999999995</v>
      </c>
      <c r="AY948" s="7">
        <v>0.85348000000000002</v>
      </c>
      <c r="AZ948" s="7">
        <v>85.849687000000003</v>
      </c>
      <c r="BA948" s="7">
        <v>100</v>
      </c>
      <c r="BB948" s="4" t="s">
        <v>124</v>
      </c>
      <c r="BC948" s="4" t="s">
        <v>124</v>
      </c>
      <c r="BD948" s="4" t="s">
        <v>124</v>
      </c>
      <c r="BE948" s="4" t="s">
        <v>124</v>
      </c>
      <c r="BF948" s="4" t="s">
        <v>124</v>
      </c>
      <c r="BG948" s="4" t="s">
        <v>124</v>
      </c>
      <c r="BH948" s="7">
        <v>0</v>
      </c>
      <c r="BI948" s="7">
        <v>1</v>
      </c>
      <c r="BJ948" s="7">
        <v>1</v>
      </c>
      <c r="BK948" s="7">
        <v>1</v>
      </c>
      <c r="BL948" s="7">
        <v>1</v>
      </c>
      <c r="BM948" s="7">
        <v>1</v>
      </c>
      <c r="BN948" s="7">
        <v>1</v>
      </c>
      <c r="BO948" s="7">
        <v>1</v>
      </c>
      <c r="BP948" s="4" t="s">
        <v>124</v>
      </c>
      <c r="BQ948" s="4" t="s">
        <v>124</v>
      </c>
      <c r="BR948" s="7">
        <v>4.7619000000000002E-2</v>
      </c>
      <c r="BS948" s="7">
        <v>50</v>
      </c>
      <c r="BT948" s="7">
        <v>50</v>
      </c>
      <c r="BU948" s="7">
        <v>6.5041000000000002E-2</v>
      </c>
      <c r="BV948" s="7">
        <v>46.991869999999999</v>
      </c>
      <c r="BW948" s="7">
        <v>50</v>
      </c>
      <c r="BX948" s="4" t="s">
        <v>124</v>
      </c>
      <c r="BY948" s="4" t="s">
        <v>124</v>
      </c>
      <c r="BZ948" s="4" t="s">
        <v>124</v>
      </c>
      <c r="CA948" s="4" t="s">
        <v>124</v>
      </c>
      <c r="CB948" s="4" t="s">
        <v>124</v>
      </c>
      <c r="CC948" s="4" t="s">
        <v>124</v>
      </c>
      <c r="CD948" s="4" t="s">
        <v>124</v>
      </c>
      <c r="CE948" s="4" t="s">
        <v>124</v>
      </c>
      <c r="CF948" s="4" t="s">
        <v>124</v>
      </c>
      <c r="CG948" s="4" t="s">
        <v>124</v>
      </c>
      <c r="CH948" s="4" t="s">
        <v>124</v>
      </c>
      <c r="CI948" s="4" t="s">
        <v>124</v>
      </c>
      <c r="CJ948" s="4" t="s">
        <v>124</v>
      </c>
      <c r="CK948" s="4" t="s">
        <v>124</v>
      </c>
      <c r="CL948" s="4" t="s">
        <v>124</v>
      </c>
      <c r="CM948" s="4" t="s">
        <v>124</v>
      </c>
      <c r="CN948" s="4" t="s">
        <v>124</v>
      </c>
      <c r="CO948" s="4" t="s">
        <v>124</v>
      </c>
      <c r="CP948" s="4" t="s">
        <v>124</v>
      </c>
      <c r="CQ948" s="7">
        <v>0.48648599999999997</v>
      </c>
      <c r="CR948" s="7">
        <v>1</v>
      </c>
      <c r="CS948" s="7">
        <v>32.432431999999999</v>
      </c>
      <c r="CT948" s="7">
        <v>50</v>
      </c>
      <c r="CU948" s="4" t="s">
        <v>124</v>
      </c>
      <c r="CV948" s="4" t="s">
        <v>124</v>
      </c>
      <c r="CW948" s="4" t="s">
        <v>124</v>
      </c>
      <c r="CX948" s="4" t="s">
        <v>124</v>
      </c>
      <c r="CY948" s="4" t="s">
        <v>124</v>
      </c>
      <c r="CZ948" s="4" t="s">
        <v>124</v>
      </c>
      <c r="DA948" s="7">
        <v>15.314097</v>
      </c>
      <c r="DB948" s="7">
        <v>17.400950000000002</v>
      </c>
      <c r="DC948" s="7">
        <v>16.332519999999999</v>
      </c>
      <c r="DD948" s="4" t="s">
        <v>124</v>
      </c>
      <c r="DE948" s="7">
        <v>0</v>
      </c>
      <c r="DF948" s="6"/>
      <c r="DG948" s="6"/>
      <c r="DH948" s="4" t="s">
        <v>331</v>
      </c>
      <c r="DI948" s="4" t="s">
        <v>614</v>
      </c>
      <c r="DJ948" s="7">
        <v>1</v>
      </c>
      <c r="DK948" s="7">
        <v>1</v>
      </c>
      <c r="DL948" s="7">
        <v>1</v>
      </c>
      <c r="DM948" s="7">
        <v>1</v>
      </c>
      <c r="DN948" s="7">
        <v>1</v>
      </c>
      <c r="DO948" s="7">
        <v>0</v>
      </c>
      <c r="DP948" s="6"/>
      <c r="DQ948" s="4" t="s">
        <v>125</v>
      </c>
    </row>
    <row r="949" spans="1:121" ht="20" customHeight="1" x14ac:dyDescent="0.15">
      <c r="A949" s="5">
        <v>2018</v>
      </c>
      <c r="B949" s="3" t="s">
        <v>223</v>
      </c>
      <c r="C949" s="4" t="str">
        <f t="shared" si="262"/>
        <v>1460011</v>
      </c>
      <c r="D949" s="4" t="s">
        <v>1096</v>
      </c>
      <c r="E949" s="4" t="str">
        <f>"1466111"</f>
        <v>1466111</v>
      </c>
      <c r="F949" s="4" t="s">
        <v>327</v>
      </c>
      <c r="G949" s="7">
        <v>9</v>
      </c>
      <c r="H949" s="7">
        <v>12</v>
      </c>
      <c r="I949" s="6"/>
      <c r="J949" s="4" t="s">
        <v>330</v>
      </c>
      <c r="K949" s="7">
        <v>1051.1926390000001</v>
      </c>
      <c r="L949" s="7">
        <v>1450</v>
      </c>
      <c r="M949" s="7">
        <v>72.496043999999998</v>
      </c>
      <c r="N949" s="7">
        <v>3</v>
      </c>
      <c r="O949" s="7">
        <v>1</v>
      </c>
      <c r="P949" s="7">
        <v>55.525224999999999</v>
      </c>
      <c r="Q949" s="7">
        <v>111.05045</v>
      </c>
      <c r="R949" s="7">
        <v>150</v>
      </c>
      <c r="S949" s="7">
        <v>47.492981999999998</v>
      </c>
      <c r="T949" s="7">
        <v>64.003703999999999</v>
      </c>
      <c r="U949" s="7">
        <v>94.985964999999993</v>
      </c>
      <c r="V949" s="7">
        <v>150</v>
      </c>
      <c r="W949" s="7">
        <v>51.984084000000003</v>
      </c>
      <c r="X949" s="7">
        <v>103.96816800000001</v>
      </c>
      <c r="Y949" s="7">
        <v>150</v>
      </c>
      <c r="Z949" s="7">
        <v>59.827778000000002</v>
      </c>
      <c r="AA949" s="7">
        <v>44.553215999999999</v>
      </c>
      <c r="AB949" s="7">
        <v>89.106432999999996</v>
      </c>
      <c r="AC949" s="7">
        <v>150</v>
      </c>
      <c r="AD949" s="7">
        <v>62.094327</v>
      </c>
      <c r="AE949" s="7">
        <v>82.792435999999995</v>
      </c>
      <c r="AF949" s="7">
        <v>100</v>
      </c>
      <c r="AG949" s="7">
        <v>54.511501000000003</v>
      </c>
      <c r="AH949" s="7">
        <v>69.929914999999994</v>
      </c>
      <c r="AI949" s="7">
        <v>72.682001</v>
      </c>
      <c r="AJ949" s="7">
        <v>100</v>
      </c>
      <c r="AK949" s="7">
        <v>16.510000000000002</v>
      </c>
      <c r="AL949" s="7">
        <v>15.27</v>
      </c>
      <c r="AM949" s="7">
        <v>15.41</v>
      </c>
      <c r="AN949" s="4" t="s">
        <v>124</v>
      </c>
      <c r="AO949" s="4" t="s">
        <v>124</v>
      </c>
      <c r="AP949" s="4" t="s">
        <v>124</v>
      </c>
      <c r="AQ949" s="4" t="s">
        <v>124</v>
      </c>
      <c r="AR949" s="4" t="s">
        <v>124</v>
      </c>
      <c r="AS949" s="4" t="s">
        <v>124</v>
      </c>
      <c r="AT949" s="4" t="s">
        <v>124</v>
      </c>
      <c r="AU949" s="4" t="s">
        <v>124</v>
      </c>
      <c r="AV949" s="4" t="s">
        <v>124</v>
      </c>
      <c r="AW949" s="4" t="s">
        <v>124</v>
      </c>
      <c r="AX949" s="4" t="s">
        <v>124</v>
      </c>
      <c r="AY949" s="4" t="s">
        <v>124</v>
      </c>
      <c r="AZ949" s="4" t="s">
        <v>124</v>
      </c>
      <c r="BA949" s="4" t="s">
        <v>124</v>
      </c>
      <c r="BB949" s="4" t="s">
        <v>124</v>
      </c>
      <c r="BC949" s="4" t="s">
        <v>124</v>
      </c>
      <c r="BD949" s="4" t="s">
        <v>124</v>
      </c>
      <c r="BE949" s="4" t="s">
        <v>124</v>
      </c>
      <c r="BF949" s="4" t="s">
        <v>124</v>
      </c>
      <c r="BG949" s="4" t="s">
        <v>124</v>
      </c>
      <c r="BH949" s="7">
        <v>0</v>
      </c>
      <c r="BI949" s="7">
        <v>0.97422699999999995</v>
      </c>
      <c r="BJ949" s="7">
        <v>0.95145599999999997</v>
      </c>
      <c r="BK949" s="7">
        <v>1</v>
      </c>
      <c r="BL949" s="7">
        <v>0.97422699999999995</v>
      </c>
      <c r="BM949" s="7">
        <v>0.95145599999999997</v>
      </c>
      <c r="BN949" s="7">
        <v>1</v>
      </c>
      <c r="BO949" s="7">
        <v>0.968912</v>
      </c>
      <c r="BP949" s="7">
        <v>0.95098000000000005</v>
      </c>
      <c r="BQ949" s="7">
        <v>0.98901099999999997</v>
      </c>
      <c r="BR949" s="7">
        <v>0.13763700000000001</v>
      </c>
      <c r="BS949" s="7">
        <v>32.472594000000001</v>
      </c>
      <c r="BT949" s="7">
        <v>50</v>
      </c>
      <c r="BU949" s="7">
        <v>0.21749399999999999</v>
      </c>
      <c r="BV949" s="7">
        <v>16.501182</v>
      </c>
      <c r="BW949" s="7">
        <v>50</v>
      </c>
      <c r="BX949" s="7">
        <v>0.93947400000000003</v>
      </c>
      <c r="BY949" s="7">
        <v>50</v>
      </c>
      <c r="BZ949" s="7">
        <v>50</v>
      </c>
      <c r="CA949" s="7">
        <v>0.38947399999999999</v>
      </c>
      <c r="CB949" s="7">
        <v>25.964912000000002</v>
      </c>
      <c r="CC949" s="7">
        <v>50</v>
      </c>
      <c r="CD949" s="7">
        <v>0.81300799999999995</v>
      </c>
      <c r="CE949" s="7">
        <v>43.245113000000003</v>
      </c>
      <c r="CF949" s="7">
        <v>50</v>
      </c>
      <c r="CG949" s="7">
        <v>0.80660399999999999</v>
      </c>
      <c r="CH949" s="7">
        <v>85.808912000000007</v>
      </c>
      <c r="CI949" s="7">
        <v>100</v>
      </c>
      <c r="CJ949" s="7">
        <v>1</v>
      </c>
      <c r="CK949" s="7">
        <v>0.68085099999999998</v>
      </c>
      <c r="CL949" s="7">
        <v>72.430964000000003</v>
      </c>
      <c r="CM949" s="7">
        <v>100</v>
      </c>
      <c r="CN949" s="7">
        <v>0.68571400000000005</v>
      </c>
      <c r="CO949" s="7">
        <v>91.428571000000005</v>
      </c>
      <c r="CP949" s="7">
        <v>100</v>
      </c>
      <c r="CQ949" s="7">
        <v>0.50531899999999996</v>
      </c>
      <c r="CR949" s="7">
        <v>0.95918400000000004</v>
      </c>
      <c r="CS949" s="7">
        <v>33.687942999999997</v>
      </c>
      <c r="CT949" s="7">
        <v>50</v>
      </c>
      <c r="CU949" s="7">
        <v>0.54080399999999995</v>
      </c>
      <c r="CV949" s="7">
        <v>45.066991000000002</v>
      </c>
      <c r="CW949" s="7">
        <v>50</v>
      </c>
      <c r="CX949" s="7">
        <v>0.68085099999999998</v>
      </c>
      <c r="CY949" s="7">
        <v>0.94</v>
      </c>
      <c r="CZ949" s="7">
        <v>0.25914900000000002</v>
      </c>
      <c r="DA949" s="7">
        <v>15.314097</v>
      </c>
      <c r="DB949" s="7">
        <v>17.400950000000002</v>
      </c>
      <c r="DC949" s="7">
        <v>16.332519999999999</v>
      </c>
      <c r="DD949" s="7">
        <v>7.9891730000000001</v>
      </c>
      <c r="DE949" s="7">
        <v>1</v>
      </c>
      <c r="DF949" s="6"/>
      <c r="DG949" s="6"/>
      <c r="DH949" s="6"/>
      <c r="DI949" s="6"/>
      <c r="DJ949" s="7">
        <v>0</v>
      </c>
      <c r="DK949" s="7">
        <v>0</v>
      </c>
      <c r="DL949" s="7">
        <v>0</v>
      </c>
      <c r="DM949" s="7">
        <v>0</v>
      </c>
      <c r="DN949" s="7">
        <v>0</v>
      </c>
      <c r="DO949" s="7">
        <v>0</v>
      </c>
      <c r="DP949" s="6"/>
      <c r="DQ949" s="4" t="s">
        <v>125</v>
      </c>
    </row>
    <row r="950" spans="1:121" ht="20" customHeight="1" x14ac:dyDescent="0.15">
      <c r="A950" s="5">
        <v>2018</v>
      </c>
      <c r="B950" s="3" t="s">
        <v>223</v>
      </c>
      <c r="C950" s="4" t="str">
        <f t="shared" si="262"/>
        <v>1460011</v>
      </c>
      <c r="D950" s="4" t="s">
        <v>1097</v>
      </c>
      <c r="E950" s="4" t="str">
        <f>"1461011"</f>
        <v>1461011</v>
      </c>
      <c r="F950" s="4" t="s">
        <v>327</v>
      </c>
      <c r="G950" s="4" t="s">
        <v>328</v>
      </c>
      <c r="H950" s="7">
        <v>5</v>
      </c>
      <c r="I950" s="4" t="s">
        <v>335</v>
      </c>
      <c r="J950" s="4" t="s">
        <v>330</v>
      </c>
      <c r="K950" s="7">
        <v>753.61891400000002</v>
      </c>
      <c r="L950" s="7">
        <v>950</v>
      </c>
      <c r="M950" s="7">
        <v>79.328306999999995</v>
      </c>
      <c r="N950" s="7">
        <v>2</v>
      </c>
      <c r="O950" s="7">
        <v>0</v>
      </c>
      <c r="P950" s="7">
        <v>72.768231999999998</v>
      </c>
      <c r="Q950" s="7">
        <v>48.512155</v>
      </c>
      <c r="R950" s="7">
        <v>50</v>
      </c>
      <c r="S950" s="7">
        <v>68.451738000000006</v>
      </c>
      <c r="T950" s="7">
        <v>75</v>
      </c>
      <c r="U950" s="7">
        <v>45.634492000000002</v>
      </c>
      <c r="V950" s="7">
        <v>50</v>
      </c>
      <c r="W950" s="7">
        <v>65.426789999999997</v>
      </c>
      <c r="X950" s="7">
        <v>43.61786</v>
      </c>
      <c r="Y950" s="7">
        <v>50</v>
      </c>
      <c r="Z950" s="7">
        <v>74.602303000000006</v>
      </c>
      <c r="AA950" s="7">
        <v>59.717581000000003</v>
      </c>
      <c r="AB950" s="7">
        <v>39.811720999999999</v>
      </c>
      <c r="AC950" s="7">
        <v>50</v>
      </c>
      <c r="AD950" s="7">
        <v>66.812938000000003</v>
      </c>
      <c r="AE950" s="7">
        <v>44.541958999999999</v>
      </c>
      <c r="AF950" s="7">
        <v>50</v>
      </c>
      <c r="AG950" s="7">
        <v>61.709955999999998</v>
      </c>
      <c r="AH950" s="4" t="s">
        <v>124</v>
      </c>
      <c r="AI950" s="7">
        <v>41.139969999999998</v>
      </c>
      <c r="AJ950" s="7">
        <v>50</v>
      </c>
      <c r="AK950" s="7">
        <v>6.54</v>
      </c>
      <c r="AL950" s="7">
        <v>14.88</v>
      </c>
      <c r="AM950" s="4" t="s">
        <v>124</v>
      </c>
      <c r="AN950" s="7">
        <v>0.80750299999999997</v>
      </c>
      <c r="AO950" s="7">
        <v>80.750260999999995</v>
      </c>
      <c r="AP950" s="7">
        <v>100</v>
      </c>
      <c r="AQ950" s="7">
        <v>0.67799799999999999</v>
      </c>
      <c r="AR950" s="7">
        <v>67.799834000000004</v>
      </c>
      <c r="AS950" s="7">
        <v>100</v>
      </c>
      <c r="AT950" s="7">
        <v>0.81427499999999997</v>
      </c>
      <c r="AU950" s="7">
        <v>0.79774299999999998</v>
      </c>
      <c r="AV950" s="7">
        <v>81.427481</v>
      </c>
      <c r="AW950" s="7">
        <v>100</v>
      </c>
      <c r="AX950" s="7">
        <v>0.60923899999999998</v>
      </c>
      <c r="AY950" s="7">
        <v>0.77507099999999995</v>
      </c>
      <c r="AZ950" s="7">
        <v>60.923862</v>
      </c>
      <c r="BA950" s="7">
        <v>100</v>
      </c>
      <c r="BB950" s="7">
        <v>0.93784500000000004</v>
      </c>
      <c r="BC950" s="7">
        <v>46.892249</v>
      </c>
      <c r="BD950" s="7">
        <v>50</v>
      </c>
      <c r="BE950" s="7">
        <v>0.665049</v>
      </c>
      <c r="BF950" s="7">
        <v>33.252443</v>
      </c>
      <c r="BG950" s="7">
        <v>50</v>
      </c>
      <c r="BH950" s="7">
        <v>0</v>
      </c>
      <c r="BI950" s="7">
        <v>0.99346400000000001</v>
      </c>
      <c r="BJ950" s="7">
        <v>0.98969099999999999</v>
      </c>
      <c r="BK950" s="7">
        <v>1</v>
      </c>
      <c r="BL950" s="7">
        <v>0.99346400000000001</v>
      </c>
      <c r="BM950" s="7">
        <v>0.98969099999999999</v>
      </c>
      <c r="BN950" s="7">
        <v>1</v>
      </c>
      <c r="BO950" s="7">
        <v>1</v>
      </c>
      <c r="BP950" s="7">
        <v>1</v>
      </c>
      <c r="BQ950" s="4" t="s">
        <v>124</v>
      </c>
      <c r="BR950" s="7">
        <v>9.1837000000000002E-2</v>
      </c>
      <c r="BS950" s="7">
        <v>41.632652999999998</v>
      </c>
      <c r="BT950" s="7">
        <v>50</v>
      </c>
      <c r="BU950" s="7">
        <v>0.123711</v>
      </c>
      <c r="BV950" s="7">
        <v>35.257731999999997</v>
      </c>
      <c r="BW950" s="7">
        <v>50</v>
      </c>
      <c r="BX950" s="4" t="s">
        <v>124</v>
      </c>
      <c r="BY950" s="4" t="s">
        <v>124</v>
      </c>
      <c r="BZ950" s="4" t="s">
        <v>124</v>
      </c>
      <c r="CA950" s="4" t="s">
        <v>124</v>
      </c>
      <c r="CB950" s="4" t="s">
        <v>124</v>
      </c>
      <c r="CC950" s="4" t="s">
        <v>124</v>
      </c>
      <c r="CD950" s="4" t="s">
        <v>124</v>
      </c>
      <c r="CE950" s="4" t="s">
        <v>124</v>
      </c>
      <c r="CF950" s="4" t="s">
        <v>124</v>
      </c>
      <c r="CG950" s="4" t="s">
        <v>124</v>
      </c>
      <c r="CH950" s="4" t="s">
        <v>124</v>
      </c>
      <c r="CI950" s="4" t="s">
        <v>124</v>
      </c>
      <c r="CJ950" s="4" t="s">
        <v>124</v>
      </c>
      <c r="CK950" s="4" t="s">
        <v>124</v>
      </c>
      <c r="CL950" s="4" t="s">
        <v>124</v>
      </c>
      <c r="CM950" s="4" t="s">
        <v>124</v>
      </c>
      <c r="CN950" s="4" t="s">
        <v>124</v>
      </c>
      <c r="CO950" s="4" t="s">
        <v>124</v>
      </c>
      <c r="CP950" s="4" t="s">
        <v>124</v>
      </c>
      <c r="CQ950" s="7">
        <v>0.63636400000000004</v>
      </c>
      <c r="CR950" s="7">
        <v>1</v>
      </c>
      <c r="CS950" s="7">
        <v>42.424242</v>
      </c>
      <c r="CT950" s="7">
        <v>50</v>
      </c>
      <c r="CU950" s="4" t="s">
        <v>124</v>
      </c>
      <c r="CV950" s="4" t="s">
        <v>124</v>
      </c>
      <c r="CW950" s="4" t="s">
        <v>124</v>
      </c>
      <c r="CX950" s="4" t="s">
        <v>124</v>
      </c>
      <c r="CY950" s="4" t="s">
        <v>124</v>
      </c>
      <c r="CZ950" s="4" t="s">
        <v>124</v>
      </c>
      <c r="DA950" s="7">
        <v>15.314097</v>
      </c>
      <c r="DB950" s="7">
        <v>17.400950000000002</v>
      </c>
      <c r="DC950" s="7">
        <v>16.332519999999999</v>
      </c>
      <c r="DD950" s="4" t="s">
        <v>124</v>
      </c>
      <c r="DE950" s="7">
        <v>0</v>
      </c>
      <c r="DF950" s="6"/>
      <c r="DG950" s="6"/>
      <c r="DH950" s="4" t="s">
        <v>331</v>
      </c>
      <c r="DI950" s="4" t="s">
        <v>528</v>
      </c>
      <c r="DJ950" s="7">
        <v>0</v>
      </c>
      <c r="DK950" s="7">
        <v>1</v>
      </c>
      <c r="DL950" s="7">
        <v>0</v>
      </c>
      <c r="DM950" s="7">
        <v>1</v>
      </c>
      <c r="DN950" s="7">
        <v>0</v>
      </c>
      <c r="DO950" s="7">
        <v>0</v>
      </c>
      <c r="DP950" s="6"/>
      <c r="DQ950" s="4" t="s">
        <v>125</v>
      </c>
    </row>
    <row r="951" spans="1:121" ht="20" customHeight="1" x14ac:dyDescent="0.15">
      <c r="A951" s="5">
        <v>2018</v>
      </c>
      <c r="B951" s="3" t="s">
        <v>223</v>
      </c>
      <c r="C951" s="4" t="str">
        <f t="shared" si="262"/>
        <v>1460011</v>
      </c>
      <c r="D951" s="4" t="s">
        <v>1098</v>
      </c>
      <c r="E951" s="4" t="str">
        <f>"1465111"</f>
        <v>1465111</v>
      </c>
      <c r="F951" s="4" t="s">
        <v>327</v>
      </c>
      <c r="G951" s="7">
        <v>6</v>
      </c>
      <c r="H951" s="7">
        <v>8</v>
      </c>
      <c r="I951" s="4" t="s">
        <v>335</v>
      </c>
      <c r="J951" s="4" t="s">
        <v>330</v>
      </c>
      <c r="K951" s="7">
        <v>614.68393900000001</v>
      </c>
      <c r="L951" s="7">
        <v>900</v>
      </c>
      <c r="M951" s="7">
        <v>68.298214999999999</v>
      </c>
      <c r="N951" s="7">
        <v>3</v>
      </c>
      <c r="O951" s="7">
        <v>1</v>
      </c>
      <c r="P951" s="7">
        <v>64.860161000000005</v>
      </c>
      <c r="Q951" s="7">
        <v>43.240107000000002</v>
      </c>
      <c r="R951" s="7">
        <v>50</v>
      </c>
      <c r="S951" s="7">
        <v>58.392918999999999</v>
      </c>
      <c r="T951" s="7">
        <v>75</v>
      </c>
      <c r="U951" s="7">
        <v>38.928612000000001</v>
      </c>
      <c r="V951" s="7">
        <v>50</v>
      </c>
      <c r="W951" s="7">
        <v>59.563319999999997</v>
      </c>
      <c r="X951" s="7">
        <v>39.708880000000001</v>
      </c>
      <c r="Y951" s="7">
        <v>50</v>
      </c>
      <c r="Z951" s="7">
        <v>71.697952999999998</v>
      </c>
      <c r="AA951" s="7">
        <v>52.617092999999997</v>
      </c>
      <c r="AB951" s="7">
        <v>35.078062000000003</v>
      </c>
      <c r="AC951" s="7">
        <v>50</v>
      </c>
      <c r="AD951" s="7">
        <v>63.120977000000003</v>
      </c>
      <c r="AE951" s="7">
        <v>42.080651000000003</v>
      </c>
      <c r="AF951" s="7">
        <v>50</v>
      </c>
      <c r="AG951" s="7">
        <v>54.669122000000002</v>
      </c>
      <c r="AH951" s="7">
        <v>73.390433999999999</v>
      </c>
      <c r="AI951" s="7">
        <v>36.446081999999997</v>
      </c>
      <c r="AJ951" s="7">
        <v>50</v>
      </c>
      <c r="AK951" s="7">
        <v>16.600000000000001</v>
      </c>
      <c r="AL951" s="7">
        <v>19.079999999999998</v>
      </c>
      <c r="AM951" s="7">
        <v>18.72</v>
      </c>
      <c r="AN951" s="7">
        <v>0.60778900000000002</v>
      </c>
      <c r="AO951" s="7">
        <v>60.778866999999998</v>
      </c>
      <c r="AP951" s="7">
        <v>100</v>
      </c>
      <c r="AQ951" s="7">
        <v>0.56486000000000003</v>
      </c>
      <c r="AR951" s="7">
        <v>56.486023000000003</v>
      </c>
      <c r="AS951" s="7">
        <v>100</v>
      </c>
      <c r="AT951" s="7">
        <v>0.571573</v>
      </c>
      <c r="AU951" s="7">
        <v>0.66863700000000004</v>
      </c>
      <c r="AV951" s="7">
        <v>57.157307000000003</v>
      </c>
      <c r="AW951" s="7">
        <v>100</v>
      </c>
      <c r="AX951" s="7">
        <v>0.52057699999999996</v>
      </c>
      <c r="AY951" s="7">
        <v>0.63794600000000001</v>
      </c>
      <c r="AZ951" s="7">
        <v>52.057675000000003</v>
      </c>
      <c r="BA951" s="7">
        <v>100</v>
      </c>
      <c r="BB951" s="4" t="s">
        <v>124</v>
      </c>
      <c r="BC951" s="4" t="s">
        <v>124</v>
      </c>
      <c r="BD951" s="4" t="s">
        <v>124</v>
      </c>
      <c r="BE951" s="4" t="s">
        <v>124</v>
      </c>
      <c r="BF951" s="4" t="s">
        <v>124</v>
      </c>
      <c r="BG951" s="4" t="s">
        <v>124</v>
      </c>
      <c r="BH951" s="7">
        <v>0</v>
      </c>
      <c r="BI951" s="7">
        <v>0.99437399999999998</v>
      </c>
      <c r="BJ951" s="7">
        <v>0.99134199999999995</v>
      </c>
      <c r="BK951" s="7">
        <v>1</v>
      </c>
      <c r="BL951" s="7">
        <v>0.98450700000000002</v>
      </c>
      <c r="BM951" s="7">
        <v>0.97830799999999996</v>
      </c>
      <c r="BN951" s="7">
        <v>0.99598399999999998</v>
      </c>
      <c r="BO951" s="7">
        <v>0.99074099999999998</v>
      </c>
      <c r="BP951" s="7">
        <v>0.98373999999999995</v>
      </c>
      <c r="BQ951" s="7">
        <v>1</v>
      </c>
      <c r="BR951" s="7">
        <v>8.0394999999999994E-2</v>
      </c>
      <c r="BS951" s="7">
        <v>43.921016000000002</v>
      </c>
      <c r="BT951" s="7">
        <v>50</v>
      </c>
      <c r="BU951" s="7">
        <v>0.11597399999999999</v>
      </c>
      <c r="BV951" s="7">
        <v>36.805252000000003</v>
      </c>
      <c r="BW951" s="7">
        <v>50</v>
      </c>
      <c r="BX951" s="4" t="s">
        <v>124</v>
      </c>
      <c r="BY951" s="4" t="s">
        <v>124</v>
      </c>
      <c r="BZ951" s="4" t="s">
        <v>124</v>
      </c>
      <c r="CA951" s="4" t="s">
        <v>124</v>
      </c>
      <c r="CB951" s="4" t="s">
        <v>124</v>
      </c>
      <c r="CC951" s="4" t="s">
        <v>124</v>
      </c>
      <c r="CD951" s="7">
        <v>0.84166700000000005</v>
      </c>
      <c r="CE951" s="7">
        <v>44.769503999999998</v>
      </c>
      <c r="CF951" s="7">
        <v>50</v>
      </c>
      <c r="CG951" s="4" t="s">
        <v>124</v>
      </c>
      <c r="CH951" s="4" t="s">
        <v>124</v>
      </c>
      <c r="CI951" s="4" t="s">
        <v>124</v>
      </c>
      <c r="CJ951" s="4" t="s">
        <v>124</v>
      </c>
      <c r="CK951" s="4" t="s">
        <v>124</v>
      </c>
      <c r="CL951" s="4" t="s">
        <v>124</v>
      </c>
      <c r="CM951" s="4" t="s">
        <v>124</v>
      </c>
      <c r="CN951" s="4" t="s">
        <v>124</v>
      </c>
      <c r="CO951" s="4" t="s">
        <v>124</v>
      </c>
      <c r="CP951" s="4" t="s">
        <v>124</v>
      </c>
      <c r="CQ951" s="7">
        <v>0.408389</v>
      </c>
      <c r="CR951" s="7">
        <v>0.97629299999999997</v>
      </c>
      <c r="CS951" s="7">
        <v>27.225901</v>
      </c>
      <c r="CT951" s="7">
        <v>50</v>
      </c>
      <c r="CU951" s="4" t="s">
        <v>124</v>
      </c>
      <c r="CV951" s="4" t="s">
        <v>124</v>
      </c>
      <c r="CW951" s="4" t="s">
        <v>124</v>
      </c>
      <c r="CX951" s="4" t="s">
        <v>124</v>
      </c>
      <c r="CY951" s="4" t="s">
        <v>124</v>
      </c>
      <c r="CZ951" s="4" t="s">
        <v>124</v>
      </c>
      <c r="DA951" s="7">
        <v>15.314097</v>
      </c>
      <c r="DB951" s="7">
        <v>17.400950000000002</v>
      </c>
      <c r="DC951" s="7">
        <v>16.332519999999999</v>
      </c>
      <c r="DD951" s="4" t="s">
        <v>124</v>
      </c>
      <c r="DE951" s="7">
        <v>1</v>
      </c>
      <c r="DF951" s="6"/>
      <c r="DG951" s="6"/>
      <c r="DH951" s="6"/>
      <c r="DI951" s="6"/>
      <c r="DJ951" s="7">
        <v>0</v>
      </c>
      <c r="DK951" s="7">
        <v>0</v>
      </c>
      <c r="DL951" s="7">
        <v>0</v>
      </c>
      <c r="DM951" s="7">
        <v>0</v>
      </c>
      <c r="DN951" s="7">
        <v>0</v>
      </c>
      <c r="DO951" s="7">
        <v>0</v>
      </c>
      <c r="DP951" s="6"/>
      <c r="DQ951" s="4" t="s">
        <v>125</v>
      </c>
    </row>
    <row r="952" spans="1:121" ht="20" customHeight="1" x14ac:dyDescent="0.15">
      <c r="A952" s="5">
        <v>2018</v>
      </c>
      <c r="B952" s="3" t="s">
        <v>189</v>
      </c>
      <c r="C952" s="4" t="str">
        <f t="shared" si="64"/>
        <v>1470011</v>
      </c>
      <c r="D952" s="4" t="s">
        <v>1099</v>
      </c>
      <c r="E952" s="4" t="str">
        <f>"1470111"</f>
        <v>1470111</v>
      </c>
      <c r="F952" s="4" t="s">
        <v>327</v>
      </c>
      <c r="G952" s="4" t="s">
        <v>328</v>
      </c>
      <c r="H952" s="7">
        <v>8</v>
      </c>
      <c r="I952" s="4" t="s">
        <v>329</v>
      </c>
      <c r="J952" s="4" t="s">
        <v>330</v>
      </c>
      <c r="K952" s="7">
        <v>703.60534500000006</v>
      </c>
      <c r="L952" s="7">
        <v>850</v>
      </c>
      <c r="M952" s="7">
        <v>82.777099000000007</v>
      </c>
      <c r="N952" s="7">
        <v>2</v>
      </c>
      <c r="O952" s="7">
        <v>0</v>
      </c>
      <c r="P952" s="7">
        <v>75.17765</v>
      </c>
      <c r="Q952" s="7">
        <v>50</v>
      </c>
      <c r="R952" s="7">
        <v>50</v>
      </c>
      <c r="S952" s="7">
        <v>62.136895000000003</v>
      </c>
      <c r="T952" s="7">
        <v>75</v>
      </c>
      <c r="U952" s="7">
        <v>41.424596999999999</v>
      </c>
      <c r="V952" s="7">
        <v>50</v>
      </c>
      <c r="W952" s="7">
        <v>72.118769999999998</v>
      </c>
      <c r="X952" s="7">
        <v>48.079180000000001</v>
      </c>
      <c r="Y952" s="7">
        <v>50</v>
      </c>
      <c r="Z952" s="7">
        <v>75</v>
      </c>
      <c r="AA952" s="7">
        <v>59.047221</v>
      </c>
      <c r="AB952" s="7">
        <v>39.364814000000003</v>
      </c>
      <c r="AC952" s="7">
        <v>50</v>
      </c>
      <c r="AD952" s="7">
        <v>78.222024000000005</v>
      </c>
      <c r="AE952" s="7">
        <v>50</v>
      </c>
      <c r="AF952" s="7">
        <v>50</v>
      </c>
      <c r="AG952" s="4" t="s">
        <v>124</v>
      </c>
      <c r="AH952" s="7">
        <v>75</v>
      </c>
      <c r="AI952" s="4" t="s">
        <v>124</v>
      </c>
      <c r="AJ952" s="4" t="s">
        <v>124</v>
      </c>
      <c r="AK952" s="7">
        <v>12.86</v>
      </c>
      <c r="AL952" s="7">
        <v>15.95</v>
      </c>
      <c r="AM952" s="4" t="s">
        <v>124</v>
      </c>
      <c r="AN952" s="7">
        <v>0.70339399999999996</v>
      </c>
      <c r="AO952" s="7">
        <v>70.339359999999999</v>
      </c>
      <c r="AP952" s="7">
        <v>100</v>
      </c>
      <c r="AQ952" s="7">
        <v>0.80255799999999999</v>
      </c>
      <c r="AR952" s="7">
        <v>80.255790000000005</v>
      </c>
      <c r="AS952" s="7">
        <v>100</v>
      </c>
      <c r="AT952" s="7">
        <v>0.64025399999999999</v>
      </c>
      <c r="AU952" s="7">
        <v>0.73677800000000004</v>
      </c>
      <c r="AV952" s="7">
        <v>64.025395000000003</v>
      </c>
      <c r="AW952" s="7">
        <v>100</v>
      </c>
      <c r="AX952" s="7">
        <v>0.68852199999999997</v>
      </c>
      <c r="AY952" s="7">
        <v>0.86285299999999998</v>
      </c>
      <c r="AZ952" s="7">
        <v>68.852163000000004</v>
      </c>
      <c r="BA952" s="7">
        <v>100</v>
      </c>
      <c r="BB952" s="4" t="s">
        <v>124</v>
      </c>
      <c r="BC952" s="4" t="s">
        <v>124</v>
      </c>
      <c r="BD952" s="4" t="s">
        <v>124</v>
      </c>
      <c r="BE952" s="4" t="s">
        <v>124</v>
      </c>
      <c r="BF952" s="4" t="s">
        <v>124</v>
      </c>
      <c r="BG952" s="4" t="s">
        <v>124</v>
      </c>
      <c r="BH952" s="7">
        <v>0</v>
      </c>
      <c r="BI952" s="7">
        <v>1</v>
      </c>
      <c r="BJ952" s="7">
        <v>1</v>
      </c>
      <c r="BK952" s="7">
        <v>1</v>
      </c>
      <c r="BL952" s="7">
        <v>1</v>
      </c>
      <c r="BM952" s="7">
        <v>1</v>
      </c>
      <c r="BN952" s="7">
        <v>1</v>
      </c>
      <c r="BO952" s="7">
        <v>1</v>
      </c>
      <c r="BP952" s="4" t="s">
        <v>124</v>
      </c>
      <c r="BQ952" s="7">
        <v>1</v>
      </c>
      <c r="BR952" s="7">
        <v>4.0178999999999999E-2</v>
      </c>
      <c r="BS952" s="7">
        <v>50</v>
      </c>
      <c r="BT952" s="7">
        <v>50</v>
      </c>
      <c r="BU952" s="7">
        <v>5.6180000000000001E-2</v>
      </c>
      <c r="BV952" s="7">
        <v>48.764045000000003</v>
      </c>
      <c r="BW952" s="7">
        <v>50</v>
      </c>
      <c r="BX952" s="4" t="s">
        <v>124</v>
      </c>
      <c r="BY952" s="4" t="s">
        <v>124</v>
      </c>
      <c r="BZ952" s="4" t="s">
        <v>124</v>
      </c>
      <c r="CA952" s="4" t="s">
        <v>124</v>
      </c>
      <c r="CB952" s="4" t="s">
        <v>124</v>
      </c>
      <c r="CC952" s="4" t="s">
        <v>124</v>
      </c>
      <c r="CD952" s="7">
        <v>0.96551699999999996</v>
      </c>
      <c r="CE952" s="7">
        <v>50</v>
      </c>
      <c r="CF952" s="7">
        <v>50</v>
      </c>
      <c r="CG952" s="4" t="s">
        <v>124</v>
      </c>
      <c r="CH952" s="4" t="s">
        <v>124</v>
      </c>
      <c r="CI952" s="4" t="s">
        <v>124</v>
      </c>
      <c r="CJ952" s="4" t="s">
        <v>124</v>
      </c>
      <c r="CK952" s="4" t="s">
        <v>124</v>
      </c>
      <c r="CL952" s="4" t="s">
        <v>124</v>
      </c>
      <c r="CM952" s="4" t="s">
        <v>124</v>
      </c>
      <c r="CN952" s="4" t="s">
        <v>124</v>
      </c>
      <c r="CO952" s="4" t="s">
        <v>124</v>
      </c>
      <c r="CP952" s="4" t="s">
        <v>124</v>
      </c>
      <c r="CQ952" s="7">
        <v>0.63749999999999996</v>
      </c>
      <c r="CR952" s="7">
        <v>0.90909099999999998</v>
      </c>
      <c r="CS952" s="7">
        <v>42.5</v>
      </c>
      <c r="CT952" s="7">
        <v>50</v>
      </c>
      <c r="CU952" s="4" t="s">
        <v>124</v>
      </c>
      <c r="CV952" s="4" t="s">
        <v>124</v>
      </c>
      <c r="CW952" s="4" t="s">
        <v>124</v>
      </c>
      <c r="CX952" s="4" t="s">
        <v>124</v>
      </c>
      <c r="CY952" s="4" t="s">
        <v>124</v>
      </c>
      <c r="CZ952" s="4" t="s">
        <v>124</v>
      </c>
      <c r="DA952" s="7">
        <v>15.314097</v>
      </c>
      <c r="DB952" s="7">
        <v>17.400950000000002</v>
      </c>
      <c r="DC952" s="7">
        <v>16.332519999999999</v>
      </c>
      <c r="DD952" s="4" t="s">
        <v>124</v>
      </c>
      <c r="DE952" s="7">
        <v>0</v>
      </c>
      <c r="DF952" s="6"/>
      <c r="DG952" s="6"/>
      <c r="DH952" s="6"/>
      <c r="DI952" s="6"/>
      <c r="DJ952" s="7">
        <v>0</v>
      </c>
      <c r="DK952" s="7">
        <v>0</v>
      </c>
      <c r="DL952" s="7">
        <v>0</v>
      </c>
      <c r="DM952" s="7">
        <v>0</v>
      </c>
      <c r="DN952" s="7">
        <v>0</v>
      </c>
      <c r="DO952" s="7">
        <v>0</v>
      </c>
      <c r="DP952" s="6"/>
      <c r="DQ952" s="4" t="s">
        <v>125</v>
      </c>
    </row>
    <row r="953" spans="1:121" ht="20" customHeight="1" x14ac:dyDescent="0.15">
      <c r="A953" s="5">
        <v>2018</v>
      </c>
      <c r="B953" s="3" t="s">
        <v>190</v>
      </c>
      <c r="C953" s="4" t="str">
        <f t="shared" si="65"/>
        <v>1480011</v>
      </c>
      <c r="D953" s="4" t="s">
        <v>1100</v>
      </c>
      <c r="E953" s="4" t="str">
        <f>"1481011"</f>
        <v>1481011</v>
      </c>
      <c r="F953" s="4" t="s">
        <v>327</v>
      </c>
      <c r="G953" s="4" t="s">
        <v>328</v>
      </c>
      <c r="H953" s="7">
        <v>2</v>
      </c>
      <c r="I953" s="4" t="s">
        <v>329</v>
      </c>
      <c r="J953" s="4" t="s">
        <v>330</v>
      </c>
      <c r="K953" s="7">
        <v>95.123966999999993</v>
      </c>
      <c r="L953" s="7">
        <v>100</v>
      </c>
      <c r="M953" s="7">
        <v>95.123966999999993</v>
      </c>
      <c r="N953" s="4" t="s">
        <v>124</v>
      </c>
      <c r="O953" s="4" t="s">
        <v>124</v>
      </c>
      <c r="P953" s="4" t="s">
        <v>124</v>
      </c>
      <c r="Q953" s="4" t="s">
        <v>124</v>
      </c>
      <c r="R953" s="4" t="s">
        <v>124</v>
      </c>
      <c r="S953" s="4" t="s">
        <v>124</v>
      </c>
      <c r="T953" s="4" t="s">
        <v>124</v>
      </c>
      <c r="U953" s="4" t="s">
        <v>124</v>
      </c>
      <c r="V953" s="4" t="s">
        <v>124</v>
      </c>
      <c r="W953" s="4" t="s">
        <v>124</v>
      </c>
      <c r="X953" s="4" t="s">
        <v>124</v>
      </c>
      <c r="Y953" s="4" t="s">
        <v>124</v>
      </c>
      <c r="Z953" s="4" t="s">
        <v>124</v>
      </c>
      <c r="AA953" s="4" t="s">
        <v>124</v>
      </c>
      <c r="AB953" s="4" t="s">
        <v>124</v>
      </c>
      <c r="AC953" s="4" t="s">
        <v>124</v>
      </c>
      <c r="AD953" s="4" t="s">
        <v>124</v>
      </c>
      <c r="AE953" s="4" t="s">
        <v>124</v>
      </c>
      <c r="AF953" s="4" t="s">
        <v>124</v>
      </c>
      <c r="AG953" s="4" t="s">
        <v>124</v>
      </c>
      <c r="AH953" s="4" t="s">
        <v>124</v>
      </c>
      <c r="AI953" s="4" t="s">
        <v>124</v>
      </c>
      <c r="AJ953" s="4" t="s">
        <v>124</v>
      </c>
      <c r="AK953" s="4" t="s">
        <v>124</v>
      </c>
      <c r="AL953" s="4" t="s">
        <v>124</v>
      </c>
      <c r="AM953" s="4" t="s">
        <v>124</v>
      </c>
      <c r="AN953" s="4" t="s">
        <v>124</v>
      </c>
      <c r="AO953" s="4" t="s">
        <v>124</v>
      </c>
      <c r="AP953" s="4" t="s">
        <v>124</v>
      </c>
      <c r="AQ953" s="4" t="s">
        <v>124</v>
      </c>
      <c r="AR953" s="4" t="s">
        <v>124</v>
      </c>
      <c r="AS953" s="4" t="s">
        <v>124</v>
      </c>
      <c r="AT953" s="4" t="s">
        <v>124</v>
      </c>
      <c r="AU953" s="4" t="s">
        <v>124</v>
      </c>
      <c r="AV953" s="4" t="s">
        <v>124</v>
      </c>
      <c r="AW953" s="4" t="s">
        <v>124</v>
      </c>
      <c r="AX953" s="4" t="s">
        <v>124</v>
      </c>
      <c r="AY953" s="4" t="s">
        <v>124</v>
      </c>
      <c r="AZ953" s="4" t="s">
        <v>124</v>
      </c>
      <c r="BA953" s="4" t="s">
        <v>124</v>
      </c>
      <c r="BB953" s="4" t="s">
        <v>124</v>
      </c>
      <c r="BC953" s="4" t="s">
        <v>124</v>
      </c>
      <c r="BD953" s="4" t="s">
        <v>124</v>
      </c>
      <c r="BE953" s="4" t="s">
        <v>124</v>
      </c>
      <c r="BF953" s="4" t="s">
        <v>124</v>
      </c>
      <c r="BG953" s="4" t="s">
        <v>124</v>
      </c>
      <c r="BH953" s="4" t="s">
        <v>124</v>
      </c>
      <c r="BI953" s="4" t="s">
        <v>124</v>
      </c>
      <c r="BJ953" s="4" t="s">
        <v>124</v>
      </c>
      <c r="BK953" s="4" t="s">
        <v>124</v>
      </c>
      <c r="BL953" s="4" t="s">
        <v>124</v>
      </c>
      <c r="BM953" s="4" t="s">
        <v>124</v>
      </c>
      <c r="BN953" s="4" t="s">
        <v>124</v>
      </c>
      <c r="BO953" s="4" t="s">
        <v>124</v>
      </c>
      <c r="BP953" s="4" t="s">
        <v>124</v>
      </c>
      <c r="BQ953" s="4" t="s">
        <v>124</v>
      </c>
      <c r="BR953" s="7">
        <v>4.2373000000000001E-2</v>
      </c>
      <c r="BS953" s="7">
        <v>50</v>
      </c>
      <c r="BT953" s="7">
        <v>50</v>
      </c>
      <c r="BU953" s="7">
        <v>7.4380000000000002E-2</v>
      </c>
      <c r="BV953" s="7">
        <v>45.123967</v>
      </c>
      <c r="BW953" s="7">
        <v>50</v>
      </c>
      <c r="BX953" s="4" t="s">
        <v>124</v>
      </c>
      <c r="BY953" s="4" t="s">
        <v>124</v>
      </c>
      <c r="BZ953" s="4" t="s">
        <v>124</v>
      </c>
      <c r="CA953" s="4" t="s">
        <v>124</v>
      </c>
      <c r="CB953" s="4" t="s">
        <v>124</v>
      </c>
      <c r="CC953" s="4" t="s">
        <v>124</v>
      </c>
      <c r="CD953" s="4" t="s">
        <v>124</v>
      </c>
      <c r="CE953" s="4" t="s">
        <v>124</v>
      </c>
      <c r="CF953" s="4" t="s">
        <v>124</v>
      </c>
      <c r="CG953" s="4" t="s">
        <v>124</v>
      </c>
      <c r="CH953" s="4" t="s">
        <v>124</v>
      </c>
      <c r="CI953" s="4" t="s">
        <v>124</v>
      </c>
      <c r="CJ953" s="4" t="s">
        <v>124</v>
      </c>
      <c r="CK953" s="4" t="s">
        <v>124</v>
      </c>
      <c r="CL953" s="4" t="s">
        <v>124</v>
      </c>
      <c r="CM953" s="4" t="s">
        <v>124</v>
      </c>
      <c r="CN953" s="4" t="s">
        <v>124</v>
      </c>
      <c r="CO953" s="4" t="s">
        <v>124</v>
      </c>
      <c r="CP953" s="4" t="s">
        <v>124</v>
      </c>
      <c r="CQ953" s="4" t="s">
        <v>124</v>
      </c>
      <c r="CR953" s="4" t="s">
        <v>124</v>
      </c>
      <c r="CS953" s="4" t="s">
        <v>124</v>
      </c>
      <c r="CT953" s="4" t="s">
        <v>124</v>
      </c>
      <c r="CU953" s="4" t="s">
        <v>124</v>
      </c>
      <c r="CV953" s="4" t="s">
        <v>124</v>
      </c>
      <c r="CW953" s="4" t="s">
        <v>124</v>
      </c>
      <c r="CX953" s="4" t="s">
        <v>124</v>
      </c>
      <c r="CY953" s="4" t="s">
        <v>124</v>
      </c>
      <c r="CZ953" s="4" t="s">
        <v>124</v>
      </c>
      <c r="DA953" s="4" t="s">
        <v>124</v>
      </c>
      <c r="DB953" s="4" t="s">
        <v>124</v>
      </c>
      <c r="DC953" s="4" t="s">
        <v>124</v>
      </c>
      <c r="DD953" s="4" t="s">
        <v>124</v>
      </c>
      <c r="DE953" s="4" t="s">
        <v>124</v>
      </c>
      <c r="DF953" s="6"/>
      <c r="DG953" s="6"/>
      <c r="DH953" s="6"/>
      <c r="DI953" s="6"/>
      <c r="DJ953" s="4" t="s">
        <v>124</v>
      </c>
      <c r="DK953" s="4" t="s">
        <v>124</v>
      </c>
      <c r="DL953" s="4" t="s">
        <v>124</v>
      </c>
      <c r="DM953" s="4" t="s">
        <v>124</v>
      </c>
      <c r="DN953" s="4" t="s">
        <v>124</v>
      </c>
      <c r="DO953" s="4" t="s">
        <v>124</v>
      </c>
      <c r="DP953" s="6"/>
      <c r="DQ953" s="4" t="s">
        <v>125</v>
      </c>
    </row>
    <row r="954" spans="1:121" ht="20" customHeight="1" x14ac:dyDescent="0.15">
      <c r="A954" s="5">
        <v>2018</v>
      </c>
      <c r="B954" s="3" t="s">
        <v>190</v>
      </c>
      <c r="C954" s="4" t="str">
        <f t="shared" ref="C954:C964" si="263">"1480011"</f>
        <v>1480011</v>
      </c>
      <c r="D954" s="4" t="s">
        <v>1101</v>
      </c>
      <c r="E954" s="4" t="str">
        <f>"1485211"</f>
        <v>1485211</v>
      </c>
      <c r="F954" s="4" t="s">
        <v>327</v>
      </c>
      <c r="G954" s="7">
        <v>6</v>
      </c>
      <c r="H954" s="7">
        <v>8</v>
      </c>
      <c r="I954" s="4" t="s">
        <v>329</v>
      </c>
      <c r="J954" s="4" t="s">
        <v>330</v>
      </c>
      <c r="K954" s="7">
        <v>587.07552399999997</v>
      </c>
      <c r="L954" s="7">
        <v>900</v>
      </c>
      <c r="M954" s="7">
        <v>65.230614000000003</v>
      </c>
      <c r="N954" s="7">
        <v>3</v>
      </c>
      <c r="O954" s="7">
        <v>1</v>
      </c>
      <c r="P954" s="7">
        <v>66.251356999999999</v>
      </c>
      <c r="Q954" s="7">
        <v>44.167572</v>
      </c>
      <c r="R954" s="7">
        <v>50</v>
      </c>
      <c r="S954" s="7">
        <v>56.764530000000001</v>
      </c>
      <c r="T954" s="7">
        <v>73.282465999999999</v>
      </c>
      <c r="U954" s="7">
        <v>37.843020000000003</v>
      </c>
      <c r="V954" s="7">
        <v>50</v>
      </c>
      <c r="W954" s="7">
        <v>58.313628999999999</v>
      </c>
      <c r="X954" s="7">
        <v>38.875753000000003</v>
      </c>
      <c r="Y954" s="7">
        <v>50</v>
      </c>
      <c r="Z954" s="7">
        <v>65.342178000000004</v>
      </c>
      <c r="AA954" s="7">
        <v>48.821196999999998</v>
      </c>
      <c r="AB954" s="7">
        <v>32.547465000000003</v>
      </c>
      <c r="AC954" s="7">
        <v>50</v>
      </c>
      <c r="AD954" s="7">
        <v>58.818848000000003</v>
      </c>
      <c r="AE954" s="7">
        <v>39.212566000000002</v>
      </c>
      <c r="AF954" s="7">
        <v>50</v>
      </c>
      <c r="AG954" s="7">
        <v>50.803879000000002</v>
      </c>
      <c r="AH954" s="7">
        <v>64.974345</v>
      </c>
      <c r="AI954" s="7">
        <v>33.869253</v>
      </c>
      <c r="AJ954" s="7">
        <v>50</v>
      </c>
      <c r="AK954" s="7">
        <v>16.510000000000002</v>
      </c>
      <c r="AL954" s="7">
        <v>16.52</v>
      </c>
      <c r="AM954" s="7">
        <v>14.17</v>
      </c>
      <c r="AN954" s="7">
        <v>0.535242</v>
      </c>
      <c r="AO954" s="7">
        <v>53.524239000000001</v>
      </c>
      <c r="AP954" s="7">
        <v>100</v>
      </c>
      <c r="AQ954" s="7">
        <v>0.46610499999999999</v>
      </c>
      <c r="AR954" s="7">
        <v>46.610498</v>
      </c>
      <c r="AS954" s="7">
        <v>100</v>
      </c>
      <c r="AT954" s="7">
        <v>0.48662899999999998</v>
      </c>
      <c r="AU954" s="7">
        <v>0.56910099999999997</v>
      </c>
      <c r="AV954" s="7">
        <v>48.662883000000001</v>
      </c>
      <c r="AW954" s="7">
        <v>100</v>
      </c>
      <c r="AX954" s="7">
        <v>0.43004399999999998</v>
      </c>
      <c r="AY954" s="7">
        <v>0.49113099999999998</v>
      </c>
      <c r="AZ954" s="7">
        <v>43.004365</v>
      </c>
      <c r="BA954" s="7">
        <v>100</v>
      </c>
      <c r="BB954" s="4" t="s">
        <v>124</v>
      </c>
      <c r="BC954" s="4" t="s">
        <v>124</v>
      </c>
      <c r="BD954" s="4" t="s">
        <v>124</v>
      </c>
      <c r="BE954" s="4" t="s">
        <v>124</v>
      </c>
      <c r="BF954" s="4" t="s">
        <v>124</v>
      </c>
      <c r="BG954" s="4" t="s">
        <v>124</v>
      </c>
      <c r="BH954" s="7">
        <v>0</v>
      </c>
      <c r="BI954" s="7">
        <v>0.98039200000000004</v>
      </c>
      <c r="BJ954" s="7">
        <v>0.98596499999999998</v>
      </c>
      <c r="BK954" s="7">
        <v>0.97619</v>
      </c>
      <c r="BL954" s="7">
        <v>0.97737600000000002</v>
      </c>
      <c r="BM954" s="7">
        <v>0.982456</v>
      </c>
      <c r="BN954" s="7">
        <v>0.97354499999999999</v>
      </c>
      <c r="BO954" s="7">
        <v>0.96982800000000002</v>
      </c>
      <c r="BP954" s="7">
        <v>0.98039200000000004</v>
      </c>
      <c r="BQ954" s="7">
        <v>0.961538</v>
      </c>
      <c r="BR954" s="7">
        <v>6.0422999999999998E-2</v>
      </c>
      <c r="BS954" s="7">
        <v>47.915407999999999</v>
      </c>
      <c r="BT954" s="7">
        <v>50</v>
      </c>
      <c r="BU954" s="7">
        <v>9.9265000000000006E-2</v>
      </c>
      <c r="BV954" s="7">
        <v>40.147058999999999</v>
      </c>
      <c r="BW954" s="7">
        <v>50</v>
      </c>
      <c r="BX954" s="4" t="s">
        <v>124</v>
      </c>
      <c r="BY954" s="4" t="s">
        <v>124</v>
      </c>
      <c r="BZ954" s="4" t="s">
        <v>124</v>
      </c>
      <c r="CA954" s="4" t="s">
        <v>124</v>
      </c>
      <c r="CB954" s="4" t="s">
        <v>124</v>
      </c>
      <c r="CC954" s="4" t="s">
        <v>124</v>
      </c>
      <c r="CD954" s="7">
        <v>0.991031</v>
      </c>
      <c r="CE954" s="7">
        <v>50</v>
      </c>
      <c r="CF954" s="7">
        <v>50</v>
      </c>
      <c r="CG954" s="4" t="s">
        <v>124</v>
      </c>
      <c r="CH954" s="4" t="s">
        <v>124</v>
      </c>
      <c r="CI954" s="4" t="s">
        <v>124</v>
      </c>
      <c r="CJ954" s="4" t="s">
        <v>124</v>
      </c>
      <c r="CK954" s="4" t="s">
        <v>124</v>
      </c>
      <c r="CL954" s="4" t="s">
        <v>124</v>
      </c>
      <c r="CM954" s="4" t="s">
        <v>124</v>
      </c>
      <c r="CN954" s="4" t="s">
        <v>124</v>
      </c>
      <c r="CO954" s="4" t="s">
        <v>124</v>
      </c>
      <c r="CP954" s="4" t="s">
        <v>124</v>
      </c>
      <c r="CQ954" s="7">
        <v>0.46043200000000001</v>
      </c>
      <c r="CR954" s="7">
        <v>0.91850200000000004</v>
      </c>
      <c r="CS954" s="7">
        <v>30.695443999999998</v>
      </c>
      <c r="CT954" s="7">
        <v>50</v>
      </c>
      <c r="CU954" s="4" t="s">
        <v>124</v>
      </c>
      <c r="CV954" s="4" t="s">
        <v>124</v>
      </c>
      <c r="CW954" s="4" t="s">
        <v>124</v>
      </c>
      <c r="CX954" s="4" t="s">
        <v>124</v>
      </c>
      <c r="CY954" s="4" t="s">
        <v>124</v>
      </c>
      <c r="CZ954" s="4" t="s">
        <v>124</v>
      </c>
      <c r="DA954" s="7">
        <v>15.314097</v>
      </c>
      <c r="DB954" s="7">
        <v>17.400950000000002</v>
      </c>
      <c r="DC954" s="7">
        <v>16.332519999999999</v>
      </c>
      <c r="DD954" s="4" t="s">
        <v>124</v>
      </c>
      <c r="DE954" s="7">
        <v>1</v>
      </c>
      <c r="DF954" s="6"/>
      <c r="DG954" s="6"/>
      <c r="DH954" s="6"/>
      <c r="DI954" s="6"/>
      <c r="DJ954" s="7">
        <v>0</v>
      </c>
      <c r="DK954" s="7">
        <v>0</v>
      </c>
      <c r="DL954" s="7">
        <v>0</v>
      </c>
      <c r="DM954" s="7">
        <v>0</v>
      </c>
      <c r="DN954" s="7">
        <v>0</v>
      </c>
      <c r="DO954" s="7">
        <v>0</v>
      </c>
      <c r="DP954" s="6"/>
      <c r="DQ954" s="4" t="s">
        <v>125</v>
      </c>
    </row>
    <row r="955" spans="1:121" ht="20" customHeight="1" x14ac:dyDescent="0.15">
      <c r="A955" s="5">
        <v>2018</v>
      </c>
      <c r="B955" s="3" t="s">
        <v>190</v>
      </c>
      <c r="C955" s="4" t="str">
        <f t="shared" si="263"/>
        <v>1480011</v>
      </c>
      <c r="D955" s="4" t="s">
        <v>1102</v>
      </c>
      <c r="E955" s="4" t="str">
        <f>"1480911"</f>
        <v>1480911</v>
      </c>
      <c r="F955" s="4" t="s">
        <v>327</v>
      </c>
      <c r="G955" s="4" t="s">
        <v>328</v>
      </c>
      <c r="H955" s="7">
        <v>2</v>
      </c>
      <c r="I955" s="4" t="s">
        <v>329</v>
      </c>
      <c r="J955" s="4" t="s">
        <v>330</v>
      </c>
      <c r="K955" s="7">
        <v>87.029043000000001</v>
      </c>
      <c r="L955" s="7">
        <v>100</v>
      </c>
      <c r="M955" s="7">
        <v>87.029043000000001</v>
      </c>
      <c r="N955" s="4" t="s">
        <v>124</v>
      </c>
      <c r="O955" s="4" t="s">
        <v>124</v>
      </c>
      <c r="P955" s="4" t="s">
        <v>124</v>
      </c>
      <c r="Q955" s="4" t="s">
        <v>124</v>
      </c>
      <c r="R955" s="4" t="s">
        <v>124</v>
      </c>
      <c r="S955" s="4" t="s">
        <v>124</v>
      </c>
      <c r="T955" s="4" t="s">
        <v>124</v>
      </c>
      <c r="U955" s="4" t="s">
        <v>124</v>
      </c>
      <c r="V955" s="4" t="s">
        <v>124</v>
      </c>
      <c r="W955" s="4" t="s">
        <v>124</v>
      </c>
      <c r="X955" s="4" t="s">
        <v>124</v>
      </c>
      <c r="Y955" s="4" t="s">
        <v>124</v>
      </c>
      <c r="Z955" s="4" t="s">
        <v>124</v>
      </c>
      <c r="AA955" s="4" t="s">
        <v>124</v>
      </c>
      <c r="AB955" s="4" t="s">
        <v>124</v>
      </c>
      <c r="AC955" s="4" t="s">
        <v>124</v>
      </c>
      <c r="AD955" s="4" t="s">
        <v>124</v>
      </c>
      <c r="AE955" s="4" t="s">
        <v>124</v>
      </c>
      <c r="AF955" s="4" t="s">
        <v>124</v>
      </c>
      <c r="AG955" s="4" t="s">
        <v>124</v>
      </c>
      <c r="AH955" s="4" t="s">
        <v>124</v>
      </c>
      <c r="AI955" s="4" t="s">
        <v>124</v>
      </c>
      <c r="AJ955" s="4" t="s">
        <v>124</v>
      </c>
      <c r="AK955" s="4" t="s">
        <v>124</v>
      </c>
      <c r="AL955" s="4" t="s">
        <v>124</v>
      </c>
      <c r="AM955" s="4" t="s">
        <v>124</v>
      </c>
      <c r="AN955" s="4" t="s">
        <v>124</v>
      </c>
      <c r="AO955" s="4" t="s">
        <v>124</v>
      </c>
      <c r="AP955" s="4" t="s">
        <v>124</v>
      </c>
      <c r="AQ955" s="4" t="s">
        <v>124</v>
      </c>
      <c r="AR955" s="4" t="s">
        <v>124</v>
      </c>
      <c r="AS955" s="4" t="s">
        <v>124</v>
      </c>
      <c r="AT955" s="4" t="s">
        <v>124</v>
      </c>
      <c r="AU955" s="4" t="s">
        <v>124</v>
      </c>
      <c r="AV955" s="4" t="s">
        <v>124</v>
      </c>
      <c r="AW955" s="4" t="s">
        <v>124</v>
      </c>
      <c r="AX955" s="4" t="s">
        <v>124</v>
      </c>
      <c r="AY955" s="4" t="s">
        <v>124</v>
      </c>
      <c r="AZ955" s="4" t="s">
        <v>124</v>
      </c>
      <c r="BA955" s="4" t="s">
        <v>124</v>
      </c>
      <c r="BB955" s="4" t="s">
        <v>124</v>
      </c>
      <c r="BC955" s="4" t="s">
        <v>124</v>
      </c>
      <c r="BD955" s="4" t="s">
        <v>124</v>
      </c>
      <c r="BE955" s="4" t="s">
        <v>124</v>
      </c>
      <c r="BF955" s="4" t="s">
        <v>124</v>
      </c>
      <c r="BG955" s="4" t="s">
        <v>124</v>
      </c>
      <c r="BH955" s="4" t="s">
        <v>124</v>
      </c>
      <c r="BI955" s="4" t="s">
        <v>124</v>
      </c>
      <c r="BJ955" s="4" t="s">
        <v>124</v>
      </c>
      <c r="BK955" s="4" t="s">
        <v>124</v>
      </c>
      <c r="BL955" s="4" t="s">
        <v>124</v>
      </c>
      <c r="BM955" s="4" t="s">
        <v>124</v>
      </c>
      <c r="BN955" s="4" t="s">
        <v>124</v>
      </c>
      <c r="BO955" s="4" t="s">
        <v>124</v>
      </c>
      <c r="BP955" s="4" t="s">
        <v>124</v>
      </c>
      <c r="BQ955" s="4" t="s">
        <v>124</v>
      </c>
      <c r="BR955" s="7">
        <v>6.1150999999999997E-2</v>
      </c>
      <c r="BS955" s="7">
        <v>47.769784000000001</v>
      </c>
      <c r="BT955" s="7">
        <v>50</v>
      </c>
      <c r="BU955" s="7">
        <v>0.103704</v>
      </c>
      <c r="BV955" s="7">
        <v>39.259259</v>
      </c>
      <c r="BW955" s="7">
        <v>50</v>
      </c>
      <c r="BX955" s="4" t="s">
        <v>124</v>
      </c>
      <c r="BY955" s="4" t="s">
        <v>124</v>
      </c>
      <c r="BZ955" s="4" t="s">
        <v>124</v>
      </c>
      <c r="CA955" s="4" t="s">
        <v>124</v>
      </c>
      <c r="CB955" s="4" t="s">
        <v>124</v>
      </c>
      <c r="CC955" s="4" t="s">
        <v>124</v>
      </c>
      <c r="CD955" s="4" t="s">
        <v>124</v>
      </c>
      <c r="CE955" s="4" t="s">
        <v>124</v>
      </c>
      <c r="CF955" s="4" t="s">
        <v>124</v>
      </c>
      <c r="CG955" s="4" t="s">
        <v>124</v>
      </c>
      <c r="CH955" s="4" t="s">
        <v>124</v>
      </c>
      <c r="CI955" s="4" t="s">
        <v>124</v>
      </c>
      <c r="CJ955" s="4" t="s">
        <v>124</v>
      </c>
      <c r="CK955" s="4" t="s">
        <v>124</v>
      </c>
      <c r="CL955" s="4" t="s">
        <v>124</v>
      </c>
      <c r="CM955" s="4" t="s">
        <v>124</v>
      </c>
      <c r="CN955" s="4" t="s">
        <v>124</v>
      </c>
      <c r="CO955" s="4" t="s">
        <v>124</v>
      </c>
      <c r="CP955" s="4" t="s">
        <v>124</v>
      </c>
      <c r="CQ955" s="4" t="s">
        <v>124</v>
      </c>
      <c r="CR955" s="4" t="s">
        <v>124</v>
      </c>
      <c r="CS955" s="4" t="s">
        <v>124</v>
      </c>
      <c r="CT955" s="4" t="s">
        <v>124</v>
      </c>
      <c r="CU955" s="4" t="s">
        <v>124</v>
      </c>
      <c r="CV955" s="4" t="s">
        <v>124</v>
      </c>
      <c r="CW955" s="4" t="s">
        <v>124</v>
      </c>
      <c r="CX955" s="4" t="s">
        <v>124</v>
      </c>
      <c r="CY955" s="4" t="s">
        <v>124</v>
      </c>
      <c r="CZ955" s="4" t="s">
        <v>124</v>
      </c>
      <c r="DA955" s="4" t="s">
        <v>124</v>
      </c>
      <c r="DB955" s="4" t="s">
        <v>124</v>
      </c>
      <c r="DC955" s="4" t="s">
        <v>124</v>
      </c>
      <c r="DD955" s="4" t="s">
        <v>124</v>
      </c>
      <c r="DE955" s="4" t="s">
        <v>124</v>
      </c>
      <c r="DF955" s="6"/>
      <c r="DG955" s="6"/>
      <c r="DH955" s="6"/>
      <c r="DI955" s="6"/>
      <c r="DJ955" s="4" t="s">
        <v>124</v>
      </c>
      <c r="DK955" s="4" t="s">
        <v>124</v>
      </c>
      <c r="DL955" s="4" t="s">
        <v>124</v>
      </c>
      <c r="DM955" s="4" t="s">
        <v>124</v>
      </c>
      <c r="DN955" s="4" t="s">
        <v>124</v>
      </c>
      <c r="DO955" s="4" t="s">
        <v>124</v>
      </c>
      <c r="DP955" s="6"/>
      <c r="DQ955" s="4" t="s">
        <v>125</v>
      </c>
    </row>
    <row r="956" spans="1:121" ht="20" customHeight="1" x14ac:dyDescent="0.15">
      <c r="A956" s="5">
        <v>2018</v>
      </c>
      <c r="B956" s="3" t="s">
        <v>190</v>
      </c>
      <c r="C956" s="4" t="str">
        <f t="shared" si="263"/>
        <v>1480011</v>
      </c>
      <c r="D956" s="4" t="s">
        <v>446</v>
      </c>
      <c r="E956" s="4" t="str">
        <f>"1480211"</f>
        <v>1480211</v>
      </c>
      <c r="F956" s="4" t="s">
        <v>327</v>
      </c>
      <c r="G956" s="4" t="s">
        <v>328</v>
      </c>
      <c r="H956" s="7">
        <v>2</v>
      </c>
      <c r="I956" s="6"/>
      <c r="J956" s="4" t="s">
        <v>330</v>
      </c>
      <c r="K956" s="7">
        <v>100</v>
      </c>
      <c r="L956" s="7">
        <v>100</v>
      </c>
      <c r="M956" s="7">
        <v>100</v>
      </c>
      <c r="N956" s="4" t="s">
        <v>124</v>
      </c>
      <c r="O956" s="4" t="s">
        <v>124</v>
      </c>
      <c r="P956" s="4" t="s">
        <v>124</v>
      </c>
      <c r="Q956" s="4" t="s">
        <v>124</v>
      </c>
      <c r="R956" s="4" t="s">
        <v>124</v>
      </c>
      <c r="S956" s="4" t="s">
        <v>124</v>
      </c>
      <c r="T956" s="4" t="s">
        <v>124</v>
      </c>
      <c r="U956" s="4" t="s">
        <v>124</v>
      </c>
      <c r="V956" s="4" t="s">
        <v>124</v>
      </c>
      <c r="W956" s="4" t="s">
        <v>124</v>
      </c>
      <c r="X956" s="4" t="s">
        <v>124</v>
      </c>
      <c r="Y956" s="4" t="s">
        <v>124</v>
      </c>
      <c r="Z956" s="4" t="s">
        <v>124</v>
      </c>
      <c r="AA956" s="4" t="s">
        <v>124</v>
      </c>
      <c r="AB956" s="4" t="s">
        <v>124</v>
      </c>
      <c r="AC956" s="4" t="s">
        <v>124</v>
      </c>
      <c r="AD956" s="4" t="s">
        <v>124</v>
      </c>
      <c r="AE956" s="4" t="s">
        <v>124</v>
      </c>
      <c r="AF956" s="4" t="s">
        <v>124</v>
      </c>
      <c r="AG956" s="4" t="s">
        <v>124</v>
      </c>
      <c r="AH956" s="4" t="s">
        <v>124</v>
      </c>
      <c r="AI956" s="4" t="s">
        <v>124</v>
      </c>
      <c r="AJ956" s="4" t="s">
        <v>124</v>
      </c>
      <c r="AK956" s="4" t="s">
        <v>124</v>
      </c>
      <c r="AL956" s="4" t="s">
        <v>124</v>
      </c>
      <c r="AM956" s="4" t="s">
        <v>124</v>
      </c>
      <c r="AN956" s="4" t="s">
        <v>124</v>
      </c>
      <c r="AO956" s="4" t="s">
        <v>124</v>
      </c>
      <c r="AP956" s="4" t="s">
        <v>124</v>
      </c>
      <c r="AQ956" s="4" t="s">
        <v>124</v>
      </c>
      <c r="AR956" s="4" t="s">
        <v>124</v>
      </c>
      <c r="AS956" s="4" t="s">
        <v>124</v>
      </c>
      <c r="AT956" s="4" t="s">
        <v>124</v>
      </c>
      <c r="AU956" s="4" t="s">
        <v>124</v>
      </c>
      <c r="AV956" s="4" t="s">
        <v>124</v>
      </c>
      <c r="AW956" s="4" t="s">
        <v>124</v>
      </c>
      <c r="AX956" s="4" t="s">
        <v>124</v>
      </c>
      <c r="AY956" s="4" t="s">
        <v>124</v>
      </c>
      <c r="AZ956" s="4" t="s">
        <v>124</v>
      </c>
      <c r="BA956" s="4" t="s">
        <v>124</v>
      </c>
      <c r="BB956" s="4" t="s">
        <v>124</v>
      </c>
      <c r="BC956" s="4" t="s">
        <v>124</v>
      </c>
      <c r="BD956" s="4" t="s">
        <v>124</v>
      </c>
      <c r="BE956" s="4" t="s">
        <v>124</v>
      </c>
      <c r="BF956" s="4" t="s">
        <v>124</v>
      </c>
      <c r="BG956" s="4" t="s">
        <v>124</v>
      </c>
      <c r="BH956" s="4" t="s">
        <v>124</v>
      </c>
      <c r="BI956" s="4" t="s">
        <v>124</v>
      </c>
      <c r="BJ956" s="4" t="s">
        <v>124</v>
      </c>
      <c r="BK956" s="4" t="s">
        <v>124</v>
      </c>
      <c r="BL956" s="4" t="s">
        <v>124</v>
      </c>
      <c r="BM956" s="4" t="s">
        <v>124</v>
      </c>
      <c r="BN956" s="4" t="s">
        <v>124</v>
      </c>
      <c r="BO956" s="4" t="s">
        <v>124</v>
      </c>
      <c r="BP956" s="4" t="s">
        <v>124</v>
      </c>
      <c r="BQ956" s="4" t="s">
        <v>124</v>
      </c>
      <c r="BR956" s="7">
        <v>2.7119000000000001E-2</v>
      </c>
      <c r="BS956" s="7">
        <v>50</v>
      </c>
      <c r="BT956" s="7">
        <v>50</v>
      </c>
      <c r="BU956" s="7">
        <v>3.8094999999999997E-2</v>
      </c>
      <c r="BV956" s="7">
        <v>50</v>
      </c>
      <c r="BW956" s="7">
        <v>50</v>
      </c>
      <c r="BX956" s="4" t="s">
        <v>124</v>
      </c>
      <c r="BY956" s="4" t="s">
        <v>124</v>
      </c>
      <c r="BZ956" s="4" t="s">
        <v>124</v>
      </c>
      <c r="CA956" s="4" t="s">
        <v>124</v>
      </c>
      <c r="CB956" s="4" t="s">
        <v>124</v>
      </c>
      <c r="CC956" s="4" t="s">
        <v>124</v>
      </c>
      <c r="CD956" s="4" t="s">
        <v>124</v>
      </c>
      <c r="CE956" s="4" t="s">
        <v>124</v>
      </c>
      <c r="CF956" s="4" t="s">
        <v>124</v>
      </c>
      <c r="CG956" s="4" t="s">
        <v>124</v>
      </c>
      <c r="CH956" s="4" t="s">
        <v>124</v>
      </c>
      <c r="CI956" s="4" t="s">
        <v>124</v>
      </c>
      <c r="CJ956" s="4" t="s">
        <v>124</v>
      </c>
      <c r="CK956" s="4" t="s">
        <v>124</v>
      </c>
      <c r="CL956" s="4" t="s">
        <v>124</v>
      </c>
      <c r="CM956" s="4" t="s">
        <v>124</v>
      </c>
      <c r="CN956" s="4" t="s">
        <v>124</v>
      </c>
      <c r="CO956" s="4" t="s">
        <v>124</v>
      </c>
      <c r="CP956" s="4" t="s">
        <v>124</v>
      </c>
      <c r="CQ956" s="4" t="s">
        <v>124</v>
      </c>
      <c r="CR956" s="4" t="s">
        <v>124</v>
      </c>
      <c r="CS956" s="4" t="s">
        <v>124</v>
      </c>
      <c r="CT956" s="4" t="s">
        <v>124</v>
      </c>
      <c r="CU956" s="4" t="s">
        <v>124</v>
      </c>
      <c r="CV956" s="4" t="s">
        <v>124</v>
      </c>
      <c r="CW956" s="4" t="s">
        <v>124</v>
      </c>
      <c r="CX956" s="4" t="s">
        <v>124</v>
      </c>
      <c r="CY956" s="4" t="s">
        <v>124</v>
      </c>
      <c r="CZ956" s="4" t="s">
        <v>124</v>
      </c>
      <c r="DA956" s="4" t="s">
        <v>124</v>
      </c>
      <c r="DB956" s="4" t="s">
        <v>124</v>
      </c>
      <c r="DC956" s="4" t="s">
        <v>124</v>
      </c>
      <c r="DD956" s="4" t="s">
        <v>124</v>
      </c>
      <c r="DE956" s="4" t="s">
        <v>124</v>
      </c>
      <c r="DF956" s="6"/>
      <c r="DG956" s="6"/>
      <c r="DH956" s="6"/>
      <c r="DI956" s="6"/>
      <c r="DJ956" s="4" t="s">
        <v>124</v>
      </c>
      <c r="DK956" s="4" t="s">
        <v>124</v>
      </c>
      <c r="DL956" s="4" t="s">
        <v>124</v>
      </c>
      <c r="DM956" s="4" t="s">
        <v>124</v>
      </c>
      <c r="DN956" s="4" t="s">
        <v>124</v>
      </c>
      <c r="DO956" s="4" t="s">
        <v>124</v>
      </c>
      <c r="DP956" s="6"/>
      <c r="DQ956" s="4" t="s">
        <v>125</v>
      </c>
    </row>
    <row r="957" spans="1:121" ht="20" customHeight="1" x14ac:dyDescent="0.15">
      <c r="A957" s="5">
        <v>2018</v>
      </c>
      <c r="B957" s="3" t="s">
        <v>190</v>
      </c>
      <c r="C957" s="4" t="str">
        <f t="shared" si="263"/>
        <v>1480011</v>
      </c>
      <c r="D957" s="4" t="s">
        <v>1103</v>
      </c>
      <c r="E957" s="4" t="str">
        <f>"1485311"</f>
        <v>1485311</v>
      </c>
      <c r="F957" s="4" t="s">
        <v>327</v>
      </c>
      <c r="G957" s="7">
        <v>6</v>
      </c>
      <c r="H957" s="7">
        <v>8</v>
      </c>
      <c r="I957" s="6"/>
      <c r="J957" s="4" t="s">
        <v>330</v>
      </c>
      <c r="K957" s="7">
        <v>629.64223000000004</v>
      </c>
      <c r="L957" s="7">
        <v>900</v>
      </c>
      <c r="M957" s="7">
        <v>69.960248000000007</v>
      </c>
      <c r="N957" s="7">
        <v>3</v>
      </c>
      <c r="O957" s="7">
        <v>0</v>
      </c>
      <c r="P957" s="7">
        <v>69.546744000000004</v>
      </c>
      <c r="Q957" s="7">
        <v>46.364496000000003</v>
      </c>
      <c r="R957" s="7">
        <v>50</v>
      </c>
      <c r="S957" s="7">
        <v>61.193783000000003</v>
      </c>
      <c r="T957" s="7">
        <v>74.911255999999995</v>
      </c>
      <c r="U957" s="7">
        <v>40.795855000000003</v>
      </c>
      <c r="V957" s="7">
        <v>50</v>
      </c>
      <c r="W957" s="7">
        <v>62.117510000000003</v>
      </c>
      <c r="X957" s="7">
        <v>41.411673999999998</v>
      </c>
      <c r="Y957" s="7">
        <v>50</v>
      </c>
      <c r="Z957" s="7">
        <v>67.523964000000007</v>
      </c>
      <c r="AA957" s="7">
        <v>53.660626000000001</v>
      </c>
      <c r="AB957" s="7">
        <v>35.773750999999997</v>
      </c>
      <c r="AC957" s="7">
        <v>50</v>
      </c>
      <c r="AD957" s="7">
        <v>69.386972999999998</v>
      </c>
      <c r="AE957" s="7">
        <v>46.257981999999998</v>
      </c>
      <c r="AF957" s="7">
        <v>50</v>
      </c>
      <c r="AG957" s="7">
        <v>59.500771999999998</v>
      </c>
      <c r="AH957" s="7">
        <v>74.443275</v>
      </c>
      <c r="AI957" s="7">
        <v>39.667180999999999</v>
      </c>
      <c r="AJ957" s="7">
        <v>50</v>
      </c>
      <c r="AK957" s="7">
        <v>13.71</v>
      </c>
      <c r="AL957" s="7">
        <v>13.86</v>
      </c>
      <c r="AM957" s="7">
        <v>14.94</v>
      </c>
      <c r="AN957" s="7">
        <v>0.59204800000000002</v>
      </c>
      <c r="AO957" s="7">
        <v>59.204811999999997</v>
      </c>
      <c r="AP957" s="7">
        <v>100</v>
      </c>
      <c r="AQ957" s="7">
        <v>0.54130800000000001</v>
      </c>
      <c r="AR957" s="7">
        <v>54.13082</v>
      </c>
      <c r="AS957" s="7">
        <v>100</v>
      </c>
      <c r="AT957" s="7">
        <v>0.57041900000000001</v>
      </c>
      <c r="AU957" s="7">
        <v>0.60491399999999995</v>
      </c>
      <c r="AV957" s="7">
        <v>57.041882000000001</v>
      </c>
      <c r="AW957" s="7">
        <v>100</v>
      </c>
      <c r="AX957" s="7">
        <v>0.52911399999999997</v>
      </c>
      <c r="AY957" s="7">
        <v>0.54846899999999998</v>
      </c>
      <c r="AZ957" s="7">
        <v>52.911382000000003</v>
      </c>
      <c r="BA957" s="7">
        <v>100</v>
      </c>
      <c r="BB957" s="4" t="s">
        <v>124</v>
      </c>
      <c r="BC957" s="4" t="s">
        <v>124</v>
      </c>
      <c r="BD957" s="4" t="s">
        <v>124</v>
      </c>
      <c r="BE957" s="4" t="s">
        <v>124</v>
      </c>
      <c r="BF957" s="4" t="s">
        <v>124</v>
      </c>
      <c r="BG957" s="4" t="s">
        <v>124</v>
      </c>
      <c r="BH957" s="7">
        <v>0</v>
      </c>
      <c r="BI957" s="7">
        <v>0.982877</v>
      </c>
      <c r="BJ957" s="7">
        <v>0.98305100000000001</v>
      </c>
      <c r="BK957" s="7">
        <v>0.98275900000000005</v>
      </c>
      <c r="BL957" s="7">
        <v>0.98116400000000004</v>
      </c>
      <c r="BM957" s="7">
        <v>0.97881399999999996</v>
      </c>
      <c r="BN957" s="7">
        <v>0.98275900000000005</v>
      </c>
      <c r="BO957" s="7">
        <v>0.97572800000000004</v>
      </c>
      <c r="BP957" s="7">
        <v>0.97222200000000003</v>
      </c>
      <c r="BQ957" s="7">
        <v>0.97761200000000004</v>
      </c>
      <c r="BR957" s="7">
        <v>5.8219E-2</v>
      </c>
      <c r="BS957" s="7">
        <v>48.356164</v>
      </c>
      <c r="BT957" s="7">
        <v>50</v>
      </c>
      <c r="BU957" s="7">
        <v>0.123348</v>
      </c>
      <c r="BV957" s="7">
        <v>35.330396</v>
      </c>
      <c r="BW957" s="7">
        <v>50</v>
      </c>
      <c r="BX957" s="4" t="s">
        <v>124</v>
      </c>
      <c r="BY957" s="4" t="s">
        <v>124</v>
      </c>
      <c r="BZ957" s="4" t="s">
        <v>124</v>
      </c>
      <c r="CA957" s="4" t="s">
        <v>124</v>
      </c>
      <c r="CB957" s="4" t="s">
        <v>124</v>
      </c>
      <c r="CC957" s="4" t="s">
        <v>124</v>
      </c>
      <c r="CD957" s="7">
        <v>1</v>
      </c>
      <c r="CE957" s="7">
        <v>50</v>
      </c>
      <c r="CF957" s="7">
        <v>50</v>
      </c>
      <c r="CG957" s="4" t="s">
        <v>124</v>
      </c>
      <c r="CH957" s="4" t="s">
        <v>124</v>
      </c>
      <c r="CI957" s="4" t="s">
        <v>124</v>
      </c>
      <c r="CJ957" s="4" t="s">
        <v>124</v>
      </c>
      <c r="CK957" s="4" t="s">
        <v>124</v>
      </c>
      <c r="CL957" s="4" t="s">
        <v>124</v>
      </c>
      <c r="CM957" s="4" t="s">
        <v>124</v>
      </c>
      <c r="CN957" s="4" t="s">
        <v>124</v>
      </c>
      <c r="CO957" s="4" t="s">
        <v>124</v>
      </c>
      <c r="CP957" s="4" t="s">
        <v>124</v>
      </c>
      <c r="CQ957" s="7">
        <v>0.33593800000000001</v>
      </c>
      <c r="CR957" s="7">
        <v>0.97709900000000005</v>
      </c>
      <c r="CS957" s="7">
        <v>22.395833</v>
      </c>
      <c r="CT957" s="7">
        <v>50</v>
      </c>
      <c r="CU957" s="4" t="s">
        <v>124</v>
      </c>
      <c r="CV957" s="4" t="s">
        <v>124</v>
      </c>
      <c r="CW957" s="4" t="s">
        <v>124</v>
      </c>
      <c r="CX957" s="4" t="s">
        <v>124</v>
      </c>
      <c r="CY957" s="4" t="s">
        <v>124</v>
      </c>
      <c r="CZ957" s="4" t="s">
        <v>124</v>
      </c>
      <c r="DA957" s="7">
        <v>15.314097</v>
      </c>
      <c r="DB957" s="7">
        <v>17.400950000000002</v>
      </c>
      <c r="DC957" s="7">
        <v>16.332519999999999</v>
      </c>
      <c r="DD957" s="4" t="s">
        <v>124</v>
      </c>
      <c r="DE957" s="7">
        <v>0</v>
      </c>
      <c r="DF957" s="6"/>
      <c r="DG957" s="6"/>
      <c r="DH957" s="6"/>
      <c r="DI957" s="6"/>
      <c r="DJ957" s="7">
        <v>0</v>
      </c>
      <c r="DK957" s="7">
        <v>0</v>
      </c>
      <c r="DL957" s="7">
        <v>0</v>
      </c>
      <c r="DM957" s="7">
        <v>0</v>
      </c>
      <c r="DN957" s="7">
        <v>0</v>
      </c>
      <c r="DO957" s="7">
        <v>0</v>
      </c>
      <c r="DP957" s="6"/>
      <c r="DQ957" s="4" t="s">
        <v>125</v>
      </c>
    </row>
    <row r="958" spans="1:121" ht="20" customHeight="1" x14ac:dyDescent="0.15">
      <c r="A958" s="5">
        <v>2018</v>
      </c>
      <c r="B958" s="3" t="s">
        <v>190</v>
      </c>
      <c r="C958" s="4" t="str">
        <f t="shared" si="263"/>
        <v>1480011</v>
      </c>
      <c r="D958" s="4" t="s">
        <v>1104</v>
      </c>
      <c r="E958" s="4" t="str">
        <f>"1486111"</f>
        <v>1486111</v>
      </c>
      <c r="F958" s="4" t="s">
        <v>327</v>
      </c>
      <c r="G958" s="7">
        <v>9</v>
      </c>
      <c r="H958" s="7">
        <v>12</v>
      </c>
      <c r="I958" s="4" t="s">
        <v>329</v>
      </c>
      <c r="J958" s="4" t="s">
        <v>330</v>
      </c>
      <c r="K958" s="7">
        <v>1138.722272</v>
      </c>
      <c r="L958" s="7">
        <v>1450</v>
      </c>
      <c r="M958" s="7">
        <v>78.532570000000007</v>
      </c>
      <c r="N958" s="7">
        <v>2</v>
      </c>
      <c r="O958" s="7">
        <v>0</v>
      </c>
      <c r="P958" s="7">
        <v>58.961438000000001</v>
      </c>
      <c r="Q958" s="7">
        <v>117.922876</v>
      </c>
      <c r="R958" s="7">
        <v>150</v>
      </c>
      <c r="S958" s="7">
        <v>49.243727999999997</v>
      </c>
      <c r="T958" s="7">
        <v>64.540122999999994</v>
      </c>
      <c r="U958" s="7">
        <v>98.487454999999997</v>
      </c>
      <c r="V958" s="7">
        <v>150</v>
      </c>
      <c r="W958" s="7">
        <v>54.906536000000003</v>
      </c>
      <c r="X958" s="7">
        <v>109.81307200000001</v>
      </c>
      <c r="Y958" s="7">
        <v>150</v>
      </c>
      <c r="Z958" s="7">
        <v>60.115226</v>
      </c>
      <c r="AA958" s="7">
        <v>45.833333000000003</v>
      </c>
      <c r="AB958" s="7">
        <v>91.666667000000004</v>
      </c>
      <c r="AC958" s="7">
        <v>150</v>
      </c>
      <c r="AD958" s="7">
        <v>64.304400000000001</v>
      </c>
      <c r="AE958" s="7">
        <v>85.739199999999997</v>
      </c>
      <c r="AF958" s="7">
        <v>100</v>
      </c>
      <c r="AG958" s="7">
        <v>55.329554999999999</v>
      </c>
      <c r="AH958" s="7">
        <v>69.567425999999998</v>
      </c>
      <c r="AI958" s="7">
        <v>73.772739999999999</v>
      </c>
      <c r="AJ958" s="7">
        <v>100</v>
      </c>
      <c r="AK958" s="7">
        <v>15.29</v>
      </c>
      <c r="AL958" s="7">
        <v>14.28</v>
      </c>
      <c r="AM958" s="7">
        <v>14.23</v>
      </c>
      <c r="AN958" s="4" t="s">
        <v>124</v>
      </c>
      <c r="AO958" s="4" t="s">
        <v>124</v>
      </c>
      <c r="AP958" s="4" t="s">
        <v>124</v>
      </c>
      <c r="AQ958" s="4" t="s">
        <v>124</v>
      </c>
      <c r="AR958" s="4" t="s">
        <v>124</v>
      </c>
      <c r="AS958" s="4" t="s">
        <v>124</v>
      </c>
      <c r="AT958" s="4" t="s">
        <v>124</v>
      </c>
      <c r="AU958" s="4" t="s">
        <v>124</v>
      </c>
      <c r="AV958" s="4" t="s">
        <v>124</v>
      </c>
      <c r="AW958" s="4" t="s">
        <v>124</v>
      </c>
      <c r="AX958" s="4" t="s">
        <v>124</v>
      </c>
      <c r="AY958" s="4" t="s">
        <v>124</v>
      </c>
      <c r="AZ958" s="4" t="s">
        <v>124</v>
      </c>
      <c r="BA958" s="4" t="s">
        <v>124</v>
      </c>
      <c r="BB958" s="4" t="s">
        <v>124</v>
      </c>
      <c r="BC958" s="4" t="s">
        <v>124</v>
      </c>
      <c r="BD958" s="4" t="s">
        <v>124</v>
      </c>
      <c r="BE958" s="4" t="s">
        <v>124</v>
      </c>
      <c r="BF958" s="4" t="s">
        <v>124</v>
      </c>
      <c r="BG958" s="4" t="s">
        <v>124</v>
      </c>
      <c r="BH958" s="7">
        <v>0</v>
      </c>
      <c r="BI958" s="7">
        <v>0.98461500000000002</v>
      </c>
      <c r="BJ958" s="7">
        <v>0.95918400000000004</v>
      </c>
      <c r="BK958" s="7">
        <v>1</v>
      </c>
      <c r="BL958" s="7">
        <v>0.98461500000000002</v>
      </c>
      <c r="BM958" s="7">
        <v>0.95918400000000004</v>
      </c>
      <c r="BN958" s="7">
        <v>1</v>
      </c>
      <c r="BO958" s="7">
        <v>0.99230799999999997</v>
      </c>
      <c r="BP958" s="7">
        <v>0.97959200000000002</v>
      </c>
      <c r="BQ958" s="7">
        <v>1</v>
      </c>
      <c r="BR958" s="7">
        <v>6.9260000000000002E-2</v>
      </c>
      <c r="BS958" s="7">
        <v>46.148007999999997</v>
      </c>
      <c r="BT958" s="7">
        <v>50</v>
      </c>
      <c r="BU958" s="7">
        <v>0.1275</v>
      </c>
      <c r="BV958" s="7">
        <v>34.5</v>
      </c>
      <c r="BW958" s="7">
        <v>50</v>
      </c>
      <c r="BX958" s="7">
        <v>0.87676799999999999</v>
      </c>
      <c r="BY958" s="7">
        <v>50</v>
      </c>
      <c r="BZ958" s="7">
        <v>50</v>
      </c>
      <c r="CA958" s="7">
        <v>0.42828300000000002</v>
      </c>
      <c r="CB958" s="7">
        <v>28.552188999999998</v>
      </c>
      <c r="CC958" s="7">
        <v>50</v>
      </c>
      <c r="CD958" s="7">
        <v>0.98790299999999998</v>
      </c>
      <c r="CE958" s="7">
        <v>50</v>
      </c>
      <c r="CF958" s="7">
        <v>50</v>
      </c>
      <c r="CG958" s="7">
        <v>0.95419799999999999</v>
      </c>
      <c r="CH958" s="7">
        <v>100</v>
      </c>
      <c r="CI958" s="7">
        <v>100</v>
      </c>
      <c r="CJ958" s="7">
        <v>0</v>
      </c>
      <c r="CK958" s="7">
        <v>0.90291299999999997</v>
      </c>
      <c r="CL958" s="7">
        <v>96.054534000000004</v>
      </c>
      <c r="CM958" s="7">
        <v>100</v>
      </c>
      <c r="CN958" s="7">
        <v>0.77290800000000004</v>
      </c>
      <c r="CO958" s="7">
        <v>100</v>
      </c>
      <c r="CP958" s="7">
        <v>100</v>
      </c>
      <c r="CQ958" s="7">
        <v>0.550562</v>
      </c>
      <c r="CR958" s="7">
        <v>0.85852099999999998</v>
      </c>
      <c r="CS958" s="7">
        <v>18.352060000000002</v>
      </c>
      <c r="CT958" s="7">
        <v>50</v>
      </c>
      <c r="CU958" s="7">
        <v>0.45256200000000002</v>
      </c>
      <c r="CV958" s="7">
        <v>37.713472000000003</v>
      </c>
      <c r="CW958" s="7">
        <v>50</v>
      </c>
      <c r="CX958" s="7">
        <v>0.90291299999999997</v>
      </c>
      <c r="CY958" s="7">
        <v>0.94</v>
      </c>
      <c r="CZ958" s="7">
        <v>3.7087000000000002E-2</v>
      </c>
      <c r="DA958" s="7">
        <v>15.314097</v>
      </c>
      <c r="DB958" s="7">
        <v>17.400950000000002</v>
      </c>
      <c r="DC958" s="7">
        <v>16.332519999999999</v>
      </c>
      <c r="DD958" s="7">
        <v>7.9891730000000001</v>
      </c>
      <c r="DE958" s="7">
        <v>0</v>
      </c>
      <c r="DF958" s="6"/>
      <c r="DG958" s="6"/>
      <c r="DH958" s="6"/>
      <c r="DI958" s="6"/>
      <c r="DJ958" s="7">
        <v>0</v>
      </c>
      <c r="DK958" s="7">
        <v>0</v>
      </c>
      <c r="DL958" s="7">
        <v>0</v>
      </c>
      <c r="DM958" s="7">
        <v>0</v>
      </c>
      <c r="DN958" s="7">
        <v>0</v>
      </c>
      <c r="DO958" s="7">
        <v>0</v>
      </c>
      <c r="DP958" s="6"/>
      <c r="DQ958" s="4" t="s">
        <v>125</v>
      </c>
    </row>
    <row r="959" spans="1:121" ht="20" customHeight="1" x14ac:dyDescent="0.15">
      <c r="A959" s="5">
        <v>2018</v>
      </c>
      <c r="B959" s="3" t="s">
        <v>190</v>
      </c>
      <c r="C959" s="4" t="str">
        <f t="shared" si="263"/>
        <v>1480011</v>
      </c>
      <c r="D959" s="4" t="s">
        <v>1105</v>
      </c>
      <c r="E959" s="4" t="str">
        <f>"1486211"</f>
        <v>1486211</v>
      </c>
      <c r="F959" s="4" t="s">
        <v>327</v>
      </c>
      <c r="G959" s="7">
        <v>9</v>
      </c>
      <c r="H959" s="7">
        <v>12</v>
      </c>
      <c r="I959" s="6"/>
      <c r="J959" s="4" t="s">
        <v>330</v>
      </c>
      <c r="K959" s="7">
        <v>1207.9678510000001</v>
      </c>
      <c r="L959" s="7">
        <v>1450</v>
      </c>
      <c r="M959" s="7">
        <v>83.308127999999996</v>
      </c>
      <c r="N959" s="7">
        <v>2</v>
      </c>
      <c r="O959" s="7">
        <v>0</v>
      </c>
      <c r="P959" s="7">
        <v>59.611395000000002</v>
      </c>
      <c r="Q959" s="7">
        <v>119.22278900000001</v>
      </c>
      <c r="R959" s="7">
        <v>150</v>
      </c>
      <c r="S959" s="7">
        <v>52.926229999999997</v>
      </c>
      <c r="T959" s="7">
        <v>62.632098999999997</v>
      </c>
      <c r="U959" s="7">
        <v>105.852459</v>
      </c>
      <c r="V959" s="7">
        <v>150</v>
      </c>
      <c r="W959" s="7">
        <v>57.160713999999999</v>
      </c>
      <c r="X959" s="7">
        <v>114.32142899999999</v>
      </c>
      <c r="Y959" s="7">
        <v>150</v>
      </c>
      <c r="Z959" s="7">
        <v>60.567900999999999</v>
      </c>
      <c r="AA959" s="7">
        <v>49.620218999999999</v>
      </c>
      <c r="AB959" s="7">
        <v>99.240437</v>
      </c>
      <c r="AC959" s="7">
        <v>150</v>
      </c>
      <c r="AD959" s="7">
        <v>66.738225999999997</v>
      </c>
      <c r="AE959" s="7">
        <v>88.984301000000002</v>
      </c>
      <c r="AF959" s="7">
        <v>100</v>
      </c>
      <c r="AG959" s="7">
        <v>60.493063999999997</v>
      </c>
      <c r="AH959" s="7">
        <v>69.560113999999999</v>
      </c>
      <c r="AI959" s="7">
        <v>80.657419000000004</v>
      </c>
      <c r="AJ959" s="7">
        <v>100</v>
      </c>
      <c r="AK959" s="7">
        <v>9.6999999999999993</v>
      </c>
      <c r="AL959" s="7">
        <v>10.94</v>
      </c>
      <c r="AM959" s="7">
        <v>9.06</v>
      </c>
      <c r="AN959" s="4" t="s">
        <v>124</v>
      </c>
      <c r="AO959" s="4" t="s">
        <v>124</v>
      </c>
      <c r="AP959" s="4" t="s">
        <v>124</v>
      </c>
      <c r="AQ959" s="4" t="s">
        <v>124</v>
      </c>
      <c r="AR959" s="4" t="s">
        <v>124</v>
      </c>
      <c r="AS959" s="4" t="s">
        <v>124</v>
      </c>
      <c r="AT959" s="4" t="s">
        <v>124</v>
      </c>
      <c r="AU959" s="4" t="s">
        <v>124</v>
      </c>
      <c r="AV959" s="4" t="s">
        <v>124</v>
      </c>
      <c r="AW959" s="4" t="s">
        <v>124</v>
      </c>
      <c r="AX959" s="4" t="s">
        <v>124</v>
      </c>
      <c r="AY959" s="4" t="s">
        <v>124</v>
      </c>
      <c r="AZ959" s="4" t="s">
        <v>124</v>
      </c>
      <c r="BA959" s="4" t="s">
        <v>124</v>
      </c>
      <c r="BB959" s="4" t="s">
        <v>124</v>
      </c>
      <c r="BC959" s="4" t="s">
        <v>124</v>
      </c>
      <c r="BD959" s="4" t="s">
        <v>124</v>
      </c>
      <c r="BE959" s="4" t="s">
        <v>124</v>
      </c>
      <c r="BF959" s="4" t="s">
        <v>124</v>
      </c>
      <c r="BG959" s="4" t="s">
        <v>124</v>
      </c>
      <c r="BH959" s="7">
        <v>0</v>
      </c>
      <c r="BI959" s="7">
        <v>0.98499999999999999</v>
      </c>
      <c r="BJ959" s="7">
        <v>0.953125</v>
      </c>
      <c r="BK959" s="7">
        <v>1</v>
      </c>
      <c r="BL959" s="7">
        <v>0.98499999999999999</v>
      </c>
      <c r="BM959" s="7">
        <v>0.953125</v>
      </c>
      <c r="BN959" s="7">
        <v>1</v>
      </c>
      <c r="BO959" s="7">
        <v>0.98499999999999999</v>
      </c>
      <c r="BP959" s="7">
        <v>0.953125</v>
      </c>
      <c r="BQ959" s="7">
        <v>1</v>
      </c>
      <c r="BR959" s="7">
        <v>3.1486E-2</v>
      </c>
      <c r="BS959" s="7">
        <v>50</v>
      </c>
      <c r="BT959" s="7">
        <v>50</v>
      </c>
      <c r="BU959" s="7">
        <v>7.4218999999999993E-2</v>
      </c>
      <c r="BV959" s="7">
        <v>45.15625</v>
      </c>
      <c r="BW959" s="7">
        <v>50</v>
      </c>
      <c r="BX959" s="7">
        <v>0.74683500000000003</v>
      </c>
      <c r="BY959" s="7">
        <v>49.789029999999997</v>
      </c>
      <c r="BZ959" s="7">
        <v>50</v>
      </c>
      <c r="CA959" s="7">
        <v>0.47341800000000001</v>
      </c>
      <c r="CB959" s="7">
        <v>31.561181000000001</v>
      </c>
      <c r="CC959" s="7">
        <v>50</v>
      </c>
      <c r="CD959" s="7">
        <v>1</v>
      </c>
      <c r="CE959" s="7">
        <v>50</v>
      </c>
      <c r="CF959" s="7">
        <v>50</v>
      </c>
      <c r="CG959" s="7">
        <v>0.97777800000000004</v>
      </c>
      <c r="CH959" s="7">
        <v>100</v>
      </c>
      <c r="CI959" s="7">
        <v>100</v>
      </c>
      <c r="CJ959" s="7">
        <v>0</v>
      </c>
      <c r="CK959" s="7">
        <v>0.87301600000000001</v>
      </c>
      <c r="CL959" s="7">
        <v>92.874028999999993</v>
      </c>
      <c r="CM959" s="7">
        <v>100</v>
      </c>
      <c r="CN959" s="7">
        <v>0.72777800000000004</v>
      </c>
      <c r="CO959" s="7">
        <v>97.037036999999998</v>
      </c>
      <c r="CP959" s="7">
        <v>100</v>
      </c>
      <c r="CQ959" s="7">
        <v>0.57526900000000003</v>
      </c>
      <c r="CR959" s="7">
        <v>1.0163930000000001</v>
      </c>
      <c r="CS959" s="7">
        <v>38.351253999999997</v>
      </c>
      <c r="CT959" s="7">
        <v>50</v>
      </c>
      <c r="CU959" s="7">
        <v>0.53904300000000005</v>
      </c>
      <c r="CV959" s="7">
        <v>44.920234999999998</v>
      </c>
      <c r="CW959" s="7">
        <v>50</v>
      </c>
      <c r="CX959" s="7">
        <v>0.87301600000000001</v>
      </c>
      <c r="CY959" s="7">
        <v>0.94</v>
      </c>
      <c r="CZ959" s="7">
        <v>6.6984000000000002E-2</v>
      </c>
      <c r="DA959" s="7">
        <v>15.314097</v>
      </c>
      <c r="DB959" s="7">
        <v>17.400950000000002</v>
      </c>
      <c r="DC959" s="7">
        <v>16.332519999999999</v>
      </c>
      <c r="DD959" s="7">
        <v>7.9891730000000001</v>
      </c>
      <c r="DE959" s="7">
        <v>0</v>
      </c>
      <c r="DF959" s="6"/>
      <c r="DG959" s="6"/>
      <c r="DH959" s="6"/>
      <c r="DI959" s="6"/>
      <c r="DJ959" s="7">
        <v>0</v>
      </c>
      <c r="DK959" s="7">
        <v>0</v>
      </c>
      <c r="DL959" s="7">
        <v>0</v>
      </c>
      <c r="DM959" s="7">
        <v>0</v>
      </c>
      <c r="DN959" s="7">
        <v>0</v>
      </c>
      <c r="DO959" s="7">
        <v>0</v>
      </c>
      <c r="DP959" s="6"/>
      <c r="DQ959" s="4" t="s">
        <v>125</v>
      </c>
    </row>
    <row r="960" spans="1:121" ht="20" customHeight="1" x14ac:dyDescent="0.15">
      <c r="A960" s="5">
        <v>2018</v>
      </c>
      <c r="B960" s="3" t="s">
        <v>190</v>
      </c>
      <c r="C960" s="4" t="str">
        <f t="shared" si="263"/>
        <v>1480011</v>
      </c>
      <c r="D960" s="4" t="s">
        <v>1106</v>
      </c>
      <c r="E960" s="4" t="str">
        <f>"1480811"</f>
        <v>1480811</v>
      </c>
      <c r="F960" s="4" t="s">
        <v>327</v>
      </c>
      <c r="G960" s="7">
        <v>3</v>
      </c>
      <c r="H960" s="7">
        <v>5</v>
      </c>
      <c r="I960" s="6"/>
      <c r="J960" s="4" t="s">
        <v>330</v>
      </c>
      <c r="K960" s="7">
        <v>641.27810199999999</v>
      </c>
      <c r="L960" s="7">
        <v>850</v>
      </c>
      <c r="M960" s="7">
        <v>75.444483000000005</v>
      </c>
      <c r="N960" s="7">
        <v>3</v>
      </c>
      <c r="O960" s="7">
        <v>0</v>
      </c>
      <c r="P960" s="7">
        <v>69.916711000000006</v>
      </c>
      <c r="Q960" s="7">
        <v>46.611141000000003</v>
      </c>
      <c r="R960" s="7">
        <v>50</v>
      </c>
      <c r="S960" s="7">
        <v>60.610785</v>
      </c>
      <c r="T960" s="7">
        <v>74.983812</v>
      </c>
      <c r="U960" s="7">
        <v>40.40719</v>
      </c>
      <c r="V960" s="7">
        <v>50</v>
      </c>
      <c r="W960" s="7">
        <v>67.461561000000003</v>
      </c>
      <c r="X960" s="7">
        <v>44.974373999999997</v>
      </c>
      <c r="Y960" s="7">
        <v>50</v>
      </c>
      <c r="Z960" s="7">
        <v>73.150576999999998</v>
      </c>
      <c r="AA960" s="7">
        <v>56.958761000000003</v>
      </c>
      <c r="AB960" s="7">
        <v>37.972507999999998</v>
      </c>
      <c r="AC960" s="7">
        <v>50</v>
      </c>
      <c r="AD960" s="7">
        <v>70.451612999999995</v>
      </c>
      <c r="AE960" s="7">
        <v>46.967742000000001</v>
      </c>
      <c r="AF960" s="7">
        <v>50</v>
      </c>
      <c r="AG960" s="7">
        <v>64.036009000000007</v>
      </c>
      <c r="AH960" s="7">
        <v>74.569090000000003</v>
      </c>
      <c r="AI960" s="7">
        <v>42.690672999999997</v>
      </c>
      <c r="AJ960" s="7">
        <v>50</v>
      </c>
      <c r="AK960" s="7">
        <v>14.37</v>
      </c>
      <c r="AL960" s="7">
        <v>16.190000000000001</v>
      </c>
      <c r="AM960" s="7">
        <v>10.53</v>
      </c>
      <c r="AN960" s="7">
        <v>0.64237699999999998</v>
      </c>
      <c r="AO960" s="7">
        <v>64.237702999999996</v>
      </c>
      <c r="AP960" s="7">
        <v>100</v>
      </c>
      <c r="AQ960" s="7">
        <v>0.649675</v>
      </c>
      <c r="AR960" s="7">
        <v>64.967506999999998</v>
      </c>
      <c r="AS960" s="7">
        <v>100</v>
      </c>
      <c r="AT960" s="7">
        <v>0.58397900000000003</v>
      </c>
      <c r="AU960" s="7">
        <v>0.67258300000000004</v>
      </c>
      <c r="AV960" s="7">
        <v>58.397936999999999</v>
      </c>
      <c r="AW960" s="7">
        <v>100</v>
      </c>
      <c r="AX960" s="7">
        <v>0.60234699999999997</v>
      </c>
      <c r="AY960" s="7">
        <v>0.673987</v>
      </c>
      <c r="AZ960" s="7">
        <v>60.234709000000002</v>
      </c>
      <c r="BA960" s="7">
        <v>100</v>
      </c>
      <c r="BB960" s="4" t="s">
        <v>124</v>
      </c>
      <c r="BC960" s="4" t="s">
        <v>124</v>
      </c>
      <c r="BD960" s="4" t="s">
        <v>124</v>
      </c>
      <c r="BE960" s="4" t="s">
        <v>124</v>
      </c>
      <c r="BF960" s="4" t="s">
        <v>124</v>
      </c>
      <c r="BG960" s="4" t="s">
        <v>124</v>
      </c>
      <c r="BH960" s="7">
        <v>1</v>
      </c>
      <c r="BI960" s="7">
        <v>0.98692800000000003</v>
      </c>
      <c r="BJ960" s="7">
        <v>0.97368399999999999</v>
      </c>
      <c r="BK960" s="7">
        <v>0.99479200000000001</v>
      </c>
      <c r="BL960" s="7">
        <v>0.99019599999999997</v>
      </c>
      <c r="BM960" s="7">
        <v>0.97368399999999999</v>
      </c>
      <c r="BN960" s="7">
        <v>1</v>
      </c>
      <c r="BO960" s="7">
        <v>0.96551699999999996</v>
      </c>
      <c r="BP960" s="7">
        <v>0.9375</v>
      </c>
      <c r="BQ960" s="7">
        <v>0.985294</v>
      </c>
      <c r="BR960" s="7">
        <v>3.9216000000000001E-2</v>
      </c>
      <c r="BS960" s="7">
        <v>50</v>
      </c>
      <c r="BT960" s="7">
        <v>50</v>
      </c>
      <c r="BU960" s="7">
        <v>9.1743000000000005E-2</v>
      </c>
      <c r="BV960" s="7">
        <v>41.651375999999999</v>
      </c>
      <c r="BW960" s="7">
        <v>50</v>
      </c>
      <c r="BX960" s="4" t="s">
        <v>124</v>
      </c>
      <c r="BY960" s="4" t="s">
        <v>124</v>
      </c>
      <c r="BZ960" s="4" t="s">
        <v>124</v>
      </c>
      <c r="CA960" s="4" t="s">
        <v>124</v>
      </c>
      <c r="CB960" s="4" t="s">
        <v>124</v>
      </c>
      <c r="CC960" s="4" t="s">
        <v>124</v>
      </c>
      <c r="CD960" s="4" t="s">
        <v>124</v>
      </c>
      <c r="CE960" s="4" t="s">
        <v>124</v>
      </c>
      <c r="CF960" s="4" t="s">
        <v>124</v>
      </c>
      <c r="CG960" s="4" t="s">
        <v>124</v>
      </c>
      <c r="CH960" s="4" t="s">
        <v>124</v>
      </c>
      <c r="CI960" s="4" t="s">
        <v>124</v>
      </c>
      <c r="CJ960" s="4" t="s">
        <v>124</v>
      </c>
      <c r="CK960" s="4" t="s">
        <v>124</v>
      </c>
      <c r="CL960" s="4" t="s">
        <v>124</v>
      </c>
      <c r="CM960" s="4" t="s">
        <v>124</v>
      </c>
      <c r="CN960" s="4" t="s">
        <v>124</v>
      </c>
      <c r="CO960" s="4" t="s">
        <v>124</v>
      </c>
      <c r="CP960" s="4" t="s">
        <v>124</v>
      </c>
      <c r="CQ960" s="7">
        <v>0.63247900000000001</v>
      </c>
      <c r="CR960" s="7">
        <v>1.026316</v>
      </c>
      <c r="CS960" s="7">
        <v>42.165241999999999</v>
      </c>
      <c r="CT960" s="7">
        <v>50</v>
      </c>
      <c r="CU960" s="4" t="s">
        <v>124</v>
      </c>
      <c r="CV960" s="4" t="s">
        <v>124</v>
      </c>
      <c r="CW960" s="4" t="s">
        <v>124</v>
      </c>
      <c r="CX960" s="4" t="s">
        <v>124</v>
      </c>
      <c r="CY960" s="4" t="s">
        <v>124</v>
      </c>
      <c r="CZ960" s="4" t="s">
        <v>124</v>
      </c>
      <c r="DA960" s="7">
        <v>15.314097</v>
      </c>
      <c r="DB960" s="7">
        <v>17.400950000000002</v>
      </c>
      <c r="DC960" s="7">
        <v>16.332519999999999</v>
      </c>
      <c r="DD960" s="4" t="s">
        <v>124</v>
      </c>
      <c r="DE960" s="7">
        <v>1</v>
      </c>
      <c r="DF960" s="6"/>
      <c r="DG960" s="6"/>
      <c r="DH960" s="6"/>
      <c r="DI960" s="6"/>
      <c r="DJ960" s="7">
        <v>0</v>
      </c>
      <c r="DK960" s="7">
        <v>0</v>
      </c>
      <c r="DL960" s="7">
        <v>0</v>
      </c>
      <c r="DM960" s="7">
        <v>0</v>
      </c>
      <c r="DN960" s="7">
        <v>0</v>
      </c>
      <c r="DO960" s="7">
        <v>0</v>
      </c>
      <c r="DP960" s="6"/>
      <c r="DQ960" s="4" t="s">
        <v>125</v>
      </c>
    </row>
    <row r="961" spans="1:121" ht="20" customHeight="1" x14ac:dyDescent="0.15">
      <c r="A961" s="5">
        <v>2018</v>
      </c>
      <c r="B961" s="3" t="s">
        <v>190</v>
      </c>
      <c r="C961" s="4" t="str">
        <f t="shared" si="263"/>
        <v>1480011</v>
      </c>
      <c r="D961" s="4" t="s">
        <v>1107</v>
      </c>
      <c r="E961" s="4" t="str">
        <f>"1480111"</f>
        <v>1480111</v>
      </c>
      <c r="F961" s="4" t="s">
        <v>327</v>
      </c>
      <c r="G961" s="4" t="s">
        <v>328</v>
      </c>
      <c r="H961" s="7">
        <v>2</v>
      </c>
      <c r="I961" s="6"/>
      <c r="J961" s="4" t="s">
        <v>330</v>
      </c>
      <c r="K961" s="7">
        <v>159.059788</v>
      </c>
      <c r="L961" s="7">
        <v>200</v>
      </c>
      <c r="M961" s="7">
        <v>79.529893999999999</v>
      </c>
      <c r="N961" s="7">
        <v>2</v>
      </c>
      <c r="O961" s="4" t="s">
        <v>124</v>
      </c>
      <c r="P961" s="4" t="s">
        <v>124</v>
      </c>
      <c r="Q961" s="4" t="s">
        <v>124</v>
      </c>
      <c r="R961" s="4" t="s">
        <v>124</v>
      </c>
      <c r="S961" s="4" t="s">
        <v>124</v>
      </c>
      <c r="T961" s="4" t="s">
        <v>124</v>
      </c>
      <c r="U961" s="4" t="s">
        <v>124</v>
      </c>
      <c r="V961" s="4" t="s">
        <v>124</v>
      </c>
      <c r="W961" s="4" t="s">
        <v>124</v>
      </c>
      <c r="X961" s="4" t="s">
        <v>124</v>
      </c>
      <c r="Y961" s="4" t="s">
        <v>124</v>
      </c>
      <c r="Z961" s="4" t="s">
        <v>124</v>
      </c>
      <c r="AA961" s="4" t="s">
        <v>124</v>
      </c>
      <c r="AB961" s="4" t="s">
        <v>124</v>
      </c>
      <c r="AC961" s="4" t="s">
        <v>124</v>
      </c>
      <c r="AD961" s="4" t="s">
        <v>124</v>
      </c>
      <c r="AE961" s="4" t="s">
        <v>124</v>
      </c>
      <c r="AF961" s="4" t="s">
        <v>124</v>
      </c>
      <c r="AG961" s="4" t="s">
        <v>124</v>
      </c>
      <c r="AH961" s="4" t="s">
        <v>124</v>
      </c>
      <c r="AI961" s="4" t="s">
        <v>124</v>
      </c>
      <c r="AJ961" s="4" t="s">
        <v>124</v>
      </c>
      <c r="AK961" s="4" t="s">
        <v>124</v>
      </c>
      <c r="AL961" s="4" t="s">
        <v>124</v>
      </c>
      <c r="AM961" s="4" t="s">
        <v>124</v>
      </c>
      <c r="AN961" s="4" t="s">
        <v>124</v>
      </c>
      <c r="AO961" s="4" t="s">
        <v>124</v>
      </c>
      <c r="AP961" s="4" t="s">
        <v>124</v>
      </c>
      <c r="AQ961" s="4" t="s">
        <v>124</v>
      </c>
      <c r="AR961" s="4" t="s">
        <v>124</v>
      </c>
      <c r="AS961" s="4" t="s">
        <v>124</v>
      </c>
      <c r="AT961" s="4" t="s">
        <v>124</v>
      </c>
      <c r="AU961" s="4" t="s">
        <v>124</v>
      </c>
      <c r="AV961" s="4" t="s">
        <v>124</v>
      </c>
      <c r="AW961" s="4" t="s">
        <v>124</v>
      </c>
      <c r="AX961" s="4" t="s">
        <v>124</v>
      </c>
      <c r="AY961" s="4" t="s">
        <v>124</v>
      </c>
      <c r="AZ961" s="4" t="s">
        <v>124</v>
      </c>
      <c r="BA961" s="4" t="s">
        <v>124</v>
      </c>
      <c r="BB961" s="7">
        <v>0.82397500000000001</v>
      </c>
      <c r="BC961" s="7">
        <v>41.198762000000002</v>
      </c>
      <c r="BD961" s="7">
        <v>50</v>
      </c>
      <c r="BE961" s="7">
        <v>0.656663</v>
      </c>
      <c r="BF961" s="7">
        <v>32.833156000000002</v>
      </c>
      <c r="BG961" s="7">
        <v>50</v>
      </c>
      <c r="BH961" s="4" t="s">
        <v>124</v>
      </c>
      <c r="BI961" s="4" t="s">
        <v>124</v>
      </c>
      <c r="BJ961" s="4" t="s">
        <v>124</v>
      </c>
      <c r="BK961" s="4" t="s">
        <v>124</v>
      </c>
      <c r="BL961" s="4" t="s">
        <v>124</v>
      </c>
      <c r="BM961" s="4" t="s">
        <v>124</v>
      </c>
      <c r="BN961" s="4" t="s">
        <v>124</v>
      </c>
      <c r="BO961" s="4" t="s">
        <v>124</v>
      </c>
      <c r="BP961" s="4" t="s">
        <v>124</v>
      </c>
      <c r="BQ961" s="4" t="s">
        <v>124</v>
      </c>
      <c r="BR961" s="7">
        <v>7.0513000000000006E-2</v>
      </c>
      <c r="BS961" s="7">
        <v>45.897435999999999</v>
      </c>
      <c r="BT961" s="7">
        <v>50</v>
      </c>
      <c r="BU961" s="7">
        <v>0.104348</v>
      </c>
      <c r="BV961" s="7">
        <v>39.130434999999999</v>
      </c>
      <c r="BW961" s="7">
        <v>50</v>
      </c>
      <c r="BX961" s="4" t="s">
        <v>124</v>
      </c>
      <c r="BY961" s="4" t="s">
        <v>124</v>
      </c>
      <c r="BZ961" s="4" t="s">
        <v>124</v>
      </c>
      <c r="CA961" s="4" t="s">
        <v>124</v>
      </c>
      <c r="CB961" s="4" t="s">
        <v>124</v>
      </c>
      <c r="CC961" s="4" t="s">
        <v>124</v>
      </c>
      <c r="CD961" s="4" t="s">
        <v>124</v>
      </c>
      <c r="CE961" s="4" t="s">
        <v>124</v>
      </c>
      <c r="CF961" s="4" t="s">
        <v>124</v>
      </c>
      <c r="CG961" s="4" t="s">
        <v>124</v>
      </c>
      <c r="CH961" s="4" t="s">
        <v>124</v>
      </c>
      <c r="CI961" s="4" t="s">
        <v>124</v>
      </c>
      <c r="CJ961" s="4" t="s">
        <v>124</v>
      </c>
      <c r="CK961" s="4" t="s">
        <v>124</v>
      </c>
      <c r="CL961" s="4" t="s">
        <v>124</v>
      </c>
      <c r="CM961" s="4" t="s">
        <v>124</v>
      </c>
      <c r="CN961" s="4" t="s">
        <v>124</v>
      </c>
      <c r="CO961" s="4" t="s">
        <v>124</v>
      </c>
      <c r="CP961" s="4" t="s">
        <v>124</v>
      </c>
      <c r="CQ961" s="4" t="s">
        <v>124</v>
      </c>
      <c r="CR961" s="4" t="s">
        <v>124</v>
      </c>
      <c r="CS961" s="4" t="s">
        <v>124</v>
      </c>
      <c r="CT961" s="4" t="s">
        <v>124</v>
      </c>
      <c r="CU961" s="4" t="s">
        <v>124</v>
      </c>
      <c r="CV961" s="4" t="s">
        <v>124</v>
      </c>
      <c r="CW961" s="4" t="s">
        <v>124</v>
      </c>
      <c r="CX961" s="4" t="s">
        <v>124</v>
      </c>
      <c r="CY961" s="4" t="s">
        <v>124</v>
      </c>
      <c r="CZ961" s="4" t="s">
        <v>124</v>
      </c>
      <c r="DA961" s="4" t="s">
        <v>124</v>
      </c>
      <c r="DB961" s="4" t="s">
        <v>124</v>
      </c>
      <c r="DC961" s="4" t="s">
        <v>124</v>
      </c>
      <c r="DD961" s="4" t="s">
        <v>124</v>
      </c>
      <c r="DE961" s="7">
        <v>0</v>
      </c>
      <c r="DF961" s="6"/>
      <c r="DG961" s="6"/>
      <c r="DH961" s="6"/>
      <c r="DI961" s="6"/>
      <c r="DJ961" s="7">
        <v>0</v>
      </c>
      <c r="DK961" s="7">
        <v>0</v>
      </c>
      <c r="DL961" s="7">
        <v>0</v>
      </c>
      <c r="DM961" s="7">
        <v>0</v>
      </c>
      <c r="DN961" s="7">
        <v>0</v>
      </c>
      <c r="DO961" s="7">
        <v>0</v>
      </c>
      <c r="DP961" s="6"/>
      <c r="DQ961" s="4" t="s">
        <v>125</v>
      </c>
    </row>
    <row r="962" spans="1:121" ht="20" customHeight="1" x14ac:dyDescent="0.15">
      <c r="A962" s="5">
        <v>2018</v>
      </c>
      <c r="B962" s="3" t="s">
        <v>190</v>
      </c>
      <c r="C962" s="4" t="str">
        <f t="shared" si="263"/>
        <v>1480011</v>
      </c>
      <c r="D962" s="4" t="s">
        <v>1108</v>
      </c>
      <c r="E962" s="4" t="str">
        <f>"1480311"</f>
        <v>1480311</v>
      </c>
      <c r="F962" s="4" t="s">
        <v>327</v>
      </c>
      <c r="G962" s="7">
        <v>3</v>
      </c>
      <c r="H962" s="7">
        <v>5</v>
      </c>
      <c r="I962" s="4" t="s">
        <v>329</v>
      </c>
      <c r="J962" s="4" t="s">
        <v>330</v>
      </c>
      <c r="K962" s="7">
        <v>685.99697000000003</v>
      </c>
      <c r="L962" s="7">
        <v>950</v>
      </c>
      <c r="M962" s="7">
        <v>72.210206999999997</v>
      </c>
      <c r="N962" s="7">
        <v>2</v>
      </c>
      <c r="O962" s="7">
        <v>0</v>
      </c>
      <c r="P962" s="7">
        <v>70.018849000000003</v>
      </c>
      <c r="Q962" s="7">
        <v>46.679233000000004</v>
      </c>
      <c r="R962" s="7">
        <v>50</v>
      </c>
      <c r="S962" s="7">
        <v>62.539527999999997</v>
      </c>
      <c r="T962" s="7">
        <v>75</v>
      </c>
      <c r="U962" s="7">
        <v>41.693019</v>
      </c>
      <c r="V962" s="7">
        <v>50</v>
      </c>
      <c r="W962" s="7">
        <v>67.391345000000001</v>
      </c>
      <c r="X962" s="7">
        <v>44.927563999999997</v>
      </c>
      <c r="Y962" s="7">
        <v>50</v>
      </c>
      <c r="Z962" s="7">
        <v>75</v>
      </c>
      <c r="AA962" s="7">
        <v>60.116601000000003</v>
      </c>
      <c r="AB962" s="7">
        <v>40.077734</v>
      </c>
      <c r="AC962" s="7">
        <v>50</v>
      </c>
      <c r="AD962" s="7">
        <v>69.870170999999999</v>
      </c>
      <c r="AE962" s="7">
        <v>46.580114000000002</v>
      </c>
      <c r="AF962" s="7">
        <v>50</v>
      </c>
      <c r="AG962" s="7">
        <v>61.227460999999998</v>
      </c>
      <c r="AH962" s="7">
        <v>75</v>
      </c>
      <c r="AI962" s="7">
        <v>40.818306999999997</v>
      </c>
      <c r="AJ962" s="7">
        <v>50</v>
      </c>
      <c r="AK962" s="7">
        <v>12.46</v>
      </c>
      <c r="AL962" s="7">
        <v>14.88</v>
      </c>
      <c r="AM962" s="7">
        <v>13.77</v>
      </c>
      <c r="AN962" s="7">
        <v>0.58133100000000004</v>
      </c>
      <c r="AO962" s="7">
        <v>58.133088999999998</v>
      </c>
      <c r="AP962" s="7">
        <v>100</v>
      </c>
      <c r="AQ962" s="7">
        <v>0.70017200000000002</v>
      </c>
      <c r="AR962" s="7">
        <v>70.017235999999997</v>
      </c>
      <c r="AS962" s="7">
        <v>100</v>
      </c>
      <c r="AT962" s="7">
        <v>0.512185</v>
      </c>
      <c r="AU962" s="7">
        <v>0.65212300000000001</v>
      </c>
      <c r="AV962" s="7">
        <v>51.218482000000002</v>
      </c>
      <c r="AW962" s="7">
        <v>100</v>
      </c>
      <c r="AX962" s="7">
        <v>0.66829799999999995</v>
      </c>
      <c r="AY962" s="7">
        <v>0.73280500000000004</v>
      </c>
      <c r="AZ962" s="7">
        <v>66.829835000000003</v>
      </c>
      <c r="BA962" s="7">
        <v>100</v>
      </c>
      <c r="BB962" s="7">
        <v>0.46989300000000001</v>
      </c>
      <c r="BC962" s="7">
        <v>23.494629</v>
      </c>
      <c r="BD962" s="7">
        <v>50</v>
      </c>
      <c r="BE962" s="7">
        <v>0.34712399999999999</v>
      </c>
      <c r="BF962" s="7">
        <v>17.356197999999999</v>
      </c>
      <c r="BG962" s="7">
        <v>50</v>
      </c>
      <c r="BH962" s="7">
        <v>0</v>
      </c>
      <c r="BI962" s="7">
        <v>1</v>
      </c>
      <c r="BJ962" s="7">
        <v>1</v>
      </c>
      <c r="BK962" s="7">
        <v>1</v>
      </c>
      <c r="BL962" s="7">
        <v>1</v>
      </c>
      <c r="BM962" s="7">
        <v>1</v>
      </c>
      <c r="BN962" s="7">
        <v>1</v>
      </c>
      <c r="BO962" s="7">
        <v>1</v>
      </c>
      <c r="BP962" s="7">
        <v>1</v>
      </c>
      <c r="BQ962" s="7">
        <v>1</v>
      </c>
      <c r="BR962" s="7">
        <v>3.3333000000000002E-2</v>
      </c>
      <c r="BS962" s="7">
        <v>50</v>
      </c>
      <c r="BT962" s="7">
        <v>50</v>
      </c>
      <c r="BU962" s="7">
        <v>5.4795000000000003E-2</v>
      </c>
      <c r="BV962" s="7">
        <v>49.041096000000003</v>
      </c>
      <c r="BW962" s="7">
        <v>50</v>
      </c>
      <c r="BX962" s="4" t="s">
        <v>124</v>
      </c>
      <c r="BY962" s="4" t="s">
        <v>124</v>
      </c>
      <c r="BZ962" s="4" t="s">
        <v>124</v>
      </c>
      <c r="CA962" s="4" t="s">
        <v>124</v>
      </c>
      <c r="CB962" s="4" t="s">
        <v>124</v>
      </c>
      <c r="CC962" s="4" t="s">
        <v>124</v>
      </c>
      <c r="CD962" s="4" t="s">
        <v>124</v>
      </c>
      <c r="CE962" s="4" t="s">
        <v>124</v>
      </c>
      <c r="CF962" s="4" t="s">
        <v>124</v>
      </c>
      <c r="CG962" s="4" t="s">
        <v>124</v>
      </c>
      <c r="CH962" s="4" t="s">
        <v>124</v>
      </c>
      <c r="CI962" s="4" t="s">
        <v>124</v>
      </c>
      <c r="CJ962" s="4" t="s">
        <v>124</v>
      </c>
      <c r="CK962" s="4" t="s">
        <v>124</v>
      </c>
      <c r="CL962" s="4" t="s">
        <v>124</v>
      </c>
      <c r="CM962" s="4" t="s">
        <v>124</v>
      </c>
      <c r="CN962" s="4" t="s">
        <v>124</v>
      </c>
      <c r="CO962" s="4" t="s">
        <v>124</v>
      </c>
      <c r="CP962" s="4" t="s">
        <v>124</v>
      </c>
      <c r="CQ962" s="7">
        <v>0.58695699999999995</v>
      </c>
      <c r="CR962" s="7">
        <v>0.96842099999999998</v>
      </c>
      <c r="CS962" s="7">
        <v>39.130434999999999</v>
      </c>
      <c r="CT962" s="7">
        <v>50</v>
      </c>
      <c r="CU962" s="4" t="s">
        <v>124</v>
      </c>
      <c r="CV962" s="4" t="s">
        <v>124</v>
      </c>
      <c r="CW962" s="4" t="s">
        <v>124</v>
      </c>
      <c r="CX962" s="4" t="s">
        <v>124</v>
      </c>
      <c r="CY962" s="4" t="s">
        <v>124</v>
      </c>
      <c r="CZ962" s="4" t="s">
        <v>124</v>
      </c>
      <c r="DA962" s="7">
        <v>15.314097</v>
      </c>
      <c r="DB962" s="7">
        <v>17.400950000000002</v>
      </c>
      <c r="DC962" s="7">
        <v>16.332519999999999</v>
      </c>
      <c r="DD962" s="4" t="s">
        <v>124</v>
      </c>
      <c r="DE962" s="7">
        <v>0</v>
      </c>
      <c r="DF962" s="6"/>
      <c r="DG962" s="6"/>
      <c r="DH962" s="6"/>
      <c r="DI962" s="6"/>
      <c r="DJ962" s="7">
        <v>0</v>
      </c>
      <c r="DK962" s="7">
        <v>0</v>
      </c>
      <c r="DL962" s="7">
        <v>0</v>
      </c>
      <c r="DM962" s="7">
        <v>0</v>
      </c>
      <c r="DN962" s="7">
        <v>0</v>
      </c>
      <c r="DO962" s="7">
        <v>0</v>
      </c>
      <c r="DP962" s="6"/>
      <c r="DQ962" s="4" t="s">
        <v>125</v>
      </c>
    </row>
    <row r="963" spans="1:121" ht="20" customHeight="1" x14ac:dyDescent="0.15">
      <c r="A963" s="5">
        <v>2018</v>
      </c>
      <c r="B963" s="3" t="s">
        <v>190</v>
      </c>
      <c r="C963" s="4" t="str">
        <f t="shared" si="263"/>
        <v>1480011</v>
      </c>
      <c r="D963" s="4" t="s">
        <v>1109</v>
      </c>
      <c r="E963" s="4" t="str">
        <f>"1481211"</f>
        <v>1481211</v>
      </c>
      <c r="F963" s="4" t="s">
        <v>327</v>
      </c>
      <c r="G963" s="7">
        <v>3</v>
      </c>
      <c r="H963" s="7">
        <v>5</v>
      </c>
      <c r="I963" s="4" t="s">
        <v>329</v>
      </c>
      <c r="J963" s="4" t="s">
        <v>330</v>
      </c>
      <c r="K963" s="7">
        <v>676.08992000000001</v>
      </c>
      <c r="L963" s="7">
        <v>950</v>
      </c>
      <c r="M963" s="7">
        <v>71.167360000000002</v>
      </c>
      <c r="N963" s="7">
        <v>2</v>
      </c>
      <c r="O963" s="7">
        <v>0</v>
      </c>
      <c r="P963" s="7">
        <v>70.215911000000006</v>
      </c>
      <c r="Q963" s="7">
        <v>46.810606999999997</v>
      </c>
      <c r="R963" s="7">
        <v>50</v>
      </c>
      <c r="S963" s="7">
        <v>62.967030999999999</v>
      </c>
      <c r="T963" s="7">
        <v>75</v>
      </c>
      <c r="U963" s="7">
        <v>41.978020999999998</v>
      </c>
      <c r="V963" s="7">
        <v>50</v>
      </c>
      <c r="W963" s="7">
        <v>64.860516000000004</v>
      </c>
      <c r="X963" s="7">
        <v>43.240344</v>
      </c>
      <c r="Y963" s="7">
        <v>50</v>
      </c>
      <c r="Z963" s="7">
        <v>71.041082000000003</v>
      </c>
      <c r="AA963" s="7">
        <v>56.873320999999997</v>
      </c>
      <c r="AB963" s="7">
        <v>37.915548000000001</v>
      </c>
      <c r="AC963" s="7">
        <v>50</v>
      </c>
      <c r="AD963" s="7">
        <v>68.930806000000004</v>
      </c>
      <c r="AE963" s="7">
        <v>45.953870999999999</v>
      </c>
      <c r="AF963" s="7">
        <v>50</v>
      </c>
      <c r="AG963" s="7">
        <v>61.345461</v>
      </c>
      <c r="AH963" s="7">
        <v>74.653084000000007</v>
      </c>
      <c r="AI963" s="7">
        <v>40.896974</v>
      </c>
      <c r="AJ963" s="7">
        <v>50</v>
      </c>
      <c r="AK963" s="7">
        <v>12.03</v>
      </c>
      <c r="AL963" s="7">
        <v>14.16</v>
      </c>
      <c r="AM963" s="7">
        <v>13.3</v>
      </c>
      <c r="AN963" s="7">
        <v>0.61898200000000003</v>
      </c>
      <c r="AO963" s="7">
        <v>61.898153999999998</v>
      </c>
      <c r="AP963" s="7">
        <v>100</v>
      </c>
      <c r="AQ963" s="7">
        <v>0.607684</v>
      </c>
      <c r="AR963" s="7">
        <v>60.768352</v>
      </c>
      <c r="AS963" s="7">
        <v>100</v>
      </c>
      <c r="AT963" s="7">
        <v>0.54012099999999996</v>
      </c>
      <c r="AU963" s="7">
        <v>0.67280700000000004</v>
      </c>
      <c r="AV963" s="7">
        <v>54.012141</v>
      </c>
      <c r="AW963" s="7">
        <v>100</v>
      </c>
      <c r="AX963" s="7">
        <v>0.497363</v>
      </c>
      <c r="AY963" s="7">
        <v>0.68298199999999998</v>
      </c>
      <c r="AZ963" s="7">
        <v>49.736314</v>
      </c>
      <c r="BA963" s="7">
        <v>100</v>
      </c>
      <c r="BB963" s="7">
        <v>0.70277599999999996</v>
      </c>
      <c r="BC963" s="7">
        <v>35.138804999999998</v>
      </c>
      <c r="BD963" s="7">
        <v>50</v>
      </c>
      <c r="BE963" s="7">
        <v>0.42363299999999998</v>
      </c>
      <c r="BF963" s="7">
        <v>21.181650999999999</v>
      </c>
      <c r="BG963" s="7">
        <v>50</v>
      </c>
      <c r="BH963" s="7">
        <v>0</v>
      </c>
      <c r="BI963" s="7">
        <v>0.99671100000000001</v>
      </c>
      <c r="BJ963" s="7">
        <v>0.99259299999999995</v>
      </c>
      <c r="BK963" s="7">
        <v>1</v>
      </c>
      <c r="BL963" s="7">
        <v>0.99671100000000001</v>
      </c>
      <c r="BM963" s="7">
        <v>0.99259299999999995</v>
      </c>
      <c r="BN963" s="7">
        <v>1</v>
      </c>
      <c r="BO963" s="7">
        <v>1</v>
      </c>
      <c r="BP963" s="7">
        <v>1</v>
      </c>
      <c r="BQ963" s="7">
        <v>1</v>
      </c>
      <c r="BR963" s="7">
        <v>3.2895000000000001E-2</v>
      </c>
      <c r="BS963" s="7">
        <v>50</v>
      </c>
      <c r="BT963" s="7">
        <v>50</v>
      </c>
      <c r="BU963" s="7">
        <v>2.9850999999999999E-2</v>
      </c>
      <c r="BV963" s="7">
        <v>50</v>
      </c>
      <c r="BW963" s="7">
        <v>50</v>
      </c>
      <c r="BX963" s="4" t="s">
        <v>124</v>
      </c>
      <c r="BY963" s="4" t="s">
        <v>124</v>
      </c>
      <c r="BZ963" s="4" t="s">
        <v>124</v>
      </c>
      <c r="CA963" s="4" t="s">
        <v>124</v>
      </c>
      <c r="CB963" s="4" t="s">
        <v>124</v>
      </c>
      <c r="CC963" s="4" t="s">
        <v>124</v>
      </c>
      <c r="CD963" s="4" t="s">
        <v>124</v>
      </c>
      <c r="CE963" s="4" t="s">
        <v>124</v>
      </c>
      <c r="CF963" s="4" t="s">
        <v>124</v>
      </c>
      <c r="CG963" s="4" t="s">
        <v>124</v>
      </c>
      <c r="CH963" s="4" t="s">
        <v>124</v>
      </c>
      <c r="CI963" s="4" t="s">
        <v>124</v>
      </c>
      <c r="CJ963" s="4" t="s">
        <v>124</v>
      </c>
      <c r="CK963" s="4" t="s">
        <v>124</v>
      </c>
      <c r="CL963" s="4" t="s">
        <v>124</v>
      </c>
      <c r="CM963" s="4" t="s">
        <v>124</v>
      </c>
      <c r="CN963" s="4" t="s">
        <v>124</v>
      </c>
      <c r="CO963" s="4" t="s">
        <v>124</v>
      </c>
      <c r="CP963" s="4" t="s">
        <v>124</v>
      </c>
      <c r="CQ963" s="7">
        <v>0.54838699999999996</v>
      </c>
      <c r="CR963" s="7">
        <v>1.0598289999999999</v>
      </c>
      <c r="CS963" s="7">
        <v>36.559139999999999</v>
      </c>
      <c r="CT963" s="7">
        <v>50</v>
      </c>
      <c r="CU963" s="4" t="s">
        <v>124</v>
      </c>
      <c r="CV963" s="4" t="s">
        <v>124</v>
      </c>
      <c r="CW963" s="4" t="s">
        <v>124</v>
      </c>
      <c r="CX963" s="4" t="s">
        <v>124</v>
      </c>
      <c r="CY963" s="4" t="s">
        <v>124</v>
      </c>
      <c r="CZ963" s="4" t="s">
        <v>124</v>
      </c>
      <c r="DA963" s="7">
        <v>15.314097</v>
      </c>
      <c r="DB963" s="7">
        <v>17.400950000000002</v>
      </c>
      <c r="DC963" s="7">
        <v>16.332519999999999</v>
      </c>
      <c r="DD963" s="4" t="s">
        <v>124</v>
      </c>
      <c r="DE963" s="7">
        <v>0</v>
      </c>
      <c r="DF963" s="6"/>
      <c r="DG963" s="6"/>
      <c r="DH963" s="6"/>
      <c r="DI963" s="6"/>
      <c r="DJ963" s="7">
        <v>0</v>
      </c>
      <c r="DK963" s="7">
        <v>0</v>
      </c>
      <c r="DL963" s="7">
        <v>0</v>
      </c>
      <c r="DM963" s="7">
        <v>0</v>
      </c>
      <c r="DN963" s="7">
        <v>0</v>
      </c>
      <c r="DO963" s="7">
        <v>0</v>
      </c>
      <c r="DP963" s="6"/>
      <c r="DQ963" s="4" t="s">
        <v>125</v>
      </c>
    </row>
    <row r="964" spans="1:121" ht="20" customHeight="1" x14ac:dyDescent="0.15">
      <c r="A964" s="5">
        <v>2018</v>
      </c>
      <c r="B964" s="3" t="s">
        <v>190</v>
      </c>
      <c r="C964" s="4" t="str">
        <f t="shared" si="263"/>
        <v>1480011</v>
      </c>
      <c r="D964" s="4" t="s">
        <v>1110</v>
      </c>
      <c r="E964" s="4" t="str">
        <f>"1480411"</f>
        <v>1480411</v>
      </c>
      <c r="F964" s="4" t="s">
        <v>327</v>
      </c>
      <c r="G964" s="7">
        <v>3</v>
      </c>
      <c r="H964" s="7">
        <v>5</v>
      </c>
      <c r="I964" s="4" t="s">
        <v>329</v>
      </c>
      <c r="J964" s="4" t="s">
        <v>330</v>
      </c>
      <c r="K964" s="7">
        <v>683.209881</v>
      </c>
      <c r="L964" s="7">
        <v>950</v>
      </c>
      <c r="M964" s="7">
        <v>71.916830000000004</v>
      </c>
      <c r="N964" s="7">
        <v>3</v>
      </c>
      <c r="O964" s="7">
        <v>1</v>
      </c>
      <c r="P964" s="7">
        <v>68.593686000000005</v>
      </c>
      <c r="Q964" s="7">
        <v>45.729123999999999</v>
      </c>
      <c r="R964" s="7">
        <v>50</v>
      </c>
      <c r="S964" s="7">
        <v>58.257168999999998</v>
      </c>
      <c r="T964" s="7">
        <v>75</v>
      </c>
      <c r="U964" s="7">
        <v>38.838113</v>
      </c>
      <c r="V964" s="7">
        <v>50</v>
      </c>
      <c r="W964" s="7">
        <v>65.920715000000001</v>
      </c>
      <c r="X964" s="7">
        <v>43.947142999999997</v>
      </c>
      <c r="Y964" s="7">
        <v>50</v>
      </c>
      <c r="Z964" s="7">
        <v>72.523651000000001</v>
      </c>
      <c r="AA964" s="7">
        <v>55.930185999999999</v>
      </c>
      <c r="AB964" s="7">
        <v>37.286791000000001</v>
      </c>
      <c r="AC964" s="7">
        <v>50</v>
      </c>
      <c r="AD964" s="7">
        <v>67.486942999999997</v>
      </c>
      <c r="AE964" s="7">
        <v>44.991295000000001</v>
      </c>
      <c r="AF964" s="7">
        <v>50</v>
      </c>
      <c r="AG964" s="7">
        <v>56.341462999999997</v>
      </c>
      <c r="AH964" s="7">
        <v>74.627015999999998</v>
      </c>
      <c r="AI964" s="7">
        <v>37.560975999999997</v>
      </c>
      <c r="AJ964" s="7">
        <v>50</v>
      </c>
      <c r="AK964" s="7">
        <v>16.739999999999998</v>
      </c>
      <c r="AL964" s="7">
        <v>16.59</v>
      </c>
      <c r="AM964" s="7">
        <v>18.28</v>
      </c>
      <c r="AN964" s="7">
        <v>0.62066100000000002</v>
      </c>
      <c r="AO964" s="7">
        <v>62.066110000000002</v>
      </c>
      <c r="AP964" s="7">
        <v>100</v>
      </c>
      <c r="AQ964" s="7">
        <v>0.69330899999999995</v>
      </c>
      <c r="AR964" s="7">
        <v>69.330869000000007</v>
      </c>
      <c r="AS964" s="7">
        <v>100</v>
      </c>
      <c r="AT964" s="7">
        <v>0.58334200000000003</v>
      </c>
      <c r="AU964" s="7">
        <v>0.64795899999999995</v>
      </c>
      <c r="AV964" s="7">
        <v>58.334201</v>
      </c>
      <c r="AW964" s="7">
        <v>100</v>
      </c>
      <c r="AX964" s="7">
        <v>0.68710199999999999</v>
      </c>
      <c r="AY964" s="7">
        <v>0.69777500000000003</v>
      </c>
      <c r="AZ964" s="7">
        <v>68.710243000000006</v>
      </c>
      <c r="BA964" s="7">
        <v>100</v>
      </c>
      <c r="BB964" s="7">
        <v>0.70558600000000005</v>
      </c>
      <c r="BC964" s="7">
        <v>35.279318000000004</v>
      </c>
      <c r="BD964" s="7">
        <v>50</v>
      </c>
      <c r="BE964" s="7">
        <v>0.46173900000000001</v>
      </c>
      <c r="BF964" s="7">
        <v>23.086970999999998</v>
      </c>
      <c r="BG964" s="7">
        <v>50</v>
      </c>
      <c r="BH964" s="7">
        <v>0</v>
      </c>
      <c r="BI964" s="7">
        <v>0.99041500000000005</v>
      </c>
      <c r="BJ964" s="7">
        <v>0.98461500000000002</v>
      </c>
      <c r="BK964" s="7">
        <v>0.99453599999999998</v>
      </c>
      <c r="BL964" s="7">
        <v>0.99041500000000005</v>
      </c>
      <c r="BM964" s="7">
        <v>0.98461500000000002</v>
      </c>
      <c r="BN964" s="7">
        <v>0.99453599999999998</v>
      </c>
      <c r="BO964" s="7">
        <v>1</v>
      </c>
      <c r="BP964" s="7">
        <v>1</v>
      </c>
      <c r="BQ964" s="7">
        <v>1</v>
      </c>
      <c r="BR964" s="7">
        <v>6.0703E-2</v>
      </c>
      <c r="BS964" s="7">
        <v>47.859425000000002</v>
      </c>
      <c r="BT964" s="7">
        <v>50</v>
      </c>
      <c r="BU964" s="7">
        <v>9.9237000000000006E-2</v>
      </c>
      <c r="BV964" s="7">
        <v>40.152672000000003</v>
      </c>
      <c r="BW964" s="7">
        <v>50</v>
      </c>
      <c r="BX964" s="4" t="s">
        <v>124</v>
      </c>
      <c r="BY964" s="4" t="s">
        <v>124</v>
      </c>
      <c r="BZ964" s="4" t="s">
        <v>124</v>
      </c>
      <c r="CA964" s="4" t="s">
        <v>124</v>
      </c>
      <c r="CB964" s="4" t="s">
        <v>124</v>
      </c>
      <c r="CC964" s="4" t="s">
        <v>124</v>
      </c>
      <c r="CD964" s="4" t="s">
        <v>124</v>
      </c>
      <c r="CE964" s="4" t="s">
        <v>124</v>
      </c>
      <c r="CF964" s="4" t="s">
        <v>124</v>
      </c>
      <c r="CG964" s="4" t="s">
        <v>124</v>
      </c>
      <c r="CH964" s="4" t="s">
        <v>124</v>
      </c>
      <c r="CI964" s="4" t="s">
        <v>124</v>
      </c>
      <c r="CJ964" s="4" t="s">
        <v>124</v>
      </c>
      <c r="CK964" s="4" t="s">
        <v>124</v>
      </c>
      <c r="CL964" s="4" t="s">
        <v>124</v>
      </c>
      <c r="CM964" s="4" t="s">
        <v>124</v>
      </c>
      <c r="CN964" s="4" t="s">
        <v>124</v>
      </c>
      <c r="CO964" s="4" t="s">
        <v>124</v>
      </c>
      <c r="CP964" s="4" t="s">
        <v>124</v>
      </c>
      <c r="CQ964" s="7">
        <v>0.45054899999999998</v>
      </c>
      <c r="CR964" s="7">
        <v>0.96808499999999997</v>
      </c>
      <c r="CS964" s="7">
        <v>30.036629999999999</v>
      </c>
      <c r="CT964" s="7">
        <v>50</v>
      </c>
      <c r="CU964" s="4" t="s">
        <v>124</v>
      </c>
      <c r="CV964" s="4" t="s">
        <v>124</v>
      </c>
      <c r="CW964" s="4" t="s">
        <v>124</v>
      </c>
      <c r="CX964" s="4" t="s">
        <v>124</v>
      </c>
      <c r="CY964" s="4" t="s">
        <v>124</v>
      </c>
      <c r="CZ964" s="4" t="s">
        <v>124</v>
      </c>
      <c r="DA964" s="7">
        <v>15.314097</v>
      </c>
      <c r="DB964" s="7">
        <v>17.400950000000002</v>
      </c>
      <c r="DC964" s="7">
        <v>16.332519999999999</v>
      </c>
      <c r="DD964" s="4" t="s">
        <v>124</v>
      </c>
      <c r="DE964" s="7">
        <v>1</v>
      </c>
      <c r="DF964" s="6"/>
      <c r="DG964" s="6"/>
      <c r="DH964" s="6"/>
      <c r="DI964" s="6"/>
      <c r="DJ964" s="7">
        <v>0</v>
      </c>
      <c r="DK964" s="7">
        <v>0</v>
      </c>
      <c r="DL964" s="7">
        <v>0</v>
      </c>
      <c r="DM964" s="7">
        <v>0</v>
      </c>
      <c r="DN964" s="7">
        <v>0</v>
      </c>
      <c r="DO964" s="7">
        <v>0</v>
      </c>
      <c r="DP964" s="6"/>
      <c r="DQ964" s="4" t="s">
        <v>125</v>
      </c>
    </row>
    <row r="965" spans="1:121" ht="20" customHeight="1" x14ac:dyDescent="0.15">
      <c r="A965" s="5">
        <v>2018</v>
      </c>
      <c r="B965" s="3" t="s">
        <v>142</v>
      </c>
      <c r="C965" s="4" t="str">
        <f t="shared" si="18"/>
        <v>1510011</v>
      </c>
      <c r="D965" s="4" t="s">
        <v>1111</v>
      </c>
      <c r="E965" s="4" t="str">
        <f>"1512111"</f>
        <v>1512111</v>
      </c>
      <c r="F965" s="4" t="s">
        <v>327</v>
      </c>
      <c r="G965" s="4" t="s">
        <v>338</v>
      </c>
      <c r="H965" s="7">
        <v>5</v>
      </c>
      <c r="I965" s="4" t="s">
        <v>335</v>
      </c>
      <c r="J965" s="4" t="s">
        <v>330</v>
      </c>
      <c r="K965" s="7">
        <v>644.25316599999996</v>
      </c>
      <c r="L965" s="7">
        <v>950</v>
      </c>
      <c r="M965" s="7">
        <v>67.816123000000005</v>
      </c>
      <c r="N965" s="7">
        <v>3</v>
      </c>
      <c r="O965" s="7">
        <v>0</v>
      </c>
      <c r="P965" s="7">
        <v>59.858935000000002</v>
      </c>
      <c r="Q965" s="7">
        <v>39.905957000000001</v>
      </c>
      <c r="R965" s="7">
        <v>50</v>
      </c>
      <c r="S965" s="7">
        <v>58.28875</v>
      </c>
      <c r="T965" s="7">
        <v>68.728362000000004</v>
      </c>
      <c r="U965" s="7">
        <v>38.859166999999999</v>
      </c>
      <c r="V965" s="7">
        <v>50</v>
      </c>
      <c r="W965" s="7">
        <v>54.521743000000001</v>
      </c>
      <c r="X965" s="7">
        <v>36.347828999999997</v>
      </c>
      <c r="Y965" s="7">
        <v>50</v>
      </c>
      <c r="Z965" s="7">
        <v>61.540073</v>
      </c>
      <c r="AA965" s="7">
        <v>53.279263999999998</v>
      </c>
      <c r="AB965" s="7">
        <v>35.519508999999999</v>
      </c>
      <c r="AC965" s="7">
        <v>50</v>
      </c>
      <c r="AD965" s="7">
        <v>59.279440000000001</v>
      </c>
      <c r="AE965" s="7">
        <v>39.519627</v>
      </c>
      <c r="AF965" s="7">
        <v>50</v>
      </c>
      <c r="AG965" s="7">
        <v>57.483871000000001</v>
      </c>
      <c r="AH965" s="4" t="s">
        <v>124</v>
      </c>
      <c r="AI965" s="7">
        <v>38.322581</v>
      </c>
      <c r="AJ965" s="7">
        <v>50</v>
      </c>
      <c r="AK965" s="7">
        <v>10.43</v>
      </c>
      <c r="AL965" s="7">
        <v>8.26</v>
      </c>
      <c r="AM965" s="4" t="s">
        <v>124</v>
      </c>
      <c r="AN965" s="7">
        <v>0.56660600000000005</v>
      </c>
      <c r="AO965" s="7">
        <v>56.660634999999999</v>
      </c>
      <c r="AP965" s="7">
        <v>100</v>
      </c>
      <c r="AQ965" s="7">
        <v>0.59571799999999997</v>
      </c>
      <c r="AR965" s="7">
        <v>59.571841999999997</v>
      </c>
      <c r="AS965" s="7">
        <v>100</v>
      </c>
      <c r="AT965" s="7">
        <v>0.54927700000000002</v>
      </c>
      <c r="AU965" s="7">
        <v>0.67130500000000004</v>
      </c>
      <c r="AV965" s="7">
        <v>54.927691000000003</v>
      </c>
      <c r="AW965" s="7">
        <v>100</v>
      </c>
      <c r="AX965" s="7">
        <v>0.59573900000000002</v>
      </c>
      <c r="AY965" s="7">
        <v>0.59559700000000004</v>
      </c>
      <c r="AZ965" s="7">
        <v>59.573855000000002</v>
      </c>
      <c r="BA965" s="7">
        <v>100</v>
      </c>
      <c r="BB965" s="7">
        <v>0.52684500000000001</v>
      </c>
      <c r="BC965" s="7">
        <v>26.342229</v>
      </c>
      <c r="BD965" s="7">
        <v>50</v>
      </c>
      <c r="BE965" s="7">
        <v>0.47661100000000001</v>
      </c>
      <c r="BF965" s="7">
        <v>23.830570999999999</v>
      </c>
      <c r="BG965" s="7">
        <v>50</v>
      </c>
      <c r="BH965" s="7">
        <v>0</v>
      </c>
      <c r="BI965" s="7">
        <v>1</v>
      </c>
      <c r="BJ965" s="7">
        <v>1</v>
      </c>
      <c r="BK965" s="7">
        <v>1</v>
      </c>
      <c r="BL965" s="7">
        <v>1</v>
      </c>
      <c r="BM965" s="7">
        <v>1</v>
      </c>
      <c r="BN965" s="7">
        <v>1</v>
      </c>
      <c r="BO965" s="7">
        <v>1</v>
      </c>
      <c r="BP965" s="7">
        <v>1</v>
      </c>
      <c r="BQ965" s="4" t="s">
        <v>124</v>
      </c>
      <c r="BR965" s="7">
        <v>8.0292000000000002E-2</v>
      </c>
      <c r="BS965" s="7">
        <v>43.941606</v>
      </c>
      <c r="BT965" s="7">
        <v>50</v>
      </c>
      <c r="BU965" s="7">
        <v>9.1303999999999996E-2</v>
      </c>
      <c r="BV965" s="7">
        <v>41.739130000000003</v>
      </c>
      <c r="BW965" s="7">
        <v>50</v>
      </c>
      <c r="BX965" s="4" t="s">
        <v>124</v>
      </c>
      <c r="BY965" s="4" t="s">
        <v>124</v>
      </c>
      <c r="BZ965" s="4" t="s">
        <v>124</v>
      </c>
      <c r="CA965" s="4" t="s">
        <v>124</v>
      </c>
      <c r="CB965" s="4" t="s">
        <v>124</v>
      </c>
      <c r="CC965" s="4" t="s">
        <v>124</v>
      </c>
      <c r="CD965" s="4" t="s">
        <v>124</v>
      </c>
      <c r="CE965" s="4" t="s">
        <v>124</v>
      </c>
      <c r="CF965" s="4" t="s">
        <v>124</v>
      </c>
      <c r="CG965" s="4" t="s">
        <v>124</v>
      </c>
      <c r="CH965" s="4" t="s">
        <v>124</v>
      </c>
      <c r="CI965" s="4" t="s">
        <v>124</v>
      </c>
      <c r="CJ965" s="4" t="s">
        <v>124</v>
      </c>
      <c r="CK965" s="4" t="s">
        <v>124</v>
      </c>
      <c r="CL965" s="4" t="s">
        <v>124</v>
      </c>
      <c r="CM965" s="4" t="s">
        <v>124</v>
      </c>
      <c r="CN965" s="4" t="s">
        <v>124</v>
      </c>
      <c r="CO965" s="4" t="s">
        <v>124</v>
      </c>
      <c r="CP965" s="4" t="s">
        <v>124</v>
      </c>
      <c r="CQ965" s="7">
        <v>0.73786399999999996</v>
      </c>
      <c r="CR965" s="7">
        <v>0.98095200000000005</v>
      </c>
      <c r="CS965" s="7">
        <v>49.190939</v>
      </c>
      <c r="CT965" s="7">
        <v>50</v>
      </c>
      <c r="CU965" s="4" t="s">
        <v>124</v>
      </c>
      <c r="CV965" s="4" t="s">
        <v>124</v>
      </c>
      <c r="CW965" s="4" t="s">
        <v>124</v>
      </c>
      <c r="CX965" s="4" t="s">
        <v>124</v>
      </c>
      <c r="CY965" s="4" t="s">
        <v>124</v>
      </c>
      <c r="CZ965" s="4" t="s">
        <v>124</v>
      </c>
      <c r="DA965" s="7">
        <v>15.314097</v>
      </c>
      <c r="DB965" s="7">
        <v>17.400950000000002</v>
      </c>
      <c r="DC965" s="7">
        <v>16.332519999999999</v>
      </c>
      <c r="DD965" s="4" t="s">
        <v>124</v>
      </c>
      <c r="DE965" s="7">
        <v>0</v>
      </c>
      <c r="DF965" s="6"/>
      <c r="DG965" s="6"/>
      <c r="DH965" s="6"/>
      <c r="DI965" s="6"/>
      <c r="DJ965" s="7">
        <v>0</v>
      </c>
      <c r="DK965" s="7">
        <v>0</v>
      </c>
      <c r="DL965" s="7">
        <v>0</v>
      </c>
      <c r="DM965" s="7">
        <v>0</v>
      </c>
      <c r="DN965" s="7">
        <v>0</v>
      </c>
      <c r="DO965" s="7">
        <v>0</v>
      </c>
      <c r="DP965" s="6"/>
      <c r="DQ965" s="4" t="s">
        <v>125</v>
      </c>
    </row>
    <row r="966" spans="1:121" ht="20" customHeight="1" x14ac:dyDescent="0.15">
      <c r="A966" s="5">
        <v>2018</v>
      </c>
      <c r="B966" s="3" t="s">
        <v>142</v>
      </c>
      <c r="C966" s="4" t="str">
        <f t="shared" ref="C966:C993" si="264">"1510011"</f>
        <v>1510011</v>
      </c>
      <c r="D966" s="4" t="s">
        <v>1112</v>
      </c>
      <c r="E966" s="4" t="str">
        <f>"1510511"</f>
        <v>1510511</v>
      </c>
      <c r="F966" s="4" t="s">
        <v>327</v>
      </c>
      <c r="G966" s="4" t="s">
        <v>328</v>
      </c>
      <c r="H966" s="7">
        <v>5</v>
      </c>
      <c r="I966" s="4" t="s">
        <v>335</v>
      </c>
      <c r="J966" s="4" t="s">
        <v>330</v>
      </c>
      <c r="K966" s="7">
        <v>605.02357700000005</v>
      </c>
      <c r="L966" s="7">
        <v>950</v>
      </c>
      <c r="M966" s="7">
        <v>63.686692000000001</v>
      </c>
      <c r="N966" s="7">
        <v>3</v>
      </c>
      <c r="O966" s="7">
        <v>0</v>
      </c>
      <c r="P966" s="7">
        <v>57.806494000000001</v>
      </c>
      <c r="Q966" s="7">
        <v>38.537663000000002</v>
      </c>
      <c r="R966" s="7">
        <v>50</v>
      </c>
      <c r="S966" s="7">
        <v>56.843620000000001</v>
      </c>
      <c r="T966" s="4" t="s">
        <v>124</v>
      </c>
      <c r="U966" s="7">
        <v>37.895747</v>
      </c>
      <c r="V966" s="7">
        <v>50</v>
      </c>
      <c r="W966" s="7">
        <v>52.103386</v>
      </c>
      <c r="X966" s="7">
        <v>34.735590999999999</v>
      </c>
      <c r="Y966" s="7">
        <v>50</v>
      </c>
      <c r="Z966" s="4" t="s">
        <v>124</v>
      </c>
      <c r="AA966" s="7">
        <v>51.355964</v>
      </c>
      <c r="AB966" s="7">
        <v>34.237309000000003</v>
      </c>
      <c r="AC966" s="7">
        <v>50</v>
      </c>
      <c r="AD966" s="7">
        <v>62.568697999999998</v>
      </c>
      <c r="AE966" s="7">
        <v>41.712465000000002</v>
      </c>
      <c r="AF966" s="7">
        <v>50</v>
      </c>
      <c r="AG966" s="7">
        <v>61.258065000000002</v>
      </c>
      <c r="AH966" s="4" t="s">
        <v>124</v>
      </c>
      <c r="AI966" s="7">
        <v>40.838709999999999</v>
      </c>
      <c r="AJ966" s="7">
        <v>50</v>
      </c>
      <c r="AK966" s="4" t="s">
        <v>124</v>
      </c>
      <c r="AL966" s="4" t="s">
        <v>124</v>
      </c>
      <c r="AM966" s="4" t="s">
        <v>124</v>
      </c>
      <c r="AN966" s="7">
        <v>0.653895</v>
      </c>
      <c r="AO966" s="7">
        <v>65.389537000000004</v>
      </c>
      <c r="AP966" s="7">
        <v>100</v>
      </c>
      <c r="AQ966" s="7">
        <v>0.66253899999999999</v>
      </c>
      <c r="AR966" s="7">
        <v>66.253882000000004</v>
      </c>
      <c r="AS966" s="7">
        <v>100</v>
      </c>
      <c r="AT966" s="7">
        <v>0.63082700000000003</v>
      </c>
      <c r="AU966" s="4" t="s">
        <v>124</v>
      </c>
      <c r="AV966" s="7">
        <v>63.082732999999998</v>
      </c>
      <c r="AW966" s="7">
        <v>100</v>
      </c>
      <c r="AX966" s="7">
        <v>0.664354</v>
      </c>
      <c r="AY966" s="4" t="s">
        <v>124</v>
      </c>
      <c r="AZ966" s="7">
        <v>66.435355999999999</v>
      </c>
      <c r="BA966" s="7">
        <v>100</v>
      </c>
      <c r="BB966" s="7">
        <v>0.48296099999999997</v>
      </c>
      <c r="BC966" s="7">
        <v>24.148070000000001</v>
      </c>
      <c r="BD966" s="7">
        <v>50</v>
      </c>
      <c r="BE966" s="7">
        <v>0.378965</v>
      </c>
      <c r="BF966" s="7">
        <v>18.948242</v>
      </c>
      <c r="BG966" s="7">
        <v>50</v>
      </c>
      <c r="BH966" s="7">
        <v>0</v>
      </c>
      <c r="BI966" s="7">
        <v>1</v>
      </c>
      <c r="BJ966" s="7">
        <v>1</v>
      </c>
      <c r="BK966" s="4" t="s">
        <v>124</v>
      </c>
      <c r="BL966" s="7">
        <v>1</v>
      </c>
      <c r="BM966" s="7">
        <v>1</v>
      </c>
      <c r="BN966" s="4" t="s">
        <v>124</v>
      </c>
      <c r="BO966" s="7">
        <v>1</v>
      </c>
      <c r="BP966" s="7">
        <v>1</v>
      </c>
      <c r="BQ966" s="4" t="s">
        <v>124</v>
      </c>
      <c r="BR966" s="7">
        <v>0.18548400000000001</v>
      </c>
      <c r="BS966" s="7">
        <v>22.903226</v>
      </c>
      <c r="BT966" s="7">
        <v>50</v>
      </c>
      <c r="BU966" s="7">
        <v>0.18840599999999999</v>
      </c>
      <c r="BV966" s="7">
        <v>22.318840999999999</v>
      </c>
      <c r="BW966" s="7">
        <v>50</v>
      </c>
      <c r="BX966" s="4" t="s">
        <v>124</v>
      </c>
      <c r="BY966" s="4" t="s">
        <v>124</v>
      </c>
      <c r="BZ966" s="4" t="s">
        <v>124</v>
      </c>
      <c r="CA966" s="4" t="s">
        <v>124</v>
      </c>
      <c r="CB966" s="4" t="s">
        <v>124</v>
      </c>
      <c r="CC966" s="4" t="s">
        <v>124</v>
      </c>
      <c r="CD966" s="4" t="s">
        <v>124</v>
      </c>
      <c r="CE966" s="4" t="s">
        <v>124</v>
      </c>
      <c r="CF966" s="4" t="s">
        <v>124</v>
      </c>
      <c r="CG966" s="4" t="s">
        <v>124</v>
      </c>
      <c r="CH966" s="4" t="s">
        <v>124</v>
      </c>
      <c r="CI966" s="4" t="s">
        <v>124</v>
      </c>
      <c r="CJ966" s="4" t="s">
        <v>124</v>
      </c>
      <c r="CK966" s="4" t="s">
        <v>124</v>
      </c>
      <c r="CL966" s="4" t="s">
        <v>124</v>
      </c>
      <c r="CM966" s="4" t="s">
        <v>124</v>
      </c>
      <c r="CN966" s="4" t="s">
        <v>124</v>
      </c>
      <c r="CO966" s="4" t="s">
        <v>124</v>
      </c>
      <c r="CP966" s="4" t="s">
        <v>124</v>
      </c>
      <c r="CQ966" s="7">
        <v>0.41379300000000002</v>
      </c>
      <c r="CR966" s="7">
        <v>1</v>
      </c>
      <c r="CS966" s="7">
        <v>27.586207000000002</v>
      </c>
      <c r="CT966" s="7">
        <v>50</v>
      </c>
      <c r="CU966" s="4" t="s">
        <v>124</v>
      </c>
      <c r="CV966" s="4" t="s">
        <v>124</v>
      </c>
      <c r="CW966" s="4" t="s">
        <v>124</v>
      </c>
      <c r="CX966" s="4" t="s">
        <v>124</v>
      </c>
      <c r="CY966" s="4" t="s">
        <v>124</v>
      </c>
      <c r="CZ966" s="4" t="s">
        <v>124</v>
      </c>
      <c r="DA966" s="7">
        <v>15.314097</v>
      </c>
      <c r="DB966" s="7">
        <v>17.400950000000002</v>
      </c>
      <c r="DC966" s="7">
        <v>16.332519999999999</v>
      </c>
      <c r="DD966" s="4" t="s">
        <v>124</v>
      </c>
      <c r="DE966" s="7">
        <v>0</v>
      </c>
      <c r="DF966" s="6"/>
      <c r="DG966" s="6"/>
      <c r="DH966" s="6"/>
      <c r="DI966" s="6"/>
      <c r="DJ966" s="7">
        <v>0</v>
      </c>
      <c r="DK966" s="7">
        <v>0</v>
      </c>
      <c r="DL966" s="7">
        <v>0</v>
      </c>
      <c r="DM966" s="7">
        <v>0</v>
      </c>
      <c r="DN966" s="7">
        <v>0</v>
      </c>
      <c r="DO966" s="7">
        <v>0</v>
      </c>
      <c r="DP966" s="6"/>
      <c r="DQ966" s="4" t="s">
        <v>125</v>
      </c>
    </row>
    <row r="967" spans="1:121" ht="20" customHeight="1" x14ac:dyDescent="0.15">
      <c r="A967" s="5">
        <v>2018</v>
      </c>
      <c r="B967" s="3" t="s">
        <v>142</v>
      </c>
      <c r="C967" s="4" t="str">
        <f t="shared" si="264"/>
        <v>1510011</v>
      </c>
      <c r="D967" s="4" t="s">
        <v>1113</v>
      </c>
      <c r="E967" s="4" t="str">
        <f>"1510611"</f>
        <v>1510611</v>
      </c>
      <c r="F967" s="4" t="s">
        <v>327</v>
      </c>
      <c r="G967" s="4" t="s">
        <v>328</v>
      </c>
      <c r="H967" s="7">
        <v>5</v>
      </c>
      <c r="I967" s="4" t="s">
        <v>335</v>
      </c>
      <c r="J967" s="4" t="s">
        <v>330</v>
      </c>
      <c r="K967" s="7">
        <v>590.71946400000002</v>
      </c>
      <c r="L967" s="7">
        <v>950</v>
      </c>
      <c r="M967" s="7">
        <v>62.180996</v>
      </c>
      <c r="N967" s="7">
        <v>3</v>
      </c>
      <c r="O967" s="7">
        <v>0</v>
      </c>
      <c r="P967" s="7">
        <v>56.889887999999999</v>
      </c>
      <c r="Q967" s="7">
        <v>37.926591999999999</v>
      </c>
      <c r="R967" s="7">
        <v>50</v>
      </c>
      <c r="S967" s="7">
        <v>56.344150999999997</v>
      </c>
      <c r="T967" s="4" t="s">
        <v>124</v>
      </c>
      <c r="U967" s="7">
        <v>37.562767999999998</v>
      </c>
      <c r="V967" s="7">
        <v>50</v>
      </c>
      <c r="W967" s="7">
        <v>52.088341</v>
      </c>
      <c r="X967" s="7">
        <v>34.725560999999999</v>
      </c>
      <c r="Y967" s="7">
        <v>50</v>
      </c>
      <c r="Z967" s="4" t="s">
        <v>124</v>
      </c>
      <c r="AA967" s="7">
        <v>51.749993000000003</v>
      </c>
      <c r="AB967" s="7">
        <v>34.499994999999998</v>
      </c>
      <c r="AC967" s="7">
        <v>50</v>
      </c>
      <c r="AD967" s="7">
        <v>56.926284000000003</v>
      </c>
      <c r="AE967" s="7">
        <v>37.950856000000002</v>
      </c>
      <c r="AF967" s="7">
        <v>50</v>
      </c>
      <c r="AG967" s="7">
        <v>56.640773000000003</v>
      </c>
      <c r="AH967" s="4" t="s">
        <v>124</v>
      </c>
      <c r="AI967" s="7">
        <v>37.760514999999998</v>
      </c>
      <c r="AJ967" s="7">
        <v>50</v>
      </c>
      <c r="AK967" s="4" t="s">
        <v>124</v>
      </c>
      <c r="AL967" s="4" t="s">
        <v>124</v>
      </c>
      <c r="AM967" s="4" t="s">
        <v>124</v>
      </c>
      <c r="AN967" s="7">
        <v>0.48656899999999997</v>
      </c>
      <c r="AO967" s="7">
        <v>48.656908000000001</v>
      </c>
      <c r="AP967" s="7">
        <v>100</v>
      </c>
      <c r="AQ967" s="7">
        <v>0.58106500000000005</v>
      </c>
      <c r="AR967" s="7">
        <v>58.106544999999997</v>
      </c>
      <c r="AS967" s="7">
        <v>100</v>
      </c>
      <c r="AT967" s="7">
        <v>0.48524200000000001</v>
      </c>
      <c r="AU967" s="4" t="s">
        <v>124</v>
      </c>
      <c r="AV967" s="7">
        <v>48.524160000000002</v>
      </c>
      <c r="AW967" s="7">
        <v>100</v>
      </c>
      <c r="AX967" s="7">
        <v>0.58681499999999998</v>
      </c>
      <c r="AY967" s="4" t="s">
        <v>124</v>
      </c>
      <c r="AZ967" s="7">
        <v>58.681458999999997</v>
      </c>
      <c r="BA967" s="7">
        <v>100</v>
      </c>
      <c r="BB967" s="7">
        <v>0.61208600000000002</v>
      </c>
      <c r="BC967" s="7">
        <v>30.604285999999998</v>
      </c>
      <c r="BD967" s="7">
        <v>50</v>
      </c>
      <c r="BE967" s="7">
        <v>0.40240100000000001</v>
      </c>
      <c r="BF967" s="7">
        <v>20.120042000000002</v>
      </c>
      <c r="BG967" s="7">
        <v>50</v>
      </c>
      <c r="BH967" s="7">
        <v>0</v>
      </c>
      <c r="BI967" s="7">
        <v>1</v>
      </c>
      <c r="BJ967" s="7">
        <v>1</v>
      </c>
      <c r="BK967" s="4" t="s">
        <v>124</v>
      </c>
      <c r="BL967" s="7">
        <v>1</v>
      </c>
      <c r="BM967" s="7">
        <v>1</v>
      </c>
      <c r="BN967" s="4" t="s">
        <v>124</v>
      </c>
      <c r="BO967" s="7">
        <v>1</v>
      </c>
      <c r="BP967" s="7">
        <v>1</v>
      </c>
      <c r="BQ967" s="4" t="s">
        <v>124</v>
      </c>
      <c r="BR967" s="7">
        <v>0.154525</v>
      </c>
      <c r="BS967" s="7">
        <v>29.094923000000001</v>
      </c>
      <c r="BT967" s="7">
        <v>50</v>
      </c>
      <c r="BU967" s="7">
        <v>0.16747600000000001</v>
      </c>
      <c r="BV967" s="7">
        <v>26.504854000000002</v>
      </c>
      <c r="BW967" s="7">
        <v>50</v>
      </c>
      <c r="BX967" s="4" t="s">
        <v>124</v>
      </c>
      <c r="BY967" s="4" t="s">
        <v>124</v>
      </c>
      <c r="BZ967" s="4" t="s">
        <v>124</v>
      </c>
      <c r="CA967" s="4" t="s">
        <v>124</v>
      </c>
      <c r="CB967" s="4" t="s">
        <v>124</v>
      </c>
      <c r="CC967" s="4" t="s">
        <v>124</v>
      </c>
      <c r="CD967" s="4" t="s">
        <v>124</v>
      </c>
      <c r="CE967" s="4" t="s">
        <v>124</v>
      </c>
      <c r="CF967" s="4" t="s">
        <v>124</v>
      </c>
      <c r="CG967" s="4" t="s">
        <v>124</v>
      </c>
      <c r="CH967" s="4" t="s">
        <v>124</v>
      </c>
      <c r="CI967" s="4" t="s">
        <v>124</v>
      </c>
      <c r="CJ967" s="4" t="s">
        <v>124</v>
      </c>
      <c r="CK967" s="4" t="s">
        <v>124</v>
      </c>
      <c r="CL967" s="4" t="s">
        <v>124</v>
      </c>
      <c r="CM967" s="4" t="s">
        <v>124</v>
      </c>
      <c r="CN967" s="4" t="s">
        <v>124</v>
      </c>
      <c r="CO967" s="4" t="s">
        <v>124</v>
      </c>
      <c r="CP967" s="4" t="s">
        <v>124</v>
      </c>
      <c r="CQ967" s="7">
        <v>0.83783799999999997</v>
      </c>
      <c r="CR967" s="7">
        <v>1.0136989999999999</v>
      </c>
      <c r="CS967" s="7">
        <v>50</v>
      </c>
      <c r="CT967" s="7">
        <v>50</v>
      </c>
      <c r="CU967" s="4" t="s">
        <v>124</v>
      </c>
      <c r="CV967" s="4" t="s">
        <v>124</v>
      </c>
      <c r="CW967" s="4" t="s">
        <v>124</v>
      </c>
      <c r="CX967" s="4" t="s">
        <v>124</v>
      </c>
      <c r="CY967" s="4" t="s">
        <v>124</v>
      </c>
      <c r="CZ967" s="4" t="s">
        <v>124</v>
      </c>
      <c r="DA967" s="7">
        <v>15.314097</v>
      </c>
      <c r="DB967" s="7">
        <v>17.400950000000002</v>
      </c>
      <c r="DC967" s="7">
        <v>16.332519999999999</v>
      </c>
      <c r="DD967" s="4" t="s">
        <v>124</v>
      </c>
      <c r="DE967" s="7">
        <v>0</v>
      </c>
      <c r="DF967" s="6"/>
      <c r="DG967" s="6"/>
      <c r="DH967" s="6"/>
      <c r="DI967" s="6"/>
      <c r="DJ967" s="7">
        <v>0</v>
      </c>
      <c r="DK967" s="7">
        <v>0</v>
      </c>
      <c r="DL967" s="7">
        <v>0</v>
      </c>
      <c r="DM967" s="7">
        <v>0</v>
      </c>
      <c r="DN967" s="7">
        <v>0</v>
      </c>
      <c r="DO967" s="7">
        <v>0</v>
      </c>
      <c r="DP967" s="6"/>
      <c r="DQ967" s="4" t="s">
        <v>125</v>
      </c>
    </row>
    <row r="968" spans="1:121" ht="20" customHeight="1" x14ac:dyDescent="0.15">
      <c r="A968" s="5">
        <v>2018</v>
      </c>
      <c r="B968" s="3" t="s">
        <v>142</v>
      </c>
      <c r="C968" s="4" t="str">
        <f t="shared" si="264"/>
        <v>1510011</v>
      </c>
      <c r="D968" s="4" t="s">
        <v>1114</v>
      </c>
      <c r="E968" s="4" t="str">
        <f>"1512711"</f>
        <v>1512711</v>
      </c>
      <c r="F968" s="4" t="s">
        <v>327</v>
      </c>
      <c r="G968" s="4" t="s">
        <v>328</v>
      </c>
      <c r="H968" s="7">
        <v>8</v>
      </c>
      <c r="I968" s="4" t="s">
        <v>335</v>
      </c>
      <c r="J968" s="4" t="s">
        <v>330</v>
      </c>
      <c r="K968" s="7">
        <v>726.28858600000001</v>
      </c>
      <c r="L968" s="7">
        <v>1000</v>
      </c>
      <c r="M968" s="7">
        <v>72.628859000000006</v>
      </c>
      <c r="N968" s="7">
        <v>2</v>
      </c>
      <c r="O968" s="7">
        <v>0</v>
      </c>
      <c r="P968" s="7">
        <v>64.707946000000007</v>
      </c>
      <c r="Q968" s="7">
        <v>43.138630999999997</v>
      </c>
      <c r="R968" s="7">
        <v>50</v>
      </c>
      <c r="S968" s="7">
        <v>61.574677000000001</v>
      </c>
      <c r="T968" s="7">
        <v>75</v>
      </c>
      <c r="U968" s="7">
        <v>41.049785</v>
      </c>
      <c r="V968" s="7">
        <v>50</v>
      </c>
      <c r="W968" s="7">
        <v>57.722425999999999</v>
      </c>
      <c r="X968" s="7">
        <v>38.481617</v>
      </c>
      <c r="Y968" s="7">
        <v>50</v>
      </c>
      <c r="Z968" s="7">
        <v>69.752562999999995</v>
      </c>
      <c r="AA968" s="7">
        <v>55.070112000000002</v>
      </c>
      <c r="AB968" s="7">
        <v>36.713408000000001</v>
      </c>
      <c r="AC968" s="7">
        <v>50</v>
      </c>
      <c r="AD968" s="7">
        <v>60.609121000000002</v>
      </c>
      <c r="AE968" s="7">
        <v>40.406081</v>
      </c>
      <c r="AF968" s="7">
        <v>50</v>
      </c>
      <c r="AG968" s="7">
        <v>57.827298999999996</v>
      </c>
      <c r="AH968" s="7">
        <v>72.398750000000007</v>
      </c>
      <c r="AI968" s="7">
        <v>38.551532000000002</v>
      </c>
      <c r="AJ968" s="7">
        <v>50</v>
      </c>
      <c r="AK968" s="7">
        <v>13.42</v>
      </c>
      <c r="AL968" s="7">
        <v>14.68</v>
      </c>
      <c r="AM968" s="7">
        <v>14.57</v>
      </c>
      <c r="AN968" s="7">
        <v>0.65522999999999998</v>
      </c>
      <c r="AO968" s="7">
        <v>65.523005999999995</v>
      </c>
      <c r="AP968" s="7">
        <v>100</v>
      </c>
      <c r="AQ968" s="7">
        <v>0.63178599999999996</v>
      </c>
      <c r="AR968" s="7">
        <v>63.178604</v>
      </c>
      <c r="AS968" s="7">
        <v>100</v>
      </c>
      <c r="AT968" s="7">
        <v>0.64799200000000001</v>
      </c>
      <c r="AU968" s="7">
        <v>0.68865100000000001</v>
      </c>
      <c r="AV968" s="7">
        <v>64.799150999999995</v>
      </c>
      <c r="AW968" s="7">
        <v>100</v>
      </c>
      <c r="AX968" s="7">
        <v>0.61546199999999995</v>
      </c>
      <c r="AY968" s="7">
        <v>0.70715499999999998</v>
      </c>
      <c r="AZ968" s="7">
        <v>61.546185999999999</v>
      </c>
      <c r="BA968" s="7">
        <v>100</v>
      </c>
      <c r="BB968" s="7">
        <v>0.49351499999999998</v>
      </c>
      <c r="BC968" s="7">
        <v>24.675739</v>
      </c>
      <c r="BD968" s="7">
        <v>50</v>
      </c>
      <c r="BE968" s="7">
        <v>0.46581499999999998</v>
      </c>
      <c r="BF968" s="7">
        <v>23.290742000000002</v>
      </c>
      <c r="BG968" s="7">
        <v>50</v>
      </c>
      <c r="BH968" s="7">
        <v>0</v>
      </c>
      <c r="BI968" s="7">
        <v>1</v>
      </c>
      <c r="BJ968" s="7">
        <v>1</v>
      </c>
      <c r="BK968" s="7">
        <v>1</v>
      </c>
      <c r="BL968" s="7">
        <v>1</v>
      </c>
      <c r="BM968" s="7">
        <v>1</v>
      </c>
      <c r="BN968" s="7">
        <v>1</v>
      </c>
      <c r="BO968" s="7">
        <v>1</v>
      </c>
      <c r="BP968" s="7">
        <v>1</v>
      </c>
      <c r="BQ968" s="7">
        <v>1</v>
      </c>
      <c r="BR968" s="7">
        <v>5.0208999999999997E-2</v>
      </c>
      <c r="BS968" s="7">
        <v>49.958159000000002</v>
      </c>
      <c r="BT968" s="7">
        <v>50</v>
      </c>
      <c r="BU968" s="7">
        <v>4.6996999999999997E-2</v>
      </c>
      <c r="BV968" s="7">
        <v>50</v>
      </c>
      <c r="BW968" s="7">
        <v>50</v>
      </c>
      <c r="BX968" s="4" t="s">
        <v>124</v>
      </c>
      <c r="BY968" s="4" t="s">
        <v>124</v>
      </c>
      <c r="BZ968" s="4" t="s">
        <v>124</v>
      </c>
      <c r="CA968" s="4" t="s">
        <v>124</v>
      </c>
      <c r="CB968" s="4" t="s">
        <v>124</v>
      </c>
      <c r="CC968" s="4" t="s">
        <v>124</v>
      </c>
      <c r="CD968" s="7">
        <v>0.80952400000000002</v>
      </c>
      <c r="CE968" s="7">
        <v>43.059776999999997</v>
      </c>
      <c r="CF968" s="7">
        <v>50</v>
      </c>
      <c r="CG968" s="4" t="s">
        <v>124</v>
      </c>
      <c r="CH968" s="4" t="s">
        <v>124</v>
      </c>
      <c r="CI968" s="4" t="s">
        <v>124</v>
      </c>
      <c r="CJ968" s="4" t="s">
        <v>124</v>
      </c>
      <c r="CK968" s="4" t="s">
        <v>124</v>
      </c>
      <c r="CL968" s="4" t="s">
        <v>124</v>
      </c>
      <c r="CM968" s="4" t="s">
        <v>124</v>
      </c>
      <c r="CN968" s="4" t="s">
        <v>124</v>
      </c>
      <c r="CO968" s="4" t="s">
        <v>124</v>
      </c>
      <c r="CP968" s="4" t="s">
        <v>124</v>
      </c>
      <c r="CQ968" s="7">
        <v>0.62874300000000005</v>
      </c>
      <c r="CR968" s="7">
        <v>0.98235300000000003</v>
      </c>
      <c r="CS968" s="7">
        <v>41.916167999999999</v>
      </c>
      <c r="CT968" s="7">
        <v>50</v>
      </c>
      <c r="CU968" s="4" t="s">
        <v>124</v>
      </c>
      <c r="CV968" s="4" t="s">
        <v>124</v>
      </c>
      <c r="CW968" s="4" t="s">
        <v>124</v>
      </c>
      <c r="CX968" s="4" t="s">
        <v>124</v>
      </c>
      <c r="CY968" s="4" t="s">
        <v>124</v>
      </c>
      <c r="CZ968" s="4" t="s">
        <v>124</v>
      </c>
      <c r="DA968" s="7">
        <v>15.314097</v>
      </c>
      <c r="DB968" s="7">
        <v>17.400950000000002</v>
      </c>
      <c r="DC968" s="7">
        <v>16.332519999999999</v>
      </c>
      <c r="DD968" s="4" t="s">
        <v>124</v>
      </c>
      <c r="DE968" s="7">
        <v>0</v>
      </c>
      <c r="DF968" s="6"/>
      <c r="DG968" s="6"/>
      <c r="DH968" s="6"/>
      <c r="DI968" s="6"/>
      <c r="DJ968" s="7">
        <v>0</v>
      </c>
      <c r="DK968" s="7">
        <v>0</v>
      </c>
      <c r="DL968" s="7">
        <v>0</v>
      </c>
      <c r="DM968" s="7">
        <v>0</v>
      </c>
      <c r="DN968" s="7">
        <v>0</v>
      </c>
      <c r="DO968" s="7">
        <v>0</v>
      </c>
      <c r="DP968" s="6"/>
      <c r="DQ968" s="4" t="s">
        <v>125</v>
      </c>
    </row>
    <row r="969" spans="1:121" ht="20" customHeight="1" x14ac:dyDescent="0.15">
      <c r="A969" s="5">
        <v>2018</v>
      </c>
      <c r="B969" s="3" t="s">
        <v>142</v>
      </c>
      <c r="C969" s="4" t="str">
        <f t="shared" si="264"/>
        <v>1510011</v>
      </c>
      <c r="D969" s="4" t="s">
        <v>1115</v>
      </c>
      <c r="E969" s="4" t="str">
        <f>"1516211"</f>
        <v>1516211</v>
      </c>
      <c r="F969" s="4" t="s">
        <v>327</v>
      </c>
      <c r="G969" s="7">
        <v>9</v>
      </c>
      <c r="H969" s="7">
        <v>12</v>
      </c>
      <c r="I969" s="4" t="s">
        <v>335</v>
      </c>
      <c r="J969" s="4" t="s">
        <v>330</v>
      </c>
      <c r="K969" s="7">
        <v>823.233204</v>
      </c>
      <c r="L969" s="7">
        <v>1550</v>
      </c>
      <c r="M969" s="7">
        <v>53.111820000000002</v>
      </c>
      <c r="N969" s="7">
        <v>5</v>
      </c>
      <c r="O969" s="7">
        <v>0</v>
      </c>
      <c r="P969" s="7">
        <v>39.727880999999996</v>
      </c>
      <c r="Q969" s="7">
        <v>79.455760999999995</v>
      </c>
      <c r="R969" s="7">
        <v>150</v>
      </c>
      <c r="S969" s="7">
        <v>39.459443999999998</v>
      </c>
      <c r="T969" s="4" t="s">
        <v>124</v>
      </c>
      <c r="U969" s="7">
        <v>78.918888999999993</v>
      </c>
      <c r="V969" s="7">
        <v>150</v>
      </c>
      <c r="W969" s="7">
        <v>33.851595000000003</v>
      </c>
      <c r="X969" s="7">
        <v>67.703188999999995</v>
      </c>
      <c r="Y969" s="7">
        <v>150</v>
      </c>
      <c r="Z969" s="4" t="s">
        <v>124</v>
      </c>
      <c r="AA969" s="7">
        <v>33.626389000000003</v>
      </c>
      <c r="AB969" s="7">
        <v>67.252778000000006</v>
      </c>
      <c r="AC969" s="7">
        <v>150</v>
      </c>
      <c r="AD969" s="7">
        <v>40.927700000000002</v>
      </c>
      <c r="AE969" s="7">
        <v>54.570267000000001</v>
      </c>
      <c r="AF969" s="7">
        <v>100</v>
      </c>
      <c r="AG969" s="7">
        <v>40.745756</v>
      </c>
      <c r="AH969" s="4" t="s">
        <v>124</v>
      </c>
      <c r="AI969" s="7">
        <v>54.327674000000002</v>
      </c>
      <c r="AJ969" s="7">
        <v>100</v>
      </c>
      <c r="AK969" s="4" t="s">
        <v>124</v>
      </c>
      <c r="AL969" s="4" t="s">
        <v>124</v>
      </c>
      <c r="AM969" s="4" t="s">
        <v>124</v>
      </c>
      <c r="AN969" s="4" t="s">
        <v>124</v>
      </c>
      <c r="AO969" s="4" t="s">
        <v>124</v>
      </c>
      <c r="AP969" s="4" t="s">
        <v>124</v>
      </c>
      <c r="AQ969" s="4" t="s">
        <v>124</v>
      </c>
      <c r="AR969" s="4" t="s">
        <v>124</v>
      </c>
      <c r="AS969" s="4" t="s">
        <v>124</v>
      </c>
      <c r="AT969" s="4" t="s">
        <v>124</v>
      </c>
      <c r="AU969" s="4" t="s">
        <v>124</v>
      </c>
      <c r="AV969" s="4" t="s">
        <v>124</v>
      </c>
      <c r="AW969" s="4" t="s">
        <v>124</v>
      </c>
      <c r="AX969" s="4" t="s">
        <v>124</v>
      </c>
      <c r="AY969" s="4" t="s">
        <v>124</v>
      </c>
      <c r="AZ969" s="4" t="s">
        <v>124</v>
      </c>
      <c r="BA969" s="4" t="s">
        <v>124</v>
      </c>
      <c r="BB969" s="7">
        <v>0.34111200000000003</v>
      </c>
      <c r="BC969" s="7">
        <v>17.055620999999999</v>
      </c>
      <c r="BD969" s="7">
        <v>50</v>
      </c>
      <c r="BE969" s="7">
        <v>0.42094100000000001</v>
      </c>
      <c r="BF969" s="7">
        <v>21.047035000000001</v>
      </c>
      <c r="BG969" s="7">
        <v>50</v>
      </c>
      <c r="BH969" s="7">
        <v>0</v>
      </c>
      <c r="BI969" s="7">
        <v>0.95785399999999998</v>
      </c>
      <c r="BJ969" s="7">
        <v>0.95833299999999999</v>
      </c>
      <c r="BK969" s="7">
        <v>0.95238100000000003</v>
      </c>
      <c r="BL969" s="7">
        <v>0.95785399999999998</v>
      </c>
      <c r="BM969" s="7">
        <v>0.95833299999999999</v>
      </c>
      <c r="BN969" s="7">
        <v>0.95238100000000003</v>
      </c>
      <c r="BO969" s="7">
        <v>0.97692299999999999</v>
      </c>
      <c r="BP969" s="7">
        <v>0.97489499999999996</v>
      </c>
      <c r="BQ969" s="7">
        <v>1</v>
      </c>
      <c r="BR969" s="7">
        <v>0.31891900000000001</v>
      </c>
      <c r="BS969" s="7">
        <v>0</v>
      </c>
      <c r="BT969" s="7">
        <v>50</v>
      </c>
      <c r="BU969" s="7">
        <v>0.33333299999999999</v>
      </c>
      <c r="BV969" s="7">
        <v>0</v>
      </c>
      <c r="BW969" s="7">
        <v>50</v>
      </c>
      <c r="BX969" s="7">
        <v>0.571963</v>
      </c>
      <c r="BY969" s="7">
        <v>38.130840999999997</v>
      </c>
      <c r="BZ969" s="7">
        <v>50</v>
      </c>
      <c r="CA969" s="7">
        <v>4.8598000000000002E-2</v>
      </c>
      <c r="CB969" s="7">
        <v>3.2398750000000001</v>
      </c>
      <c r="CC969" s="7">
        <v>50</v>
      </c>
      <c r="CD969" s="7">
        <v>0.79094100000000001</v>
      </c>
      <c r="CE969" s="7">
        <v>42.071317000000001</v>
      </c>
      <c r="CF969" s="7">
        <v>50</v>
      </c>
      <c r="CG969" s="7">
        <v>0.706897</v>
      </c>
      <c r="CH969" s="7">
        <v>75.201761000000005</v>
      </c>
      <c r="CI969" s="7">
        <v>100</v>
      </c>
      <c r="CJ969" s="7">
        <v>1</v>
      </c>
      <c r="CK969" s="7">
        <v>0.769679</v>
      </c>
      <c r="CL969" s="7">
        <v>81.880776999999995</v>
      </c>
      <c r="CM969" s="7">
        <v>100</v>
      </c>
      <c r="CN969" s="7">
        <v>0.60465100000000005</v>
      </c>
      <c r="CO969" s="7">
        <v>80.620154999999997</v>
      </c>
      <c r="CP969" s="7">
        <v>100</v>
      </c>
      <c r="CQ969" s="7">
        <v>0.36329600000000001</v>
      </c>
      <c r="CR969" s="7">
        <v>0.92708299999999999</v>
      </c>
      <c r="CS969" s="7">
        <v>24.219725</v>
      </c>
      <c r="CT969" s="7">
        <v>50</v>
      </c>
      <c r="CU969" s="7">
        <v>0.45045000000000002</v>
      </c>
      <c r="CV969" s="7">
        <v>37.537537999999998</v>
      </c>
      <c r="CW969" s="7">
        <v>50</v>
      </c>
      <c r="CX969" s="7">
        <v>0.769679</v>
      </c>
      <c r="CY969" s="7">
        <v>0.89361699999999999</v>
      </c>
      <c r="CZ969" s="7">
        <v>0.12393800000000001</v>
      </c>
      <c r="DA969" s="7">
        <v>15.314097</v>
      </c>
      <c r="DB969" s="7">
        <v>17.400950000000002</v>
      </c>
      <c r="DC969" s="7">
        <v>16.332519999999999</v>
      </c>
      <c r="DD969" s="7">
        <v>7.9891730000000001</v>
      </c>
      <c r="DE969" s="7">
        <v>1</v>
      </c>
      <c r="DF969" s="4" t="s">
        <v>384</v>
      </c>
      <c r="DG969" s="4" t="s">
        <v>385</v>
      </c>
      <c r="DH969" s="6"/>
      <c r="DI969" s="6"/>
      <c r="DJ969" s="7">
        <v>0</v>
      </c>
      <c r="DK969" s="7">
        <v>0</v>
      </c>
      <c r="DL969" s="7">
        <v>0</v>
      </c>
      <c r="DM969" s="7">
        <v>0</v>
      </c>
      <c r="DN969" s="7">
        <v>0</v>
      </c>
      <c r="DO969" s="7">
        <v>0</v>
      </c>
      <c r="DP969" s="6"/>
      <c r="DQ969" s="4" t="s">
        <v>125</v>
      </c>
    </row>
    <row r="970" spans="1:121" ht="20" customHeight="1" x14ac:dyDescent="0.15">
      <c r="A970" s="5">
        <v>2018</v>
      </c>
      <c r="B970" s="3" t="s">
        <v>142</v>
      </c>
      <c r="C970" s="4" t="str">
        <f t="shared" si="264"/>
        <v>1510011</v>
      </c>
      <c r="D970" s="4" t="s">
        <v>1116</v>
      </c>
      <c r="E970" s="4" t="str">
        <f>"1510911"</f>
        <v>1510911</v>
      </c>
      <c r="F970" s="4" t="s">
        <v>327</v>
      </c>
      <c r="G970" s="4" t="s">
        <v>328</v>
      </c>
      <c r="H970" s="7">
        <v>5</v>
      </c>
      <c r="I970" s="4" t="s">
        <v>335</v>
      </c>
      <c r="J970" s="4" t="s">
        <v>330</v>
      </c>
      <c r="K970" s="7">
        <v>595.30879300000004</v>
      </c>
      <c r="L970" s="7">
        <v>950</v>
      </c>
      <c r="M970" s="7">
        <v>62.664082999999998</v>
      </c>
      <c r="N970" s="7">
        <v>3</v>
      </c>
      <c r="O970" s="7">
        <v>0</v>
      </c>
      <c r="P970" s="7">
        <v>55.91283</v>
      </c>
      <c r="Q970" s="7">
        <v>37.275219999999997</v>
      </c>
      <c r="R970" s="7">
        <v>50</v>
      </c>
      <c r="S970" s="7">
        <v>55.974668000000001</v>
      </c>
      <c r="T970" s="4" t="s">
        <v>124</v>
      </c>
      <c r="U970" s="7">
        <v>37.316445000000002</v>
      </c>
      <c r="V970" s="7">
        <v>50</v>
      </c>
      <c r="W970" s="7">
        <v>49.097380999999999</v>
      </c>
      <c r="X970" s="7">
        <v>32.731586999999998</v>
      </c>
      <c r="Y970" s="7">
        <v>50</v>
      </c>
      <c r="Z970" s="4" t="s">
        <v>124</v>
      </c>
      <c r="AA970" s="7">
        <v>49.107101999999998</v>
      </c>
      <c r="AB970" s="7">
        <v>32.738067999999998</v>
      </c>
      <c r="AC970" s="7">
        <v>50</v>
      </c>
      <c r="AD970" s="7">
        <v>54.954214</v>
      </c>
      <c r="AE970" s="7">
        <v>36.636142999999997</v>
      </c>
      <c r="AF970" s="7">
        <v>50</v>
      </c>
      <c r="AG970" s="7">
        <v>54.449387999999999</v>
      </c>
      <c r="AH970" s="4" t="s">
        <v>124</v>
      </c>
      <c r="AI970" s="7">
        <v>36.299591999999997</v>
      </c>
      <c r="AJ970" s="7">
        <v>50</v>
      </c>
      <c r="AK970" s="4" t="s">
        <v>124</v>
      </c>
      <c r="AL970" s="4" t="s">
        <v>124</v>
      </c>
      <c r="AM970" s="4" t="s">
        <v>124</v>
      </c>
      <c r="AN970" s="7">
        <v>0.61770099999999994</v>
      </c>
      <c r="AO970" s="7">
        <v>61.770138000000003</v>
      </c>
      <c r="AP970" s="7">
        <v>100</v>
      </c>
      <c r="AQ970" s="7">
        <v>0.54951099999999997</v>
      </c>
      <c r="AR970" s="7">
        <v>54.951132999999999</v>
      </c>
      <c r="AS970" s="7">
        <v>100</v>
      </c>
      <c r="AT970" s="7">
        <v>0.60959399999999997</v>
      </c>
      <c r="AU970" s="4" t="s">
        <v>124</v>
      </c>
      <c r="AV970" s="7">
        <v>60.959380000000003</v>
      </c>
      <c r="AW970" s="7">
        <v>100</v>
      </c>
      <c r="AX970" s="7">
        <v>0.54998800000000003</v>
      </c>
      <c r="AY970" s="4" t="s">
        <v>124</v>
      </c>
      <c r="AZ970" s="7">
        <v>54.998752000000003</v>
      </c>
      <c r="BA970" s="7">
        <v>100</v>
      </c>
      <c r="BB970" s="7">
        <v>0.48060799999999998</v>
      </c>
      <c r="BC970" s="7">
        <v>24.030401000000001</v>
      </c>
      <c r="BD970" s="7">
        <v>50</v>
      </c>
      <c r="BE970" s="7">
        <v>0.25642399999999999</v>
      </c>
      <c r="BF970" s="7">
        <v>12.821192999999999</v>
      </c>
      <c r="BG970" s="7">
        <v>50</v>
      </c>
      <c r="BH970" s="7">
        <v>0</v>
      </c>
      <c r="BI970" s="7">
        <v>0.99574499999999999</v>
      </c>
      <c r="BJ970" s="7">
        <v>1</v>
      </c>
      <c r="BK970" s="4" t="s">
        <v>124</v>
      </c>
      <c r="BL970" s="7">
        <v>0.99565199999999998</v>
      </c>
      <c r="BM970" s="7">
        <v>1</v>
      </c>
      <c r="BN970" s="4" t="s">
        <v>124</v>
      </c>
      <c r="BO970" s="7">
        <v>1</v>
      </c>
      <c r="BP970" s="7">
        <v>1</v>
      </c>
      <c r="BQ970" s="4" t="s">
        <v>124</v>
      </c>
      <c r="BR970" s="7">
        <v>0.13375799999999999</v>
      </c>
      <c r="BS970" s="7">
        <v>33.248407999999998</v>
      </c>
      <c r="BT970" s="7">
        <v>50</v>
      </c>
      <c r="BU970" s="7">
        <v>0.136465</v>
      </c>
      <c r="BV970" s="7">
        <v>32.706935000000001</v>
      </c>
      <c r="BW970" s="7">
        <v>50</v>
      </c>
      <c r="BX970" s="4" t="s">
        <v>124</v>
      </c>
      <c r="BY970" s="4" t="s">
        <v>124</v>
      </c>
      <c r="BZ970" s="4" t="s">
        <v>124</v>
      </c>
      <c r="CA970" s="4" t="s">
        <v>124</v>
      </c>
      <c r="CB970" s="4" t="s">
        <v>124</v>
      </c>
      <c r="CC970" s="4" t="s">
        <v>124</v>
      </c>
      <c r="CD970" s="4" t="s">
        <v>124</v>
      </c>
      <c r="CE970" s="4" t="s">
        <v>124</v>
      </c>
      <c r="CF970" s="4" t="s">
        <v>124</v>
      </c>
      <c r="CG970" s="4" t="s">
        <v>124</v>
      </c>
      <c r="CH970" s="4" t="s">
        <v>124</v>
      </c>
      <c r="CI970" s="4" t="s">
        <v>124</v>
      </c>
      <c r="CJ970" s="4" t="s">
        <v>124</v>
      </c>
      <c r="CK970" s="4" t="s">
        <v>124</v>
      </c>
      <c r="CL970" s="4" t="s">
        <v>124</v>
      </c>
      <c r="CM970" s="4" t="s">
        <v>124</v>
      </c>
      <c r="CN970" s="4" t="s">
        <v>124</v>
      </c>
      <c r="CO970" s="4" t="s">
        <v>124</v>
      </c>
      <c r="CP970" s="4" t="s">
        <v>124</v>
      </c>
      <c r="CQ970" s="7">
        <v>0.70238100000000003</v>
      </c>
      <c r="CR970" s="7">
        <v>1</v>
      </c>
      <c r="CS970" s="7">
        <v>46.825397000000002</v>
      </c>
      <c r="CT970" s="7">
        <v>50</v>
      </c>
      <c r="CU970" s="4" t="s">
        <v>124</v>
      </c>
      <c r="CV970" s="4" t="s">
        <v>124</v>
      </c>
      <c r="CW970" s="4" t="s">
        <v>124</v>
      </c>
      <c r="CX970" s="4" t="s">
        <v>124</v>
      </c>
      <c r="CY970" s="4" t="s">
        <v>124</v>
      </c>
      <c r="CZ970" s="4" t="s">
        <v>124</v>
      </c>
      <c r="DA970" s="7">
        <v>15.314097</v>
      </c>
      <c r="DB970" s="7">
        <v>17.400950000000002</v>
      </c>
      <c r="DC970" s="7">
        <v>16.332519999999999</v>
      </c>
      <c r="DD970" s="4" t="s">
        <v>124</v>
      </c>
      <c r="DE970" s="7">
        <v>0</v>
      </c>
      <c r="DF970" s="6"/>
      <c r="DG970" s="6"/>
      <c r="DH970" s="6"/>
      <c r="DI970" s="6"/>
      <c r="DJ970" s="7">
        <v>0</v>
      </c>
      <c r="DK970" s="7">
        <v>0</v>
      </c>
      <c r="DL970" s="7">
        <v>0</v>
      </c>
      <c r="DM970" s="7">
        <v>0</v>
      </c>
      <c r="DN970" s="7">
        <v>0</v>
      </c>
      <c r="DO970" s="7">
        <v>0</v>
      </c>
      <c r="DP970" s="6"/>
      <c r="DQ970" s="4" t="s">
        <v>125</v>
      </c>
    </row>
    <row r="971" spans="1:121" ht="20" customHeight="1" x14ac:dyDescent="0.15">
      <c r="A971" s="5">
        <v>2018</v>
      </c>
      <c r="B971" s="3" t="s">
        <v>142</v>
      </c>
      <c r="C971" s="4" t="str">
        <f t="shared" si="264"/>
        <v>1510011</v>
      </c>
      <c r="D971" s="4" t="s">
        <v>1117</v>
      </c>
      <c r="E971" s="4" t="str">
        <f>"1511611"</f>
        <v>1511611</v>
      </c>
      <c r="F971" s="4" t="s">
        <v>327</v>
      </c>
      <c r="G971" s="4" t="s">
        <v>328</v>
      </c>
      <c r="H971" s="7">
        <v>8</v>
      </c>
      <c r="I971" s="4" t="s">
        <v>335</v>
      </c>
      <c r="J971" s="4" t="s">
        <v>330</v>
      </c>
      <c r="K971" s="7">
        <v>720.49213399999996</v>
      </c>
      <c r="L971" s="7">
        <v>1000</v>
      </c>
      <c r="M971" s="7">
        <v>72.049212999999995</v>
      </c>
      <c r="N971" s="7">
        <v>2</v>
      </c>
      <c r="O971" s="7">
        <v>0</v>
      </c>
      <c r="P971" s="7">
        <v>63.367800000000003</v>
      </c>
      <c r="Q971" s="7">
        <v>42.245199999999997</v>
      </c>
      <c r="R971" s="7">
        <v>50</v>
      </c>
      <c r="S971" s="7">
        <v>62.959598999999997</v>
      </c>
      <c r="T971" s="4" t="s">
        <v>124</v>
      </c>
      <c r="U971" s="7">
        <v>41.973066000000003</v>
      </c>
      <c r="V971" s="7">
        <v>50</v>
      </c>
      <c r="W971" s="7">
        <v>56.473484999999997</v>
      </c>
      <c r="X971" s="7">
        <v>37.648989999999998</v>
      </c>
      <c r="Y971" s="7">
        <v>50</v>
      </c>
      <c r="Z971" s="4" t="s">
        <v>124</v>
      </c>
      <c r="AA971" s="7">
        <v>56.268863000000003</v>
      </c>
      <c r="AB971" s="7">
        <v>37.512574999999998</v>
      </c>
      <c r="AC971" s="7">
        <v>50</v>
      </c>
      <c r="AD971" s="7">
        <v>63.933937</v>
      </c>
      <c r="AE971" s="7">
        <v>42.622624999999999</v>
      </c>
      <c r="AF971" s="7">
        <v>50</v>
      </c>
      <c r="AG971" s="7">
        <v>64.095743999999996</v>
      </c>
      <c r="AH971" s="4" t="s">
        <v>124</v>
      </c>
      <c r="AI971" s="7">
        <v>42.730496000000002</v>
      </c>
      <c r="AJ971" s="7">
        <v>50</v>
      </c>
      <c r="AK971" s="4" t="s">
        <v>124</v>
      </c>
      <c r="AL971" s="4" t="s">
        <v>124</v>
      </c>
      <c r="AM971" s="4" t="s">
        <v>124</v>
      </c>
      <c r="AN971" s="7">
        <v>0.64954599999999996</v>
      </c>
      <c r="AO971" s="7">
        <v>64.954631000000006</v>
      </c>
      <c r="AP971" s="7">
        <v>100</v>
      </c>
      <c r="AQ971" s="7">
        <v>0.55995899999999998</v>
      </c>
      <c r="AR971" s="7">
        <v>55.995939</v>
      </c>
      <c r="AS971" s="7">
        <v>100</v>
      </c>
      <c r="AT971" s="7">
        <v>0.64698699999999998</v>
      </c>
      <c r="AU971" s="4" t="s">
        <v>124</v>
      </c>
      <c r="AV971" s="7">
        <v>64.698725999999994</v>
      </c>
      <c r="AW971" s="7">
        <v>100</v>
      </c>
      <c r="AX971" s="7">
        <v>0.55933299999999997</v>
      </c>
      <c r="AY971" s="4" t="s">
        <v>124</v>
      </c>
      <c r="AZ971" s="7">
        <v>55.933332</v>
      </c>
      <c r="BA971" s="7">
        <v>100</v>
      </c>
      <c r="BB971" s="7">
        <v>0.62909700000000002</v>
      </c>
      <c r="BC971" s="7">
        <v>31.454829</v>
      </c>
      <c r="BD971" s="7">
        <v>50</v>
      </c>
      <c r="BE971" s="7">
        <v>0.42290100000000003</v>
      </c>
      <c r="BF971" s="7">
        <v>21.145029000000001</v>
      </c>
      <c r="BG971" s="7">
        <v>50</v>
      </c>
      <c r="BH971" s="7">
        <v>0</v>
      </c>
      <c r="BI971" s="7">
        <v>1</v>
      </c>
      <c r="BJ971" s="7">
        <v>1</v>
      </c>
      <c r="BK971" s="4" t="s">
        <v>124</v>
      </c>
      <c r="BL971" s="7">
        <v>1</v>
      </c>
      <c r="BM971" s="7">
        <v>1</v>
      </c>
      <c r="BN971" s="4" t="s">
        <v>124</v>
      </c>
      <c r="BO971" s="7">
        <v>1</v>
      </c>
      <c r="BP971" s="7">
        <v>1</v>
      </c>
      <c r="BQ971" s="4" t="s">
        <v>124</v>
      </c>
      <c r="BR971" s="7">
        <v>7.5117000000000003E-2</v>
      </c>
      <c r="BS971" s="7">
        <v>44.976526</v>
      </c>
      <c r="BT971" s="7">
        <v>50</v>
      </c>
      <c r="BU971" s="7">
        <v>8.0808000000000005E-2</v>
      </c>
      <c r="BV971" s="7">
        <v>43.838383999999998</v>
      </c>
      <c r="BW971" s="7">
        <v>50</v>
      </c>
      <c r="BX971" s="4" t="s">
        <v>124</v>
      </c>
      <c r="BY971" s="4" t="s">
        <v>124</v>
      </c>
      <c r="BZ971" s="4" t="s">
        <v>124</v>
      </c>
      <c r="CA971" s="4" t="s">
        <v>124</v>
      </c>
      <c r="CB971" s="4" t="s">
        <v>124</v>
      </c>
      <c r="CC971" s="4" t="s">
        <v>124</v>
      </c>
      <c r="CD971" s="7">
        <v>0.80392200000000003</v>
      </c>
      <c r="CE971" s="7">
        <v>42.761786000000001</v>
      </c>
      <c r="CF971" s="7">
        <v>50</v>
      </c>
      <c r="CG971" s="4" t="s">
        <v>124</v>
      </c>
      <c r="CH971" s="4" t="s">
        <v>124</v>
      </c>
      <c r="CI971" s="4" t="s">
        <v>124</v>
      </c>
      <c r="CJ971" s="4" t="s">
        <v>124</v>
      </c>
      <c r="CK971" s="4" t="s">
        <v>124</v>
      </c>
      <c r="CL971" s="4" t="s">
        <v>124</v>
      </c>
      <c r="CM971" s="4" t="s">
        <v>124</v>
      </c>
      <c r="CN971" s="4" t="s">
        <v>124</v>
      </c>
      <c r="CO971" s="4" t="s">
        <v>124</v>
      </c>
      <c r="CP971" s="4" t="s">
        <v>124</v>
      </c>
      <c r="CQ971" s="7">
        <v>0.77083299999999999</v>
      </c>
      <c r="CR971" s="7">
        <v>1.0285709999999999</v>
      </c>
      <c r="CS971" s="7">
        <v>50</v>
      </c>
      <c r="CT971" s="7">
        <v>50</v>
      </c>
      <c r="CU971" s="4" t="s">
        <v>124</v>
      </c>
      <c r="CV971" s="4" t="s">
        <v>124</v>
      </c>
      <c r="CW971" s="4" t="s">
        <v>124</v>
      </c>
      <c r="CX971" s="4" t="s">
        <v>124</v>
      </c>
      <c r="CY971" s="4" t="s">
        <v>124</v>
      </c>
      <c r="CZ971" s="4" t="s">
        <v>124</v>
      </c>
      <c r="DA971" s="7">
        <v>15.314097</v>
      </c>
      <c r="DB971" s="7">
        <v>17.400950000000002</v>
      </c>
      <c r="DC971" s="7">
        <v>16.332519999999999</v>
      </c>
      <c r="DD971" s="4" t="s">
        <v>124</v>
      </c>
      <c r="DE971" s="7">
        <v>0</v>
      </c>
      <c r="DF971" s="6"/>
      <c r="DG971" s="6"/>
      <c r="DH971" s="6"/>
      <c r="DI971" s="6"/>
      <c r="DJ971" s="7">
        <v>0</v>
      </c>
      <c r="DK971" s="7">
        <v>0</v>
      </c>
      <c r="DL971" s="7">
        <v>0</v>
      </c>
      <c r="DM971" s="7">
        <v>0</v>
      </c>
      <c r="DN971" s="7">
        <v>0</v>
      </c>
      <c r="DO971" s="7">
        <v>0</v>
      </c>
      <c r="DP971" s="6"/>
      <c r="DQ971" s="4" t="s">
        <v>125</v>
      </c>
    </row>
    <row r="972" spans="1:121" ht="20" customHeight="1" x14ac:dyDescent="0.15">
      <c r="A972" s="5">
        <v>2018</v>
      </c>
      <c r="B972" s="3" t="s">
        <v>142</v>
      </c>
      <c r="C972" s="4" t="str">
        <f t="shared" si="264"/>
        <v>1510011</v>
      </c>
      <c r="D972" s="4" t="s">
        <v>1118</v>
      </c>
      <c r="E972" s="4" t="str">
        <f>"1511411"</f>
        <v>1511411</v>
      </c>
      <c r="F972" s="4" t="s">
        <v>327</v>
      </c>
      <c r="G972" s="4" t="s">
        <v>338</v>
      </c>
      <c r="H972" s="7">
        <v>5</v>
      </c>
      <c r="I972" s="4" t="s">
        <v>335</v>
      </c>
      <c r="J972" s="4" t="s">
        <v>330</v>
      </c>
      <c r="K972" s="7">
        <v>698.26223300000004</v>
      </c>
      <c r="L972" s="7">
        <v>950</v>
      </c>
      <c r="M972" s="7">
        <v>73.501288000000002</v>
      </c>
      <c r="N972" s="7">
        <v>2</v>
      </c>
      <c r="O972" s="7">
        <v>0</v>
      </c>
      <c r="P972" s="7">
        <v>60.672105999999999</v>
      </c>
      <c r="Q972" s="7">
        <v>40.448070999999999</v>
      </c>
      <c r="R972" s="7">
        <v>50</v>
      </c>
      <c r="S972" s="7">
        <v>60.360055000000003</v>
      </c>
      <c r="T972" s="4" t="s">
        <v>124</v>
      </c>
      <c r="U972" s="7">
        <v>40.240037000000001</v>
      </c>
      <c r="V972" s="7">
        <v>50</v>
      </c>
      <c r="W972" s="7">
        <v>57.422103999999997</v>
      </c>
      <c r="X972" s="7">
        <v>38.281402</v>
      </c>
      <c r="Y972" s="7">
        <v>50</v>
      </c>
      <c r="Z972" s="4" t="s">
        <v>124</v>
      </c>
      <c r="AA972" s="7">
        <v>57.238238000000003</v>
      </c>
      <c r="AB972" s="7">
        <v>38.158825</v>
      </c>
      <c r="AC972" s="7">
        <v>50</v>
      </c>
      <c r="AD972" s="7">
        <v>62.027650000000001</v>
      </c>
      <c r="AE972" s="7">
        <v>41.351767000000002</v>
      </c>
      <c r="AF972" s="7">
        <v>50</v>
      </c>
      <c r="AG972" s="7">
        <v>61.789887</v>
      </c>
      <c r="AH972" s="4" t="s">
        <v>124</v>
      </c>
      <c r="AI972" s="7">
        <v>41.193258</v>
      </c>
      <c r="AJ972" s="7">
        <v>50</v>
      </c>
      <c r="AK972" s="4" t="s">
        <v>124</v>
      </c>
      <c r="AL972" s="4" t="s">
        <v>124</v>
      </c>
      <c r="AM972" s="4" t="s">
        <v>124</v>
      </c>
      <c r="AN972" s="7">
        <v>0.55893499999999996</v>
      </c>
      <c r="AO972" s="7">
        <v>55.893481999999999</v>
      </c>
      <c r="AP972" s="7">
        <v>100</v>
      </c>
      <c r="AQ972" s="7">
        <v>0.670041</v>
      </c>
      <c r="AR972" s="7">
        <v>67.004099999999994</v>
      </c>
      <c r="AS972" s="7">
        <v>100</v>
      </c>
      <c r="AT972" s="7">
        <v>0.55535699999999999</v>
      </c>
      <c r="AU972" s="4" t="s">
        <v>124</v>
      </c>
      <c r="AV972" s="7">
        <v>55.535727000000001</v>
      </c>
      <c r="AW972" s="7">
        <v>100</v>
      </c>
      <c r="AX972" s="7">
        <v>0.663879</v>
      </c>
      <c r="AY972" s="4" t="s">
        <v>124</v>
      </c>
      <c r="AZ972" s="7">
        <v>66.387889000000001</v>
      </c>
      <c r="BA972" s="7">
        <v>100</v>
      </c>
      <c r="BB972" s="7">
        <v>0.96974000000000005</v>
      </c>
      <c r="BC972" s="7">
        <v>48.486998</v>
      </c>
      <c r="BD972" s="7">
        <v>50</v>
      </c>
      <c r="BE972" s="7">
        <v>0.69478600000000001</v>
      </c>
      <c r="BF972" s="7">
        <v>34.739297999999998</v>
      </c>
      <c r="BG972" s="7">
        <v>50</v>
      </c>
      <c r="BH972" s="7">
        <v>0</v>
      </c>
      <c r="BI972" s="7">
        <v>1</v>
      </c>
      <c r="BJ972" s="7">
        <v>1</v>
      </c>
      <c r="BK972" s="4" t="s">
        <v>124</v>
      </c>
      <c r="BL972" s="7">
        <v>1</v>
      </c>
      <c r="BM972" s="7">
        <v>1</v>
      </c>
      <c r="BN972" s="4" t="s">
        <v>124</v>
      </c>
      <c r="BO972" s="7">
        <v>1</v>
      </c>
      <c r="BP972" s="7">
        <v>1</v>
      </c>
      <c r="BQ972" s="4" t="s">
        <v>124</v>
      </c>
      <c r="BR972" s="7">
        <v>9.6000000000000002E-2</v>
      </c>
      <c r="BS972" s="7">
        <v>40.799999999999997</v>
      </c>
      <c r="BT972" s="7">
        <v>50</v>
      </c>
      <c r="BU972" s="7">
        <v>0.10129299999999999</v>
      </c>
      <c r="BV972" s="7">
        <v>39.741379000000002</v>
      </c>
      <c r="BW972" s="7">
        <v>50</v>
      </c>
      <c r="BX972" s="4" t="s">
        <v>124</v>
      </c>
      <c r="BY972" s="4" t="s">
        <v>124</v>
      </c>
      <c r="BZ972" s="4" t="s">
        <v>124</v>
      </c>
      <c r="CA972" s="4" t="s">
        <v>124</v>
      </c>
      <c r="CB972" s="4" t="s">
        <v>124</v>
      </c>
      <c r="CC972" s="4" t="s">
        <v>124</v>
      </c>
      <c r="CD972" s="4" t="s">
        <v>124</v>
      </c>
      <c r="CE972" s="4" t="s">
        <v>124</v>
      </c>
      <c r="CF972" s="4" t="s">
        <v>124</v>
      </c>
      <c r="CG972" s="4" t="s">
        <v>124</v>
      </c>
      <c r="CH972" s="4" t="s">
        <v>124</v>
      </c>
      <c r="CI972" s="4" t="s">
        <v>124</v>
      </c>
      <c r="CJ972" s="4" t="s">
        <v>124</v>
      </c>
      <c r="CK972" s="4" t="s">
        <v>124</v>
      </c>
      <c r="CL972" s="4" t="s">
        <v>124</v>
      </c>
      <c r="CM972" s="4" t="s">
        <v>124</v>
      </c>
      <c r="CN972" s="4" t="s">
        <v>124</v>
      </c>
      <c r="CO972" s="4" t="s">
        <v>124</v>
      </c>
      <c r="CP972" s="4" t="s">
        <v>124</v>
      </c>
      <c r="CQ972" s="7">
        <v>0.82352899999999996</v>
      </c>
      <c r="CR972" s="7">
        <v>1.0625</v>
      </c>
      <c r="CS972" s="7">
        <v>50</v>
      </c>
      <c r="CT972" s="7">
        <v>50</v>
      </c>
      <c r="CU972" s="4" t="s">
        <v>124</v>
      </c>
      <c r="CV972" s="4" t="s">
        <v>124</v>
      </c>
      <c r="CW972" s="4" t="s">
        <v>124</v>
      </c>
      <c r="CX972" s="4" t="s">
        <v>124</v>
      </c>
      <c r="CY972" s="4" t="s">
        <v>124</v>
      </c>
      <c r="CZ972" s="4" t="s">
        <v>124</v>
      </c>
      <c r="DA972" s="7">
        <v>15.314097</v>
      </c>
      <c r="DB972" s="7">
        <v>17.400950000000002</v>
      </c>
      <c r="DC972" s="7">
        <v>16.332519999999999</v>
      </c>
      <c r="DD972" s="4" t="s">
        <v>124</v>
      </c>
      <c r="DE972" s="7">
        <v>0</v>
      </c>
      <c r="DF972" s="6"/>
      <c r="DG972" s="6"/>
      <c r="DH972" s="6"/>
      <c r="DI972" s="6"/>
      <c r="DJ972" s="7">
        <v>0</v>
      </c>
      <c r="DK972" s="7">
        <v>0</v>
      </c>
      <c r="DL972" s="7">
        <v>0</v>
      </c>
      <c r="DM972" s="7">
        <v>0</v>
      </c>
      <c r="DN972" s="7">
        <v>0</v>
      </c>
      <c r="DO972" s="7">
        <v>0</v>
      </c>
      <c r="DP972" s="6"/>
      <c r="DQ972" s="4" t="s">
        <v>125</v>
      </c>
    </row>
    <row r="973" spans="1:121" ht="20" customHeight="1" x14ac:dyDescent="0.15">
      <c r="A973" s="5">
        <v>2018</v>
      </c>
      <c r="B973" s="3" t="s">
        <v>142</v>
      </c>
      <c r="C973" s="4" t="str">
        <f t="shared" si="264"/>
        <v>1510011</v>
      </c>
      <c r="D973" s="4" t="s">
        <v>1119</v>
      </c>
      <c r="E973" s="4" t="str">
        <f>"1512611"</f>
        <v>1512611</v>
      </c>
      <c r="F973" s="4" t="s">
        <v>327</v>
      </c>
      <c r="G973" s="4" t="s">
        <v>328</v>
      </c>
      <c r="H973" s="7">
        <v>8</v>
      </c>
      <c r="I973" s="4" t="s">
        <v>335</v>
      </c>
      <c r="J973" s="4" t="s">
        <v>330</v>
      </c>
      <c r="K973" s="7">
        <v>592.088435</v>
      </c>
      <c r="L973" s="7">
        <v>1000</v>
      </c>
      <c r="M973" s="7">
        <v>59.208843000000002</v>
      </c>
      <c r="N973" s="7">
        <v>3</v>
      </c>
      <c r="O973" s="7">
        <v>0</v>
      </c>
      <c r="P973" s="7">
        <v>51.860827</v>
      </c>
      <c r="Q973" s="7">
        <v>34.573884999999997</v>
      </c>
      <c r="R973" s="7">
        <v>50</v>
      </c>
      <c r="S973" s="7">
        <v>51.022615000000002</v>
      </c>
      <c r="T973" s="7">
        <v>58.925750999999998</v>
      </c>
      <c r="U973" s="7">
        <v>34.015076999999998</v>
      </c>
      <c r="V973" s="7">
        <v>50</v>
      </c>
      <c r="W973" s="7">
        <v>47.572634999999998</v>
      </c>
      <c r="X973" s="7">
        <v>31.71509</v>
      </c>
      <c r="Y973" s="7">
        <v>50</v>
      </c>
      <c r="Z973" s="7">
        <v>55.901487000000003</v>
      </c>
      <c r="AA973" s="7">
        <v>46.584466999999997</v>
      </c>
      <c r="AB973" s="7">
        <v>31.056311000000001</v>
      </c>
      <c r="AC973" s="7">
        <v>50</v>
      </c>
      <c r="AD973" s="7">
        <v>49.464768999999997</v>
      </c>
      <c r="AE973" s="7">
        <v>32.976512999999997</v>
      </c>
      <c r="AF973" s="7">
        <v>50</v>
      </c>
      <c r="AG973" s="7">
        <v>49.000684999999997</v>
      </c>
      <c r="AH973" s="4" t="s">
        <v>124</v>
      </c>
      <c r="AI973" s="7">
        <v>32.667122999999997</v>
      </c>
      <c r="AJ973" s="7">
        <v>50</v>
      </c>
      <c r="AK973" s="7">
        <v>7.9</v>
      </c>
      <c r="AL973" s="7">
        <v>9.31</v>
      </c>
      <c r="AM973" s="4" t="s">
        <v>124</v>
      </c>
      <c r="AN973" s="7">
        <v>0.45885399999999998</v>
      </c>
      <c r="AO973" s="7">
        <v>45.885420000000003</v>
      </c>
      <c r="AP973" s="7">
        <v>100</v>
      </c>
      <c r="AQ973" s="7">
        <v>0.564415</v>
      </c>
      <c r="AR973" s="7">
        <v>56.441451999999998</v>
      </c>
      <c r="AS973" s="7">
        <v>100</v>
      </c>
      <c r="AT973" s="7">
        <v>0.44350299999999998</v>
      </c>
      <c r="AU973" s="7">
        <v>0.58566499999999999</v>
      </c>
      <c r="AV973" s="7">
        <v>44.350335999999999</v>
      </c>
      <c r="AW973" s="7">
        <v>100</v>
      </c>
      <c r="AX973" s="7">
        <v>0.55421200000000004</v>
      </c>
      <c r="AY973" s="7">
        <v>0.64869299999999996</v>
      </c>
      <c r="AZ973" s="7">
        <v>55.421241999999999</v>
      </c>
      <c r="BA973" s="7">
        <v>100</v>
      </c>
      <c r="BB973" s="7">
        <v>0.46465800000000002</v>
      </c>
      <c r="BC973" s="7">
        <v>23.232892</v>
      </c>
      <c r="BD973" s="7">
        <v>50</v>
      </c>
      <c r="BE973" s="7">
        <v>0.43506600000000001</v>
      </c>
      <c r="BF973" s="7">
        <v>21.753292999999999</v>
      </c>
      <c r="BG973" s="7">
        <v>50</v>
      </c>
      <c r="BH973" s="7">
        <v>0</v>
      </c>
      <c r="BI973" s="7">
        <v>0.99657499999999999</v>
      </c>
      <c r="BJ973" s="7">
        <v>0.996139</v>
      </c>
      <c r="BK973" s="7">
        <v>1</v>
      </c>
      <c r="BL973" s="7">
        <v>0.99657499999999999</v>
      </c>
      <c r="BM973" s="7">
        <v>0.996139</v>
      </c>
      <c r="BN973" s="7">
        <v>1</v>
      </c>
      <c r="BO973" s="7">
        <v>1</v>
      </c>
      <c r="BP973" s="7">
        <v>1</v>
      </c>
      <c r="BQ973" s="4" t="s">
        <v>124</v>
      </c>
      <c r="BR973" s="7">
        <v>0.11856800000000001</v>
      </c>
      <c r="BS973" s="7">
        <v>36.286352999999998</v>
      </c>
      <c r="BT973" s="7">
        <v>50</v>
      </c>
      <c r="BU973" s="7">
        <v>0.12911400000000001</v>
      </c>
      <c r="BV973" s="7">
        <v>34.177214999999997</v>
      </c>
      <c r="BW973" s="7">
        <v>50</v>
      </c>
      <c r="BX973" s="4" t="s">
        <v>124</v>
      </c>
      <c r="BY973" s="4" t="s">
        <v>124</v>
      </c>
      <c r="BZ973" s="4" t="s">
        <v>124</v>
      </c>
      <c r="CA973" s="4" t="s">
        <v>124</v>
      </c>
      <c r="CB973" s="4" t="s">
        <v>124</v>
      </c>
      <c r="CC973" s="4" t="s">
        <v>124</v>
      </c>
      <c r="CD973" s="7">
        <v>0.95744700000000005</v>
      </c>
      <c r="CE973" s="7">
        <v>50</v>
      </c>
      <c r="CF973" s="7">
        <v>50</v>
      </c>
      <c r="CG973" s="4" t="s">
        <v>124</v>
      </c>
      <c r="CH973" s="4" t="s">
        <v>124</v>
      </c>
      <c r="CI973" s="4" t="s">
        <v>124</v>
      </c>
      <c r="CJ973" s="4" t="s">
        <v>124</v>
      </c>
      <c r="CK973" s="4" t="s">
        <v>124</v>
      </c>
      <c r="CL973" s="4" t="s">
        <v>124</v>
      </c>
      <c r="CM973" s="4" t="s">
        <v>124</v>
      </c>
      <c r="CN973" s="4" t="s">
        <v>124</v>
      </c>
      <c r="CO973" s="4" t="s">
        <v>124</v>
      </c>
      <c r="CP973" s="4" t="s">
        <v>124</v>
      </c>
      <c r="CQ973" s="7">
        <v>0.41304299999999999</v>
      </c>
      <c r="CR973" s="7">
        <v>1.022222</v>
      </c>
      <c r="CS973" s="7">
        <v>27.536231999999998</v>
      </c>
      <c r="CT973" s="7">
        <v>50</v>
      </c>
      <c r="CU973" s="4" t="s">
        <v>124</v>
      </c>
      <c r="CV973" s="4" t="s">
        <v>124</v>
      </c>
      <c r="CW973" s="4" t="s">
        <v>124</v>
      </c>
      <c r="CX973" s="4" t="s">
        <v>124</v>
      </c>
      <c r="CY973" s="4" t="s">
        <v>124</v>
      </c>
      <c r="CZ973" s="4" t="s">
        <v>124</v>
      </c>
      <c r="DA973" s="7">
        <v>15.314097</v>
      </c>
      <c r="DB973" s="7">
        <v>17.400950000000002</v>
      </c>
      <c r="DC973" s="7">
        <v>16.332519999999999</v>
      </c>
      <c r="DD973" s="4" t="s">
        <v>124</v>
      </c>
      <c r="DE973" s="7">
        <v>0</v>
      </c>
      <c r="DF973" s="6"/>
      <c r="DG973" s="6"/>
      <c r="DH973" s="6"/>
      <c r="DI973" s="6"/>
      <c r="DJ973" s="7">
        <v>0</v>
      </c>
      <c r="DK973" s="7">
        <v>0</v>
      </c>
      <c r="DL973" s="7">
        <v>0</v>
      </c>
      <c r="DM973" s="7">
        <v>0</v>
      </c>
      <c r="DN973" s="7">
        <v>0</v>
      </c>
      <c r="DO973" s="7">
        <v>0</v>
      </c>
      <c r="DP973" s="6"/>
      <c r="DQ973" s="4" t="s">
        <v>125</v>
      </c>
    </row>
    <row r="974" spans="1:121" ht="20" customHeight="1" x14ac:dyDescent="0.15">
      <c r="A974" s="5">
        <v>2018</v>
      </c>
      <c r="B974" s="3" t="s">
        <v>142</v>
      </c>
      <c r="C974" s="4" t="str">
        <f t="shared" si="264"/>
        <v>1510011</v>
      </c>
      <c r="D974" s="4" t="s">
        <v>1120</v>
      </c>
      <c r="E974" s="4" t="str">
        <f>"1510711"</f>
        <v>1510711</v>
      </c>
      <c r="F974" s="4" t="s">
        <v>327</v>
      </c>
      <c r="G974" s="4" t="s">
        <v>328</v>
      </c>
      <c r="H974" s="7">
        <v>5</v>
      </c>
      <c r="I974" s="4" t="s">
        <v>335</v>
      </c>
      <c r="J974" s="4" t="s">
        <v>330</v>
      </c>
      <c r="K974" s="7">
        <v>712.00580100000002</v>
      </c>
      <c r="L974" s="7">
        <v>950</v>
      </c>
      <c r="M974" s="7">
        <v>74.947979000000004</v>
      </c>
      <c r="N974" s="7">
        <v>2</v>
      </c>
      <c r="O974" s="7">
        <v>0</v>
      </c>
      <c r="P974" s="7">
        <v>63.895983999999999</v>
      </c>
      <c r="Q974" s="7">
        <v>42.597321999999998</v>
      </c>
      <c r="R974" s="7">
        <v>50</v>
      </c>
      <c r="S974" s="7">
        <v>63.206511999999996</v>
      </c>
      <c r="T974" s="7">
        <v>71.783537999999993</v>
      </c>
      <c r="U974" s="7">
        <v>42.137675000000002</v>
      </c>
      <c r="V974" s="7">
        <v>50</v>
      </c>
      <c r="W974" s="7">
        <v>60.230752000000003</v>
      </c>
      <c r="X974" s="7">
        <v>40.153835000000001</v>
      </c>
      <c r="Y974" s="7">
        <v>50</v>
      </c>
      <c r="Z974" s="7">
        <v>71.780146999999999</v>
      </c>
      <c r="AA974" s="7">
        <v>59.247824999999999</v>
      </c>
      <c r="AB974" s="7">
        <v>39.498550000000002</v>
      </c>
      <c r="AC974" s="7">
        <v>50</v>
      </c>
      <c r="AD974" s="7">
        <v>58.962366000000003</v>
      </c>
      <c r="AE974" s="7">
        <v>39.308244000000002</v>
      </c>
      <c r="AF974" s="7">
        <v>50</v>
      </c>
      <c r="AG974" s="7">
        <v>58.742268000000003</v>
      </c>
      <c r="AH974" s="4" t="s">
        <v>124</v>
      </c>
      <c r="AI974" s="7">
        <v>39.161512000000002</v>
      </c>
      <c r="AJ974" s="7">
        <v>50</v>
      </c>
      <c r="AK974" s="7">
        <v>8.57</v>
      </c>
      <c r="AL974" s="7">
        <v>12.53</v>
      </c>
      <c r="AM974" s="4" t="s">
        <v>124</v>
      </c>
      <c r="AN974" s="7">
        <v>0.71190299999999995</v>
      </c>
      <c r="AO974" s="7">
        <v>71.190291999999999</v>
      </c>
      <c r="AP974" s="7">
        <v>100</v>
      </c>
      <c r="AQ974" s="7">
        <v>0.71613800000000005</v>
      </c>
      <c r="AR974" s="7">
        <v>71.613833999999997</v>
      </c>
      <c r="AS974" s="7">
        <v>100</v>
      </c>
      <c r="AT974" s="7">
        <v>0.71258200000000005</v>
      </c>
      <c r="AU974" s="4" t="s">
        <v>124</v>
      </c>
      <c r="AV974" s="7">
        <v>71.258222000000004</v>
      </c>
      <c r="AW974" s="7">
        <v>100</v>
      </c>
      <c r="AX974" s="7">
        <v>0.71351500000000001</v>
      </c>
      <c r="AY974" s="4" t="s">
        <v>124</v>
      </c>
      <c r="AZ974" s="7">
        <v>71.351547999999994</v>
      </c>
      <c r="BA974" s="7">
        <v>100</v>
      </c>
      <c r="BB974" s="7">
        <v>0.62159399999999998</v>
      </c>
      <c r="BC974" s="7">
        <v>31.079716999999999</v>
      </c>
      <c r="BD974" s="7">
        <v>50</v>
      </c>
      <c r="BE974" s="7">
        <v>0.46477600000000002</v>
      </c>
      <c r="BF974" s="7">
        <v>23.238811999999999</v>
      </c>
      <c r="BG974" s="7">
        <v>50</v>
      </c>
      <c r="BH974" s="7">
        <v>0</v>
      </c>
      <c r="BI974" s="7">
        <v>1</v>
      </c>
      <c r="BJ974" s="7">
        <v>1</v>
      </c>
      <c r="BK974" s="7">
        <v>1</v>
      </c>
      <c r="BL974" s="7">
        <v>1</v>
      </c>
      <c r="BM974" s="7">
        <v>1</v>
      </c>
      <c r="BN974" s="7">
        <v>1</v>
      </c>
      <c r="BO974" s="7">
        <v>1</v>
      </c>
      <c r="BP974" s="7">
        <v>1</v>
      </c>
      <c r="BQ974" s="4" t="s">
        <v>124</v>
      </c>
      <c r="BR974" s="7">
        <v>8.0597000000000002E-2</v>
      </c>
      <c r="BS974" s="7">
        <v>43.880597000000002</v>
      </c>
      <c r="BT974" s="7">
        <v>50</v>
      </c>
      <c r="BU974" s="7">
        <v>8.9375999999999997E-2</v>
      </c>
      <c r="BV974" s="7">
        <v>42.124789</v>
      </c>
      <c r="BW974" s="7">
        <v>50</v>
      </c>
      <c r="BX974" s="4" t="s">
        <v>124</v>
      </c>
      <c r="BY974" s="4" t="s">
        <v>124</v>
      </c>
      <c r="BZ974" s="4" t="s">
        <v>124</v>
      </c>
      <c r="CA974" s="4" t="s">
        <v>124</v>
      </c>
      <c r="CB974" s="4" t="s">
        <v>124</v>
      </c>
      <c r="CC974" s="4" t="s">
        <v>124</v>
      </c>
      <c r="CD974" s="4" t="s">
        <v>124</v>
      </c>
      <c r="CE974" s="4" t="s">
        <v>124</v>
      </c>
      <c r="CF974" s="4" t="s">
        <v>124</v>
      </c>
      <c r="CG974" s="4" t="s">
        <v>124</v>
      </c>
      <c r="CH974" s="4" t="s">
        <v>124</v>
      </c>
      <c r="CI974" s="4" t="s">
        <v>124</v>
      </c>
      <c r="CJ974" s="4" t="s">
        <v>124</v>
      </c>
      <c r="CK974" s="4" t="s">
        <v>124</v>
      </c>
      <c r="CL974" s="4" t="s">
        <v>124</v>
      </c>
      <c r="CM974" s="4" t="s">
        <v>124</v>
      </c>
      <c r="CN974" s="4" t="s">
        <v>124</v>
      </c>
      <c r="CO974" s="4" t="s">
        <v>124</v>
      </c>
      <c r="CP974" s="4" t="s">
        <v>124</v>
      </c>
      <c r="CQ974" s="7">
        <v>0.65116300000000005</v>
      </c>
      <c r="CR974" s="7">
        <v>1.032</v>
      </c>
      <c r="CS974" s="7">
        <v>43.410853000000003</v>
      </c>
      <c r="CT974" s="7">
        <v>50</v>
      </c>
      <c r="CU974" s="4" t="s">
        <v>124</v>
      </c>
      <c r="CV974" s="4" t="s">
        <v>124</v>
      </c>
      <c r="CW974" s="4" t="s">
        <v>124</v>
      </c>
      <c r="CX974" s="4" t="s">
        <v>124</v>
      </c>
      <c r="CY974" s="4" t="s">
        <v>124</v>
      </c>
      <c r="CZ974" s="4" t="s">
        <v>124</v>
      </c>
      <c r="DA974" s="7">
        <v>15.314097</v>
      </c>
      <c r="DB974" s="7">
        <v>17.400950000000002</v>
      </c>
      <c r="DC974" s="7">
        <v>16.332519999999999</v>
      </c>
      <c r="DD974" s="4" t="s">
        <v>124</v>
      </c>
      <c r="DE974" s="7">
        <v>0</v>
      </c>
      <c r="DF974" s="6"/>
      <c r="DG974" s="6"/>
      <c r="DH974" s="6"/>
      <c r="DI974" s="6"/>
      <c r="DJ974" s="7">
        <v>0</v>
      </c>
      <c r="DK974" s="7">
        <v>0</v>
      </c>
      <c r="DL974" s="7">
        <v>0</v>
      </c>
      <c r="DM974" s="7">
        <v>0</v>
      </c>
      <c r="DN974" s="7">
        <v>0</v>
      </c>
      <c r="DO974" s="7">
        <v>0</v>
      </c>
      <c r="DP974" s="6"/>
      <c r="DQ974" s="4" t="s">
        <v>125</v>
      </c>
    </row>
    <row r="975" spans="1:121" ht="20" customHeight="1" x14ac:dyDescent="0.15">
      <c r="A975" s="5">
        <v>2018</v>
      </c>
      <c r="B975" s="3" t="s">
        <v>142</v>
      </c>
      <c r="C975" s="4" t="str">
        <f t="shared" si="264"/>
        <v>1510011</v>
      </c>
      <c r="D975" s="4" t="s">
        <v>1121</v>
      </c>
      <c r="E975" s="4" t="str">
        <f>"1511311"</f>
        <v>1511311</v>
      </c>
      <c r="F975" s="4" t="s">
        <v>327</v>
      </c>
      <c r="G975" s="4" t="s">
        <v>338</v>
      </c>
      <c r="H975" s="7">
        <v>5</v>
      </c>
      <c r="I975" s="4" t="s">
        <v>335</v>
      </c>
      <c r="J975" s="4" t="s">
        <v>330</v>
      </c>
      <c r="K975" s="7">
        <v>634.972398</v>
      </c>
      <c r="L975" s="7">
        <v>950</v>
      </c>
      <c r="M975" s="7">
        <v>66.839200000000005</v>
      </c>
      <c r="N975" s="7">
        <v>3</v>
      </c>
      <c r="O975" s="7">
        <v>0</v>
      </c>
      <c r="P975" s="7">
        <v>54.897316000000004</v>
      </c>
      <c r="Q975" s="7">
        <v>36.598210000000002</v>
      </c>
      <c r="R975" s="7">
        <v>50</v>
      </c>
      <c r="S975" s="7">
        <v>54.361065000000004</v>
      </c>
      <c r="T975" s="4" t="s">
        <v>124</v>
      </c>
      <c r="U975" s="7">
        <v>36.24071</v>
      </c>
      <c r="V975" s="7">
        <v>50</v>
      </c>
      <c r="W975" s="7">
        <v>48.378610999999999</v>
      </c>
      <c r="X975" s="7">
        <v>32.252406999999998</v>
      </c>
      <c r="Y975" s="7">
        <v>50</v>
      </c>
      <c r="Z975" s="4" t="s">
        <v>124</v>
      </c>
      <c r="AA975" s="7">
        <v>47.871912999999999</v>
      </c>
      <c r="AB975" s="7">
        <v>31.914608999999999</v>
      </c>
      <c r="AC975" s="7">
        <v>50</v>
      </c>
      <c r="AD975" s="7">
        <v>50.279186000000003</v>
      </c>
      <c r="AE975" s="7">
        <v>33.519457000000003</v>
      </c>
      <c r="AF975" s="7">
        <v>50</v>
      </c>
      <c r="AG975" s="7">
        <v>48.815136000000003</v>
      </c>
      <c r="AH975" s="4" t="s">
        <v>124</v>
      </c>
      <c r="AI975" s="7">
        <v>32.543424000000002</v>
      </c>
      <c r="AJ975" s="7">
        <v>50</v>
      </c>
      <c r="AK975" s="4" t="s">
        <v>124</v>
      </c>
      <c r="AL975" s="4" t="s">
        <v>124</v>
      </c>
      <c r="AM975" s="4" t="s">
        <v>124</v>
      </c>
      <c r="AN975" s="7">
        <v>0.522254</v>
      </c>
      <c r="AO975" s="7">
        <v>52.225445999999998</v>
      </c>
      <c r="AP975" s="7">
        <v>100</v>
      </c>
      <c r="AQ975" s="7">
        <v>0.64455300000000004</v>
      </c>
      <c r="AR975" s="7">
        <v>64.455344999999994</v>
      </c>
      <c r="AS975" s="7">
        <v>100</v>
      </c>
      <c r="AT975" s="7">
        <v>0.52128600000000003</v>
      </c>
      <c r="AU975" s="4" t="s">
        <v>124</v>
      </c>
      <c r="AV975" s="7">
        <v>52.128577</v>
      </c>
      <c r="AW975" s="7">
        <v>100</v>
      </c>
      <c r="AX975" s="7">
        <v>0.63759600000000005</v>
      </c>
      <c r="AY975" s="4" t="s">
        <v>124</v>
      </c>
      <c r="AZ975" s="7">
        <v>63.759630000000001</v>
      </c>
      <c r="BA975" s="7">
        <v>100</v>
      </c>
      <c r="BB975" s="7">
        <v>0.69728500000000004</v>
      </c>
      <c r="BC975" s="7">
        <v>34.864232000000001</v>
      </c>
      <c r="BD975" s="7">
        <v>50</v>
      </c>
      <c r="BE975" s="7">
        <v>0.61560599999999999</v>
      </c>
      <c r="BF975" s="7">
        <v>30.780275</v>
      </c>
      <c r="BG975" s="7">
        <v>50</v>
      </c>
      <c r="BH975" s="7">
        <v>0</v>
      </c>
      <c r="BI975" s="7">
        <v>1</v>
      </c>
      <c r="BJ975" s="7">
        <v>1</v>
      </c>
      <c r="BK975" s="4" t="s">
        <v>124</v>
      </c>
      <c r="BL975" s="7">
        <v>1</v>
      </c>
      <c r="BM975" s="7">
        <v>1</v>
      </c>
      <c r="BN975" s="4" t="s">
        <v>124</v>
      </c>
      <c r="BO975" s="7">
        <v>1</v>
      </c>
      <c r="BP975" s="7">
        <v>1</v>
      </c>
      <c r="BQ975" s="4" t="s">
        <v>124</v>
      </c>
      <c r="BR975" s="7">
        <v>8.7086999999999998E-2</v>
      </c>
      <c r="BS975" s="7">
        <v>42.582583</v>
      </c>
      <c r="BT975" s="7">
        <v>50</v>
      </c>
      <c r="BU975" s="7">
        <v>9.4463000000000005E-2</v>
      </c>
      <c r="BV975" s="7">
        <v>41.107492000000001</v>
      </c>
      <c r="BW975" s="7">
        <v>50</v>
      </c>
      <c r="BX975" s="4" t="s">
        <v>124</v>
      </c>
      <c r="BY975" s="4" t="s">
        <v>124</v>
      </c>
      <c r="BZ975" s="4" t="s">
        <v>124</v>
      </c>
      <c r="CA975" s="4" t="s">
        <v>124</v>
      </c>
      <c r="CB975" s="4" t="s">
        <v>124</v>
      </c>
      <c r="CC975" s="4" t="s">
        <v>124</v>
      </c>
      <c r="CD975" s="4" t="s">
        <v>124</v>
      </c>
      <c r="CE975" s="4" t="s">
        <v>124</v>
      </c>
      <c r="CF975" s="4" t="s">
        <v>124</v>
      </c>
      <c r="CG975" s="4" t="s">
        <v>124</v>
      </c>
      <c r="CH975" s="4" t="s">
        <v>124</v>
      </c>
      <c r="CI975" s="4" t="s">
        <v>124</v>
      </c>
      <c r="CJ975" s="4" t="s">
        <v>124</v>
      </c>
      <c r="CK975" s="4" t="s">
        <v>124</v>
      </c>
      <c r="CL975" s="4" t="s">
        <v>124</v>
      </c>
      <c r="CM975" s="4" t="s">
        <v>124</v>
      </c>
      <c r="CN975" s="4" t="s">
        <v>124</v>
      </c>
      <c r="CO975" s="4" t="s">
        <v>124</v>
      </c>
      <c r="CP975" s="4" t="s">
        <v>124</v>
      </c>
      <c r="CQ975" s="7">
        <v>0.76744199999999996</v>
      </c>
      <c r="CR975" s="7">
        <v>1.0238100000000001</v>
      </c>
      <c r="CS975" s="7">
        <v>50</v>
      </c>
      <c r="CT975" s="7">
        <v>50</v>
      </c>
      <c r="CU975" s="4" t="s">
        <v>124</v>
      </c>
      <c r="CV975" s="4" t="s">
        <v>124</v>
      </c>
      <c r="CW975" s="4" t="s">
        <v>124</v>
      </c>
      <c r="CX975" s="4" t="s">
        <v>124</v>
      </c>
      <c r="CY975" s="4" t="s">
        <v>124</v>
      </c>
      <c r="CZ975" s="4" t="s">
        <v>124</v>
      </c>
      <c r="DA975" s="7">
        <v>15.314097</v>
      </c>
      <c r="DB975" s="7">
        <v>17.400950000000002</v>
      </c>
      <c r="DC975" s="7">
        <v>16.332519999999999</v>
      </c>
      <c r="DD975" s="4" t="s">
        <v>124</v>
      </c>
      <c r="DE975" s="7">
        <v>0</v>
      </c>
      <c r="DF975" s="6"/>
      <c r="DG975" s="6"/>
      <c r="DH975" s="6"/>
      <c r="DI975" s="6"/>
      <c r="DJ975" s="7">
        <v>0</v>
      </c>
      <c r="DK975" s="7">
        <v>0</v>
      </c>
      <c r="DL975" s="7">
        <v>0</v>
      </c>
      <c r="DM975" s="7">
        <v>0</v>
      </c>
      <c r="DN975" s="7">
        <v>0</v>
      </c>
      <c r="DO975" s="7">
        <v>0</v>
      </c>
      <c r="DP975" s="6"/>
      <c r="DQ975" s="4" t="s">
        <v>125</v>
      </c>
    </row>
    <row r="976" spans="1:121" ht="20" customHeight="1" x14ac:dyDescent="0.15">
      <c r="A976" s="5">
        <v>2018</v>
      </c>
      <c r="B976" s="3" t="s">
        <v>142</v>
      </c>
      <c r="C976" s="4" t="str">
        <f t="shared" si="264"/>
        <v>1510011</v>
      </c>
      <c r="D976" s="4" t="s">
        <v>1122</v>
      </c>
      <c r="E976" s="4" t="str">
        <f>"1516411"</f>
        <v>1516411</v>
      </c>
      <c r="F976" s="4" t="s">
        <v>327</v>
      </c>
      <c r="G976" s="7">
        <v>9</v>
      </c>
      <c r="H976" s="7">
        <v>12</v>
      </c>
      <c r="I976" s="4" t="s">
        <v>335</v>
      </c>
      <c r="J976" s="4" t="s">
        <v>330</v>
      </c>
      <c r="K976" s="7">
        <v>855.88757199999998</v>
      </c>
      <c r="L976" s="7">
        <v>1550</v>
      </c>
      <c r="M976" s="7">
        <v>55.218553</v>
      </c>
      <c r="N976" s="7">
        <v>4</v>
      </c>
      <c r="O976" s="7">
        <v>0</v>
      </c>
      <c r="P976" s="7">
        <v>42.430869000000001</v>
      </c>
      <c r="Q976" s="7">
        <v>84.861738000000003</v>
      </c>
      <c r="R976" s="7">
        <v>150</v>
      </c>
      <c r="S976" s="7">
        <v>41.448481000000001</v>
      </c>
      <c r="T976" s="7">
        <v>49.614583000000003</v>
      </c>
      <c r="U976" s="7">
        <v>82.896961000000005</v>
      </c>
      <c r="V976" s="7">
        <v>150</v>
      </c>
      <c r="W976" s="7">
        <v>37.087093000000003</v>
      </c>
      <c r="X976" s="7">
        <v>74.174184999999994</v>
      </c>
      <c r="Y976" s="7">
        <v>150</v>
      </c>
      <c r="Z976" s="7">
        <v>43.369791999999997</v>
      </c>
      <c r="AA976" s="7">
        <v>36.227919999999997</v>
      </c>
      <c r="AB976" s="7">
        <v>72.455839999999995</v>
      </c>
      <c r="AC976" s="7">
        <v>150</v>
      </c>
      <c r="AD976" s="7">
        <v>44.765270999999998</v>
      </c>
      <c r="AE976" s="7">
        <v>59.687029000000003</v>
      </c>
      <c r="AF976" s="7">
        <v>100</v>
      </c>
      <c r="AG976" s="7">
        <v>44.265529000000001</v>
      </c>
      <c r="AH976" s="7">
        <v>48.384614999999997</v>
      </c>
      <c r="AI976" s="7">
        <v>59.020705999999997</v>
      </c>
      <c r="AJ976" s="7">
        <v>100</v>
      </c>
      <c r="AK976" s="7">
        <v>8.16</v>
      </c>
      <c r="AL976" s="7">
        <v>7.14</v>
      </c>
      <c r="AM976" s="7">
        <v>4.1100000000000003</v>
      </c>
      <c r="AN976" s="4" t="s">
        <v>124</v>
      </c>
      <c r="AO976" s="4" t="s">
        <v>124</v>
      </c>
      <c r="AP976" s="4" t="s">
        <v>124</v>
      </c>
      <c r="AQ976" s="4" t="s">
        <v>124</v>
      </c>
      <c r="AR976" s="4" t="s">
        <v>124</v>
      </c>
      <c r="AS976" s="4" t="s">
        <v>124</v>
      </c>
      <c r="AT976" s="4" t="s">
        <v>124</v>
      </c>
      <c r="AU976" s="4" t="s">
        <v>124</v>
      </c>
      <c r="AV976" s="4" t="s">
        <v>124</v>
      </c>
      <c r="AW976" s="4" t="s">
        <v>124</v>
      </c>
      <c r="AX976" s="4" t="s">
        <v>124</v>
      </c>
      <c r="AY976" s="4" t="s">
        <v>124</v>
      </c>
      <c r="AZ976" s="4" t="s">
        <v>124</v>
      </c>
      <c r="BA976" s="4" t="s">
        <v>124</v>
      </c>
      <c r="BB976" s="7">
        <v>0.30154399999999998</v>
      </c>
      <c r="BC976" s="7">
        <v>15.077201000000001</v>
      </c>
      <c r="BD976" s="7">
        <v>50</v>
      </c>
      <c r="BE976" s="7">
        <v>0.36302699999999999</v>
      </c>
      <c r="BF976" s="7">
        <v>18.151329</v>
      </c>
      <c r="BG976" s="7">
        <v>50</v>
      </c>
      <c r="BH976" s="7">
        <v>1</v>
      </c>
      <c r="BI976" s="7">
        <v>0.94684400000000002</v>
      </c>
      <c r="BJ976" s="7">
        <v>0.94656499999999999</v>
      </c>
      <c r="BK976" s="7">
        <v>0.94871799999999995</v>
      </c>
      <c r="BL976" s="7">
        <v>0.94684400000000002</v>
      </c>
      <c r="BM976" s="7">
        <v>0.94656499999999999</v>
      </c>
      <c r="BN976" s="7">
        <v>0.94871799999999995</v>
      </c>
      <c r="BO976" s="7">
        <v>0.96026500000000004</v>
      </c>
      <c r="BP976" s="7">
        <v>0.96183200000000002</v>
      </c>
      <c r="BQ976" s="7">
        <v>0.95</v>
      </c>
      <c r="BR976" s="7">
        <v>0.26929700000000001</v>
      </c>
      <c r="BS976" s="7">
        <v>6.1406520000000002</v>
      </c>
      <c r="BT976" s="7">
        <v>50</v>
      </c>
      <c r="BU976" s="7">
        <v>0.28292699999999998</v>
      </c>
      <c r="BV976" s="7">
        <v>3.4146339999999999</v>
      </c>
      <c r="BW976" s="7">
        <v>50</v>
      </c>
      <c r="BX976" s="7">
        <v>0.59233400000000003</v>
      </c>
      <c r="BY976" s="7">
        <v>39.488965999999998</v>
      </c>
      <c r="BZ976" s="7">
        <v>50</v>
      </c>
      <c r="CA976" s="7">
        <v>0.130662</v>
      </c>
      <c r="CB976" s="7">
        <v>8.710801</v>
      </c>
      <c r="CC976" s="7">
        <v>50</v>
      </c>
      <c r="CD976" s="7">
        <v>0.79872200000000004</v>
      </c>
      <c r="CE976" s="7">
        <v>42.485214999999997</v>
      </c>
      <c r="CF976" s="7">
        <v>50</v>
      </c>
      <c r="CG976" s="7">
        <v>0.82267400000000002</v>
      </c>
      <c r="CH976" s="7">
        <v>87.518555000000006</v>
      </c>
      <c r="CI976" s="7">
        <v>100</v>
      </c>
      <c r="CJ976" s="7">
        <v>1</v>
      </c>
      <c r="CK976" s="7">
        <v>0.75483900000000004</v>
      </c>
      <c r="CL976" s="7">
        <v>80.301990000000004</v>
      </c>
      <c r="CM976" s="7">
        <v>100</v>
      </c>
      <c r="CN976" s="7">
        <v>0.62626300000000001</v>
      </c>
      <c r="CO976" s="7">
        <v>83.501683999999997</v>
      </c>
      <c r="CP976" s="7">
        <v>100</v>
      </c>
      <c r="CQ976" s="7">
        <v>0.19693099999999999</v>
      </c>
      <c r="CR976" s="7">
        <v>1.3964289999999999</v>
      </c>
      <c r="CS976" s="7">
        <v>13.128729999999999</v>
      </c>
      <c r="CT976" s="7">
        <v>50</v>
      </c>
      <c r="CU976" s="7">
        <v>0.298456</v>
      </c>
      <c r="CV976" s="7">
        <v>24.871355000000001</v>
      </c>
      <c r="CW976" s="7">
        <v>50</v>
      </c>
      <c r="CX976" s="7">
        <v>0.75483900000000004</v>
      </c>
      <c r="CY976" s="7">
        <v>0.88679200000000002</v>
      </c>
      <c r="CZ976" s="7">
        <v>0.13195399999999999</v>
      </c>
      <c r="DA976" s="7">
        <v>15.314097</v>
      </c>
      <c r="DB976" s="7">
        <v>17.400950000000002</v>
      </c>
      <c r="DC976" s="7">
        <v>16.332519999999999</v>
      </c>
      <c r="DD976" s="7">
        <v>7.9891730000000001</v>
      </c>
      <c r="DE976" s="7">
        <v>1</v>
      </c>
      <c r="DF976" s="4" t="s">
        <v>384</v>
      </c>
      <c r="DG976" s="4" t="s">
        <v>385</v>
      </c>
      <c r="DH976" s="6"/>
      <c r="DI976" s="6"/>
      <c r="DJ976" s="7">
        <v>0</v>
      </c>
      <c r="DK976" s="7">
        <v>0</v>
      </c>
      <c r="DL976" s="7">
        <v>0</v>
      </c>
      <c r="DM976" s="7">
        <v>0</v>
      </c>
      <c r="DN976" s="7">
        <v>0</v>
      </c>
      <c r="DO976" s="7">
        <v>0</v>
      </c>
      <c r="DP976" s="6"/>
      <c r="DQ976" s="4" t="s">
        <v>125</v>
      </c>
    </row>
    <row r="977" spans="1:121" ht="20" customHeight="1" x14ac:dyDescent="0.15">
      <c r="A977" s="5">
        <v>2018</v>
      </c>
      <c r="B977" s="3" t="s">
        <v>142</v>
      </c>
      <c r="C977" s="4" t="str">
        <f t="shared" si="264"/>
        <v>1510011</v>
      </c>
      <c r="D977" s="4" t="s">
        <v>1123</v>
      </c>
      <c r="E977" s="4" t="str">
        <f>"1513111"</f>
        <v>1513111</v>
      </c>
      <c r="F977" s="4" t="s">
        <v>327</v>
      </c>
      <c r="G977" s="4" t="s">
        <v>328</v>
      </c>
      <c r="H977" s="7">
        <v>5</v>
      </c>
      <c r="I977" s="4" t="s">
        <v>335</v>
      </c>
      <c r="J977" s="4" t="s">
        <v>330</v>
      </c>
      <c r="K977" s="7">
        <v>737.26988900000003</v>
      </c>
      <c r="L977" s="7">
        <v>950</v>
      </c>
      <c r="M977" s="7">
        <v>77.607356999999993</v>
      </c>
      <c r="N977" s="7">
        <v>2</v>
      </c>
      <c r="O977" s="7">
        <v>0</v>
      </c>
      <c r="P977" s="7">
        <v>72.593073000000004</v>
      </c>
      <c r="Q977" s="7">
        <v>48.395381999999998</v>
      </c>
      <c r="R977" s="7">
        <v>50</v>
      </c>
      <c r="S977" s="7">
        <v>69.111524000000003</v>
      </c>
      <c r="T977" s="7">
        <v>75</v>
      </c>
      <c r="U977" s="7">
        <v>46.074350000000003</v>
      </c>
      <c r="V977" s="7">
        <v>50</v>
      </c>
      <c r="W977" s="7">
        <v>66.603617</v>
      </c>
      <c r="X977" s="7">
        <v>44.402411000000001</v>
      </c>
      <c r="Y977" s="7">
        <v>50</v>
      </c>
      <c r="Z977" s="7">
        <v>74.165049999999994</v>
      </c>
      <c r="AA977" s="7">
        <v>63.363002999999999</v>
      </c>
      <c r="AB977" s="7">
        <v>42.242001999999999</v>
      </c>
      <c r="AC977" s="7">
        <v>50</v>
      </c>
      <c r="AD977" s="7">
        <v>65.761669999999995</v>
      </c>
      <c r="AE977" s="7">
        <v>43.841113</v>
      </c>
      <c r="AF977" s="7">
        <v>50</v>
      </c>
      <c r="AG977" s="7">
        <v>62.788172000000003</v>
      </c>
      <c r="AH977" s="7">
        <v>72.898065000000003</v>
      </c>
      <c r="AI977" s="7">
        <v>41.858781</v>
      </c>
      <c r="AJ977" s="7">
        <v>50</v>
      </c>
      <c r="AK977" s="7">
        <v>5.88</v>
      </c>
      <c r="AL977" s="7">
        <v>10.8</v>
      </c>
      <c r="AM977" s="7">
        <v>10.1</v>
      </c>
      <c r="AN977" s="7">
        <v>0.63780000000000003</v>
      </c>
      <c r="AO977" s="7">
        <v>63.779957000000003</v>
      </c>
      <c r="AP977" s="7">
        <v>100</v>
      </c>
      <c r="AQ977" s="7">
        <v>0.70865400000000001</v>
      </c>
      <c r="AR977" s="7">
        <v>70.865384000000006</v>
      </c>
      <c r="AS977" s="7">
        <v>100</v>
      </c>
      <c r="AT977" s="7">
        <v>0.59197100000000002</v>
      </c>
      <c r="AU977" s="7">
        <v>0.74778800000000001</v>
      </c>
      <c r="AV977" s="7">
        <v>59.197124000000002</v>
      </c>
      <c r="AW977" s="7">
        <v>100</v>
      </c>
      <c r="AX977" s="7">
        <v>0.69195200000000001</v>
      </c>
      <c r="AY977" s="7">
        <v>0.74873900000000004</v>
      </c>
      <c r="AZ977" s="7">
        <v>69.195154000000002</v>
      </c>
      <c r="BA977" s="7">
        <v>100</v>
      </c>
      <c r="BB977" s="7">
        <v>0.71557899999999997</v>
      </c>
      <c r="BC977" s="7">
        <v>35.778948</v>
      </c>
      <c r="BD977" s="7">
        <v>50</v>
      </c>
      <c r="BE977" s="7">
        <v>0.432786</v>
      </c>
      <c r="BF977" s="7">
        <v>21.639282999999999</v>
      </c>
      <c r="BG977" s="7">
        <v>50</v>
      </c>
      <c r="BH977" s="7">
        <v>0</v>
      </c>
      <c r="BI977" s="7">
        <v>1</v>
      </c>
      <c r="BJ977" s="7">
        <v>1</v>
      </c>
      <c r="BK977" s="7">
        <v>1</v>
      </c>
      <c r="BL977" s="7">
        <v>1</v>
      </c>
      <c r="BM977" s="7">
        <v>1</v>
      </c>
      <c r="BN977" s="7">
        <v>1</v>
      </c>
      <c r="BO977" s="7">
        <v>1</v>
      </c>
      <c r="BP977" s="7">
        <v>1</v>
      </c>
      <c r="BQ977" s="7">
        <v>1</v>
      </c>
      <c r="BR977" s="7">
        <v>3.5362999999999999E-2</v>
      </c>
      <c r="BS977" s="7">
        <v>50</v>
      </c>
      <c r="BT977" s="7">
        <v>50</v>
      </c>
      <c r="BU977" s="7">
        <v>4.2682999999999999E-2</v>
      </c>
      <c r="BV977" s="7">
        <v>50</v>
      </c>
      <c r="BW977" s="7">
        <v>50</v>
      </c>
      <c r="BX977" s="4" t="s">
        <v>124</v>
      </c>
      <c r="BY977" s="4" t="s">
        <v>124</v>
      </c>
      <c r="BZ977" s="4" t="s">
        <v>124</v>
      </c>
      <c r="CA977" s="4" t="s">
        <v>124</v>
      </c>
      <c r="CB977" s="4" t="s">
        <v>124</v>
      </c>
      <c r="CC977" s="4" t="s">
        <v>124</v>
      </c>
      <c r="CD977" s="4" t="s">
        <v>124</v>
      </c>
      <c r="CE977" s="4" t="s">
        <v>124</v>
      </c>
      <c r="CF977" s="4" t="s">
        <v>124</v>
      </c>
      <c r="CG977" s="4" t="s">
        <v>124</v>
      </c>
      <c r="CH977" s="4" t="s">
        <v>124</v>
      </c>
      <c r="CI977" s="4" t="s">
        <v>124</v>
      </c>
      <c r="CJ977" s="4" t="s">
        <v>124</v>
      </c>
      <c r="CK977" s="4" t="s">
        <v>124</v>
      </c>
      <c r="CL977" s="4" t="s">
        <v>124</v>
      </c>
      <c r="CM977" s="4" t="s">
        <v>124</v>
      </c>
      <c r="CN977" s="4" t="s">
        <v>124</v>
      </c>
      <c r="CO977" s="4" t="s">
        <v>124</v>
      </c>
      <c r="CP977" s="4" t="s">
        <v>124</v>
      </c>
      <c r="CQ977" s="7">
        <v>0.81609200000000004</v>
      </c>
      <c r="CR977" s="7">
        <v>1.011628</v>
      </c>
      <c r="CS977" s="7">
        <v>50</v>
      </c>
      <c r="CT977" s="7">
        <v>50</v>
      </c>
      <c r="CU977" s="4" t="s">
        <v>124</v>
      </c>
      <c r="CV977" s="4" t="s">
        <v>124</v>
      </c>
      <c r="CW977" s="4" t="s">
        <v>124</v>
      </c>
      <c r="CX977" s="4" t="s">
        <v>124</v>
      </c>
      <c r="CY977" s="4" t="s">
        <v>124</v>
      </c>
      <c r="CZ977" s="4" t="s">
        <v>124</v>
      </c>
      <c r="DA977" s="7">
        <v>15.314097</v>
      </c>
      <c r="DB977" s="7">
        <v>17.400950000000002</v>
      </c>
      <c r="DC977" s="7">
        <v>16.332519999999999</v>
      </c>
      <c r="DD977" s="4" t="s">
        <v>124</v>
      </c>
      <c r="DE977" s="7">
        <v>0</v>
      </c>
      <c r="DF977" s="6"/>
      <c r="DG977" s="6"/>
      <c r="DH977" s="6"/>
      <c r="DI977" s="6"/>
      <c r="DJ977" s="7">
        <v>0</v>
      </c>
      <c r="DK977" s="7">
        <v>0</v>
      </c>
      <c r="DL977" s="7">
        <v>0</v>
      </c>
      <c r="DM977" s="7">
        <v>0</v>
      </c>
      <c r="DN977" s="7">
        <v>0</v>
      </c>
      <c r="DO977" s="7">
        <v>0</v>
      </c>
      <c r="DP977" s="6"/>
      <c r="DQ977" s="4" t="s">
        <v>125</v>
      </c>
    </row>
    <row r="978" spans="1:121" ht="20" customHeight="1" x14ac:dyDescent="0.15">
      <c r="A978" s="5">
        <v>2018</v>
      </c>
      <c r="B978" s="3" t="s">
        <v>142</v>
      </c>
      <c r="C978" s="4" t="str">
        <f t="shared" si="264"/>
        <v>1510011</v>
      </c>
      <c r="D978" s="4" t="s">
        <v>1124</v>
      </c>
      <c r="E978" s="4" t="str">
        <f>"1511111"</f>
        <v>1511111</v>
      </c>
      <c r="F978" s="4" t="s">
        <v>327</v>
      </c>
      <c r="G978" s="4" t="s">
        <v>338</v>
      </c>
      <c r="H978" s="7">
        <v>5</v>
      </c>
      <c r="I978" s="4" t="s">
        <v>335</v>
      </c>
      <c r="J978" s="4" t="s">
        <v>330</v>
      </c>
      <c r="K978" s="7">
        <v>645.00826900000004</v>
      </c>
      <c r="L978" s="7">
        <v>950</v>
      </c>
      <c r="M978" s="7">
        <v>67.895606999999998</v>
      </c>
      <c r="N978" s="7">
        <v>3</v>
      </c>
      <c r="O978" s="7">
        <v>0</v>
      </c>
      <c r="P978" s="7">
        <v>63.219414</v>
      </c>
      <c r="Q978" s="7">
        <v>42.146276</v>
      </c>
      <c r="R978" s="7">
        <v>50</v>
      </c>
      <c r="S978" s="7">
        <v>62.550117999999998</v>
      </c>
      <c r="T978" s="7">
        <v>69.592274000000003</v>
      </c>
      <c r="U978" s="7">
        <v>41.700079000000002</v>
      </c>
      <c r="V978" s="7">
        <v>50</v>
      </c>
      <c r="W978" s="7">
        <v>56.037556000000002</v>
      </c>
      <c r="X978" s="7">
        <v>37.358370999999998</v>
      </c>
      <c r="Y978" s="7">
        <v>50</v>
      </c>
      <c r="Z978" s="7">
        <v>61.042769999999997</v>
      </c>
      <c r="AA978" s="7">
        <v>55.511893999999998</v>
      </c>
      <c r="AB978" s="7">
        <v>37.007930000000002</v>
      </c>
      <c r="AC978" s="7">
        <v>50</v>
      </c>
      <c r="AD978" s="7">
        <v>57.660805000000003</v>
      </c>
      <c r="AE978" s="7">
        <v>38.440536000000002</v>
      </c>
      <c r="AF978" s="7">
        <v>50</v>
      </c>
      <c r="AG978" s="7">
        <v>56.151592000000001</v>
      </c>
      <c r="AH978" s="4" t="s">
        <v>124</v>
      </c>
      <c r="AI978" s="7">
        <v>37.434395000000002</v>
      </c>
      <c r="AJ978" s="7">
        <v>50</v>
      </c>
      <c r="AK978" s="7">
        <v>7.04</v>
      </c>
      <c r="AL978" s="7">
        <v>5.53</v>
      </c>
      <c r="AM978" s="4" t="s">
        <v>124</v>
      </c>
      <c r="AN978" s="7">
        <v>0.60357000000000005</v>
      </c>
      <c r="AO978" s="7">
        <v>60.356991999999998</v>
      </c>
      <c r="AP978" s="7">
        <v>100</v>
      </c>
      <c r="AQ978" s="7">
        <v>0.66447299999999998</v>
      </c>
      <c r="AR978" s="7">
        <v>66.447266999999997</v>
      </c>
      <c r="AS978" s="7">
        <v>100</v>
      </c>
      <c r="AT978" s="7">
        <v>0.59098200000000001</v>
      </c>
      <c r="AU978" s="4" t="s">
        <v>124</v>
      </c>
      <c r="AV978" s="7">
        <v>59.098177</v>
      </c>
      <c r="AW978" s="7">
        <v>100</v>
      </c>
      <c r="AX978" s="7">
        <v>0.66431700000000005</v>
      </c>
      <c r="AY978" s="4" t="s">
        <v>124</v>
      </c>
      <c r="AZ978" s="7">
        <v>66.431685000000002</v>
      </c>
      <c r="BA978" s="7">
        <v>100</v>
      </c>
      <c r="BB978" s="7">
        <v>0.56930499999999995</v>
      </c>
      <c r="BC978" s="7">
        <v>28.465257999999999</v>
      </c>
      <c r="BD978" s="7">
        <v>50</v>
      </c>
      <c r="BE978" s="7">
        <v>0.468727</v>
      </c>
      <c r="BF978" s="7">
        <v>23.436368000000002</v>
      </c>
      <c r="BG978" s="7">
        <v>50</v>
      </c>
      <c r="BH978" s="7">
        <v>0</v>
      </c>
      <c r="BI978" s="7">
        <v>1</v>
      </c>
      <c r="BJ978" s="7">
        <v>1</v>
      </c>
      <c r="BK978" s="7">
        <v>1</v>
      </c>
      <c r="BL978" s="7">
        <v>1</v>
      </c>
      <c r="BM978" s="7">
        <v>1</v>
      </c>
      <c r="BN978" s="7">
        <v>1</v>
      </c>
      <c r="BO978" s="7">
        <v>1</v>
      </c>
      <c r="BP978" s="7">
        <v>1</v>
      </c>
      <c r="BQ978" s="4" t="s">
        <v>124</v>
      </c>
      <c r="BR978" s="7">
        <v>8.5144999999999998E-2</v>
      </c>
      <c r="BS978" s="7">
        <v>42.971013999999997</v>
      </c>
      <c r="BT978" s="7">
        <v>50</v>
      </c>
      <c r="BU978" s="7">
        <v>8.6693999999999993E-2</v>
      </c>
      <c r="BV978" s="7">
        <v>42.661290000000001</v>
      </c>
      <c r="BW978" s="7">
        <v>50</v>
      </c>
      <c r="BX978" s="4" t="s">
        <v>124</v>
      </c>
      <c r="BY978" s="4" t="s">
        <v>124</v>
      </c>
      <c r="BZ978" s="4" t="s">
        <v>124</v>
      </c>
      <c r="CA978" s="4" t="s">
        <v>124</v>
      </c>
      <c r="CB978" s="4" t="s">
        <v>124</v>
      </c>
      <c r="CC978" s="4" t="s">
        <v>124</v>
      </c>
      <c r="CD978" s="4" t="s">
        <v>124</v>
      </c>
      <c r="CE978" s="4" t="s">
        <v>124</v>
      </c>
      <c r="CF978" s="4" t="s">
        <v>124</v>
      </c>
      <c r="CG978" s="4" t="s">
        <v>124</v>
      </c>
      <c r="CH978" s="4" t="s">
        <v>124</v>
      </c>
      <c r="CI978" s="4" t="s">
        <v>124</v>
      </c>
      <c r="CJ978" s="4" t="s">
        <v>124</v>
      </c>
      <c r="CK978" s="4" t="s">
        <v>124</v>
      </c>
      <c r="CL978" s="4" t="s">
        <v>124</v>
      </c>
      <c r="CM978" s="4" t="s">
        <v>124</v>
      </c>
      <c r="CN978" s="4" t="s">
        <v>124</v>
      </c>
      <c r="CO978" s="4" t="s">
        <v>124</v>
      </c>
      <c r="CP978" s="4" t="s">
        <v>124</v>
      </c>
      <c r="CQ978" s="7">
        <v>0.31578899999999999</v>
      </c>
      <c r="CR978" s="7">
        <v>0.96202500000000002</v>
      </c>
      <c r="CS978" s="7">
        <v>21.052631999999999</v>
      </c>
      <c r="CT978" s="7">
        <v>50</v>
      </c>
      <c r="CU978" s="4" t="s">
        <v>124</v>
      </c>
      <c r="CV978" s="4" t="s">
        <v>124</v>
      </c>
      <c r="CW978" s="4" t="s">
        <v>124</v>
      </c>
      <c r="CX978" s="4" t="s">
        <v>124</v>
      </c>
      <c r="CY978" s="4" t="s">
        <v>124</v>
      </c>
      <c r="CZ978" s="4" t="s">
        <v>124</v>
      </c>
      <c r="DA978" s="7">
        <v>15.314097</v>
      </c>
      <c r="DB978" s="7">
        <v>17.400950000000002</v>
      </c>
      <c r="DC978" s="7">
        <v>16.332519999999999</v>
      </c>
      <c r="DD978" s="4" t="s">
        <v>124</v>
      </c>
      <c r="DE978" s="7">
        <v>0</v>
      </c>
      <c r="DF978" s="6"/>
      <c r="DG978" s="6"/>
      <c r="DH978" s="6"/>
      <c r="DI978" s="6"/>
      <c r="DJ978" s="7">
        <v>0</v>
      </c>
      <c r="DK978" s="7">
        <v>0</v>
      </c>
      <c r="DL978" s="7">
        <v>0</v>
      </c>
      <c r="DM978" s="7">
        <v>0</v>
      </c>
      <c r="DN978" s="7">
        <v>0</v>
      </c>
      <c r="DO978" s="7">
        <v>0</v>
      </c>
      <c r="DP978" s="6"/>
      <c r="DQ978" s="4" t="s">
        <v>125</v>
      </c>
    </row>
    <row r="979" spans="1:121" ht="20" customHeight="1" x14ac:dyDescent="0.15">
      <c r="A979" s="5">
        <v>2018</v>
      </c>
      <c r="B979" s="3" t="s">
        <v>142</v>
      </c>
      <c r="C979" s="4" t="str">
        <f t="shared" si="264"/>
        <v>1510011</v>
      </c>
      <c r="D979" s="4" t="s">
        <v>1125</v>
      </c>
      <c r="E979" s="4" t="str">
        <f>"1515111"</f>
        <v>1515111</v>
      </c>
      <c r="F979" s="4" t="s">
        <v>327</v>
      </c>
      <c r="G979" s="7">
        <v>6</v>
      </c>
      <c r="H979" s="7">
        <v>8</v>
      </c>
      <c r="I979" s="4" t="s">
        <v>335</v>
      </c>
      <c r="J979" s="4" t="s">
        <v>330</v>
      </c>
      <c r="K979" s="7">
        <v>598.30960700000003</v>
      </c>
      <c r="L979" s="7">
        <v>1000</v>
      </c>
      <c r="M979" s="7">
        <v>59.830961000000002</v>
      </c>
      <c r="N979" s="7">
        <v>5</v>
      </c>
      <c r="O979" s="7">
        <v>0</v>
      </c>
      <c r="P979" s="7">
        <v>54.502986</v>
      </c>
      <c r="Q979" s="7">
        <v>36.335324</v>
      </c>
      <c r="R979" s="7">
        <v>50</v>
      </c>
      <c r="S979" s="7">
        <v>53.415142000000003</v>
      </c>
      <c r="T979" s="7">
        <v>67.874409</v>
      </c>
      <c r="U979" s="7">
        <v>35.610095000000001</v>
      </c>
      <c r="V979" s="7">
        <v>50</v>
      </c>
      <c r="W979" s="7">
        <v>44.440812999999999</v>
      </c>
      <c r="X979" s="7">
        <v>29.627208</v>
      </c>
      <c r="Y979" s="7">
        <v>50</v>
      </c>
      <c r="Z979" s="7">
        <v>57.596857</v>
      </c>
      <c r="AA979" s="7">
        <v>43.372903999999998</v>
      </c>
      <c r="AB979" s="7">
        <v>28.915268999999999</v>
      </c>
      <c r="AC979" s="7">
        <v>50</v>
      </c>
      <c r="AD979" s="7">
        <v>48.221473000000003</v>
      </c>
      <c r="AE979" s="7">
        <v>32.147649000000001</v>
      </c>
      <c r="AF979" s="7">
        <v>50</v>
      </c>
      <c r="AG979" s="7">
        <v>47.696041000000001</v>
      </c>
      <c r="AH979" s="7">
        <v>56.024138000000001</v>
      </c>
      <c r="AI979" s="7">
        <v>31.797360999999999</v>
      </c>
      <c r="AJ979" s="7">
        <v>50</v>
      </c>
      <c r="AK979" s="7">
        <v>14.45</v>
      </c>
      <c r="AL979" s="7">
        <v>14.22</v>
      </c>
      <c r="AM979" s="7">
        <v>8.32</v>
      </c>
      <c r="AN979" s="7">
        <v>0.56901500000000005</v>
      </c>
      <c r="AO979" s="7">
        <v>56.901463</v>
      </c>
      <c r="AP979" s="7">
        <v>100</v>
      </c>
      <c r="AQ979" s="7">
        <v>0.47280499999999998</v>
      </c>
      <c r="AR979" s="7">
        <v>47.280543000000002</v>
      </c>
      <c r="AS979" s="7">
        <v>100</v>
      </c>
      <c r="AT979" s="7">
        <v>0.56143799999999999</v>
      </c>
      <c r="AU979" s="7">
        <v>0.66819600000000001</v>
      </c>
      <c r="AV979" s="7">
        <v>56.143825999999997</v>
      </c>
      <c r="AW979" s="7">
        <v>100</v>
      </c>
      <c r="AX979" s="7">
        <v>0.46737400000000001</v>
      </c>
      <c r="AY979" s="7">
        <v>0.54399600000000004</v>
      </c>
      <c r="AZ979" s="7">
        <v>46.737350999999997</v>
      </c>
      <c r="BA979" s="7">
        <v>100</v>
      </c>
      <c r="BB979" s="7">
        <v>0.46155600000000002</v>
      </c>
      <c r="BC979" s="7">
        <v>23.077791000000001</v>
      </c>
      <c r="BD979" s="7">
        <v>50</v>
      </c>
      <c r="BE979" s="7">
        <v>0.34542499999999998</v>
      </c>
      <c r="BF979" s="7">
        <v>17.271243999999999</v>
      </c>
      <c r="BG979" s="7">
        <v>50</v>
      </c>
      <c r="BH979" s="7">
        <v>0</v>
      </c>
      <c r="BI979" s="7">
        <v>0.99903699999999995</v>
      </c>
      <c r="BJ979" s="7">
        <v>0.99895400000000001</v>
      </c>
      <c r="BK979" s="7">
        <v>1</v>
      </c>
      <c r="BL979" s="7">
        <v>0.998081</v>
      </c>
      <c r="BM979" s="7">
        <v>0.99791700000000005</v>
      </c>
      <c r="BN979" s="7">
        <v>1</v>
      </c>
      <c r="BO979" s="7">
        <v>1</v>
      </c>
      <c r="BP979" s="7">
        <v>1</v>
      </c>
      <c r="BQ979" s="7">
        <v>1</v>
      </c>
      <c r="BR979" s="7">
        <v>0.127413</v>
      </c>
      <c r="BS979" s="7">
        <v>34.517375000000001</v>
      </c>
      <c r="BT979" s="7">
        <v>50</v>
      </c>
      <c r="BU979" s="7">
        <v>0.13340299999999999</v>
      </c>
      <c r="BV979" s="7">
        <v>33.319327999999999</v>
      </c>
      <c r="BW979" s="7">
        <v>50</v>
      </c>
      <c r="BX979" s="4" t="s">
        <v>124</v>
      </c>
      <c r="BY979" s="4" t="s">
        <v>124</v>
      </c>
      <c r="BZ979" s="4" t="s">
        <v>124</v>
      </c>
      <c r="CA979" s="4" t="s">
        <v>124</v>
      </c>
      <c r="CB979" s="4" t="s">
        <v>124</v>
      </c>
      <c r="CC979" s="4" t="s">
        <v>124</v>
      </c>
      <c r="CD979" s="7">
        <v>0.86510299999999996</v>
      </c>
      <c r="CE979" s="7">
        <v>46.016098</v>
      </c>
      <c r="CF979" s="7">
        <v>50</v>
      </c>
      <c r="CG979" s="4" t="s">
        <v>124</v>
      </c>
      <c r="CH979" s="4" t="s">
        <v>124</v>
      </c>
      <c r="CI979" s="4" t="s">
        <v>124</v>
      </c>
      <c r="CJ979" s="4" t="s">
        <v>124</v>
      </c>
      <c r="CK979" s="4" t="s">
        <v>124</v>
      </c>
      <c r="CL979" s="4" t="s">
        <v>124</v>
      </c>
      <c r="CM979" s="4" t="s">
        <v>124</v>
      </c>
      <c r="CN979" s="4" t="s">
        <v>124</v>
      </c>
      <c r="CO979" s="4" t="s">
        <v>124</v>
      </c>
      <c r="CP979" s="4" t="s">
        <v>124</v>
      </c>
      <c r="CQ979" s="7">
        <v>0.63917500000000005</v>
      </c>
      <c r="CR979" s="7">
        <v>0.98263400000000001</v>
      </c>
      <c r="CS979" s="7">
        <v>42.611683999999997</v>
      </c>
      <c r="CT979" s="7">
        <v>50</v>
      </c>
      <c r="CU979" s="4" t="s">
        <v>124</v>
      </c>
      <c r="CV979" s="4" t="s">
        <v>124</v>
      </c>
      <c r="CW979" s="4" t="s">
        <v>124</v>
      </c>
      <c r="CX979" s="4" t="s">
        <v>124</v>
      </c>
      <c r="CY979" s="4" t="s">
        <v>124</v>
      </c>
      <c r="CZ979" s="4" t="s">
        <v>124</v>
      </c>
      <c r="DA979" s="7">
        <v>15.314097</v>
      </c>
      <c r="DB979" s="7">
        <v>17.400950000000002</v>
      </c>
      <c r="DC979" s="7">
        <v>16.332519999999999</v>
      </c>
      <c r="DD979" s="4" t="s">
        <v>124</v>
      </c>
      <c r="DE979" s="7">
        <v>0</v>
      </c>
      <c r="DF979" s="4" t="s">
        <v>375</v>
      </c>
      <c r="DG979" s="4" t="s">
        <v>376</v>
      </c>
      <c r="DH979" s="6"/>
      <c r="DI979" s="6"/>
      <c r="DJ979" s="7">
        <v>0</v>
      </c>
      <c r="DK979" s="7">
        <v>0</v>
      </c>
      <c r="DL979" s="7">
        <v>0</v>
      </c>
      <c r="DM979" s="7">
        <v>0</v>
      </c>
      <c r="DN979" s="7">
        <v>0</v>
      </c>
      <c r="DO979" s="7">
        <v>0</v>
      </c>
      <c r="DP979" s="6"/>
      <c r="DQ979" s="4" t="s">
        <v>125</v>
      </c>
    </row>
    <row r="980" spans="1:121" ht="20" customHeight="1" x14ac:dyDescent="0.15">
      <c r="A980" s="5">
        <v>2018</v>
      </c>
      <c r="B980" s="3" t="s">
        <v>142</v>
      </c>
      <c r="C980" s="4" t="str">
        <f t="shared" si="264"/>
        <v>1510011</v>
      </c>
      <c r="D980" s="4" t="s">
        <v>1126</v>
      </c>
      <c r="E980" s="4" t="str">
        <f>"1515311"</f>
        <v>1515311</v>
      </c>
      <c r="F980" s="4" t="s">
        <v>327</v>
      </c>
      <c r="G980" s="7">
        <v>6</v>
      </c>
      <c r="H980" s="7">
        <v>8</v>
      </c>
      <c r="I980" s="4" t="s">
        <v>335</v>
      </c>
      <c r="J980" s="4" t="s">
        <v>330</v>
      </c>
      <c r="K980" s="7">
        <v>626.43326200000001</v>
      </c>
      <c r="L980" s="7">
        <v>1000</v>
      </c>
      <c r="M980" s="7">
        <v>62.643326000000002</v>
      </c>
      <c r="N980" s="7">
        <v>5</v>
      </c>
      <c r="O980" s="7">
        <v>0</v>
      </c>
      <c r="P980" s="7">
        <v>54.294471999999999</v>
      </c>
      <c r="Q980" s="7">
        <v>36.196314999999998</v>
      </c>
      <c r="R980" s="7">
        <v>50</v>
      </c>
      <c r="S980" s="7">
        <v>53.534820000000003</v>
      </c>
      <c r="T980" s="7">
        <v>65.038120000000006</v>
      </c>
      <c r="U980" s="7">
        <v>35.689880000000002</v>
      </c>
      <c r="V980" s="7">
        <v>50</v>
      </c>
      <c r="W980" s="7">
        <v>44.405771999999999</v>
      </c>
      <c r="X980" s="7">
        <v>29.603847999999999</v>
      </c>
      <c r="Y980" s="7">
        <v>50</v>
      </c>
      <c r="Z980" s="7">
        <v>53.822608000000002</v>
      </c>
      <c r="AA980" s="7">
        <v>43.738250000000001</v>
      </c>
      <c r="AB980" s="7">
        <v>29.158833000000001</v>
      </c>
      <c r="AC980" s="7">
        <v>50</v>
      </c>
      <c r="AD980" s="7">
        <v>48.646079999999998</v>
      </c>
      <c r="AE980" s="7">
        <v>32.430720000000001</v>
      </c>
      <c r="AF980" s="7">
        <v>50</v>
      </c>
      <c r="AG980" s="7">
        <v>48.565206000000003</v>
      </c>
      <c r="AH980" s="4" t="s">
        <v>124</v>
      </c>
      <c r="AI980" s="7">
        <v>32.376804</v>
      </c>
      <c r="AJ980" s="7">
        <v>50</v>
      </c>
      <c r="AK980" s="7">
        <v>11.5</v>
      </c>
      <c r="AL980" s="7">
        <v>10.08</v>
      </c>
      <c r="AM980" s="4" t="s">
        <v>124</v>
      </c>
      <c r="AN980" s="7">
        <v>0.60660499999999995</v>
      </c>
      <c r="AO980" s="7">
        <v>60.660522</v>
      </c>
      <c r="AP980" s="7">
        <v>100</v>
      </c>
      <c r="AQ980" s="7">
        <v>0.511633</v>
      </c>
      <c r="AR980" s="7">
        <v>51.163338000000003</v>
      </c>
      <c r="AS980" s="7">
        <v>100</v>
      </c>
      <c r="AT980" s="7">
        <v>0.59766900000000001</v>
      </c>
      <c r="AU980" s="7">
        <v>0.73575400000000002</v>
      </c>
      <c r="AV980" s="7">
        <v>59.766933999999999</v>
      </c>
      <c r="AW980" s="7">
        <v>100</v>
      </c>
      <c r="AX980" s="7">
        <v>0.51114800000000005</v>
      </c>
      <c r="AY980" s="7">
        <v>0.51862200000000003</v>
      </c>
      <c r="AZ980" s="7">
        <v>51.114795999999998</v>
      </c>
      <c r="BA980" s="7">
        <v>100</v>
      </c>
      <c r="BB980" s="7">
        <v>0.471557</v>
      </c>
      <c r="BC980" s="7">
        <v>23.577869</v>
      </c>
      <c r="BD980" s="7">
        <v>50</v>
      </c>
      <c r="BE980" s="7">
        <v>0.38371100000000002</v>
      </c>
      <c r="BF980" s="7">
        <v>19.185572000000001</v>
      </c>
      <c r="BG980" s="7">
        <v>50</v>
      </c>
      <c r="BH980" s="7">
        <v>0</v>
      </c>
      <c r="BI980" s="7">
        <v>0.99892000000000003</v>
      </c>
      <c r="BJ980" s="7">
        <v>0.99883900000000003</v>
      </c>
      <c r="BK980" s="7">
        <v>1</v>
      </c>
      <c r="BL980" s="7">
        <v>0.99783500000000003</v>
      </c>
      <c r="BM980" s="7">
        <v>0.997672</v>
      </c>
      <c r="BN980" s="7">
        <v>1</v>
      </c>
      <c r="BO980" s="7">
        <v>0.99688500000000002</v>
      </c>
      <c r="BP980" s="7">
        <v>0.99665599999999999</v>
      </c>
      <c r="BQ980" s="7">
        <v>1</v>
      </c>
      <c r="BR980" s="7">
        <v>9.6320000000000003E-2</v>
      </c>
      <c r="BS980" s="7">
        <v>40.735931000000001</v>
      </c>
      <c r="BT980" s="7">
        <v>50</v>
      </c>
      <c r="BU980" s="7">
        <v>0.101517</v>
      </c>
      <c r="BV980" s="7">
        <v>39.696615999999999</v>
      </c>
      <c r="BW980" s="7">
        <v>50</v>
      </c>
      <c r="BX980" s="4" t="s">
        <v>124</v>
      </c>
      <c r="BY980" s="4" t="s">
        <v>124</v>
      </c>
      <c r="BZ980" s="4" t="s">
        <v>124</v>
      </c>
      <c r="CA980" s="4" t="s">
        <v>124</v>
      </c>
      <c r="CB980" s="4" t="s">
        <v>124</v>
      </c>
      <c r="CC980" s="4" t="s">
        <v>124</v>
      </c>
      <c r="CD980" s="7">
        <v>0.80524300000000004</v>
      </c>
      <c r="CE980" s="7">
        <v>42.832098000000002</v>
      </c>
      <c r="CF980" s="7">
        <v>50</v>
      </c>
      <c r="CG980" s="4" t="s">
        <v>124</v>
      </c>
      <c r="CH980" s="4" t="s">
        <v>124</v>
      </c>
      <c r="CI980" s="4" t="s">
        <v>124</v>
      </c>
      <c r="CJ980" s="4" t="s">
        <v>124</v>
      </c>
      <c r="CK980" s="4" t="s">
        <v>124</v>
      </c>
      <c r="CL980" s="4" t="s">
        <v>124</v>
      </c>
      <c r="CM980" s="4" t="s">
        <v>124</v>
      </c>
      <c r="CN980" s="4" t="s">
        <v>124</v>
      </c>
      <c r="CO980" s="4" t="s">
        <v>124</v>
      </c>
      <c r="CP980" s="4" t="s">
        <v>124</v>
      </c>
      <c r="CQ980" s="7">
        <v>0.63364799999999999</v>
      </c>
      <c r="CR980" s="7">
        <v>1</v>
      </c>
      <c r="CS980" s="7">
        <v>42.243186999999999</v>
      </c>
      <c r="CT980" s="7">
        <v>50</v>
      </c>
      <c r="CU980" s="4" t="s">
        <v>124</v>
      </c>
      <c r="CV980" s="4" t="s">
        <v>124</v>
      </c>
      <c r="CW980" s="4" t="s">
        <v>124</v>
      </c>
      <c r="CX980" s="4" t="s">
        <v>124</v>
      </c>
      <c r="CY980" s="4" t="s">
        <v>124</v>
      </c>
      <c r="CZ980" s="4" t="s">
        <v>124</v>
      </c>
      <c r="DA980" s="7">
        <v>15.314097</v>
      </c>
      <c r="DB980" s="7">
        <v>17.400950000000002</v>
      </c>
      <c r="DC980" s="7">
        <v>16.332519999999999</v>
      </c>
      <c r="DD980" s="4" t="s">
        <v>124</v>
      </c>
      <c r="DE980" s="7">
        <v>0</v>
      </c>
      <c r="DF980" s="4" t="s">
        <v>375</v>
      </c>
      <c r="DG980" s="4" t="s">
        <v>376</v>
      </c>
      <c r="DH980" s="6"/>
      <c r="DI980" s="6"/>
      <c r="DJ980" s="7">
        <v>0</v>
      </c>
      <c r="DK980" s="7">
        <v>0</v>
      </c>
      <c r="DL980" s="7">
        <v>0</v>
      </c>
      <c r="DM980" s="7">
        <v>0</v>
      </c>
      <c r="DN980" s="7">
        <v>0</v>
      </c>
      <c r="DO980" s="7">
        <v>0</v>
      </c>
      <c r="DP980" s="6"/>
      <c r="DQ980" s="4" t="s">
        <v>125</v>
      </c>
    </row>
    <row r="981" spans="1:121" ht="20" customHeight="1" x14ac:dyDescent="0.15">
      <c r="A981" s="5">
        <v>2018</v>
      </c>
      <c r="B981" s="3" t="s">
        <v>142</v>
      </c>
      <c r="C981" s="4" t="str">
        <f t="shared" si="264"/>
        <v>1510011</v>
      </c>
      <c r="D981" s="4" t="s">
        <v>1127</v>
      </c>
      <c r="E981" s="4" t="str">
        <f>"1513411"</f>
        <v>1513411</v>
      </c>
      <c r="F981" s="4" t="s">
        <v>327</v>
      </c>
      <c r="G981" s="4" t="s">
        <v>328</v>
      </c>
      <c r="H981" s="7">
        <v>8</v>
      </c>
      <c r="I981" s="4" t="s">
        <v>335</v>
      </c>
      <c r="J981" s="4" t="s">
        <v>330</v>
      </c>
      <c r="K981" s="7">
        <v>681.49949800000002</v>
      </c>
      <c r="L981" s="7">
        <v>1000</v>
      </c>
      <c r="M981" s="7">
        <v>68.149950000000004</v>
      </c>
      <c r="N981" s="7">
        <v>3</v>
      </c>
      <c r="O981" s="7">
        <v>0</v>
      </c>
      <c r="P981" s="7">
        <v>59.380139999999997</v>
      </c>
      <c r="Q981" s="7">
        <v>39.586759999999998</v>
      </c>
      <c r="R981" s="7">
        <v>50</v>
      </c>
      <c r="S981" s="7">
        <v>59.348970000000001</v>
      </c>
      <c r="T981" s="4" t="s">
        <v>124</v>
      </c>
      <c r="U981" s="7">
        <v>39.565980000000003</v>
      </c>
      <c r="V981" s="7">
        <v>50</v>
      </c>
      <c r="W981" s="7">
        <v>53.396988999999998</v>
      </c>
      <c r="X981" s="7">
        <v>35.597991999999998</v>
      </c>
      <c r="Y981" s="7">
        <v>50</v>
      </c>
      <c r="Z981" s="4" t="s">
        <v>124</v>
      </c>
      <c r="AA981" s="7">
        <v>53.350439000000001</v>
      </c>
      <c r="AB981" s="7">
        <v>35.566958999999997</v>
      </c>
      <c r="AC981" s="7">
        <v>50</v>
      </c>
      <c r="AD981" s="7">
        <v>60.284585</v>
      </c>
      <c r="AE981" s="7">
        <v>40.189723000000001</v>
      </c>
      <c r="AF981" s="7">
        <v>50</v>
      </c>
      <c r="AG981" s="7">
        <v>60.319643999999997</v>
      </c>
      <c r="AH981" s="4" t="s">
        <v>124</v>
      </c>
      <c r="AI981" s="7">
        <v>40.213096</v>
      </c>
      <c r="AJ981" s="7">
        <v>50</v>
      </c>
      <c r="AK981" s="4" t="s">
        <v>124</v>
      </c>
      <c r="AL981" s="4" t="s">
        <v>124</v>
      </c>
      <c r="AM981" s="4" t="s">
        <v>124</v>
      </c>
      <c r="AN981" s="7">
        <v>0.58258299999999996</v>
      </c>
      <c r="AO981" s="7">
        <v>58.258311999999997</v>
      </c>
      <c r="AP981" s="7">
        <v>100</v>
      </c>
      <c r="AQ981" s="7">
        <v>0.57916000000000001</v>
      </c>
      <c r="AR981" s="7">
        <v>57.916006000000003</v>
      </c>
      <c r="AS981" s="7">
        <v>100</v>
      </c>
      <c r="AT981" s="7">
        <v>0.58045999999999998</v>
      </c>
      <c r="AU981" s="4" t="s">
        <v>124</v>
      </c>
      <c r="AV981" s="7">
        <v>58.045988000000001</v>
      </c>
      <c r="AW981" s="7">
        <v>100</v>
      </c>
      <c r="AX981" s="7">
        <v>0.58213899999999996</v>
      </c>
      <c r="AY981" s="4" t="s">
        <v>124</v>
      </c>
      <c r="AZ981" s="7">
        <v>58.213894000000003</v>
      </c>
      <c r="BA981" s="7">
        <v>100</v>
      </c>
      <c r="BB981" s="7">
        <v>0.48838100000000001</v>
      </c>
      <c r="BC981" s="7">
        <v>24.419027</v>
      </c>
      <c r="BD981" s="7">
        <v>50</v>
      </c>
      <c r="BE981" s="7">
        <v>0.36785800000000002</v>
      </c>
      <c r="BF981" s="7">
        <v>18.392883999999999</v>
      </c>
      <c r="BG981" s="7">
        <v>50</v>
      </c>
      <c r="BH981" s="7">
        <v>0</v>
      </c>
      <c r="BI981" s="7">
        <v>1</v>
      </c>
      <c r="BJ981" s="7">
        <v>1</v>
      </c>
      <c r="BK981" s="4" t="s">
        <v>124</v>
      </c>
      <c r="BL981" s="7">
        <v>1</v>
      </c>
      <c r="BM981" s="7">
        <v>1</v>
      </c>
      <c r="BN981" s="4" t="s">
        <v>124</v>
      </c>
      <c r="BO981" s="7">
        <v>1</v>
      </c>
      <c r="BP981" s="7">
        <v>1</v>
      </c>
      <c r="BQ981" s="4" t="s">
        <v>124</v>
      </c>
      <c r="BR981" s="7">
        <v>7.0294999999999996E-2</v>
      </c>
      <c r="BS981" s="7">
        <v>45.941043000000001</v>
      </c>
      <c r="BT981" s="7">
        <v>50</v>
      </c>
      <c r="BU981" s="7">
        <v>6.6350999999999993E-2</v>
      </c>
      <c r="BV981" s="7">
        <v>46.729858</v>
      </c>
      <c r="BW981" s="7">
        <v>50</v>
      </c>
      <c r="BX981" s="4" t="s">
        <v>124</v>
      </c>
      <c r="BY981" s="4" t="s">
        <v>124</v>
      </c>
      <c r="BZ981" s="4" t="s">
        <v>124</v>
      </c>
      <c r="CA981" s="4" t="s">
        <v>124</v>
      </c>
      <c r="CB981" s="4" t="s">
        <v>124</v>
      </c>
      <c r="CC981" s="4" t="s">
        <v>124</v>
      </c>
      <c r="CD981" s="7">
        <v>0.69767400000000002</v>
      </c>
      <c r="CE981" s="7">
        <v>37.110340999999998</v>
      </c>
      <c r="CF981" s="7">
        <v>50</v>
      </c>
      <c r="CG981" s="4" t="s">
        <v>124</v>
      </c>
      <c r="CH981" s="4" t="s">
        <v>124</v>
      </c>
      <c r="CI981" s="4" t="s">
        <v>124</v>
      </c>
      <c r="CJ981" s="4" t="s">
        <v>124</v>
      </c>
      <c r="CK981" s="4" t="s">
        <v>124</v>
      </c>
      <c r="CL981" s="4" t="s">
        <v>124</v>
      </c>
      <c r="CM981" s="4" t="s">
        <v>124</v>
      </c>
      <c r="CN981" s="4" t="s">
        <v>124</v>
      </c>
      <c r="CO981" s="4" t="s">
        <v>124</v>
      </c>
      <c r="CP981" s="4" t="s">
        <v>124</v>
      </c>
      <c r="CQ981" s="7">
        <v>0.68627499999999997</v>
      </c>
      <c r="CR981" s="7">
        <v>1.02</v>
      </c>
      <c r="CS981" s="7">
        <v>45.751634000000003</v>
      </c>
      <c r="CT981" s="7">
        <v>50</v>
      </c>
      <c r="CU981" s="4" t="s">
        <v>124</v>
      </c>
      <c r="CV981" s="4" t="s">
        <v>124</v>
      </c>
      <c r="CW981" s="4" t="s">
        <v>124</v>
      </c>
      <c r="CX981" s="4" t="s">
        <v>124</v>
      </c>
      <c r="CY981" s="4" t="s">
        <v>124</v>
      </c>
      <c r="CZ981" s="4" t="s">
        <v>124</v>
      </c>
      <c r="DA981" s="7">
        <v>15.314097</v>
      </c>
      <c r="DB981" s="7">
        <v>17.400950000000002</v>
      </c>
      <c r="DC981" s="7">
        <v>16.332519999999999</v>
      </c>
      <c r="DD981" s="4" t="s">
        <v>124</v>
      </c>
      <c r="DE981" s="7">
        <v>0</v>
      </c>
      <c r="DF981" s="6"/>
      <c r="DG981" s="6"/>
      <c r="DH981" s="6"/>
      <c r="DI981" s="6"/>
      <c r="DJ981" s="7">
        <v>0</v>
      </c>
      <c r="DK981" s="7">
        <v>0</v>
      </c>
      <c r="DL981" s="7">
        <v>0</v>
      </c>
      <c r="DM981" s="7">
        <v>0</v>
      </c>
      <c r="DN981" s="7">
        <v>0</v>
      </c>
      <c r="DO981" s="7">
        <v>0</v>
      </c>
      <c r="DP981" s="6"/>
      <c r="DQ981" s="4" t="s">
        <v>125</v>
      </c>
    </row>
    <row r="982" spans="1:121" ht="20" customHeight="1" x14ac:dyDescent="0.15">
      <c r="A982" s="5">
        <v>2018</v>
      </c>
      <c r="B982" s="3" t="s">
        <v>142</v>
      </c>
      <c r="C982" s="4" t="str">
        <f t="shared" si="264"/>
        <v>1510011</v>
      </c>
      <c r="D982" s="4" t="s">
        <v>1128</v>
      </c>
      <c r="E982" s="4" t="str">
        <f>"1512811"</f>
        <v>1512811</v>
      </c>
      <c r="F982" s="4" t="s">
        <v>327</v>
      </c>
      <c r="G982" s="4" t="s">
        <v>338</v>
      </c>
      <c r="H982" s="7">
        <v>5</v>
      </c>
      <c r="I982" s="4" t="s">
        <v>335</v>
      </c>
      <c r="J982" s="4" t="s">
        <v>330</v>
      </c>
      <c r="K982" s="7">
        <v>679.46989799999994</v>
      </c>
      <c r="L982" s="7">
        <v>950</v>
      </c>
      <c r="M982" s="7">
        <v>71.523146999999994</v>
      </c>
      <c r="N982" s="7">
        <v>2</v>
      </c>
      <c r="O982" s="7">
        <v>0</v>
      </c>
      <c r="P982" s="7">
        <v>64.048524</v>
      </c>
      <c r="Q982" s="7">
        <v>42.699016</v>
      </c>
      <c r="R982" s="7">
        <v>50</v>
      </c>
      <c r="S982" s="7">
        <v>61.785811000000002</v>
      </c>
      <c r="T982" s="4" t="s">
        <v>124</v>
      </c>
      <c r="U982" s="7">
        <v>41.190539999999999</v>
      </c>
      <c r="V982" s="7">
        <v>50</v>
      </c>
      <c r="W982" s="7">
        <v>59.769886</v>
      </c>
      <c r="X982" s="7">
        <v>39.846590999999997</v>
      </c>
      <c r="Y982" s="7">
        <v>50</v>
      </c>
      <c r="Z982" s="4" t="s">
        <v>124</v>
      </c>
      <c r="AA982" s="7">
        <v>57.417766</v>
      </c>
      <c r="AB982" s="7">
        <v>38.278509999999997</v>
      </c>
      <c r="AC982" s="7">
        <v>50</v>
      </c>
      <c r="AD982" s="7">
        <v>60.811010000000003</v>
      </c>
      <c r="AE982" s="7">
        <v>40.540672999999998</v>
      </c>
      <c r="AF982" s="7">
        <v>50</v>
      </c>
      <c r="AG982" s="7">
        <v>58.569479000000001</v>
      </c>
      <c r="AH982" s="4" t="s">
        <v>124</v>
      </c>
      <c r="AI982" s="7">
        <v>39.046318999999997</v>
      </c>
      <c r="AJ982" s="7">
        <v>50</v>
      </c>
      <c r="AK982" s="4" t="s">
        <v>124</v>
      </c>
      <c r="AL982" s="4" t="s">
        <v>124</v>
      </c>
      <c r="AM982" s="4" t="s">
        <v>124</v>
      </c>
      <c r="AN982" s="7">
        <v>0.63420600000000005</v>
      </c>
      <c r="AO982" s="7">
        <v>63.420594999999999</v>
      </c>
      <c r="AP982" s="7">
        <v>100</v>
      </c>
      <c r="AQ982" s="7">
        <v>0.57540899999999995</v>
      </c>
      <c r="AR982" s="7">
        <v>57.540900000000001</v>
      </c>
      <c r="AS982" s="7">
        <v>100</v>
      </c>
      <c r="AT982" s="7">
        <v>0.58618599999999998</v>
      </c>
      <c r="AU982" s="4" t="s">
        <v>124</v>
      </c>
      <c r="AV982" s="7">
        <v>58.618575</v>
      </c>
      <c r="AW982" s="7">
        <v>100</v>
      </c>
      <c r="AX982" s="7">
        <v>0.56960200000000005</v>
      </c>
      <c r="AY982" s="4" t="s">
        <v>124</v>
      </c>
      <c r="AZ982" s="7">
        <v>56.960183999999998</v>
      </c>
      <c r="BA982" s="7">
        <v>100</v>
      </c>
      <c r="BB982" s="7">
        <v>0.56323900000000005</v>
      </c>
      <c r="BC982" s="7">
        <v>28.161960000000001</v>
      </c>
      <c r="BD982" s="7">
        <v>50</v>
      </c>
      <c r="BE982" s="7">
        <v>0.46332099999999998</v>
      </c>
      <c r="BF982" s="7">
        <v>23.166034</v>
      </c>
      <c r="BG982" s="7">
        <v>50</v>
      </c>
      <c r="BH982" s="7">
        <v>0</v>
      </c>
      <c r="BI982" s="7">
        <v>1</v>
      </c>
      <c r="BJ982" s="7">
        <v>1</v>
      </c>
      <c r="BK982" s="4" t="s">
        <v>124</v>
      </c>
      <c r="BL982" s="7">
        <v>1</v>
      </c>
      <c r="BM982" s="7">
        <v>1</v>
      </c>
      <c r="BN982" s="4" t="s">
        <v>124</v>
      </c>
      <c r="BO982" s="7">
        <v>1</v>
      </c>
      <c r="BP982" s="7">
        <v>1</v>
      </c>
      <c r="BQ982" s="4" t="s">
        <v>124</v>
      </c>
      <c r="BR982" s="7">
        <v>4.5455000000000002E-2</v>
      </c>
      <c r="BS982" s="7">
        <v>50</v>
      </c>
      <c r="BT982" s="7">
        <v>50</v>
      </c>
      <c r="BU982" s="7">
        <v>4.8035000000000001E-2</v>
      </c>
      <c r="BV982" s="7">
        <v>50</v>
      </c>
      <c r="BW982" s="7">
        <v>50</v>
      </c>
      <c r="BX982" s="4" t="s">
        <v>124</v>
      </c>
      <c r="BY982" s="4" t="s">
        <v>124</v>
      </c>
      <c r="BZ982" s="4" t="s">
        <v>124</v>
      </c>
      <c r="CA982" s="4" t="s">
        <v>124</v>
      </c>
      <c r="CB982" s="4" t="s">
        <v>124</v>
      </c>
      <c r="CC982" s="4" t="s">
        <v>124</v>
      </c>
      <c r="CD982" s="4" t="s">
        <v>124</v>
      </c>
      <c r="CE982" s="4" t="s">
        <v>124</v>
      </c>
      <c r="CF982" s="4" t="s">
        <v>124</v>
      </c>
      <c r="CG982" s="4" t="s">
        <v>124</v>
      </c>
      <c r="CH982" s="4" t="s">
        <v>124</v>
      </c>
      <c r="CI982" s="4" t="s">
        <v>124</v>
      </c>
      <c r="CJ982" s="4" t="s">
        <v>124</v>
      </c>
      <c r="CK982" s="4" t="s">
        <v>124</v>
      </c>
      <c r="CL982" s="4" t="s">
        <v>124</v>
      </c>
      <c r="CM982" s="4" t="s">
        <v>124</v>
      </c>
      <c r="CN982" s="4" t="s">
        <v>124</v>
      </c>
      <c r="CO982" s="4" t="s">
        <v>124</v>
      </c>
      <c r="CP982" s="4" t="s">
        <v>124</v>
      </c>
      <c r="CQ982" s="7">
        <v>0.81818199999999996</v>
      </c>
      <c r="CR982" s="7">
        <v>0.97777800000000004</v>
      </c>
      <c r="CS982" s="7">
        <v>50</v>
      </c>
      <c r="CT982" s="7">
        <v>50</v>
      </c>
      <c r="CU982" s="4" t="s">
        <v>124</v>
      </c>
      <c r="CV982" s="4" t="s">
        <v>124</v>
      </c>
      <c r="CW982" s="4" t="s">
        <v>124</v>
      </c>
      <c r="CX982" s="4" t="s">
        <v>124</v>
      </c>
      <c r="CY982" s="4" t="s">
        <v>124</v>
      </c>
      <c r="CZ982" s="4" t="s">
        <v>124</v>
      </c>
      <c r="DA982" s="7">
        <v>15.314097</v>
      </c>
      <c r="DB982" s="7">
        <v>17.400950000000002</v>
      </c>
      <c r="DC982" s="7">
        <v>16.332519999999999</v>
      </c>
      <c r="DD982" s="4" t="s">
        <v>124</v>
      </c>
      <c r="DE982" s="7">
        <v>0</v>
      </c>
      <c r="DF982" s="6"/>
      <c r="DG982" s="6"/>
      <c r="DH982" s="6"/>
      <c r="DI982" s="6"/>
      <c r="DJ982" s="7">
        <v>0</v>
      </c>
      <c r="DK982" s="7">
        <v>0</v>
      </c>
      <c r="DL982" s="7">
        <v>0</v>
      </c>
      <c r="DM982" s="7">
        <v>0</v>
      </c>
      <c r="DN982" s="7">
        <v>0</v>
      </c>
      <c r="DO982" s="7">
        <v>0</v>
      </c>
      <c r="DP982" s="6"/>
      <c r="DQ982" s="4" t="s">
        <v>125</v>
      </c>
    </row>
    <row r="983" spans="1:121" ht="20" customHeight="1" x14ac:dyDescent="0.15">
      <c r="A983" s="5">
        <v>2018</v>
      </c>
      <c r="B983" s="3" t="s">
        <v>142</v>
      </c>
      <c r="C983" s="4" t="str">
        <f t="shared" si="264"/>
        <v>1510011</v>
      </c>
      <c r="D983" s="4" t="s">
        <v>1129</v>
      </c>
      <c r="E983" s="4" t="str">
        <f>"1513311"</f>
        <v>1513311</v>
      </c>
      <c r="F983" s="4" t="s">
        <v>327</v>
      </c>
      <c r="G983" s="4" t="s">
        <v>328</v>
      </c>
      <c r="H983" s="7">
        <v>5</v>
      </c>
      <c r="I983" s="4" t="s">
        <v>335</v>
      </c>
      <c r="J983" s="4" t="s">
        <v>330</v>
      </c>
      <c r="K983" s="7">
        <v>729.13510399999996</v>
      </c>
      <c r="L983" s="7">
        <v>850</v>
      </c>
      <c r="M983" s="7">
        <v>85.780600000000007</v>
      </c>
      <c r="N983" s="7">
        <v>1</v>
      </c>
      <c r="O983" s="7">
        <v>0</v>
      </c>
      <c r="P983" s="7">
        <v>73.770775</v>
      </c>
      <c r="Q983" s="7">
        <v>49.180517000000002</v>
      </c>
      <c r="R983" s="7">
        <v>50</v>
      </c>
      <c r="S983" s="7">
        <v>70.200232</v>
      </c>
      <c r="T983" s="7">
        <v>75</v>
      </c>
      <c r="U983" s="7">
        <v>46.800154999999997</v>
      </c>
      <c r="V983" s="7">
        <v>50</v>
      </c>
      <c r="W983" s="7">
        <v>69.951949999999997</v>
      </c>
      <c r="X983" s="7">
        <v>46.634633000000001</v>
      </c>
      <c r="Y983" s="7">
        <v>50</v>
      </c>
      <c r="Z983" s="7">
        <v>75</v>
      </c>
      <c r="AA983" s="7">
        <v>65.842881000000006</v>
      </c>
      <c r="AB983" s="7">
        <v>43.895254000000001</v>
      </c>
      <c r="AC983" s="7">
        <v>50</v>
      </c>
      <c r="AD983" s="7">
        <v>71.226478</v>
      </c>
      <c r="AE983" s="7">
        <v>47.484318999999999</v>
      </c>
      <c r="AF983" s="7">
        <v>50</v>
      </c>
      <c r="AG983" s="7">
        <v>67.508065000000002</v>
      </c>
      <c r="AH983" s="7">
        <v>75</v>
      </c>
      <c r="AI983" s="7">
        <v>45.005375999999998</v>
      </c>
      <c r="AJ983" s="7">
        <v>50</v>
      </c>
      <c r="AK983" s="7">
        <v>4.79</v>
      </c>
      <c r="AL983" s="7">
        <v>9.15</v>
      </c>
      <c r="AM983" s="7">
        <v>7.49</v>
      </c>
      <c r="AN983" s="7">
        <v>0.67161700000000002</v>
      </c>
      <c r="AO983" s="7">
        <v>67.161674000000005</v>
      </c>
      <c r="AP983" s="7">
        <v>100</v>
      </c>
      <c r="AQ983" s="7">
        <v>0.83616699999999999</v>
      </c>
      <c r="AR983" s="7">
        <v>83.616731000000001</v>
      </c>
      <c r="AS983" s="7">
        <v>100</v>
      </c>
      <c r="AT983" s="7">
        <v>0.64537599999999995</v>
      </c>
      <c r="AU983" s="7">
        <v>0.71972599999999998</v>
      </c>
      <c r="AV983" s="7">
        <v>64.537557000000007</v>
      </c>
      <c r="AW983" s="7">
        <v>100</v>
      </c>
      <c r="AX983" s="7">
        <v>0.84818899999999997</v>
      </c>
      <c r="AY983" s="7">
        <v>0.81430999999999998</v>
      </c>
      <c r="AZ983" s="7">
        <v>84.818888000000001</v>
      </c>
      <c r="BA983" s="7">
        <v>100</v>
      </c>
      <c r="BB983" s="4" t="s">
        <v>124</v>
      </c>
      <c r="BC983" s="4" t="s">
        <v>124</v>
      </c>
      <c r="BD983" s="4" t="s">
        <v>124</v>
      </c>
      <c r="BE983" s="4" t="s">
        <v>124</v>
      </c>
      <c r="BF983" s="4" t="s">
        <v>124</v>
      </c>
      <c r="BG983" s="4" t="s">
        <v>124</v>
      </c>
      <c r="BH983" s="7">
        <v>0</v>
      </c>
      <c r="BI983" s="7">
        <v>0.99642900000000001</v>
      </c>
      <c r="BJ983" s="7">
        <v>1</v>
      </c>
      <c r="BK983" s="7">
        <v>0.98912999999999995</v>
      </c>
      <c r="BL983" s="7">
        <v>0.99641599999999997</v>
      </c>
      <c r="BM983" s="7">
        <v>1</v>
      </c>
      <c r="BN983" s="7">
        <v>0.98912999999999995</v>
      </c>
      <c r="BO983" s="7">
        <v>1</v>
      </c>
      <c r="BP983" s="7">
        <v>1</v>
      </c>
      <c r="BQ983" s="7">
        <v>1</v>
      </c>
      <c r="BR983" s="7">
        <v>2.214E-2</v>
      </c>
      <c r="BS983" s="7">
        <v>50</v>
      </c>
      <c r="BT983" s="7">
        <v>50</v>
      </c>
      <c r="BU983" s="7">
        <v>3.2000000000000001E-2</v>
      </c>
      <c r="BV983" s="7">
        <v>50</v>
      </c>
      <c r="BW983" s="7">
        <v>50</v>
      </c>
      <c r="BX983" s="4" t="s">
        <v>124</v>
      </c>
      <c r="BY983" s="4" t="s">
        <v>124</v>
      </c>
      <c r="BZ983" s="4" t="s">
        <v>124</v>
      </c>
      <c r="CA983" s="4" t="s">
        <v>124</v>
      </c>
      <c r="CB983" s="4" t="s">
        <v>124</v>
      </c>
      <c r="CC983" s="4" t="s">
        <v>124</v>
      </c>
      <c r="CD983" s="4" t="s">
        <v>124</v>
      </c>
      <c r="CE983" s="4" t="s">
        <v>124</v>
      </c>
      <c r="CF983" s="4" t="s">
        <v>124</v>
      </c>
      <c r="CG983" s="4" t="s">
        <v>124</v>
      </c>
      <c r="CH983" s="4" t="s">
        <v>124</v>
      </c>
      <c r="CI983" s="4" t="s">
        <v>124</v>
      </c>
      <c r="CJ983" s="4" t="s">
        <v>124</v>
      </c>
      <c r="CK983" s="4" t="s">
        <v>124</v>
      </c>
      <c r="CL983" s="4" t="s">
        <v>124</v>
      </c>
      <c r="CM983" s="4" t="s">
        <v>124</v>
      </c>
      <c r="CN983" s="4" t="s">
        <v>124</v>
      </c>
      <c r="CO983" s="4" t="s">
        <v>124</v>
      </c>
      <c r="CP983" s="4" t="s">
        <v>124</v>
      </c>
      <c r="CQ983" s="7">
        <v>0.88421099999999997</v>
      </c>
      <c r="CR983" s="7">
        <v>0.98958299999999999</v>
      </c>
      <c r="CS983" s="7">
        <v>50</v>
      </c>
      <c r="CT983" s="7">
        <v>50</v>
      </c>
      <c r="CU983" s="4" t="s">
        <v>124</v>
      </c>
      <c r="CV983" s="4" t="s">
        <v>124</v>
      </c>
      <c r="CW983" s="4" t="s">
        <v>124</v>
      </c>
      <c r="CX983" s="4" t="s">
        <v>124</v>
      </c>
      <c r="CY983" s="4" t="s">
        <v>124</v>
      </c>
      <c r="CZ983" s="4" t="s">
        <v>124</v>
      </c>
      <c r="DA983" s="7">
        <v>15.314097</v>
      </c>
      <c r="DB983" s="7">
        <v>17.400950000000002</v>
      </c>
      <c r="DC983" s="7">
        <v>16.332519999999999</v>
      </c>
      <c r="DD983" s="4" t="s">
        <v>124</v>
      </c>
      <c r="DE983" s="7">
        <v>0</v>
      </c>
      <c r="DF983" s="6"/>
      <c r="DG983" s="6"/>
      <c r="DH983" s="4" t="s">
        <v>331</v>
      </c>
      <c r="DI983" s="4" t="s">
        <v>431</v>
      </c>
      <c r="DJ983" s="7">
        <v>0</v>
      </c>
      <c r="DK983" s="7">
        <v>0</v>
      </c>
      <c r="DL983" s="7">
        <v>0</v>
      </c>
      <c r="DM983" s="7">
        <v>0</v>
      </c>
      <c r="DN983" s="7">
        <v>1</v>
      </c>
      <c r="DO983" s="7">
        <v>0</v>
      </c>
      <c r="DP983" s="6"/>
      <c r="DQ983" s="4" t="s">
        <v>125</v>
      </c>
    </row>
    <row r="984" spans="1:121" ht="20" customHeight="1" x14ac:dyDescent="0.15">
      <c r="A984" s="5">
        <v>2018</v>
      </c>
      <c r="B984" s="3" t="s">
        <v>142</v>
      </c>
      <c r="C984" s="4" t="str">
        <f t="shared" si="264"/>
        <v>1510011</v>
      </c>
      <c r="D984" s="4" t="s">
        <v>1130</v>
      </c>
      <c r="E984" s="4" t="str">
        <f>"1512011"</f>
        <v>1512011</v>
      </c>
      <c r="F984" s="4" t="s">
        <v>327</v>
      </c>
      <c r="G984" s="4" t="s">
        <v>328</v>
      </c>
      <c r="H984" s="7">
        <v>5</v>
      </c>
      <c r="I984" s="4" t="s">
        <v>335</v>
      </c>
      <c r="J984" s="4" t="s">
        <v>330</v>
      </c>
      <c r="K984" s="7">
        <v>649.16051000000004</v>
      </c>
      <c r="L984" s="7">
        <v>950</v>
      </c>
      <c r="M984" s="7">
        <v>68.332684999999998</v>
      </c>
      <c r="N984" s="7">
        <v>3</v>
      </c>
      <c r="O984" s="7">
        <v>0</v>
      </c>
      <c r="P984" s="7">
        <v>55.446581999999999</v>
      </c>
      <c r="Q984" s="7">
        <v>36.964388</v>
      </c>
      <c r="R984" s="7">
        <v>50</v>
      </c>
      <c r="S984" s="7">
        <v>55.043968999999997</v>
      </c>
      <c r="T984" s="4" t="s">
        <v>124</v>
      </c>
      <c r="U984" s="7">
        <v>36.695979999999999</v>
      </c>
      <c r="V984" s="7">
        <v>50</v>
      </c>
      <c r="W984" s="7">
        <v>51.410716999999998</v>
      </c>
      <c r="X984" s="7">
        <v>34.273811000000002</v>
      </c>
      <c r="Y984" s="7">
        <v>50</v>
      </c>
      <c r="Z984" s="4" t="s">
        <v>124</v>
      </c>
      <c r="AA984" s="7">
        <v>50.914360000000002</v>
      </c>
      <c r="AB984" s="7">
        <v>33.942906999999998</v>
      </c>
      <c r="AC984" s="7">
        <v>50</v>
      </c>
      <c r="AD984" s="7">
        <v>57.600385000000003</v>
      </c>
      <c r="AE984" s="7">
        <v>38.400257000000003</v>
      </c>
      <c r="AF984" s="7">
        <v>50</v>
      </c>
      <c r="AG984" s="7">
        <v>57.407443999999998</v>
      </c>
      <c r="AH984" s="4" t="s">
        <v>124</v>
      </c>
      <c r="AI984" s="7">
        <v>38.271628999999997</v>
      </c>
      <c r="AJ984" s="7">
        <v>50</v>
      </c>
      <c r="AK984" s="4" t="s">
        <v>124</v>
      </c>
      <c r="AL984" s="4" t="s">
        <v>124</v>
      </c>
      <c r="AM984" s="4" t="s">
        <v>124</v>
      </c>
      <c r="AN984" s="7">
        <v>0.64004799999999995</v>
      </c>
      <c r="AO984" s="7">
        <v>64.004813999999996</v>
      </c>
      <c r="AP984" s="7">
        <v>100</v>
      </c>
      <c r="AQ984" s="7">
        <v>0.65846800000000005</v>
      </c>
      <c r="AR984" s="7">
        <v>65.846761000000001</v>
      </c>
      <c r="AS984" s="7">
        <v>100</v>
      </c>
      <c r="AT984" s="7">
        <v>0.64230500000000001</v>
      </c>
      <c r="AU984" s="4" t="s">
        <v>124</v>
      </c>
      <c r="AV984" s="7">
        <v>64.230462000000003</v>
      </c>
      <c r="AW984" s="7">
        <v>100</v>
      </c>
      <c r="AX984" s="7">
        <v>0.64620900000000003</v>
      </c>
      <c r="AY984" s="4" t="s">
        <v>124</v>
      </c>
      <c r="AZ984" s="7">
        <v>64.620945000000006</v>
      </c>
      <c r="BA984" s="7">
        <v>100</v>
      </c>
      <c r="BB984" s="7">
        <v>0.62652399999999997</v>
      </c>
      <c r="BC984" s="7">
        <v>31.326179</v>
      </c>
      <c r="BD984" s="7">
        <v>50</v>
      </c>
      <c r="BE984" s="7">
        <v>0.462752</v>
      </c>
      <c r="BF984" s="7">
        <v>23.137605000000001</v>
      </c>
      <c r="BG984" s="7">
        <v>50</v>
      </c>
      <c r="BH984" s="7">
        <v>0</v>
      </c>
      <c r="BI984" s="7">
        <v>1</v>
      </c>
      <c r="BJ984" s="7">
        <v>1</v>
      </c>
      <c r="BK984" s="4" t="s">
        <v>124</v>
      </c>
      <c r="BL984" s="7">
        <v>1</v>
      </c>
      <c r="BM984" s="7">
        <v>1</v>
      </c>
      <c r="BN984" s="4" t="s">
        <v>124</v>
      </c>
      <c r="BO984" s="7">
        <v>1</v>
      </c>
      <c r="BP984" s="7">
        <v>1</v>
      </c>
      <c r="BQ984" s="4" t="s">
        <v>124</v>
      </c>
      <c r="BR984" s="7">
        <v>0.12926799999999999</v>
      </c>
      <c r="BS984" s="7">
        <v>34.146341</v>
      </c>
      <c r="BT984" s="7">
        <v>50</v>
      </c>
      <c r="BU984" s="7">
        <v>0.13350799999999999</v>
      </c>
      <c r="BV984" s="7">
        <v>33.298428999999999</v>
      </c>
      <c r="BW984" s="7">
        <v>50</v>
      </c>
      <c r="BX984" s="4" t="s">
        <v>124</v>
      </c>
      <c r="BY984" s="4" t="s">
        <v>124</v>
      </c>
      <c r="BZ984" s="4" t="s">
        <v>124</v>
      </c>
      <c r="CA984" s="4" t="s">
        <v>124</v>
      </c>
      <c r="CB984" s="4" t="s">
        <v>124</v>
      </c>
      <c r="CC984" s="4" t="s">
        <v>124</v>
      </c>
      <c r="CD984" s="4" t="s">
        <v>124</v>
      </c>
      <c r="CE984" s="4" t="s">
        <v>124</v>
      </c>
      <c r="CF984" s="4" t="s">
        <v>124</v>
      </c>
      <c r="CG984" s="4" t="s">
        <v>124</v>
      </c>
      <c r="CH984" s="4" t="s">
        <v>124</v>
      </c>
      <c r="CI984" s="4" t="s">
        <v>124</v>
      </c>
      <c r="CJ984" s="4" t="s">
        <v>124</v>
      </c>
      <c r="CK984" s="4" t="s">
        <v>124</v>
      </c>
      <c r="CL984" s="4" t="s">
        <v>124</v>
      </c>
      <c r="CM984" s="4" t="s">
        <v>124</v>
      </c>
      <c r="CN984" s="4" t="s">
        <v>124</v>
      </c>
      <c r="CO984" s="4" t="s">
        <v>124</v>
      </c>
      <c r="CP984" s="4" t="s">
        <v>124</v>
      </c>
      <c r="CQ984" s="7">
        <v>0.86746999999999996</v>
      </c>
      <c r="CR984" s="7">
        <v>1.024691</v>
      </c>
      <c r="CS984" s="7">
        <v>50</v>
      </c>
      <c r="CT984" s="7">
        <v>50</v>
      </c>
      <c r="CU984" s="4" t="s">
        <v>124</v>
      </c>
      <c r="CV984" s="4" t="s">
        <v>124</v>
      </c>
      <c r="CW984" s="4" t="s">
        <v>124</v>
      </c>
      <c r="CX984" s="4" t="s">
        <v>124</v>
      </c>
      <c r="CY984" s="4" t="s">
        <v>124</v>
      </c>
      <c r="CZ984" s="4" t="s">
        <v>124</v>
      </c>
      <c r="DA984" s="7">
        <v>15.314097</v>
      </c>
      <c r="DB984" s="7">
        <v>17.400950000000002</v>
      </c>
      <c r="DC984" s="7">
        <v>16.332519999999999</v>
      </c>
      <c r="DD984" s="4" t="s">
        <v>124</v>
      </c>
      <c r="DE984" s="7">
        <v>0</v>
      </c>
      <c r="DF984" s="6"/>
      <c r="DG984" s="6"/>
      <c r="DH984" s="6"/>
      <c r="DI984" s="6"/>
      <c r="DJ984" s="7">
        <v>0</v>
      </c>
      <c r="DK984" s="7">
        <v>0</v>
      </c>
      <c r="DL984" s="7">
        <v>0</v>
      </c>
      <c r="DM984" s="7">
        <v>0</v>
      </c>
      <c r="DN984" s="7">
        <v>0</v>
      </c>
      <c r="DO984" s="7">
        <v>0</v>
      </c>
      <c r="DP984" s="6"/>
      <c r="DQ984" s="4" t="s">
        <v>125</v>
      </c>
    </row>
    <row r="985" spans="1:121" ht="20" customHeight="1" x14ac:dyDescent="0.15">
      <c r="A985" s="5">
        <v>2018</v>
      </c>
      <c r="B985" s="3" t="s">
        <v>142</v>
      </c>
      <c r="C985" s="4" t="str">
        <f t="shared" si="264"/>
        <v>1510011</v>
      </c>
      <c r="D985" s="4" t="s">
        <v>1131</v>
      </c>
      <c r="E985" s="4" t="str">
        <f>"1512211"</f>
        <v>1512211</v>
      </c>
      <c r="F985" s="4" t="s">
        <v>327</v>
      </c>
      <c r="G985" s="4" t="s">
        <v>328</v>
      </c>
      <c r="H985" s="7">
        <v>5</v>
      </c>
      <c r="I985" s="4" t="s">
        <v>335</v>
      </c>
      <c r="J985" s="4" t="s">
        <v>330</v>
      </c>
      <c r="K985" s="7">
        <v>532.302908</v>
      </c>
      <c r="L985" s="7">
        <v>950</v>
      </c>
      <c r="M985" s="7">
        <v>56.031885000000003</v>
      </c>
      <c r="N985" s="7">
        <v>3</v>
      </c>
      <c r="O985" s="7">
        <v>0</v>
      </c>
      <c r="P985" s="7">
        <v>52.276584999999997</v>
      </c>
      <c r="Q985" s="7">
        <v>34.851056999999997</v>
      </c>
      <c r="R985" s="7">
        <v>50</v>
      </c>
      <c r="S985" s="7">
        <v>51.728965000000002</v>
      </c>
      <c r="T985" s="4" t="s">
        <v>124</v>
      </c>
      <c r="U985" s="7">
        <v>34.485976999999998</v>
      </c>
      <c r="V985" s="7">
        <v>50</v>
      </c>
      <c r="W985" s="7">
        <v>47.343935999999999</v>
      </c>
      <c r="X985" s="7">
        <v>31.562624</v>
      </c>
      <c r="Y985" s="7">
        <v>50</v>
      </c>
      <c r="Z985" s="4" t="s">
        <v>124</v>
      </c>
      <c r="AA985" s="7">
        <v>46.640002000000003</v>
      </c>
      <c r="AB985" s="7">
        <v>31.093335</v>
      </c>
      <c r="AC985" s="7">
        <v>50</v>
      </c>
      <c r="AD985" s="7">
        <v>50.653225999999997</v>
      </c>
      <c r="AE985" s="7">
        <v>33.768816999999999</v>
      </c>
      <c r="AF985" s="7">
        <v>50</v>
      </c>
      <c r="AG985" s="7">
        <v>50.636797999999999</v>
      </c>
      <c r="AH985" s="4" t="s">
        <v>124</v>
      </c>
      <c r="AI985" s="7">
        <v>33.757865000000002</v>
      </c>
      <c r="AJ985" s="7">
        <v>50</v>
      </c>
      <c r="AK985" s="4" t="s">
        <v>124</v>
      </c>
      <c r="AL985" s="4" t="s">
        <v>124</v>
      </c>
      <c r="AM985" s="4" t="s">
        <v>124</v>
      </c>
      <c r="AN985" s="7">
        <v>0.52251400000000003</v>
      </c>
      <c r="AO985" s="7">
        <v>52.251404999999998</v>
      </c>
      <c r="AP985" s="7">
        <v>100</v>
      </c>
      <c r="AQ985" s="7">
        <v>0.52943700000000005</v>
      </c>
      <c r="AR985" s="7">
        <v>52.943739999999998</v>
      </c>
      <c r="AS985" s="7">
        <v>100</v>
      </c>
      <c r="AT985" s="7">
        <v>0.50644299999999998</v>
      </c>
      <c r="AU985" s="4" t="s">
        <v>124</v>
      </c>
      <c r="AV985" s="7">
        <v>50.644272000000001</v>
      </c>
      <c r="AW985" s="7">
        <v>100</v>
      </c>
      <c r="AX985" s="7">
        <v>0.51661800000000002</v>
      </c>
      <c r="AY985" s="4" t="s">
        <v>124</v>
      </c>
      <c r="AZ985" s="7">
        <v>51.661791999999998</v>
      </c>
      <c r="BA985" s="7">
        <v>100</v>
      </c>
      <c r="BB985" s="7">
        <v>0.443355</v>
      </c>
      <c r="BC985" s="7">
        <v>22.167755</v>
      </c>
      <c r="BD985" s="7">
        <v>50</v>
      </c>
      <c r="BE985" s="7">
        <v>0.38939099999999999</v>
      </c>
      <c r="BF985" s="7">
        <v>19.469570999999998</v>
      </c>
      <c r="BG985" s="7">
        <v>50</v>
      </c>
      <c r="BH985" s="7">
        <v>0</v>
      </c>
      <c r="BI985" s="7">
        <v>0.99521499999999996</v>
      </c>
      <c r="BJ985" s="7">
        <v>0.99497500000000005</v>
      </c>
      <c r="BK985" s="4" t="s">
        <v>124</v>
      </c>
      <c r="BL985" s="7">
        <v>0.99523799999999996</v>
      </c>
      <c r="BM985" s="7">
        <v>0.995</v>
      </c>
      <c r="BN985" s="4" t="s">
        <v>124</v>
      </c>
      <c r="BO985" s="7">
        <v>1</v>
      </c>
      <c r="BP985" s="7">
        <v>1</v>
      </c>
      <c r="BQ985" s="4" t="s">
        <v>124</v>
      </c>
      <c r="BR985" s="7">
        <v>0.21259800000000001</v>
      </c>
      <c r="BS985" s="7">
        <v>17.480315000000001</v>
      </c>
      <c r="BT985" s="7">
        <v>50</v>
      </c>
      <c r="BU985" s="7">
        <v>0.21917800000000001</v>
      </c>
      <c r="BV985" s="7">
        <v>16.164383999999998</v>
      </c>
      <c r="BW985" s="7">
        <v>50</v>
      </c>
      <c r="BX985" s="4" t="s">
        <v>124</v>
      </c>
      <c r="BY985" s="4" t="s">
        <v>124</v>
      </c>
      <c r="BZ985" s="4" t="s">
        <v>124</v>
      </c>
      <c r="CA985" s="4" t="s">
        <v>124</v>
      </c>
      <c r="CB985" s="4" t="s">
        <v>124</v>
      </c>
      <c r="CC985" s="4" t="s">
        <v>124</v>
      </c>
      <c r="CD985" s="4" t="s">
        <v>124</v>
      </c>
      <c r="CE985" s="4" t="s">
        <v>124</v>
      </c>
      <c r="CF985" s="4" t="s">
        <v>124</v>
      </c>
      <c r="CG985" s="4" t="s">
        <v>124</v>
      </c>
      <c r="CH985" s="4" t="s">
        <v>124</v>
      </c>
      <c r="CI985" s="4" t="s">
        <v>124</v>
      </c>
      <c r="CJ985" s="4" t="s">
        <v>124</v>
      </c>
      <c r="CK985" s="4" t="s">
        <v>124</v>
      </c>
      <c r="CL985" s="4" t="s">
        <v>124</v>
      </c>
      <c r="CM985" s="4" t="s">
        <v>124</v>
      </c>
      <c r="CN985" s="4" t="s">
        <v>124</v>
      </c>
      <c r="CO985" s="4" t="s">
        <v>124</v>
      </c>
      <c r="CP985" s="4" t="s">
        <v>124</v>
      </c>
      <c r="CQ985" s="7">
        <v>0.77173899999999995</v>
      </c>
      <c r="CR985" s="7">
        <v>1.045455</v>
      </c>
      <c r="CS985" s="7">
        <v>50</v>
      </c>
      <c r="CT985" s="7">
        <v>50</v>
      </c>
      <c r="CU985" s="4" t="s">
        <v>124</v>
      </c>
      <c r="CV985" s="4" t="s">
        <v>124</v>
      </c>
      <c r="CW985" s="4" t="s">
        <v>124</v>
      </c>
      <c r="CX985" s="4" t="s">
        <v>124</v>
      </c>
      <c r="CY985" s="4" t="s">
        <v>124</v>
      </c>
      <c r="CZ985" s="4" t="s">
        <v>124</v>
      </c>
      <c r="DA985" s="7">
        <v>15.314097</v>
      </c>
      <c r="DB985" s="7">
        <v>17.400950000000002</v>
      </c>
      <c r="DC985" s="7">
        <v>16.332519999999999</v>
      </c>
      <c r="DD985" s="4" t="s">
        <v>124</v>
      </c>
      <c r="DE985" s="7">
        <v>0</v>
      </c>
      <c r="DF985" s="6"/>
      <c r="DG985" s="6"/>
      <c r="DH985" s="6"/>
      <c r="DI985" s="6"/>
      <c r="DJ985" s="7">
        <v>0</v>
      </c>
      <c r="DK985" s="7">
        <v>0</v>
      </c>
      <c r="DL985" s="7">
        <v>0</v>
      </c>
      <c r="DM985" s="7">
        <v>0</v>
      </c>
      <c r="DN985" s="7">
        <v>0</v>
      </c>
      <c r="DO985" s="7">
        <v>0</v>
      </c>
      <c r="DP985" s="6"/>
      <c r="DQ985" s="4" t="s">
        <v>125</v>
      </c>
    </row>
    <row r="986" spans="1:121" ht="20" customHeight="1" x14ac:dyDescent="0.15">
      <c r="A986" s="5">
        <v>2018</v>
      </c>
      <c r="B986" s="3" t="s">
        <v>142</v>
      </c>
      <c r="C986" s="4" t="str">
        <f t="shared" si="264"/>
        <v>1510011</v>
      </c>
      <c r="D986" s="4" t="s">
        <v>735</v>
      </c>
      <c r="E986" s="4" t="str">
        <f>"1512311"</f>
        <v>1512311</v>
      </c>
      <c r="F986" s="4" t="s">
        <v>327</v>
      </c>
      <c r="G986" s="4" t="s">
        <v>328</v>
      </c>
      <c r="H986" s="7">
        <v>5</v>
      </c>
      <c r="I986" s="4" t="s">
        <v>335</v>
      </c>
      <c r="J986" s="4" t="s">
        <v>330</v>
      </c>
      <c r="K986" s="7">
        <v>682.73161300000004</v>
      </c>
      <c r="L986" s="7">
        <v>950</v>
      </c>
      <c r="M986" s="7">
        <v>71.866485999999995</v>
      </c>
      <c r="N986" s="7">
        <v>2</v>
      </c>
      <c r="O986" s="7">
        <v>0</v>
      </c>
      <c r="P986" s="7">
        <v>59.564891000000003</v>
      </c>
      <c r="Q986" s="7">
        <v>39.709927</v>
      </c>
      <c r="R986" s="7">
        <v>50</v>
      </c>
      <c r="S986" s="7">
        <v>59.209007</v>
      </c>
      <c r="T986" s="4" t="s">
        <v>124</v>
      </c>
      <c r="U986" s="7">
        <v>39.472670999999998</v>
      </c>
      <c r="V986" s="7">
        <v>50</v>
      </c>
      <c r="W986" s="7">
        <v>50.299067999999998</v>
      </c>
      <c r="X986" s="7">
        <v>33.532711999999997</v>
      </c>
      <c r="Y986" s="7">
        <v>50</v>
      </c>
      <c r="Z986" s="4" t="s">
        <v>124</v>
      </c>
      <c r="AA986" s="7">
        <v>49.851449000000002</v>
      </c>
      <c r="AB986" s="7">
        <v>33.234299999999998</v>
      </c>
      <c r="AC986" s="7">
        <v>50</v>
      </c>
      <c r="AD986" s="7">
        <v>58.966307999999998</v>
      </c>
      <c r="AE986" s="7">
        <v>39.310872000000003</v>
      </c>
      <c r="AF986" s="7">
        <v>50</v>
      </c>
      <c r="AG986" s="7">
        <v>58.721679999999999</v>
      </c>
      <c r="AH986" s="4" t="s">
        <v>124</v>
      </c>
      <c r="AI986" s="7">
        <v>39.147787000000001</v>
      </c>
      <c r="AJ986" s="7">
        <v>50</v>
      </c>
      <c r="AK986" s="4" t="s">
        <v>124</v>
      </c>
      <c r="AL986" s="4" t="s">
        <v>124</v>
      </c>
      <c r="AM986" s="4" t="s">
        <v>124</v>
      </c>
      <c r="AN986" s="7">
        <v>0.63585000000000003</v>
      </c>
      <c r="AO986" s="7">
        <v>63.585040999999997</v>
      </c>
      <c r="AP986" s="7">
        <v>100</v>
      </c>
      <c r="AQ986" s="7">
        <v>0.68309500000000001</v>
      </c>
      <c r="AR986" s="7">
        <v>68.309505999999999</v>
      </c>
      <c r="AS986" s="7">
        <v>100</v>
      </c>
      <c r="AT986" s="7">
        <v>0.63592599999999999</v>
      </c>
      <c r="AU986" s="4" t="s">
        <v>124</v>
      </c>
      <c r="AV986" s="7">
        <v>63.592643000000002</v>
      </c>
      <c r="AW986" s="7">
        <v>100</v>
      </c>
      <c r="AX986" s="7">
        <v>0.67461700000000002</v>
      </c>
      <c r="AY986" s="4" t="s">
        <v>124</v>
      </c>
      <c r="AZ986" s="7">
        <v>67.461668000000003</v>
      </c>
      <c r="BA986" s="7">
        <v>100</v>
      </c>
      <c r="BB986" s="7">
        <v>0.51234800000000003</v>
      </c>
      <c r="BC986" s="7">
        <v>25.617381999999999</v>
      </c>
      <c r="BD986" s="7">
        <v>50</v>
      </c>
      <c r="BE986" s="7">
        <v>0.48681600000000003</v>
      </c>
      <c r="BF986" s="7">
        <v>24.340790999999999</v>
      </c>
      <c r="BG986" s="7">
        <v>50</v>
      </c>
      <c r="BH986" s="7">
        <v>0</v>
      </c>
      <c r="BI986" s="7">
        <v>1</v>
      </c>
      <c r="BJ986" s="7">
        <v>1</v>
      </c>
      <c r="BK986" s="4" t="s">
        <v>124</v>
      </c>
      <c r="BL986" s="7">
        <v>1</v>
      </c>
      <c r="BM986" s="7">
        <v>1</v>
      </c>
      <c r="BN986" s="4" t="s">
        <v>124</v>
      </c>
      <c r="BO986" s="7">
        <v>1</v>
      </c>
      <c r="BP986" s="7">
        <v>1</v>
      </c>
      <c r="BQ986" s="4" t="s">
        <v>124</v>
      </c>
      <c r="BR986" s="7">
        <v>6.0200999999999998E-2</v>
      </c>
      <c r="BS986" s="7">
        <v>47.959865999999998</v>
      </c>
      <c r="BT986" s="7">
        <v>50</v>
      </c>
      <c r="BU986" s="7">
        <v>6.2717999999999996E-2</v>
      </c>
      <c r="BV986" s="7">
        <v>47.456446</v>
      </c>
      <c r="BW986" s="7">
        <v>50</v>
      </c>
      <c r="BX986" s="4" t="s">
        <v>124</v>
      </c>
      <c r="BY986" s="4" t="s">
        <v>124</v>
      </c>
      <c r="BZ986" s="4" t="s">
        <v>124</v>
      </c>
      <c r="CA986" s="4" t="s">
        <v>124</v>
      </c>
      <c r="CB986" s="4" t="s">
        <v>124</v>
      </c>
      <c r="CC986" s="4" t="s">
        <v>124</v>
      </c>
      <c r="CD986" s="4" t="s">
        <v>124</v>
      </c>
      <c r="CE986" s="4" t="s">
        <v>124</v>
      </c>
      <c r="CF986" s="4" t="s">
        <v>124</v>
      </c>
      <c r="CG986" s="4" t="s">
        <v>124</v>
      </c>
      <c r="CH986" s="4" t="s">
        <v>124</v>
      </c>
      <c r="CI986" s="4" t="s">
        <v>124</v>
      </c>
      <c r="CJ986" s="4" t="s">
        <v>124</v>
      </c>
      <c r="CK986" s="4" t="s">
        <v>124</v>
      </c>
      <c r="CL986" s="4" t="s">
        <v>124</v>
      </c>
      <c r="CM986" s="4" t="s">
        <v>124</v>
      </c>
      <c r="CN986" s="4" t="s">
        <v>124</v>
      </c>
      <c r="CO986" s="4" t="s">
        <v>124</v>
      </c>
      <c r="CP986" s="4" t="s">
        <v>124</v>
      </c>
      <c r="CQ986" s="7">
        <v>0.81481499999999996</v>
      </c>
      <c r="CR986" s="7">
        <v>1</v>
      </c>
      <c r="CS986" s="7">
        <v>50</v>
      </c>
      <c r="CT986" s="7">
        <v>50</v>
      </c>
      <c r="CU986" s="4" t="s">
        <v>124</v>
      </c>
      <c r="CV986" s="4" t="s">
        <v>124</v>
      </c>
      <c r="CW986" s="4" t="s">
        <v>124</v>
      </c>
      <c r="CX986" s="4" t="s">
        <v>124</v>
      </c>
      <c r="CY986" s="4" t="s">
        <v>124</v>
      </c>
      <c r="CZ986" s="4" t="s">
        <v>124</v>
      </c>
      <c r="DA986" s="7">
        <v>15.314097</v>
      </c>
      <c r="DB986" s="7">
        <v>17.400950000000002</v>
      </c>
      <c r="DC986" s="7">
        <v>16.332519999999999</v>
      </c>
      <c r="DD986" s="4" t="s">
        <v>124</v>
      </c>
      <c r="DE986" s="7">
        <v>0</v>
      </c>
      <c r="DF986" s="6"/>
      <c r="DG986" s="6"/>
      <c r="DH986" s="6"/>
      <c r="DI986" s="6"/>
      <c r="DJ986" s="7">
        <v>0</v>
      </c>
      <c r="DK986" s="7">
        <v>0</v>
      </c>
      <c r="DL986" s="7">
        <v>0</v>
      </c>
      <c r="DM986" s="7">
        <v>0</v>
      </c>
      <c r="DN986" s="7">
        <v>0</v>
      </c>
      <c r="DO986" s="7">
        <v>0</v>
      </c>
      <c r="DP986" s="6"/>
      <c r="DQ986" s="4" t="s">
        <v>125</v>
      </c>
    </row>
    <row r="987" spans="1:121" ht="20" customHeight="1" x14ac:dyDescent="0.15">
      <c r="A987" s="5">
        <v>2018</v>
      </c>
      <c r="B987" s="3" t="s">
        <v>142</v>
      </c>
      <c r="C987" s="4" t="str">
        <f t="shared" si="264"/>
        <v>1510011</v>
      </c>
      <c r="D987" s="4" t="s">
        <v>1132</v>
      </c>
      <c r="E987" s="4" t="str">
        <f>"1516011"</f>
        <v>1516011</v>
      </c>
      <c r="F987" s="4" t="s">
        <v>327</v>
      </c>
      <c r="G987" s="7">
        <v>9</v>
      </c>
      <c r="H987" s="7">
        <v>12</v>
      </c>
      <c r="I987" s="4" t="s">
        <v>335</v>
      </c>
      <c r="J987" s="4" t="s">
        <v>330</v>
      </c>
      <c r="K987" s="7">
        <v>1003.3439</v>
      </c>
      <c r="L987" s="7">
        <v>1450</v>
      </c>
      <c r="M987" s="7">
        <v>69.196130999999994</v>
      </c>
      <c r="N987" s="7">
        <v>3</v>
      </c>
      <c r="O987" s="7">
        <v>1</v>
      </c>
      <c r="P987" s="7">
        <v>52.503669000000002</v>
      </c>
      <c r="Q987" s="7">
        <v>105.007338</v>
      </c>
      <c r="R987" s="7">
        <v>150</v>
      </c>
      <c r="S987" s="7">
        <v>47.365184999999997</v>
      </c>
      <c r="T987" s="7">
        <v>64.935484000000002</v>
      </c>
      <c r="U987" s="7">
        <v>94.730369999999994</v>
      </c>
      <c r="V987" s="7">
        <v>150</v>
      </c>
      <c r="W987" s="7">
        <v>45.037736000000002</v>
      </c>
      <c r="X987" s="7">
        <v>90.075472000000005</v>
      </c>
      <c r="Y987" s="7">
        <v>150</v>
      </c>
      <c r="Z987" s="7">
        <v>57.247312000000001</v>
      </c>
      <c r="AA987" s="7">
        <v>39.991110999999997</v>
      </c>
      <c r="AB987" s="7">
        <v>79.982221999999993</v>
      </c>
      <c r="AC987" s="7">
        <v>150</v>
      </c>
      <c r="AD987" s="7">
        <v>53.014128999999997</v>
      </c>
      <c r="AE987" s="7">
        <v>70.685505000000006</v>
      </c>
      <c r="AF987" s="7">
        <v>100</v>
      </c>
      <c r="AG987" s="7">
        <v>47.757053999999997</v>
      </c>
      <c r="AH987" s="7">
        <v>65.563275000000004</v>
      </c>
      <c r="AI987" s="7">
        <v>63.676071999999998</v>
      </c>
      <c r="AJ987" s="7">
        <v>100</v>
      </c>
      <c r="AK987" s="7">
        <v>17.57</v>
      </c>
      <c r="AL987" s="7">
        <v>17.25</v>
      </c>
      <c r="AM987" s="7">
        <v>17.8</v>
      </c>
      <c r="AN987" s="4" t="s">
        <v>124</v>
      </c>
      <c r="AO987" s="4" t="s">
        <v>124</v>
      </c>
      <c r="AP987" s="4" t="s">
        <v>124</v>
      </c>
      <c r="AQ987" s="4" t="s">
        <v>124</v>
      </c>
      <c r="AR987" s="4" t="s">
        <v>124</v>
      </c>
      <c r="AS987" s="4" t="s">
        <v>124</v>
      </c>
      <c r="AT987" s="4" t="s">
        <v>124</v>
      </c>
      <c r="AU987" s="4" t="s">
        <v>124</v>
      </c>
      <c r="AV987" s="4" t="s">
        <v>124</v>
      </c>
      <c r="AW987" s="4" t="s">
        <v>124</v>
      </c>
      <c r="AX987" s="4" t="s">
        <v>124</v>
      </c>
      <c r="AY987" s="4" t="s">
        <v>124</v>
      </c>
      <c r="AZ987" s="4" t="s">
        <v>124</v>
      </c>
      <c r="BA987" s="4" t="s">
        <v>124</v>
      </c>
      <c r="BB987" s="4" t="s">
        <v>124</v>
      </c>
      <c r="BC987" s="4" t="s">
        <v>124</v>
      </c>
      <c r="BD987" s="4" t="s">
        <v>124</v>
      </c>
      <c r="BE987" s="4" t="s">
        <v>124</v>
      </c>
      <c r="BF987" s="4" t="s">
        <v>124</v>
      </c>
      <c r="BG987" s="4" t="s">
        <v>124</v>
      </c>
      <c r="BH987" s="7">
        <v>0</v>
      </c>
      <c r="BI987" s="7">
        <v>1</v>
      </c>
      <c r="BJ987" s="7">
        <v>1</v>
      </c>
      <c r="BK987" s="7">
        <v>1</v>
      </c>
      <c r="BL987" s="7">
        <v>1</v>
      </c>
      <c r="BM987" s="7">
        <v>1</v>
      </c>
      <c r="BN987" s="7">
        <v>1</v>
      </c>
      <c r="BO987" s="7">
        <v>1</v>
      </c>
      <c r="BP987" s="7">
        <v>1</v>
      </c>
      <c r="BQ987" s="7">
        <v>1</v>
      </c>
      <c r="BR987" s="7">
        <v>0.14316699999999999</v>
      </c>
      <c r="BS987" s="7">
        <v>31.366593999999999</v>
      </c>
      <c r="BT987" s="7">
        <v>50</v>
      </c>
      <c r="BU987" s="7">
        <v>0.18240999999999999</v>
      </c>
      <c r="BV987" s="7">
        <v>23.517914999999999</v>
      </c>
      <c r="BW987" s="7">
        <v>50</v>
      </c>
      <c r="BX987" s="7">
        <v>0.35682799999999998</v>
      </c>
      <c r="BY987" s="7">
        <v>23.788546</v>
      </c>
      <c r="BZ987" s="7">
        <v>50</v>
      </c>
      <c r="CA987" s="7">
        <v>0.25110100000000002</v>
      </c>
      <c r="CB987" s="7">
        <v>16.740088</v>
      </c>
      <c r="CC987" s="7">
        <v>50</v>
      </c>
      <c r="CD987" s="7">
        <v>0.97479000000000005</v>
      </c>
      <c r="CE987" s="7">
        <v>50</v>
      </c>
      <c r="CF987" s="7">
        <v>50</v>
      </c>
      <c r="CG987" s="7">
        <v>0.91964299999999999</v>
      </c>
      <c r="CH987" s="7">
        <v>97.834346999999994</v>
      </c>
      <c r="CI987" s="7">
        <v>100</v>
      </c>
      <c r="CJ987" s="7">
        <v>0</v>
      </c>
      <c r="CK987" s="7">
        <v>0.95522399999999996</v>
      </c>
      <c r="CL987" s="7">
        <v>100</v>
      </c>
      <c r="CM987" s="7">
        <v>100</v>
      </c>
      <c r="CN987" s="7">
        <v>0.72897199999999995</v>
      </c>
      <c r="CO987" s="7">
        <v>97.196262000000004</v>
      </c>
      <c r="CP987" s="7">
        <v>100</v>
      </c>
      <c r="CQ987" s="7">
        <v>0.13114799999999999</v>
      </c>
      <c r="CR987" s="7">
        <v>1.06087</v>
      </c>
      <c r="CS987" s="7">
        <v>8.743169</v>
      </c>
      <c r="CT987" s="7">
        <v>50</v>
      </c>
      <c r="CU987" s="7">
        <v>0.99783100000000002</v>
      </c>
      <c r="CV987" s="7">
        <v>50</v>
      </c>
      <c r="CW987" s="7">
        <v>50</v>
      </c>
      <c r="CX987" s="7">
        <v>0.95522399999999996</v>
      </c>
      <c r="CY987" s="7">
        <v>0.9375</v>
      </c>
      <c r="CZ987" s="7">
        <v>-1.7724E-2</v>
      </c>
      <c r="DA987" s="7">
        <v>15.314097</v>
      </c>
      <c r="DB987" s="7">
        <v>17.400950000000002</v>
      </c>
      <c r="DC987" s="7">
        <v>16.332519999999999</v>
      </c>
      <c r="DD987" s="7">
        <v>7.9891730000000001</v>
      </c>
      <c r="DE987" s="7">
        <v>1</v>
      </c>
      <c r="DF987" s="6"/>
      <c r="DG987" s="6"/>
      <c r="DH987" s="6"/>
      <c r="DI987" s="6"/>
      <c r="DJ987" s="7">
        <v>0</v>
      </c>
      <c r="DK987" s="7">
        <v>0</v>
      </c>
      <c r="DL987" s="7">
        <v>0</v>
      </c>
      <c r="DM987" s="7">
        <v>0</v>
      </c>
      <c r="DN987" s="7">
        <v>0</v>
      </c>
      <c r="DO987" s="7">
        <v>0</v>
      </c>
      <c r="DP987" s="6"/>
      <c r="DQ987" s="4" t="s">
        <v>125</v>
      </c>
    </row>
    <row r="988" spans="1:121" ht="20" customHeight="1" x14ac:dyDescent="0.15">
      <c r="A988" s="5">
        <v>2018</v>
      </c>
      <c r="B988" s="3" t="s">
        <v>142</v>
      </c>
      <c r="C988" s="4" t="str">
        <f t="shared" si="264"/>
        <v>1510011</v>
      </c>
      <c r="D988" s="4" t="s">
        <v>1133</v>
      </c>
      <c r="E988" s="4" t="str">
        <f>"1515011"</f>
        <v>1515011</v>
      </c>
      <c r="F988" s="4" t="s">
        <v>327</v>
      </c>
      <c r="G988" s="7">
        <v>6</v>
      </c>
      <c r="H988" s="7">
        <v>8</v>
      </c>
      <c r="I988" s="4" t="s">
        <v>335</v>
      </c>
      <c r="J988" s="4" t="s">
        <v>330</v>
      </c>
      <c r="K988" s="7">
        <v>555.07584699999995</v>
      </c>
      <c r="L988" s="7">
        <v>900</v>
      </c>
      <c r="M988" s="7">
        <v>61.675094000000001</v>
      </c>
      <c r="N988" s="7">
        <v>3</v>
      </c>
      <c r="O988" s="7">
        <v>0</v>
      </c>
      <c r="P988" s="7">
        <v>62.809207999999998</v>
      </c>
      <c r="Q988" s="7">
        <v>41.872805</v>
      </c>
      <c r="R988" s="7">
        <v>50</v>
      </c>
      <c r="S988" s="7">
        <v>58.222661000000002</v>
      </c>
      <c r="T988" s="7">
        <v>72.379212999999993</v>
      </c>
      <c r="U988" s="7">
        <v>38.815106999999998</v>
      </c>
      <c r="V988" s="7">
        <v>50</v>
      </c>
      <c r="W988" s="7">
        <v>54.732103000000002</v>
      </c>
      <c r="X988" s="7">
        <v>36.488069000000003</v>
      </c>
      <c r="Y988" s="7">
        <v>50</v>
      </c>
      <c r="Z988" s="7">
        <v>62.850810000000003</v>
      </c>
      <c r="AA988" s="7">
        <v>50.84111</v>
      </c>
      <c r="AB988" s="7">
        <v>33.894072999999999</v>
      </c>
      <c r="AC988" s="7">
        <v>50</v>
      </c>
      <c r="AD988" s="7">
        <v>54.859113000000001</v>
      </c>
      <c r="AE988" s="7">
        <v>36.572741999999998</v>
      </c>
      <c r="AF988" s="7">
        <v>50</v>
      </c>
      <c r="AG988" s="7">
        <v>51.278360999999997</v>
      </c>
      <c r="AH988" s="7">
        <v>61.722222000000002</v>
      </c>
      <c r="AI988" s="7">
        <v>34.185574000000003</v>
      </c>
      <c r="AJ988" s="7">
        <v>50</v>
      </c>
      <c r="AK988" s="7">
        <v>14.15</v>
      </c>
      <c r="AL988" s="7">
        <v>12</v>
      </c>
      <c r="AM988" s="7">
        <v>10.44</v>
      </c>
      <c r="AN988" s="7">
        <v>0.44312800000000002</v>
      </c>
      <c r="AO988" s="7">
        <v>44.312842000000003</v>
      </c>
      <c r="AP988" s="7">
        <v>100</v>
      </c>
      <c r="AQ988" s="7">
        <v>0.38081100000000001</v>
      </c>
      <c r="AR988" s="7">
        <v>38.081060999999998</v>
      </c>
      <c r="AS988" s="7">
        <v>100</v>
      </c>
      <c r="AT988" s="7">
        <v>0.41256300000000001</v>
      </c>
      <c r="AU988" s="7">
        <v>0.50950799999999996</v>
      </c>
      <c r="AV988" s="7">
        <v>41.256315999999998</v>
      </c>
      <c r="AW988" s="7">
        <v>100</v>
      </c>
      <c r="AX988" s="7">
        <v>0.40015899999999999</v>
      </c>
      <c r="AY988" s="7">
        <v>0.33879199999999998</v>
      </c>
      <c r="AZ988" s="7">
        <v>40.015861999999998</v>
      </c>
      <c r="BA988" s="7">
        <v>100</v>
      </c>
      <c r="BB988" s="4" t="s">
        <v>124</v>
      </c>
      <c r="BC988" s="4" t="s">
        <v>124</v>
      </c>
      <c r="BD988" s="4" t="s">
        <v>124</v>
      </c>
      <c r="BE988" s="4" t="s">
        <v>124</v>
      </c>
      <c r="BF988" s="4" t="s">
        <v>124</v>
      </c>
      <c r="BG988" s="4" t="s">
        <v>124</v>
      </c>
      <c r="BH988" s="7">
        <v>0</v>
      </c>
      <c r="BI988" s="7">
        <v>1</v>
      </c>
      <c r="BJ988" s="7">
        <v>1</v>
      </c>
      <c r="BK988" s="7">
        <v>1</v>
      </c>
      <c r="BL988" s="7">
        <v>1</v>
      </c>
      <c r="BM988" s="7">
        <v>1</v>
      </c>
      <c r="BN988" s="7">
        <v>1</v>
      </c>
      <c r="BO988" s="7">
        <v>1</v>
      </c>
      <c r="BP988" s="7">
        <v>1</v>
      </c>
      <c r="BQ988" s="7">
        <v>1</v>
      </c>
      <c r="BR988" s="7">
        <v>5.4053999999999998E-2</v>
      </c>
      <c r="BS988" s="7">
        <v>49.189188999999999</v>
      </c>
      <c r="BT988" s="7">
        <v>50</v>
      </c>
      <c r="BU988" s="7">
        <v>7.5893000000000002E-2</v>
      </c>
      <c r="BV988" s="7">
        <v>44.821429000000002</v>
      </c>
      <c r="BW988" s="7">
        <v>50</v>
      </c>
      <c r="BX988" s="4" t="s">
        <v>124</v>
      </c>
      <c r="BY988" s="4" t="s">
        <v>124</v>
      </c>
      <c r="BZ988" s="4" t="s">
        <v>124</v>
      </c>
      <c r="CA988" s="4" t="s">
        <v>124</v>
      </c>
      <c r="CB988" s="4" t="s">
        <v>124</v>
      </c>
      <c r="CC988" s="4" t="s">
        <v>124</v>
      </c>
      <c r="CD988" s="7">
        <v>0.98039200000000004</v>
      </c>
      <c r="CE988" s="7">
        <v>50</v>
      </c>
      <c r="CF988" s="7">
        <v>50</v>
      </c>
      <c r="CG988" s="4" t="s">
        <v>124</v>
      </c>
      <c r="CH988" s="4" t="s">
        <v>124</v>
      </c>
      <c r="CI988" s="4" t="s">
        <v>124</v>
      </c>
      <c r="CJ988" s="4" t="s">
        <v>124</v>
      </c>
      <c r="CK988" s="4" t="s">
        <v>124</v>
      </c>
      <c r="CL988" s="4" t="s">
        <v>124</v>
      </c>
      <c r="CM988" s="4" t="s">
        <v>124</v>
      </c>
      <c r="CN988" s="4" t="s">
        <v>124</v>
      </c>
      <c r="CO988" s="4" t="s">
        <v>124</v>
      </c>
      <c r="CP988" s="4" t="s">
        <v>124</v>
      </c>
      <c r="CQ988" s="7">
        <v>0.38356200000000001</v>
      </c>
      <c r="CR988" s="7">
        <v>0.98648599999999997</v>
      </c>
      <c r="CS988" s="7">
        <v>25.570775999999999</v>
      </c>
      <c r="CT988" s="7">
        <v>50</v>
      </c>
      <c r="CU988" s="4" t="s">
        <v>124</v>
      </c>
      <c r="CV988" s="4" t="s">
        <v>124</v>
      </c>
      <c r="CW988" s="4" t="s">
        <v>124</v>
      </c>
      <c r="CX988" s="4" t="s">
        <v>124</v>
      </c>
      <c r="CY988" s="4" t="s">
        <v>124</v>
      </c>
      <c r="CZ988" s="4" t="s">
        <v>124</v>
      </c>
      <c r="DA988" s="7">
        <v>15.314097</v>
      </c>
      <c r="DB988" s="7">
        <v>17.400950000000002</v>
      </c>
      <c r="DC988" s="7">
        <v>16.332519999999999</v>
      </c>
      <c r="DD988" s="4" t="s">
        <v>124</v>
      </c>
      <c r="DE988" s="7">
        <v>0</v>
      </c>
      <c r="DF988" s="6"/>
      <c r="DG988" s="6"/>
      <c r="DH988" s="6"/>
      <c r="DI988" s="6"/>
      <c r="DJ988" s="7">
        <v>0</v>
      </c>
      <c r="DK988" s="7">
        <v>0</v>
      </c>
      <c r="DL988" s="7">
        <v>0</v>
      </c>
      <c r="DM988" s="7">
        <v>0</v>
      </c>
      <c r="DN988" s="7">
        <v>0</v>
      </c>
      <c r="DO988" s="7">
        <v>0</v>
      </c>
      <c r="DP988" s="6"/>
      <c r="DQ988" s="4" t="s">
        <v>125</v>
      </c>
    </row>
    <row r="989" spans="1:121" ht="20" customHeight="1" x14ac:dyDescent="0.15">
      <c r="A989" s="5">
        <v>2018</v>
      </c>
      <c r="B989" s="3" t="s">
        <v>142</v>
      </c>
      <c r="C989" s="4" t="str">
        <f t="shared" si="264"/>
        <v>1510011</v>
      </c>
      <c r="D989" s="4" t="s">
        <v>1134</v>
      </c>
      <c r="E989" s="4" t="str">
        <f>"1516711"</f>
        <v>1516711</v>
      </c>
      <c r="F989" s="4" t="s">
        <v>327</v>
      </c>
      <c r="G989" s="4" t="s">
        <v>328</v>
      </c>
      <c r="H989" s="7">
        <v>12</v>
      </c>
      <c r="I989" s="4" t="s">
        <v>335</v>
      </c>
      <c r="J989" s="4" t="s">
        <v>330</v>
      </c>
      <c r="K989" s="7">
        <v>1052.3517019999999</v>
      </c>
      <c r="L989" s="7">
        <v>1450</v>
      </c>
      <c r="M989" s="7">
        <v>72.575979000000004</v>
      </c>
      <c r="N989" s="7">
        <v>2</v>
      </c>
      <c r="O989" s="7">
        <v>0</v>
      </c>
      <c r="P989" s="7">
        <v>53.380389000000001</v>
      </c>
      <c r="Q989" s="7">
        <v>106.760777</v>
      </c>
      <c r="R989" s="7">
        <v>150</v>
      </c>
      <c r="S989" s="7">
        <v>52.756630999999999</v>
      </c>
      <c r="T989" s="7">
        <v>56.833333000000003</v>
      </c>
      <c r="U989" s="7">
        <v>105.513262</v>
      </c>
      <c r="V989" s="7">
        <v>150</v>
      </c>
      <c r="W989" s="7">
        <v>49.279598999999997</v>
      </c>
      <c r="X989" s="7">
        <v>98.559199000000007</v>
      </c>
      <c r="Y989" s="7">
        <v>150</v>
      </c>
      <c r="Z989" s="7">
        <v>55.458333000000003</v>
      </c>
      <c r="AA989" s="7">
        <v>48.163440999999999</v>
      </c>
      <c r="AB989" s="7">
        <v>96.326881999999998</v>
      </c>
      <c r="AC989" s="7">
        <v>150</v>
      </c>
      <c r="AD989" s="7">
        <v>53.712164000000001</v>
      </c>
      <c r="AE989" s="7">
        <v>71.616219000000001</v>
      </c>
      <c r="AF989" s="7">
        <v>100</v>
      </c>
      <c r="AG989" s="7">
        <v>53.293914999999998</v>
      </c>
      <c r="AH989" s="7">
        <v>56.027473000000001</v>
      </c>
      <c r="AI989" s="7">
        <v>71.058553000000003</v>
      </c>
      <c r="AJ989" s="7">
        <v>100</v>
      </c>
      <c r="AK989" s="7">
        <v>4.07</v>
      </c>
      <c r="AL989" s="7">
        <v>7.29</v>
      </c>
      <c r="AM989" s="7">
        <v>2.73</v>
      </c>
      <c r="AN989" s="4" t="s">
        <v>124</v>
      </c>
      <c r="AO989" s="4" t="s">
        <v>124</v>
      </c>
      <c r="AP989" s="4" t="s">
        <v>124</v>
      </c>
      <c r="AQ989" s="4" t="s">
        <v>124</v>
      </c>
      <c r="AR989" s="4" t="s">
        <v>124</v>
      </c>
      <c r="AS989" s="4" t="s">
        <v>124</v>
      </c>
      <c r="AT989" s="4" t="s">
        <v>124</v>
      </c>
      <c r="AU989" s="4" t="s">
        <v>124</v>
      </c>
      <c r="AV989" s="4" t="s">
        <v>124</v>
      </c>
      <c r="AW989" s="4" t="s">
        <v>124</v>
      </c>
      <c r="AX989" s="4" t="s">
        <v>124</v>
      </c>
      <c r="AY989" s="4" t="s">
        <v>124</v>
      </c>
      <c r="AZ989" s="4" t="s">
        <v>124</v>
      </c>
      <c r="BA989" s="4" t="s">
        <v>124</v>
      </c>
      <c r="BB989" s="7">
        <v>0.42812699999999998</v>
      </c>
      <c r="BC989" s="7">
        <v>21.406338999999999</v>
      </c>
      <c r="BD989" s="7">
        <v>50</v>
      </c>
      <c r="BE989" s="7">
        <v>0.65073800000000004</v>
      </c>
      <c r="BF989" s="7">
        <v>32.536921</v>
      </c>
      <c r="BG989" s="7">
        <v>50</v>
      </c>
      <c r="BH989" s="7">
        <v>0</v>
      </c>
      <c r="BI989" s="7">
        <v>1</v>
      </c>
      <c r="BJ989" s="7">
        <v>1</v>
      </c>
      <c r="BK989" s="7">
        <v>1</v>
      </c>
      <c r="BL989" s="7">
        <v>1</v>
      </c>
      <c r="BM989" s="7">
        <v>1</v>
      </c>
      <c r="BN989" s="7">
        <v>1</v>
      </c>
      <c r="BO989" s="7">
        <v>1</v>
      </c>
      <c r="BP989" s="7">
        <v>1</v>
      </c>
      <c r="BQ989" s="7">
        <v>1</v>
      </c>
      <c r="BR989" s="7">
        <v>5.3030000000000001E-2</v>
      </c>
      <c r="BS989" s="7">
        <v>49.393939000000003</v>
      </c>
      <c r="BT989" s="7">
        <v>50</v>
      </c>
      <c r="BU989" s="7">
        <v>6.2121000000000003E-2</v>
      </c>
      <c r="BV989" s="7">
        <v>47.575758</v>
      </c>
      <c r="BW989" s="7">
        <v>50</v>
      </c>
      <c r="BX989" s="7">
        <v>0.92620899999999995</v>
      </c>
      <c r="BY989" s="7">
        <v>50</v>
      </c>
      <c r="BZ989" s="7">
        <v>50</v>
      </c>
      <c r="CA989" s="7">
        <v>0.24681900000000001</v>
      </c>
      <c r="CB989" s="7">
        <v>16.454623000000002</v>
      </c>
      <c r="CC989" s="7">
        <v>50</v>
      </c>
      <c r="CD989" s="7">
        <v>0.98499999999999999</v>
      </c>
      <c r="CE989" s="7">
        <v>50</v>
      </c>
      <c r="CF989" s="7">
        <v>50</v>
      </c>
      <c r="CG989" s="7">
        <v>0.96460199999999996</v>
      </c>
      <c r="CH989" s="7">
        <v>100</v>
      </c>
      <c r="CI989" s="7">
        <v>100</v>
      </c>
      <c r="CJ989" s="4" t="s">
        <v>124</v>
      </c>
      <c r="CK989" s="4" t="s">
        <v>124</v>
      </c>
      <c r="CL989" s="4" t="s">
        <v>124</v>
      </c>
      <c r="CM989" s="4" t="s">
        <v>124</v>
      </c>
      <c r="CN989" s="7">
        <v>0.84862400000000004</v>
      </c>
      <c r="CO989" s="7">
        <v>100</v>
      </c>
      <c r="CP989" s="7">
        <v>100</v>
      </c>
      <c r="CQ989" s="7">
        <v>0.35678399999999999</v>
      </c>
      <c r="CR989" s="7">
        <v>1</v>
      </c>
      <c r="CS989" s="7">
        <v>23.785595000000001</v>
      </c>
      <c r="CT989" s="7">
        <v>50</v>
      </c>
      <c r="CU989" s="7">
        <v>0.13636400000000001</v>
      </c>
      <c r="CV989" s="7">
        <v>11.363636</v>
      </c>
      <c r="CW989" s="7">
        <v>50</v>
      </c>
      <c r="CX989" s="4" t="s">
        <v>124</v>
      </c>
      <c r="CY989" s="4" t="s">
        <v>124</v>
      </c>
      <c r="CZ989" s="4" t="s">
        <v>124</v>
      </c>
      <c r="DA989" s="7">
        <v>15.314097</v>
      </c>
      <c r="DB989" s="7">
        <v>17.400950000000002</v>
      </c>
      <c r="DC989" s="7">
        <v>16.332519999999999</v>
      </c>
      <c r="DD989" s="4" t="s">
        <v>124</v>
      </c>
      <c r="DE989" s="7">
        <v>0</v>
      </c>
      <c r="DF989" s="6"/>
      <c r="DG989" s="6"/>
      <c r="DH989" s="6"/>
      <c r="DI989" s="6"/>
      <c r="DJ989" s="7">
        <v>0</v>
      </c>
      <c r="DK989" s="7">
        <v>0</v>
      </c>
      <c r="DL989" s="7">
        <v>0</v>
      </c>
      <c r="DM989" s="7">
        <v>0</v>
      </c>
      <c r="DN989" s="7">
        <v>0</v>
      </c>
      <c r="DO989" s="7">
        <v>0</v>
      </c>
      <c r="DP989" s="6"/>
      <c r="DQ989" s="4" t="s">
        <v>125</v>
      </c>
    </row>
    <row r="990" spans="1:121" ht="20" customHeight="1" x14ac:dyDescent="0.15">
      <c r="A990" s="5">
        <v>2018</v>
      </c>
      <c r="B990" s="3" t="s">
        <v>142</v>
      </c>
      <c r="C990" s="4" t="str">
        <f t="shared" si="264"/>
        <v>1510011</v>
      </c>
      <c r="D990" s="4" t="s">
        <v>1135</v>
      </c>
      <c r="E990" s="4" t="str">
        <f>"1510811"</f>
        <v>1510811</v>
      </c>
      <c r="F990" s="4" t="s">
        <v>327</v>
      </c>
      <c r="G990" s="4" t="s">
        <v>328</v>
      </c>
      <c r="H990" s="7">
        <v>5</v>
      </c>
      <c r="I990" s="4" t="s">
        <v>335</v>
      </c>
      <c r="J990" s="4" t="s">
        <v>330</v>
      </c>
      <c r="K990" s="7">
        <v>682.59184100000004</v>
      </c>
      <c r="L990" s="7">
        <v>950</v>
      </c>
      <c r="M990" s="7">
        <v>71.851772999999994</v>
      </c>
      <c r="N990" s="7">
        <v>2</v>
      </c>
      <c r="O990" s="7">
        <v>0</v>
      </c>
      <c r="P990" s="7">
        <v>64.795513</v>
      </c>
      <c r="Q990" s="7">
        <v>43.197009000000001</v>
      </c>
      <c r="R990" s="7">
        <v>50</v>
      </c>
      <c r="S990" s="7">
        <v>63.408794</v>
      </c>
      <c r="T990" s="4" t="s">
        <v>124</v>
      </c>
      <c r="U990" s="7">
        <v>42.272530000000003</v>
      </c>
      <c r="V990" s="7">
        <v>50</v>
      </c>
      <c r="W990" s="7">
        <v>61.871948000000003</v>
      </c>
      <c r="X990" s="7">
        <v>41.247965000000001</v>
      </c>
      <c r="Y990" s="7">
        <v>50</v>
      </c>
      <c r="Z990" s="4" t="s">
        <v>124</v>
      </c>
      <c r="AA990" s="7">
        <v>60.412112999999998</v>
      </c>
      <c r="AB990" s="7">
        <v>40.274742000000003</v>
      </c>
      <c r="AC990" s="7">
        <v>50</v>
      </c>
      <c r="AD990" s="7">
        <v>60.584355000000002</v>
      </c>
      <c r="AE990" s="7">
        <v>40.389569999999999</v>
      </c>
      <c r="AF990" s="7">
        <v>50</v>
      </c>
      <c r="AG990" s="7">
        <v>59.313600000000001</v>
      </c>
      <c r="AH990" s="4" t="s">
        <v>124</v>
      </c>
      <c r="AI990" s="7">
        <v>39.542400000000001</v>
      </c>
      <c r="AJ990" s="7">
        <v>50</v>
      </c>
      <c r="AK990" s="4" t="s">
        <v>124</v>
      </c>
      <c r="AL990" s="4" t="s">
        <v>124</v>
      </c>
      <c r="AM990" s="4" t="s">
        <v>124</v>
      </c>
      <c r="AN990" s="7">
        <v>0.48728300000000002</v>
      </c>
      <c r="AO990" s="7">
        <v>48.728316999999997</v>
      </c>
      <c r="AP990" s="7">
        <v>100</v>
      </c>
      <c r="AQ990" s="7">
        <v>0.67686500000000005</v>
      </c>
      <c r="AR990" s="7">
        <v>67.686525000000003</v>
      </c>
      <c r="AS990" s="7">
        <v>100</v>
      </c>
      <c r="AT990" s="7">
        <v>0.49338300000000002</v>
      </c>
      <c r="AU990" s="4" t="s">
        <v>124</v>
      </c>
      <c r="AV990" s="7">
        <v>49.338262999999998</v>
      </c>
      <c r="AW990" s="7">
        <v>100</v>
      </c>
      <c r="AX990" s="7">
        <v>0.65359</v>
      </c>
      <c r="AY990" s="4" t="s">
        <v>124</v>
      </c>
      <c r="AZ990" s="7">
        <v>65.359039999999993</v>
      </c>
      <c r="BA990" s="7">
        <v>100</v>
      </c>
      <c r="BB990" s="7">
        <v>0.64693599999999996</v>
      </c>
      <c r="BC990" s="7">
        <v>32.346778</v>
      </c>
      <c r="BD990" s="7">
        <v>50</v>
      </c>
      <c r="BE990" s="7">
        <v>0.54169400000000001</v>
      </c>
      <c r="BF990" s="7">
        <v>27.084699000000001</v>
      </c>
      <c r="BG990" s="7">
        <v>50</v>
      </c>
      <c r="BH990" s="7">
        <v>0</v>
      </c>
      <c r="BI990" s="7">
        <v>1</v>
      </c>
      <c r="BJ990" s="7">
        <v>1</v>
      </c>
      <c r="BK990" s="4" t="s">
        <v>124</v>
      </c>
      <c r="BL990" s="7">
        <v>1</v>
      </c>
      <c r="BM990" s="7">
        <v>1</v>
      </c>
      <c r="BN990" s="4" t="s">
        <v>124</v>
      </c>
      <c r="BO990" s="7">
        <v>1</v>
      </c>
      <c r="BP990" s="7">
        <v>1</v>
      </c>
      <c r="BQ990" s="4" t="s">
        <v>124</v>
      </c>
      <c r="BR990" s="7">
        <v>5.9603000000000003E-2</v>
      </c>
      <c r="BS990" s="7">
        <v>48.079470000000001</v>
      </c>
      <c r="BT990" s="7">
        <v>50</v>
      </c>
      <c r="BU990" s="7">
        <v>6.4777000000000001E-2</v>
      </c>
      <c r="BV990" s="7">
        <v>47.044533999999999</v>
      </c>
      <c r="BW990" s="7">
        <v>50</v>
      </c>
      <c r="BX990" s="4" t="s">
        <v>124</v>
      </c>
      <c r="BY990" s="4" t="s">
        <v>124</v>
      </c>
      <c r="BZ990" s="4" t="s">
        <v>124</v>
      </c>
      <c r="CA990" s="4" t="s">
        <v>124</v>
      </c>
      <c r="CB990" s="4" t="s">
        <v>124</v>
      </c>
      <c r="CC990" s="4" t="s">
        <v>124</v>
      </c>
      <c r="CD990" s="4" t="s">
        <v>124</v>
      </c>
      <c r="CE990" s="4" t="s">
        <v>124</v>
      </c>
      <c r="CF990" s="4" t="s">
        <v>124</v>
      </c>
      <c r="CG990" s="4" t="s">
        <v>124</v>
      </c>
      <c r="CH990" s="4" t="s">
        <v>124</v>
      </c>
      <c r="CI990" s="4" t="s">
        <v>124</v>
      </c>
      <c r="CJ990" s="4" t="s">
        <v>124</v>
      </c>
      <c r="CK990" s="4" t="s">
        <v>124</v>
      </c>
      <c r="CL990" s="4" t="s">
        <v>124</v>
      </c>
      <c r="CM990" s="4" t="s">
        <v>124</v>
      </c>
      <c r="CN990" s="4" t="s">
        <v>124</v>
      </c>
      <c r="CO990" s="4" t="s">
        <v>124</v>
      </c>
      <c r="CP990" s="4" t="s">
        <v>124</v>
      </c>
      <c r="CQ990" s="7">
        <v>0.9</v>
      </c>
      <c r="CR990" s="7">
        <v>0.98039200000000004</v>
      </c>
      <c r="CS990" s="7">
        <v>50</v>
      </c>
      <c r="CT990" s="7">
        <v>50</v>
      </c>
      <c r="CU990" s="4" t="s">
        <v>124</v>
      </c>
      <c r="CV990" s="4" t="s">
        <v>124</v>
      </c>
      <c r="CW990" s="4" t="s">
        <v>124</v>
      </c>
      <c r="CX990" s="4" t="s">
        <v>124</v>
      </c>
      <c r="CY990" s="4" t="s">
        <v>124</v>
      </c>
      <c r="CZ990" s="4" t="s">
        <v>124</v>
      </c>
      <c r="DA990" s="7">
        <v>15.314097</v>
      </c>
      <c r="DB990" s="7">
        <v>17.400950000000002</v>
      </c>
      <c r="DC990" s="7">
        <v>16.332519999999999</v>
      </c>
      <c r="DD990" s="4" t="s">
        <v>124</v>
      </c>
      <c r="DE990" s="7">
        <v>0</v>
      </c>
      <c r="DF990" s="6"/>
      <c r="DG990" s="6"/>
      <c r="DH990" s="6"/>
      <c r="DI990" s="6"/>
      <c r="DJ990" s="7">
        <v>0</v>
      </c>
      <c r="DK990" s="7">
        <v>0</v>
      </c>
      <c r="DL990" s="7">
        <v>0</v>
      </c>
      <c r="DM990" s="7">
        <v>0</v>
      </c>
      <c r="DN990" s="7">
        <v>0</v>
      </c>
      <c r="DO990" s="7">
        <v>0</v>
      </c>
      <c r="DP990" s="6"/>
      <c r="DQ990" s="4" t="s">
        <v>125</v>
      </c>
    </row>
    <row r="991" spans="1:121" ht="20" customHeight="1" x14ac:dyDescent="0.15">
      <c r="A991" s="5">
        <v>2018</v>
      </c>
      <c r="B991" s="3" t="s">
        <v>142</v>
      </c>
      <c r="C991" s="4" t="str">
        <f t="shared" si="264"/>
        <v>1510011</v>
      </c>
      <c r="D991" s="4" t="s">
        <v>633</v>
      </c>
      <c r="E991" s="4" t="str">
        <f>"1515211"</f>
        <v>1515211</v>
      </c>
      <c r="F991" s="4" t="s">
        <v>327</v>
      </c>
      <c r="G991" s="7">
        <v>6</v>
      </c>
      <c r="H991" s="7">
        <v>8</v>
      </c>
      <c r="I991" s="4" t="s">
        <v>335</v>
      </c>
      <c r="J991" s="4" t="s">
        <v>330</v>
      </c>
      <c r="K991" s="7">
        <v>546.56451900000002</v>
      </c>
      <c r="L991" s="7">
        <v>1000</v>
      </c>
      <c r="M991" s="7">
        <v>54.656452000000002</v>
      </c>
      <c r="N991" s="7">
        <v>5</v>
      </c>
      <c r="O991" s="7">
        <v>0</v>
      </c>
      <c r="P991" s="7">
        <v>53.729292000000001</v>
      </c>
      <c r="Q991" s="7">
        <v>35.819527999999998</v>
      </c>
      <c r="R991" s="7">
        <v>50</v>
      </c>
      <c r="S991" s="7">
        <v>52.402231999999998</v>
      </c>
      <c r="T991" s="7">
        <v>65.956140000000005</v>
      </c>
      <c r="U991" s="7">
        <v>34.934820999999999</v>
      </c>
      <c r="V991" s="7">
        <v>50</v>
      </c>
      <c r="W991" s="7">
        <v>41.965926000000003</v>
      </c>
      <c r="X991" s="7">
        <v>27.977284000000001</v>
      </c>
      <c r="Y991" s="7">
        <v>50</v>
      </c>
      <c r="Z991" s="7">
        <v>54.089635999999999</v>
      </c>
      <c r="AA991" s="7">
        <v>40.645228000000003</v>
      </c>
      <c r="AB991" s="7">
        <v>27.096819</v>
      </c>
      <c r="AC991" s="7">
        <v>50</v>
      </c>
      <c r="AD991" s="7">
        <v>48.062209000000003</v>
      </c>
      <c r="AE991" s="7">
        <v>32.041473000000003</v>
      </c>
      <c r="AF991" s="7">
        <v>50</v>
      </c>
      <c r="AG991" s="7">
        <v>47.325381999999998</v>
      </c>
      <c r="AH991" s="7">
        <v>54.595402</v>
      </c>
      <c r="AI991" s="7">
        <v>31.550255</v>
      </c>
      <c r="AJ991" s="7">
        <v>50</v>
      </c>
      <c r="AK991" s="7">
        <v>13.55</v>
      </c>
      <c r="AL991" s="7">
        <v>13.44</v>
      </c>
      <c r="AM991" s="7">
        <v>7.27</v>
      </c>
      <c r="AN991" s="7">
        <v>0.58727600000000002</v>
      </c>
      <c r="AO991" s="7">
        <v>58.727639000000003</v>
      </c>
      <c r="AP991" s="7">
        <v>100</v>
      </c>
      <c r="AQ991" s="7">
        <v>0.35498099999999999</v>
      </c>
      <c r="AR991" s="7">
        <v>35.498111999999999</v>
      </c>
      <c r="AS991" s="7">
        <v>100</v>
      </c>
      <c r="AT991" s="7">
        <v>0.58235400000000004</v>
      </c>
      <c r="AU991" s="7">
        <v>0.63844800000000002</v>
      </c>
      <c r="AV991" s="7">
        <v>58.235357999999998</v>
      </c>
      <c r="AW991" s="7">
        <v>100</v>
      </c>
      <c r="AX991" s="7">
        <v>0.34842400000000001</v>
      </c>
      <c r="AY991" s="7">
        <v>0.42288500000000001</v>
      </c>
      <c r="AZ991" s="7">
        <v>34.842365999999998</v>
      </c>
      <c r="BA991" s="7">
        <v>100</v>
      </c>
      <c r="BB991" s="7">
        <v>0.49958399999999997</v>
      </c>
      <c r="BC991" s="7">
        <v>24.979187</v>
      </c>
      <c r="BD991" s="7">
        <v>50</v>
      </c>
      <c r="BE991" s="7">
        <v>0.477302</v>
      </c>
      <c r="BF991" s="7">
        <v>23.865091</v>
      </c>
      <c r="BG991" s="7">
        <v>50</v>
      </c>
      <c r="BH991" s="7">
        <v>0</v>
      </c>
      <c r="BI991" s="7">
        <v>0.99597199999999997</v>
      </c>
      <c r="BJ991" s="7">
        <v>0.99552099999999999</v>
      </c>
      <c r="BK991" s="7">
        <v>1</v>
      </c>
      <c r="BL991" s="7">
        <v>0.99594700000000003</v>
      </c>
      <c r="BM991" s="7">
        <v>0.99549500000000002</v>
      </c>
      <c r="BN991" s="7">
        <v>1</v>
      </c>
      <c r="BO991" s="7">
        <v>0.99392100000000005</v>
      </c>
      <c r="BP991" s="7">
        <v>0.993174</v>
      </c>
      <c r="BQ991" s="7">
        <v>1</v>
      </c>
      <c r="BR991" s="7">
        <v>0.17617099999999999</v>
      </c>
      <c r="BS991" s="7">
        <v>24.765784</v>
      </c>
      <c r="BT991" s="7">
        <v>50</v>
      </c>
      <c r="BU991" s="7">
        <v>0.18459800000000001</v>
      </c>
      <c r="BV991" s="7">
        <v>23.080407999999998</v>
      </c>
      <c r="BW991" s="7">
        <v>50</v>
      </c>
      <c r="BX991" s="4" t="s">
        <v>124</v>
      </c>
      <c r="BY991" s="4" t="s">
        <v>124</v>
      </c>
      <c r="BZ991" s="4" t="s">
        <v>124</v>
      </c>
      <c r="CA991" s="4" t="s">
        <v>124</v>
      </c>
      <c r="CB991" s="4" t="s">
        <v>124</v>
      </c>
      <c r="CC991" s="4" t="s">
        <v>124</v>
      </c>
      <c r="CD991" s="7">
        <v>0.81911299999999998</v>
      </c>
      <c r="CE991" s="7">
        <v>43.569820999999997</v>
      </c>
      <c r="CF991" s="7">
        <v>50</v>
      </c>
      <c r="CG991" s="4" t="s">
        <v>124</v>
      </c>
      <c r="CH991" s="4" t="s">
        <v>124</v>
      </c>
      <c r="CI991" s="4" t="s">
        <v>124</v>
      </c>
      <c r="CJ991" s="4" t="s">
        <v>124</v>
      </c>
      <c r="CK991" s="4" t="s">
        <v>124</v>
      </c>
      <c r="CL991" s="4" t="s">
        <v>124</v>
      </c>
      <c r="CM991" s="4" t="s">
        <v>124</v>
      </c>
      <c r="CN991" s="4" t="s">
        <v>124</v>
      </c>
      <c r="CO991" s="4" t="s">
        <v>124</v>
      </c>
      <c r="CP991" s="4" t="s">
        <v>124</v>
      </c>
      <c r="CQ991" s="7">
        <v>0.44370900000000002</v>
      </c>
      <c r="CR991" s="7">
        <v>1.1086640000000001</v>
      </c>
      <c r="CS991" s="7">
        <v>29.580573999999999</v>
      </c>
      <c r="CT991" s="7">
        <v>50</v>
      </c>
      <c r="CU991" s="4" t="s">
        <v>124</v>
      </c>
      <c r="CV991" s="4" t="s">
        <v>124</v>
      </c>
      <c r="CW991" s="4" t="s">
        <v>124</v>
      </c>
      <c r="CX991" s="4" t="s">
        <v>124</v>
      </c>
      <c r="CY991" s="4" t="s">
        <v>124</v>
      </c>
      <c r="CZ991" s="4" t="s">
        <v>124</v>
      </c>
      <c r="DA991" s="7">
        <v>15.314097</v>
      </c>
      <c r="DB991" s="7">
        <v>17.400950000000002</v>
      </c>
      <c r="DC991" s="7">
        <v>16.332519999999999</v>
      </c>
      <c r="DD991" s="4" t="s">
        <v>124</v>
      </c>
      <c r="DE991" s="7">
        <v>0</v>
      </c>
      <c r="DF991" s="4" t="s">
        <v>375</v>
      </c>
      <c r="DG991" s="4" t="s">
        <v>376</v>
      </c>
      <c r="DH991" s="6"/>
      <c r="DI991" s="6"/>
      <c r="DJ991" s="7">
        <v>0</v>
      </c>
      <c r="DK991" s="7">
        <v>0</v>
      </c>
      <c r="DL991" s="7">
        <v>0</v>
      </c>
      <c r="DM991" s="7">
        <v>0</v>
      </c>
      <c r="DN991" s="7">
        <v>0</v>
      </c>
      <c r="DO991" s="7">
        <v>0</v>
      </c>
      <c r="DP991" s="6"/>
      <c r="DQ991" s="4" t="s">
        <v>125</v>
      </c>
    </row>
    <row r="992" spans="1:121" ht="20" customHeight="1" x14ac:dyDescent="0.15">
      <c r="A992" s="5">
        <v>2018</v>
      </c>
      <c r="B992" s="3" t="s">
        <v>142</v>
      </c>
      <c r="C992" s="4" t="str">
        <f t="shared" si="264"/>
        <v>1510011</v>
      </c>
      <c r="D992" s="4" t="s">
        <v>1136</v>
      </c>
      <c r="E992" s="4" t="str">
        <f>"1516311"</f>
        <v>1516311</v>
      </c>
      <c r="F992" s="4" t="s">
        <v>327</v>
      </c>
      <c r="G992" s="7">
        <v>9</v>
      </c>
      <c r="H992" s="7">
        <v>12</v>
      </c>
      <c r="I992" s="4" t="s">
        <v>335</v>
      </c>
      <c r="J992" s="4" t="s">
        <v>330</v>
      </c>
      <c r="K992" s="7">
        <v>771.09048800000005</v>
      </c>
      <c r="L992" s="7">
        <v>1550</v>
      </c>
      <c r="M992" s="7">
        <v>49.747773000000002</v>
      </c>
      <c r="N992" s="7">
        <v>5</v>
      </c>
      <c r="O992" s="7">
        <v>0</v>
      </c>
      <c r="P992" s="7">
        <v>38.25</v>
      </c>
      <c r="Q992" s="7">
        <v>76.5</v>
      </c>
      <c r="R992" s="7">
        <v>150</v>
      </c>
      <c r="S992" s="7">
        <v>37.821362999999998</v>
      </c>
      <c r="T992" s="4" t="s">
        <v>124</v>
      </c>
      <c r="U992" s="7">
        <v>75.642725999999996</v>
      </c>
      <c r="V992" s="7">
        <v>150</v>
      </c>
      <c r="W992" s="7">
        <v>32.419753</v>
      </c>
      <c r="X992" s="7">
        <v>64.839506</v>
      </c>
      <c r="Y992" s="7">
        <v>150</v>
      </c>
      <c r="Z992" s="4" t="s">
        <v>124</v>
      </c>
      <c r="AA992" s="7">
        <v>32.122160999999998</v>
      </c>
      <c r="AB992" s="7">
        <v>64.244321999999997</v>
      </c>
      <c r="AC992" s="7">
        <v>150</v>
      </c>
      <c r="AD992" s="7">
        <v>38.231121000000002</v>
      </c>
      <c r="AE992" s="7">
        <v>50.974829</v>
      </c>
      <c r="AF992" s="7">
        <v>100</v>
      </c>
      <c r="AG992" s="7">
        <v>37.779682999999999</v>
      </c>
      <c r="AH992" s="4" t="s">
        <v>124</v>
      </c>
      <c r="AI992" s="7">
        <v>50.372909999999997</v>
      </c>
      <c r="AJ992" s="7">
        <v>100</v>
      </c>
      <c r="AK992" s="4" t="s">
        <v>124</v>
      </c>
      <c r="AL992" s="4" t="s">
        <v>124</v>
      </c>
      <c r="AM992" s="4" t="s">
        <v>124</v>
      </c>
      <c r="AN992" s="4" t="s">
        <v>124</v>
      </c>
      <c r="AO992" s="4" t="s">
        <v>124</v>
      </c>
      <c r="AP992" s="4" t="s">
        <v>124</v>
      </c>
      <c r="AQ992" s="4" t="s">
        <v>124</v>
      </c>
      <c r="AR992" s="4" t="s">
        <v>124</v>
      </c>
      <c r="AS992" s="4" t="s">
        <v>124</v>
      </c>
      <c r="AT992" s="4" t="s">
        <v>124</v>
      </c>
      <c r="AU992" s="4" t="s">
        <v>124</v>
      </c>
      <c r="AV992" s="4" t="s">
        <v>124</v>
      </c>
      <c r="AW992" s="4" t="s">
        <v>124</v>
      </c>
      <c r="AX992" s="4" t="s">
        <v>124</v>
      </c>
      <c r="AY992" s="4" t="s">
        <v>124</v>
      </c>
      <c r="AZ992" s="4" t="s">
        <v>124</v>
      </c>
      <c r="BA992" s="4" t="s">
        <v>124</v>
      </c>
      <c r="BB992" s="7">
        <v>0.41834300000000002</v>
      </c>
      <c r="BC992" s="7">
        <v>20.917141000000001</v>
      </c>
      <c r="BD992" s="7">
        <v>50</v>
      </c>
      <c r="BE992" s="7">
        <v>0.38743699999999998</v>
      </c>
      <c r="BF992" s="7">
        <v>19.371839000000001</v>
      </c>
      <c r="BG992" s="7">
        <v>50</v>
      </c>
      <c r="BH992" s="7">
        <v>1</v>
      </c>
      <c r="BI992" s="7">
        <v>0.94537800000000005</v>
      </c>
      <c r="BJ992" s="7">
        <v>0.940639</v>
      </c>
      <c r="BK992" s="4" t="s">
        <v>124</v>
      </c>
      <c r="BL992" s="7">
        <v>0.94537800000000005</v>
      </c>
      <c r="BM992" s="7">
        <v>0.940639</v>
      </c>
      <c r="BN992" s="4" t="s">
        <v>124</v>
      </c>
      <c r="BO992" s="7">
        <v>0.97107399999999999</v>
      </c>
      <c r="BP992" s="7">
        <v>0.96860999999999997</v>
      </c>
      <c r="BQ992" s="4" t="s">
        <v>124</v>
      </c>
      <c r="BR992" s="7">
        <v>0.29689100000000002</v>
      </c>
      <c r="BS992" s="7">
        <v>0.62186600000000003</v>
      </c>
      <c r="BT992" s="7">
        <v>50</v>
      </c>
      <c r="BU992" s="7">
        <v>0.309471</v>
      </c>
      <c r="BV992" s="7">
        <v>0</v>
      </c>
      <c r="BW992" s="7">
        <v>50</v>
      </c>
      <c r="BX992" s="7">
        <v>0.54488499999999995</v>
      </c>
      <c r="BY992" s="7">
        <v>36.325678000000003</v>
      </c>
      <c r="BZ992" s="7">
        <v>50</v>
      </c>
      <c r="CA992" s="7">
        <v>4.3840999999999998E-2</v>
      </c>
      <c r="CB992" s="7">
        <v>2.9227560000000001</v>
      </c>
      <c r="CC992" s="7">
        <v>50</v>
      </c>
      <c r="CD992" s="7">
        <v>0.67984199999999995</v>
      </c>
      <c r="CE992" s="7">
        <v>36.161802999999999</v>
      </c>
      <c r="CF992" s="7">
        <v>50</v>
      </c>
      <c r="CG992" s="7">
        <v>0.71133999999999997</v>
      </c>
      <c r="CH992" s="7">
        <v>75.674490000000006</v>
      </c>
      <c r="CI992" s="7">
        <v>100</v>
      </c>
      <c r="CJ992" s="7">
        <v>0</v>
      </c>
      <c r="CK992" s="7">
        <v>0.81569999999999998</v>
      </c>
      <c r="CL992" s="7">
        <v>86.776559000000006</v>
      </c>
      <c r="CM992" s="7">
        <v>100</v>
      </c>
      <c r="CN992" s="7">
        <v>0.53917099999999996</v>
      </c>
      <c r="CO992" s="7">
        <v>71.889401000000007</v>
      </c>
      <c r="CP992" s="7">
        <v>100</v>
      </c>
      <c r="CQ992" s="7">
        <v>0.116466</v>
      </c>
      <c r="CR992" s="7">
        <v>0.93258399999999997</v>
      </c>
      <c r="CS992" s="7">
        <v>7.7643909999999998</v>
      </c>
      <c r="CT992" s="7">
        <v>50</v>
      </c>
      <c r="CU992" s="7">
        <v>0.36108299999999999</v>
      </c>
      <c r="CV992" s="7">
        <v>30.090271000000001</v>
      </c>
      <c r="CW992" s="7">
        <v>50</v>
      </c>
      <c r="CX992" s="7">
        <v>0.81569999999999998</v>
      </c>
      <c r="CY992" s="7">
        <v>0.868421</v>
      </c>
      <c r="CZ992" s="7">
        <v>5.2720999999999997E-2</v>
      </c>
      <c r="DA992" s="7">
        <v>15.314097</v>
      </c>
      <c r="DB992" s="7">
        <v>17.400950000000002</v>
      </c>
      <c r="DC992" s="7">
        <v>16.332519999999999</v>
      </c>
      <c r="DD992" s="7">
        <v>7.9891730000000001</v>
      </c>
      <c r="DE992" s="7">
        <v>1</v>
      </c>
      <c r="DF992" s="4" t="s">
        <v>375</v>
      </c>
      <c r="DG992" s="4" t="s">
        <v>376</v>
      </c>
      <c r="DH992" s="6"/>
      <c r="DI992" s="6"/>
      <c r="DJ992" s="7">
        <v>0</v>
      </c>
      <c r="DK992" s="7">
        <v>0</v>
      </c>
      <c r="DL992" s="7">
        <v>0</v>
      </c>
      <c r="DM992" s="7">
        <v>0</v>
      </c>
      <c r="DN992" s="7">
        <v>0</v>
      </c>
      <c r="DO992" s="7">
        <v>0</v>
      </c>
      <c r="DP992" s="6"/>
      <c r="DQ992" s="4" t="s">
        <v>125</v>
      </c>
    </row>
    <row r="993" spans="1:121" ht="20" customHeight="1" x14ac:dyDescent="0.15">
      <c r="A993" s="5">
        <v>2018</v>
      </c>
      <c r="B993" s="3" t="s">
        <v>142</v>
      </c>
      <c r="C993" s="4" t="str">
        <f t="shared" si="264"/>
        <v>1510011</v>
      </c>
      <c r="D993" s="4" t="s">
        <v>1137</v>
      </c>
      <c r="E993" s="4" t="str">
        <f>"1513211"</f>
        <v>1513211</v>
      </c>
      <c r="F993" s="4" t="s">
        <v>327</v>
      </c>
      <c r="G993" s="4" t="s">
        <v>328</v>
      </c>
      <c r="H993" s="7">
        <v>5</v>
      </c>
      <c r="I993" s="4" t="s">
        <v>335</v>
      </c>
      <c r="J993" s="4" t="s">
        <v>330</v>
      </c>
      <c r="K993" s="7">
        <v>611.32983000000002</v>
      </c>
      <c r="L993" s="7">
        <v>950</v>
      </c>
      <c r="M993" s="7">
        <v>64.350508000000005</v>
      </c>
      <c r="N993" s="7">
        <v>3</v>
      </c>
      <c r="O993" s="7">
        <v>0</v>
      </c>
      <c r="P993" s="7">
        <v>54.717899000000003</v>
      </c>
      <c r="Q993" s="7">
        <v>36.4786</v>
      </c>
      <c r="R993" s="7">
        <v>50</v>
      </c>
      <c r="S993" s="7">
        <v>54.678671000000001</v>
      </c>
      <c r="T993" s="4" t="s">
        <v>124</v>
      </c>
      <c r="U993" s="7">
        <v>36.452447999999997</v>
      </c>
      <c r="V993" s="7">
        <v>50</v>
      </c>
      <c r="W993" s="7">
        <v>52.215947999999997</v>
      </c>
      <c r="X993" s="7">
        <v>34.810631999999998</v>
      </c>
      <c r="Y993" s="7">
        <v>50</v>
      </c>
      <c r="Z993" s="4" t="s">
        <v>124</v>
      </c>
      <c r="AA993" s="7">
        <v>52.205632000000001</v>
      </c>
      <c r="AB993" s="7">
        <v>34.803755000000002</v>
      </c>
      <c r="AC993" s="7">
        <v>50</v>
      </c>
      <c r="AD993" s="7">
        <v>58.189964000000003</v>
      </c>
      <c r="AE993" s="7">
        <v>38.793309000000001</v>
      </c>
      <c r="AF993" s="7">
        <v>50</v>
      </c>
      <c r="AG993" s="7">
        <v>58.189964000000003</v>
      </c>
      <c r="AH993" s="4" t="s">
        <v>124</v>
      </c>
      <c r="AI993" s="7">
        <v>38.793309000000001</v>
      </c>
      <c r="AJ993" s="7">
        <v>50</v>
      </c>
      <c r="AK993" s="4" t="s">
        <v>124</v>
      </c>
      <c r="AL993" s="4" t="s">
        <v>124</v>
      </c>
      <c r="AM993" s="4" t="s">
        <v>124</v>
      </c>
      <c r="AN993" s="7">
        <v>0.62857600000000002</v>
      </c>
      <c r="AO993" s="7">
        <v>62.857554999999998</v>
      </c>
      <c r="AP993" s="7">
        <v>100</v>
      </c>
      <c r="AQ993" s="7">
        <v>0.58059700000000003</v>
      </c>
      <c r="AR993" s="7">
        <v>58.059697999999997</v>
      </c>
      <c r="AS993" s="7">
        <v>100</v>
      </c>
      <c r="AT993" s="7">
        <v>0.62309400000000004</v>
      </c>
      <c r="AU993" s="4" t="s">
        <v>124</v>
      </c>
      <c r="AV993" s="7">
        <v>62.309387000000001</v>
      </c>
      <c r="AW993" s="7">
        <v>100</v>
      </c>
      <c r="AX993" s="7">
        <v>0.57455699999999998</v>
      </c>
      <c r="AY993" s="4" t="s">
        <v>124</v>
      </c>
      <c r="AZ993" s="7">
        <v>57.455741000000003</v>
      </c>
      <c r="BA993" s="7">
        <v>100</v>
      </c>
      <c r="BB993" s="7">
        <v>0.55621100000000001</v>
      </c>
      <c r="BC993" s="7">
        <v>27.810565</v>
      </c>
      <c r="BD993" s="7">
        <v>50</v>
      </c>
      <c r="BE993" s="7">
        <v>0.34654499999999999</v>
      </c>
      <c r="BF993" s="7">
        <v>17.327256999999999</v>
      </c>
      <c r="BG993" s="7">
        <v>50</v>
      </c>
      <c r="BH993" s="7">
        <v>0</v>
      </c>
      <c r="BI993" s="7">
        <v>1</v>
      </c>
      <c r="BJ993" s="7">
        <v>1</v>
      </c>
      <c r="BK993" s="4" t="s">
        <v>124</v>
      </c>
      <c r="BL993" s="7">
        <v>1</v>
      </c>
      <c r="BM993" s="7">
        <v>1</v>
      </c>
      <c r="BN993" s="4" t="s">
        <v>124</v>
      </c>
      <c r="BO993" s="7">
        <v>1</v>
      </c>
      <c r="BP993" s="7">
        <v>1</v>
      </c>
      <c r="BQ993" s="4" t="s">
        <v>124</v>
      </c>
      <c r="BR993" s="7">
        <v>0.15789500000000001</v>
      </c>
      <c r="BS993" s="7">
        <v>28.421053000000001</v>
      </c>
      <c r="BT993" s="7">
        <v>50</v>
      </c>
      <c r="BU993" s="7">
        <v>0.165217</v>
      </c>
      <c r="BV993" s="7">
        <v>26.956522</v>
      </c>
      <c r="BW993" s="7">
        <v>50</v>
      </c>
      <c r="BX993" s="4" t="s">
        <v>124</v>
      </c>
      <c r="BY993" s="4" t="s">
        <v>124</v>
      </c>
      <c r="BZ993" s="4" t="s">
        <v>124</v>
      </c>
      <c r="CA993" s="4" t="s">
        <v>124</v>
      </c>
      <c r="CB993" s="4" t="s">
        <v>124</v>
      </c>
      <c r="CC993" s="4" t="s">
        <v>124</v>
      </c>
      <c r="CD993" s="4" t="s">
        <v>124</v>
      </c>
      <c r="CE993" s="4" t="s">
        <v>124</v>
      </c>
      <c r="CF993" s="4" t="s">
        <v>124</v>
      </c>
      <c r="CG993" s="4" t="s">
        <v>124</v>
      </c>
      <c r="CH993" s="4" t="s">
        <v>124</v>
      </c>
      <c r="CI993" s="4" t="s">
        <v>124</v>
      </c>
      <c r="CJ993" s="4" t="s">
        <v>124</v>
      </c>
      <c r="CK993" s="4" t="s">
        <v>124</v>
      </c>
      <c r="CL993" s="4" t="s">
        <v>124</v>
      </c>
      <c r="CM993" s="4" t="s">
        <v>124</v>
      </c>
      <c r="CN993" s="4" t="s">
        <v>124</v>
      </c>
      <c r="CO993" s="4" t="s">
        <v>124</v>
      </c>
      <c r="CP993" s="4" t="s">
        <v>124</v>
      </c>
      <c r="CQ993" s="7">
        <v>0.79545500000000002</v>
      </c>
      <c r="CR993" s="7">
        <v>0.97777800000000004</v>
      </c>
      <c r="CS993" s="7">
        <v>50</v>
      </c>
      <c r="CT993" s="7">
        <v>50</v>
      </c>
      <c r="CU993" s="4" t="s">
        <v>124</v>
      </c>
      <c r="CV993" s="4" t="s">
        <v>124</v>
      </c>
      <c r="CW993" s="4" t="s">
        <v>124</v>
      </c>
      <c r="CX993" s="4" t="s">
        <v>124</v>
      </c>
      <c r="CY993" s="4" t="s">
        <v>124</v>
      </c>
      <c r="CZ993" s="4" t="s">
        <v>124</v>
      </c>
      <c r="DA993" s="7">
        <v>15.314097</v>
      </c>
      <c r="DB993" s="7">
        <v>17.400950000000002</v>
      </c>
      <c r="DC993" s="7">
        <v>16.332519999999999</v>
      </c>
      <c r="DD993" s="4" t="s">
        <v>124</v>
      </c>
      <c r="DE993" s="7">
        <v>0</v>
      </c>
      <c r="DF993" s="6"/>
      <c r="DG993" s="6"/>
      <c r="DH993" s="6"/>
      <c r="DI993" s="6"/>
      <c r="DJ993" s="7">
        <v>0</v>
      </c>
      <c r="DK993" s="7">
        <v>0</v>
      </c>
      <c r="DL993" s="7">
        <v>0</v>
      </c>
      <c r="DM993" s="7">
        <v>0</v>
      </c>
      <c r="DN993" s="7">
        <v>0</v>
      </c>
      <c r="DO993" s="7">
        <v>0</v>
      </c>
      <c r="DP993" s="6"/>
      <c r="DQ993" s="4" t="s">
        <v>125</v>
      </c>
    </row>
    <row r="994" spans="1:121" ht="20" customHeight="1" x14ac:dyDescent="0.15">
      <c r="A994" s="5">
        <v>2018</v>
      </c>
      <c r="B994" s="3" t="s">
        <v>230</v>
      </c>
      <c r="C994" s="4" t="str">
        <f t="shared" si="105"/>
        <v>1520011</v>
      </c>
      <c r="D994" s="4" t="s">
        <v>1138</v>
      </c>
      <c r="E994" s="4" t="str">
        <f>"1525111"</f>
        <v>1525111</v>
      </c>
      <c r="F994" s="4" t="s">
        <v>327</v>
      </c>
      <c r="G994" s="7">
        <v>6</v>
      </c>
      <c r="H994" s="7">
        <v>8</v>
      </c>
      <c r="I994" s="4" t="s">
        <v>329</v>
      </c>
      <c r="J994" s="4" t="s">
        <v>330</v>
      </c>
      <c r="K994" s="7">
        <v>726.66178400000001</v>
      </c>
      <c r="L994" s="7">
        <v>900</v>
      </c>
      <c r="M994" s="7">
        <v>80.740198000000007</v>
      </c>
      <c r="N994" s="7">
        <v>2</v>
      </c>
      <c r="O994" s="7">
        <v>0</v>
      </c>
      <c r="P994" s="7">
        <v>76.202078999999998</v>
      </c>
      <c r="Q994" s="7">
        <v>50</v>
      </c>
      <c r="R994" s="7">
        <v>50</v>
      </c>
      <c r="S994" s="7">
        <v>65.517977000000002</v>
      </c>
      <c r="T994" s="7">
        <v>75</v>
      </c>
      <c r="U994" s="7">
        <v>43.678651000000002</v>
      </c>
      <c r="V994" s="7">
        <v>50</v>
      </c>
      <c r="W994" s="7">
        <v>71.876681000000005</v>
      </c>
      <c r="X994" s="7">
        <v>47.917786999999997</v>
      </c>
      <c r="Y994" s="7">
        <v>50</v>
      </c>
      <c r="Z994" s="7">
        <v>75</v>
      </c>
      <c r="AA994" s="7">
        <v>60.105299000000002</v>
      </c>
      <c r="AB994" s="7">
        <v>40.070199000000002</v>
      </c>
      <c r="AC994" s="7">
        <v>50</v>
      </c>
      <c r="AD994" s="7">
        <v>73.586016999999998</v>
      </c>
      <c r="AE994" s="7">
        <v>49.057344999999998</v>
      </c>
      <c r="AF994" s="7">
        <v>50</v>
      </c>
      <c r="AG994" s="7">
        <v>63.628808999999997</v>
      </c>
      <c r="AH994" s="7">
        <v>75</v>
      </c>
      <c r="AI994" s="7">
        <v>42.419206000000003</v>
      </c>
      <c r="AJ994" s="7">
        <v>50</v>
      </c>
      <c r="AK994" s="7">
        <v>9.48</v>
      </c>
      <c r="AL994" s="7">
        <v>14.89</v>
      </c>
      <c r="AM994" s="7">
        <v>11.37</v>
      </c>
      <c r="AN994" s="7">
        <v>0.66005400000000003</v>
      </c>
      <c r="AO994" s="7">
        <v>66.005394999999993</v>
      </c>
      <c r="AP994" s="7">
        <v>100</v>
      </c>
      <c r="AQ994" s="7">
        <v>0.79205199999999998</v>
      </c>
      <c r="AR994" s="7">
        <v>79.205183000000005</v>
      </c>
      <c r="AS994" s="7">
        <v>100</v>
      </c>
      <c r="AT994" s="7">
        <v>0.605518</v>
      </c>
      <c r="AU994" s="7">
        <v>0.69333800000000001</v>
      </c>
      <c r="AV994" s="7">
        <v>60.551797999999998</v>
      </c>
      <c r="AW994" s="7">
        <v>100</v>
      </c>
      <c r="AX994" s="7">
        <v>0.76034100000000004</v>
      </c>
      <c r="AY994" s="7">
        <v>0.81140500000000004</v>
      </c>
      <c r="AZ994" s="7">
        <v>76.034098999999998</v>
      </c>
      <c r="BA994" s="7">
        <v>100</v>
      </c>
      <c r="BB994" s="4" t="s">
        <v>124</v>
      </c>
      <c r="BC994" s="4" t="s">
        <v>124</v>
      </c>
      <c r="BD994" s="4" t="s">
        <v>124</v>
      </c>
      <c r="BE994" s="4" t="s">
        <v>124</v>
      </c>
      <c r="BF994" s="4" t="s">
        <v>124</v>
      </c>
      <c r="BG994" s="4" t="s">
        <v>124</v>
      </c>
      <c r="BH994" s="7">
        <v>0</v>
      </c>
      <c r="BI994" s="7">
        <v>0.99653999999999998</v>
      </c>
      <c r="BJ994" s="7">
        <v>0.99567099999999997</v>
      </c>
      <c r="BK994" s="7">
        <v>0.99711799999999995</v>
      </c>
      <c r="BL994" s="7">
        <v>0.99653999999999998</v>
      </c>
      <c r="BM994" s="7">
        <v>0.99567099999999997</v>
      </c>
      <c r="BN994" s="7">
        <v>0.99711799999999995</v>
      </c>
      <c r="BO994" s="7">
        <v>0.99481900000000001</v>
      </c>
      <c r="BP994" s="7">
        <v>0.98666699999999996</v>
      </c>
      <c r="BQ994" s="7">
        <v>1</v>
      </c>
      <c r="BR994" s="7">
        <v>5.8824000000000001E-2</v>
      </c>
      <c r="BS994" s="7">
        <v>48.235294000000003</v>
      </c>
      <c r="BT994" s="7">
        <v>50</v>
      </c>
      <c r="BU994" s="7">
        <v>0.11555600000000001</v>
      </c>
      <c r="BV994" s="7">
        <v>36.888888999999999</v>
      </c>
      <c r="BW994" s="7">
        <v>50</v>
      </c>
      <c r="BX994" s="4" t="s">
        <v>124</v>
      </c>
      <c r="BY994" s="4" t="s">
        <v>124</v>
      </c>
      <c r="BZ994" s="4" t="s">
        <v>124</v>
      </c>
      <c r="CA994" s="4" t="s">
        <v>124</v>
      </c>
      <c r="CB994" s="4" t="s">
        <v>124</v>
      </c>
      <c r="CC994" s="4" t="s">
        <v>124</v>
      </c>
      <c r="CD994" s="7">
        <v>0.94285699999999995</v>
      </c>
      <c r="CE994" s="7">
        <v>50</v>
      </c>
      <c r="CF994" s="7">
        <v>50</v>
      </c>
      <c r="CG994" s="4" t="s">
        <v>124</v>
      </c>
      <c r="CH994" s="4" t="s">
        <v>124</v>
      </c>
      <c r="CI994" s="4" t="s">
        <v>124</v>
      </c>
      <c r="CJ994" s="4" t="s">
        <v>124</v>
      </c>
      <c r="CK994" s="4" t="s">
        <v>124</v>
      </c>
      <c r="CL994" s="4" t="s">
        <v>124</v>
      </c>
      <c r="CM994" s="4" t="s">
        <v>124</v>
      </c>
      <c r="CN994" s="4" t="s">
        <v>124</v>
      </c>
      <c r="CO994" s="4" t="s">
        <v>124</v>
      </c>
      <c r="CP994" s="4" t="s">
        <v>124</v>
      </c>
      <c r="CQ994" s="7">
        <v>0.54896900000000004</v>
      </c>
      <c r="CR994" s="7">
        <v>0.95566499999999999</v>
      </c>
      <c r="CS994" s="7">
        <v>36.597937999999999</v>
      </c>
      <c r="CT994" s="7">
        <v>50</v>
      </c>
      <c r="CU994" s="4" t="s">
        <v>124</v>
      </c>
      <c r="CV994" s="4" t="s">
        <v>124</v>
      </c>
      <c r="CW994" s="4" t="s">
        <v>124</v>
      </c>
      <c r="CX994" s="4" t="s">
        <v>124</v>
      </c>
      <c r="CY994" s="4" t="s">
        <v>124</v>
      </c>
      <c r="CZ994" s="4" t="s">
        <v>124</v>
      </c>
      <c r="DA994" s="7">
        <v>15.314097</v>
      </c>
      <c r="DB994" s="7">
        <v>17.400950000000002</v>
      </c>
      <c r="DC994" s="7">
        <v>16.332519999999999</v>
      </c>
      <c r="DD994" s="4" t="s">
        <v>124</v>
      </c>
      <c r="DE994" s="7">
        <v>0</v>
      </c>
      <c r="DF994" s="6"/>
      <c r="DG994" s="6"/>
      <c r="DH994" s="6"/>
      <c r="DI994" s="6"/>
      <c r="DJ994" s="7">
        <v>0</v>
      </c>
      <c r="DK994" s="7">
        <v>0</v>
      </c>
      <c r="DL994" s="7">
        <v>0</v>
      </c>
      <c r="DM994" s="7">
        <v>0</v>
      </c>
      <c r="DN994" s="7">
        <v>0</v>
      </c>
      <c r="DO994" s="7">
        <v>0</v>
      </c>
      <c r="DP994" s="6"/>
      <c r="DQ994" s="4" t="s">
        <v>125</v>
      </c>
    </row>
    <row r="995" spans="1:121" ht="20" customHeight="1" x14ac:dyDescent="0.15">
      <c r="A995" s="5">
        <v>2018</v>
      </c>
      <c r="B995" s="3" t="s">
        <v>230</v>
      </c>
      <c r="C995" s="4" t="str">
        <f t="shared" ref="C995:C997" si="265">"1520011"</f>
        <v>1520011</v>
      </c>
      <c r="D995" s="4" t="s">
        <v>1139</v>
      </c>
      <c r="E995" s="4" t="str">
        <f>"1520211"</f>
        <v>1520211</v>
      </c>
      <c r="F995" s="4" t="s">
        <v>327</v>
      </c>
      <c r="G995" s="4" t="s">
        <v>328</v>
      </c>
      <c r="H995" s="7">
        <v>5</v>
      </c>
      <c r="I995" s="4" t="s">
        <v>329</v>
      </c>
      <c r="J995" s="4" t="s">
        <v>330</v>
      </c>
      <c r="K995" s="7">
        <v>682.55102299999999</v>
      </c>
      <c r="L995" s="7">
        <v>800</v>
      </c>
      <c r="M995" s="7">
        <v>85.318877999999998</v>
      </c>
      <c r="N995" s="7">
        <v>1</v>
      </c>
      <c r="O995" s="7">
        <v>0</v>
      </c>
      <c r="P995" s="7">
        <v>78.877594000000002</v>
      </c>
      <c r="Q995" s="7">
        <v>50</v>
      </c>
      <c r="R995" s="7">
        <v>50</v>
      </c>
      <c r="S995" s="7">
        <v>71.851517000000001</v>
      </c>
      <c r="T995" s="7">
        <v>75</v>
      </c>
      <c r="U995" s="7">
        <v>47.901010999999997</v>
      </c>
      <c r="V995" s="7">
        <v>50</v>
      </c>
      <c r="W995" s="7">
        <v>77.142097000000007</v>
      </c>
      <c r="X995" s="7">
        <v>50</v>
      </c>
      <c r="Y995" s="7">
        <v>50</v>
      </c>
      <c r="Z995" s="7">
        <v>75</v>
      </c>
      <c r="AA995" s="7">
        <v>70.459070999999994</v>
      </c>
      <c r="AB995" s="7">
        <v>46.972714000000003</v>
      </c>
      <c r="AC995" s="7">
        <v>50</v>
      </c>
      <c r="AD995" s="7">
        <v>74.917833000000002</v>
      </c>
      <c r="AE995" s="7">
        <v>49.945222000000001</v>
      </c>
      <c r="AF995" s="7">
        <v>50</v>
      </c>
      <c r="AG995" s="4" t="s">
        <v>124</v>
      </c>
      <c r="AH995" s="7">
        <v>75</v>
      </c>
      <c r="AI995" s="4" t="s">
        <v>124</v>
      </c>
      <c r="AJ995" s="4" t="s">
        <v>124</v>
      </c>
      <c r="AK995" s="7">
        <v>3.14</v>
      </c>
      <c r="AL995" s="7">
        <v>4.54</v>
      </c>
      <c r="AM995" s="4" t="s">
        <v>124</v>
      </c>
      <c r="AN995" s="7">
        <v>0.69122600000000001</v>
      </c>
      <c r="AO995" s="7">
        <v>69.122617000000005</v>
      </c>
      <c r="AP995" s="7">
        <v>100</v>
      </c>
      <c r="AQ995" s="7">
        <v>0.83305099999999999</v>
      </c>
      <c r="AR995" s="7">
        <v>83.305079000000006</v>
      </c>
      <c r="AS995" s="7">
        <v>100</v>
      </c>
      <c r="AT995" s="7">
        <v>0.68767599999999995</v>
      </c>
      <c r="AU995" s="7">
        <v>0.69333400000000001</v>
      </c>
      <c r="AV995" s="7">
        <v>68.767596999999995</v>
      </c>
      <c r="AW995" s="7">
        <v>100</v>
      </c>
      <c r="AX995" s="7">
        <v>0.91121200000000002</v>
      </c>
      <c r="AY995" s="7">
        <v>0.78664299999999998</v>
      </c>
      <c r="AZ995" s="7">
        <v>91.121194000000003</v>
      </c>
      <c r="BA995" s="7">
        <v>100</v>
      </c>
      <c r="BB995" s="4" t="s">
        <v>124</v>
      </c>
      <c r="BC995" s="4" t="s">
        <v>124</v>
      </c>
      <c r="BD995" s="4" t="s">
        <v>124</v>
      </c>
      <c r="BE995" s="4" t="s">
        <v>124</v>
      </c>
      <c r="BF995" s="4" t="s">
        <v>124</v>
      </c>
      <c r="BG995" s="4" t="s">
        <v>124</v>
      </c>
      <c r="BH995" s="7">
        <v>0</v>
      </c>
      <c r="BI995" s="7">
        <v>0.99375000000000002</v>
      </c>
      <c r="BJ995" s="7">
        <v>1</v>
      </c>
      <c r="BK995" s="7">
        <v>0.99019599999999997</v>
      </c>
      <c r="BL995" s="7">
        <v>0.99375000000000002</v>
      </c>
      <c r="BM995" s="7">
        <v>1</v>
      </c>
      <c r="BN995" s="7">
        <v>0.99019599999999997</v>
      </c>
      <c r="BO995" s="7">
        <v>1</v>
      </c>
      <c r="BP995" s="4" t="s">
        <v>124</v>
      </c>
      <c r="BQ995" s="7">
        <v>1</v>
      </c>
      <c r="BR995" s="7">
        <v>4.3749999999999997E-2</v>
      </c>
      <c r="BS995" s="7">
        <v>50</v>
      </c>
      <c r="BT995" s="7">
        <v>50</v>
      </c>
      <c r="BU995" s="7">
        <v>9.8361000000000004E-2</v>
      </c>
      <c r="BV995" s="7">
        <v>40.327869</v>
      </c>
      <c r="BW995" s="7">
        <v>50</v>
      </c>
      <c r="BX995" s="4" t="s">
        <v>124</v>
      </c>
      <c r="BY995" s="4" t="s">
        <v>124</v>
      </c>
      <c r="BZ995" s="4" t="s">
        <v>124</v>
      </c>
      <c r="CA995" s="4" t="s">
        <v>124</v>
      </c>
      <c r="CB995" s="4" t="s">
        <v>124</v>
      </c>
      <c r="CC995" s="4" t="s">
        <v>124</v>
      </c>
      <c r="CD995" s="4" t="s">
        <v>124</v>
      </c>
      <c r="CE995" s="4" t="s">
        <v>124</v>
      </c>
      <c r="CF995" s="4" t="s">
        <v>124</v>
      </c>
      <c r="CG995" s="4" t="s">
        <v>124</v>
      </c>
      <c r="CH995" s="4" t="s">
        <v>124</v>
      </c>
      <c r="CI995" s="4" t="s">
        <v>124</v>
      </c>
      <c r="CJ995" s="4" t="s">
        <v>124</v>
      </c>
      <c r="CK995" s="4" t="s">
        <v>124</v>
      </c>
      <c r="CL995" s="4" t="s">
        <v>124</v>
      </c>
      <c r="CM995" s="4" t="s">
        <v>124</v>
      </c>
      <c r="CN995" s="4" t="s">
        <v>124</v>
      </c>
      <c r="CO995" s="4" t="s">
        <v>124</v>
      </c>
      <c r="CP995" s="4" t="s">
        <v>124</v>
      </c>
      <c r="CQ995" s="7">
        <v>0.52631600000000001</v>
      </c>
      <c r="CR995" s="7">
        <v>1</v>
      </c>
      <c r="CS995" s="7">
        <v>35.087719</v>
      </c>
      <c r="CT995" s="7">
        <v>50</v>
      </c>
      <c r="CU995" s="4" t="s">
        <v>124</v>
      </c>
      <c r="CV995" s="4" t="s">
        <v>124</v>
      </c>
      <c r="CW995" s="4" t="s">
        <v>124</v>
      </c>
      <c r="CX995" s="4" t="s">
        <v>124</v>
      </c>
      <c r="CY995" s="4" t="s">
        <v>124</v>
      </c>
      <c r="CZ995" s="4" t="s">
        <v>124</v>
      </c>
      <c r="DA995" s="7">
        <v>15.314097</v>
      </c>
      <c r="DB995" s="7">
        <v>17.400950000000002</v>
      </c>
      <c r="DC995" s="7">
        <v>16.332519999999999</v>
      </c>
      <c r="DD995" s="4" t="s">
        <v>124</v>
      </c>
      <c r="DE995" s="7">
        <v>0</v>
      </c>
      <c r="DF995" s="6"/>
      <c r="DG995" s="6"/>
      <c r="DH995" s="4" t="s">
        <v>331</v>
      </c>
      <c r="DI995" s="4" t="s">
        <v>431</v>
      </c>
      <c r="DJ995" s="7">
        <v>0</v>
      </c>
      <c r="DK995" s="7">
        <v>0</v>
      </c>
      <c r="DL995" s="7">
        <v>0</v>
      </c>
      <c r="DM995" s="7">
        <v>0</v>
      </c>
      <c r="DN995" s="7">
        <v>1</v>
      </c>
      <c r="DO995" s="7">
        <v>0</v>
      </c>
      <c r="DP995" s="6"/>
      <c r="DQ995" s="4" t="s">
        <v>125</v>
      </c>
    </row>
    <row r="996" spans="1:121" ht="20" customHeight="1" x14ac:dyDescent="0.15">
      <c r="A996" s="5">
        <v>2018</v>
      </c>
      <c r="B996" s="3" t="s">
        <v>230</v>
      </c>
      <c r="C996" s="4" t="str">
        <f t="shared" si="265"/>
        <v>1520011</v>
      </c>
      <c r="D996" s="4" t="s">
        <v>1140</v>
      </c>
      <c r="E996" s="4" t="str">
        <f>"1520611"</f>
        <v>1520611</v>
      </c>
      <c r="F996" s="4" t="s">
        <v>327</v>
      </c>
      <c r="G996" s="4" t="s">
        <v>338</v>
      </c>
      <c r="H996" s="7">
        <v>5</v>
      </c>
      <c r="I996" s="4" t="s">
        <v>329</v>
      </c>
      <c r="J996" s="4" t="s">
        <v>330</v>
      </c>
      <c r="K996" s="7">
        <v>641.931827</v>
      </c>
      <c r="L996" s="7">
        <v>850</v>
      </c>
      <c r="M996" s="7">
        <v>75.521390999999994</v>
      </c>
      <c r="N996" s="7">
        <v>3</v>
      </c>
      <c r="O996" s="7">
        <v>1</v>
      </c>
      <c r="P996" s="7">
        <v>74.808644999999999</v>
      </c>
      <c r="Q996" s="7">
        <v>49.872430000000001</v>
      </c>
      <c r="R996" s="7">
        <v>50</v>
      </c>
      <c r="S996" s="7">
        <v>66.823379000000003</v>
      </c>
      <c r="T996" s="7">
        <v>75</v>
      </c>
      <c r="U996" s="7">
        <v>44.548920000000003</v>
      </c>
      <c r="V996" s="7">
        <v>50</v>
      </c>
      <c r="W996" s="7">
        <v>72.755018000000007</v>
      </c>
      <c r="X996" s="7">
        <v>48.503345000000003</v>
      </c>
      <c r="Y996" s="7">
        <v>50</v>
      </c>
      <c r="Z996" s="7">
        <v>75</v>
      </c>
      <c r="AA996" s="7">
        <v>64.191063</v>
      </c>
      <c r="AB996" s="7">
        <v>42.794041999999997</v>
      </c>
      <c r="AC996" s="7">
        <v>50</v>
      </c>
      <c r="AD996" s="7">
        <v>67.228695000000002</v>
      </c>
      <c r="AE996" s="7">
        <v>44.819130000000001</v>
      </c>
      <c r="AF996" s="7">
        <v>50</v>
      </c>
      <c r="AG996" s="7">
        <v>56.505006000000002</v>
      </c>
      <c r="AH996" s="7">
        <v>75</v>
      </c>
      <c r="AI996" s="7">
        <v>37.670003999999999</v>
      </c>
      <c r="AJ996" s="7">
        <v>50</v>
      </c>
      <c r="AK996" s="7">
        <v>8.17</v>
      </c>
      <c r="AL996" s="7">
        <v>10.8</v>
      </c>
      <c r="AM996" s="7">
        <v>18.489999999999998</v>
      </c>
      <c r="AN996" s="7">
        <v>0.55735800000000002</v>
      </c>
      <c r="AO996" s="7">
        <v>55.735810999999998</v>
      </c>
      <c r="AP996" s="7">
        <v>100</v>
      </c>
      <c r="AQ996" s="7">
        <v>0.67205400000000004</v>
      </c>
      <c r="AR996" s="7">
        <v>67.205434999999994</v>
      </c>
      <c r="AS996" s="7">
        <v>100</v>
      </c>
      <c r="AT996" s="7">
        <v>0.40003300000000003</v>
      </c>
      <c r="AU996" s="7">
        <v>0.67303800000000003</v>
      </c>
      <c r="AV996" s="7">
        <v>40.003284000000001</v>
      </c>
      <c r="AW996" s="7">
        <v>100</v>
      </c>
      <c r="AX996" s="7">
        <v>0.60779399999999995</v>
      </c>
      <c r="AY996" s="7">
        <v>0.71930400000000005</v>
      </c>
      <c r="AZ996" s="7">
        <v>60.779426000000001</v>
      </c>
      <c r="BA996" s="7">
        <v>100</v>
      </c>
      <c r="BB996" s="4" t="s">
        <v>124</v>
      </c>
      <c r="BC996" s="4" t="s">
        <v>124</v>
      </c>
      <c r="BD996" s="4" t="s">
        <v>124</v>
      </c>
      <c r="BE996" s="4" t="s">
        <v>124</v>
      </c>
      <c r="BF996" s="4" t="s">
        <v>124</v>
      </c>
      <c r="BG996" s="4" t="s">
        <v>124</v>
      </c>
      <c r="BH996" s="7">
        <v>0</v>
      </c>
      <c r="BI996" s="7">
        <v>1</v>
      </c>
      <c r="BJ996" s="7">
        <v>1</v>
      </c>
      <c r="BK996" s="7">
        <v>1</v>
      </c>
      <c r="BL996" s="7">
        <v>0.99465199999999998</v>
      </c>
      <c r="BM996" s="7">
        <v>0.98750000000000004</v>
      </c>
      <c r="BN996" s="7">
        <v>1</v>
      </c>
      <c r="BO996" s="7">
        <v>1</v>
      </c>
      <c r="BP996" s="7">
        <v>1</v>
      </c>
      <c r="BQ996" s="7">
        <v>1</v>
      </c>
      <c r="BR996" s="7">
        <v>2.1538000000000002E-2</v>
      </c>
      <c r="BS996" s="7">
        <v>50</v>
      </c>
      <c r="BT996" s="7">
        <v>50</v>
      </c>
      <c r="BU996" s="7">
        <v>4.6667E-2</v>
      </c>
      <c r="BV996" s="7">
        <v>50</v>
      </c>
      <c r="BW996" s="7">
        <v>50</v>
      </c>
      <c r="BX996" s="4" t="s">
        <v>124</v>
      </c>
      <c r="BY996" s="4" t="s">
        <v>124</v>
      </c>
      <c r="BZ996" s="4" t="s">
        <v>124</v>
      </c>
      <c r="CA996" s="4" t="s">
        <v>124</v>
      </c>
      <c r="CB996" s="4" t="s">
        <v>124</v>
      </c>
      <c r="CC996" s="4" t="s">
        <v>124</v>
      </c>
      <c r="CD996" s="4" t="s">
        <v>124</v>
      </c>
      <c r="CE996" s="4" t="s">
        <v>124</v>
      </c>
      <c r="CF996" s="4" t="s">
        <v>124</v>
      </c>
      <c r="CG996" s="4" t="s">
        <v>124</v>
      </c>
      <c r="CH996" s="4" t="s">
        <v>124</v>
      </c>
      <c r="CI996" s="4" t="s">
        <v>124</v>
      </c>
      <c r="CJ996" s="4" t="s">
        <v>124</v>
      </c>
      <c r="CK996" s="4" t="s">
        <v>124</v>
      </c>
      <c r="CL996" s="4" t="s">
        <v>124</v>
      </c>
      <c r="CM996" s="4" t="s">
        <v>124</v>
      </c>
      <c r="CN996" s="4" t="s">
        <v>124</v>
      </c>
      <c r="CO996" s="4" t="s">
        <v>124</v>
      </c>
      <c r="CP996" s="4" t="s">
        <v>124</v>
      </c>
      <c r="CQ996" s="7">
        <v>0.81481499999999996</v>
      </c>
      <c r="CR996" s="7">
        <v>1</v>
      </c>
      <c r="CS996" s="7">
        <v>50</v>
      </c>
      <c r="CT996" s="7">
        <v>50</v>
      </c>
      <c r="CU996" s="4" t="s">
        <v>124</v>
      </c>
      <c r="CV996" s="4" t="s">
        <v>124</v>
      </c>
      <c r="CW996" s="4" t="s">
        <v>124</v>
      </c>
      <c r="CX996" s="4" t="s">
        <v>124</v>
      </c>
      <c r="CY996" s="4" t="s">
        <v>124</v>
      </c>
      <c r="CZ996" s="4" t="s">
        <v>124</v>
      </c>
      <c r="DA996" s="7">
        <v>15.314097</v>
      </c>
      <c r="DB996" s="7">
        <v>17.400950000000002</v>
      </c>
      <c r="DC996" s="7">
        <v>16.332519999999999</v>
      </c>
      <c r="DD996" s="4" t="s">
        <v>124</v>
      </c>
      <c r="DE996" s="7">
        <v>1</v>
      </c>
      <c r="DF996" s="6"/>
      <c r="DG996" s="6"/>
      <c r="DH996" s="6"/>
      <c r="DI996" s="6"/>
      <c r="DJ996" s="7">
        <v>0</v>
      </c>
      <c r="DK996" s="7">
        <v>0</v>
      </c>
      <c r="DL996" s="7">
        <v>0</v>
      </c>
      <c r="DM996" s="7">
        <v>0</v>
      </c>
      <c r="DN996" s="7">
        <v>0</v>
      </c>
      <c r="DO996" s="7">
        <v>0</v>
      </c>
      <c r="DP996" s="6"/>
      <c r="DQ996" s="4" t="s">
        <v>125</v>
      </c>
    </row>
    <row r="997" spans="1:121" ht="20" customHeight="1" x14ac:dyDescent="0.15">
      <c r="A997" s="5">
        <v>2018</v>
      </c>
      <c r="B997" s="3" t="s">
        <v>230</v>
      </c>
      <c r="C997" s="4" t="str">
        <f t="shared" si="265"/>
        <v>1520011</v>
      </c>
      <c r="D997" s="4" t="s">
        <v>1141</v>
      </c>
      <c r="E997" s="4" t="str">
        <f>"1520711"</f>
        <v>1520711</v>
      </c>
      <c r="F997" s="4" t="s">
        <v>327</v>
      </c>
      <c r="G997" s="4" t="s">
        <v>338</v>
      </c>
      <c r="H997" s="7">
        <v>5</v>
      </c>
      <c r="I997" s="4" t="s">
        <v>329</v>
      </c>
      <c r="J997" s="4" t="s">
        <v>330</v>
      </c>
      <c r="K997" s="7">
        <v>636.58858399999997</v>
      </c>
      <c r="L997" s="7">
        <v>850</v>
      </c>
      <c r="M997" s="7">
        <v>74.892775</v>
      </c>
      <c r="N997" s="7">
        <v>2</v>
      </c>
      <c r="O997" s="7">
        <v>0</v>
      </c>
      <c r="P997" s="7">
        <v>74.913079999999994</v>
      </c>
      <c r="Q997" s="7">
        <v>49.942053000000001</v>
      </c>
      <c r="R997" s="7">
        <v>50</v>
      </c>
      <c r="S997" s="7">
        <v>63.833841999999997</v>
      </c>
      <c r="T997" s="7">
        <v>75</v>
      </c>
      <c r="U997" s="7">
        <v>42.555894000000002</v>
      </c>
      <c r="V997" s="7">
        <v>50</v>
      </c>
      <c r="W997" s="7">
        <v>73.728413000000003</v>
      </c>
      <c r="X997" s="7">
        <v>49.152276000000001</v>
      </c>
      <c r="Y997" s="7">
        <v>50</v>
      </c>
      <c r="Z997" s="7">
        <v>75</v>
      </c>
      <c r="AA997" s="7">
        <v>62.933875999999998</v>
      </c>
      <c r="AB997" s="7">
        <v>41.955916999999999</v>
      </c>
      <c r="AC997" s="7">
        <v>50</v>
      </c>
      <c r="AD997" s="7">
        <v>68.588234999999997</v>
      </c>
      <c r="AE997" s="7">
        <v>45.725490000000001</v>
      </c>
      <c r="AF997" s="7">
        <v>50</v>
      </c>
      <c r="AG997" s="7">
        <v>64.311457000000004</v>
      </c>
      <c r="AH997" s="7">
        <v>71.768404000000004</v>
      </c>
      <c r="AI997" s="7">
        <v>42.874305</v>
      </c>
      <c r="AJ997" s="7">
        <v>50</v>
      </c>
      <c r="AK997" s="7">
        <v>11.16</v>
      </c>
      <c r="AL997" s="7">
        <v>12.06</v>
      </c>
      <c r="AM997" s="7">
        <v>7.45</v>
      </c>
      <c r="AN997" s="7">
        <v>0.61812900000000004</v>
      </c>
      <c r="AO997" s="7">
        <v>61.812921000000003</v>
      </c>
      <c r="AP997" s="7">
        <v>100</v>
      </c>
      <c r="AQ997" s="7">
        <v>0.56489500000000004</v>
      </c>
      <c r="AR997" s="7">
        <v>56.489483999999997</v>
      </c>
      <c r="AS997" s="7">
        <v>100</v>
      </c>
      <c r="AT997" s="7">
        <v>0.57527799999999996</v>
      </c>
      <c r="AU997" s="7">
        <v>0.64729199999999998</v>
      </c>
      <c r="AV997" s="7">
        <v>57.527841000000002</v>
      </c>
      <c r="AW997" s="7">
        <v>100</v>
      </c>
      <c r="AX997" s="7">
        <v>0.60947300000000004</v>
      </c>
      <c r="AY997" s="7">
        <v>0.53455699999999995</v>
      </c>
      <c r="AZ997" s="7">
        <v>60.947263</v>
      </c>
      <c r="BA997" s="7">
        <v>100</v>
      </c>
      <c r="BB997" s="4" t="s">
        <v>124</v>
      </c>
      <c r="BC997" s="4" t="s">
        <v>124</v>
      </c>
      <c r="BD997" s="4" t="s">
        <v>124</v>
      </c>
      <c r="BE997" s="4" t="s">
        <v>124</v>
      </c>
      <c r="BF997" s="4" t="s">
        <v>124</v>
      </c>
      <c r="BG997" s="4" t="s">
        <v>124</v>
      </c>
      <c r="BH997" s="7">
        <v>0</v>
      </c>
      <c r="BI997" s="7">
        <v>1</v>
      </c>
      <c r="BJ997" s="7">
        <v>1</v>
      </c>
      <c r="BK997" s="7">
        <v>1</v>
      </c>
      <c r="BL997" s="7">
        <v>1</v>
      </c>
      <c r="BM997" s="7">
        <v>1</v>
      </c>
      <c r="BN997" s="7">
        <v>1</v>
      </c>
      <c r="BO997" s="7">
        <v>1</v>
      </c>
      <c r="BP997" s="7">
        <v>1</v>
      </c>
      <c r="BQ997" s="7">
        <v>1</v>
      </c>
      <c r="BR997" s="7">
        <v>5.0802E-2</v>
      </c>
      <c r="BS997" s="7">
        <v>49.839571999999997</v>
      </c>
      <c r="BT997" s="7">
        <v>50</v>
      </c>
      <c r="BU997" s="7">
        <v>8.9744000000000004E-2</v>
      </c>
      <c r="BV997" s="7">
        <v>42.051282</v>
      </c>
      <c r="BW997" s="7">
        <v>50</v>
      </c>
      <c r="BX997" s="4" t="s">
        <v>124</v>
      </c>
      <c r="BY997" s="4" t="s">
        <v>124</v>
      </c>
      <c r="BZ997" s="4" t="s">
        <v>124</v>
      </c>
      <c r="CA997" s="4" t="s">
        <v>124</v>
      </c>
      <c r="CB997" s="4" t="s">
        <v>124</v>
      </c>
      <c r="CC997" s="4" t="s">
        <v>124</v>
      </c>
      <c r="CD997" s="4" t="s">
        <v>124</v>
      </c>
      <c r="CE997" s="4" t="s">
        <v>124</v>
      </c>
      <c r="CF997" s="4" t="s">
        <v>124</v>
      </c>
      <c r="CG997" s="4" t="s">
        <v>124</v>
      </c>
      <c r="CH997" s="4" t="s">
        <v>124</v>
      </c>
      <c r="CI997" s="4" t="s">
        <v>124</v>
      </c>
      <c r="CJ997" s="4" t="s">
        <v>124</v>
      </c>
      <c r="CK997" s="4" t="s">
        <v>124</v>
      </c>
      <c r="CL997" s="4" t="s">
        <v>124</v>
      </c>
      <c r="CM997" s="4" t="s">
        <v>124</v>
      </c>
      <c r="CN997" s="4" t="s">
        <v>124</v>
      </c>
      <c r="CO997" s="4" t="s">
        <v>124</v>
      </c>
      <c r="CP997" s="4" t="s">
        <v>124</v>
      </c>
      <c r="CQ997" s="7">
        <v>0.53571400000000002</v>
      </c>
      <c r="CR997" s="7">
        <v>1</v>
      </c>
      <c r="CS997" s="7">
        <v>35.714286000000001</v>
      </c>
      <c r="CT997" s="7">
        <v>50</v>
      </c>
      <c r="CU997" s="4" t="s">
        <v>124</v>
      </c>
      <c r="CV997" s="4" t="s">
        <v>124</v>
      </c>
      <c r="CW997" s="4" t="s">
        <v>124</v>
      </c>
      <c r="CX997" s="4" t="s">
        <v>124</v>
      </c>
      <c r="CY997" s="4" t="s">
        <v>124</v>
      </c>
      <c r="CZ997" s="4" t="s">
        <v>124</v>
      </c>
      <c r="DA997" s="7">
        <v>15.314097</v>
      </c>
      <c r="DB997" s="7">
        <v>17.400950000000002</v>
      </c>
      <c r="DC997" s="7">
        <v>16.332519999999999</v>
      </c>
      <c r="DD997" s="4" t="s">
        <v>124</v>
      </c>
      <c r="DE997" s="7">
        <v>0</v>
      </c>
      <c r="DF997" s="6"/>
      <c r="DG997" s="6"/>
      <c r="DH997" s="6"/>
      <c r="DI997" s="6"/>
      <c r="DJ997" s="7">
        <v>0</v>
      </c>
      <c r="DK997" s="7">
        <v>0</v>
      </c>
      <c r="DL997" s="7">
        <v>0</v>
      </c>
      <c r="DM997" s="7">
        <v>0</v>
      </c>
      <c r="DN997" s="7">
        <v>0</v>
      </c>
      <c r="DO997" s="7">
        <v>0</v>
      </c>
      <c r="DP997" s="6"/>
      <c r="DQ997" s="4" t="s">
        <v>125</v>
      </c>
    </row>
    <row r="998" spans="1:121" ht="20" customHeight="1" x14ac:dyDescent="0.15">
      <c r="A998" s="5">
        <v>2018</v>
      </c>
      <c r="B998" s="3" t="s">
        <v>230</v>
      </c>
      <c r="C998" s="4" t="str">
        <f>"1520011"</f>
        <v>1520011</v>
      </c>
      <c r="D998" s="4" t="s">
        <v>1142</v>
      </c>
      <c r="E998" s="4" t="str">
        <f>"1526111"</f>
        <v>1526111</v>
      </c>
      <c r="F998" s="4" t="s">
        <v>327</v>
      </c>
      <c r="G998" s="7">
        <v>9</v>
      </c>
      <c r="H998" s="7">
        <v>12</v>
      </c>
      <c r="I998" s="4" t="s">
        <v>329</v>
      </c>
      <c r="J998" s="4" t="s">
        <v>330</v>
      </c>
      <c r="K998" s="7">
        <v>1162.1004800000001</v>
      </c>
      <c r="L998" s="7">
        <v>1450</v>
      </c>
      <c r="M998" s="7">
        <v>80.144861000000006</v>
      </c>
      <c r="N998" s="7">
        <v>3</v>
      </c>
      <c r="O998" s="7">
        <v>1</v>
      </c>
      <c r="P998" s="7">
        <v>59.718482999999999</v>
      </c>
      <c r="Q998" s="7">
        <v>119.436966</v>
      </c>
      <c r="R998" s="7">
        <v>150</v>
      </c>
      <c r="S998" s="7">
        <v>48.930745999999999</v>
      </c>
      <c r="T998" s="7">
        <v>65.551851999999997</v>
      </c>
      <c r="U998" s="7">
        <v>97.861491999999998</v>
      </c>
      <c r="V998" s="7">
        <v>150</v>
      </c>
      <c r="W998" s="7">
        <v>57.996794999999999</v>
      </c>
      <c r="X998" s="7">
        <v>115.99359</v>
      </c>
      <c r="Y998" s="7">
        <v>150</v>
      </c>
      <c r="Z998" s="7">
        <v>64.669135999999995</v>
      </c>
      <c r="AA998" s="7">
        <v>45.657533999999998</v>
      </c>
      <c r="AB998" s="7">
        <v>91.315067999999997</v>
      </c>
      <c r="AC998" s="7">
        <v>150</v>
      </c>
      <c r="AD998" s="7">
        <v>60.994281000000001</v>
      </c>
      <c r="AE998" s="7">
        <v>81.325708000000006</v>
      </c>
      <c r="AF998" s="7">
        <v>100</v>
      </c>
      <c r="AG998" s="7">
        <v>50.045971000000002</v>
      </c>
      <c r="AH998" s="7">
        <v>66.713548000000003</v>
      </c>
      <c r="AI998" s="7">
        <v>66.727960999999993</v>
      </c>
      <c r="AJ998" s="7">
        <v>100</v>
      </c>
      <c r="AK998" s="7">
        <v>16.62</v>
      </c>
      <c r="AL998" s="7">
        <v>19.010000000000002</v>
      </c>
      <c r="AM998" s="7">
        <v>16.66</v>
      </c>
      <c r="AN998" s="4" t="s">
        <v>124</v>
      </c>
      <c r="AO998" s="4" t="s">
        <v>124</v>
      </c>
      <c r="AP998" s="4" t="s">
        <v>124</v>
      </c>
      <c r="AQ998" s="4" t="s">
        <v>124</v>
      </c>
      <c r="AR998" s="4" t="s">
        <v>124</v>
      </c>
      <c r="AS998" s="4" t="s">
        <v>124</v>
      </c>
      <c r="AT998" s="4" t="s">
        <v>124</v>
      </c>
      <c r="AU998" s="4" t="s">
        <v>124</v>
      </c>
      <c r="AV998" s="4" t="s">
        <v>124</v>
      </c>
      <c r="AW998" s="4" t="s">
        <v>124</v>
      </c>
      <c r="AX998" s="4" t="s">
        <v>124</v>
      </c>
      <c r="AY998" s="4" t="s">
        <v>124</v>
      </c>
      <c r="AZ998" s="4" t="s">
        <v>124</v>
      </c>
      <c r="BA998" s="4" t="s">
        <v>124</v>
      </c>
      <c r="BB998" s="4" t="s">
        <v>124</v>
      </c>
      <c r="BC998" s="4" t="s">
        <v>124</v>
      </c>
      <c r="BD998" s="4" t="s">
        <v>124</v>
      </c>
      <c r="BE998" s="4" t="s">
        <v>124</v>
      </c>
      <c r="BF998" s="4" t="s">
        <v>124</v>
      </c>
      <c r="BG998" s="4" t="s">
        <v>124</v>
      </c>
      <c r="BH998" s="7">
        <v>1</v>
      </c>
      <c r="BI998" s="7">
        <v>0.98591499999999999</v>
      </c>
      <c r="BJ998" s="7">
        <v>0.961538</v>
      </c>
      <c r="BK998" s="7">
        <v>1</v>
      </c>
      <c r="BL998" s="7">
        <v>0.98591499999999999</v>
      </c>
      <c r="BM998" s="7">
        <v>0.961538</v>
      </c>
      <c r="BN998" s="7">
        <v>1</v>
      </c>
      <c r="BO998" s="7">
        <v>0.967136</v>
      </c>
      <c r="BP998" s="7">
        <v>0.92307700000000004</v>
      </c>
      <c r="BQ998" s="7">
        <v>0.99259299999999995</v>
      </c>
      <c r="BR998" s="7">
        <v>8.4848000000000007E-2</v>
      </c>
      <c r="BS998" s="7">
        <v>43.030303000000004</v>
      </c>
      <c r="BT998" s="7">
        <v>50</v>
      </c>
      <c r="BU998" s="7">
        <v>0.15845100000000001</v>
      </c>
      <c r="BV998" s="7">
        <v>28.309858999999999</v>
      </c>
      <c r="BW998" s="7">
        <v>50</v>
      </c>
      <c r="BX998" s="7">
        <v>0.893204</v>
      </c>
      <c r="BY998" s="7">
        <v>50</v>
      </c>
      <c r="BZ998" s="7">
        <v>50</v>
      </c>
      <c r="CA998" s="7">
        <v>0.49514599999999998</v>
      </c>
      <c r="CB998" s="7">
        <v>33.009709000000001</v>
      </c>
      <c r="CC998" s="7">
        <v>50</v>
      </c>
      <c r="CD998" s="7">
        <v>0.93434300000000003</v>
      </c>
      <c r="CE998" s="7">
        <v>49.699119000000003</v>
      </c>
      <c r="CF998" s="7">
        <v>50</v>
      </c>
      <c r="CG998" s="7">
        <v>0.93564400000000003</v>
      </c>
      <c r="CH998" s="7">
        <v>99.536548999999994</v>
      </c>
      <c r="CI998" s="7">
        <v>100</v>
      </c>
      <c r="CJ998" s="7">
        <v>0</v>
      </c>
      <c r="CK998" s="7">
        <v>0.91666700000000001</v>
      </c>
      <c r="CL998" s="7">
        <v>97.51773</v>
      </c>
      <c r="CM998" s="7">
        <v>100</v>
      </c>
      <c r="CN998" s="7">
        <v>0.79679100000000003</v>
      </c>
      <c r="CO998" s="7">
        <v>100</v>
      </c>
      <c r="CP998" s="7">
        <v>100</v>
      </c>
      <c r="CQ998" s="7">
        <v>0.72959200000000002</v>
      </c>
      <c r="CR998" s="7">
        <v>0.91162799999999999</v>
      </c>
      <c r="CS998" s="7">
        <v>48.639456000000003</v>
      </c>
      <c r="CT998" s="7">
        <v>50</v>
      </c>
      <c r="CU998" s="7">
        <v>0.47636400000000001</v>
      </c>
      <c r="CV998" s="7">
        <v>39.69697</v>
      </c>
      <c r="CW998" s="7">
        <v>50</v>
      </c>
      <c r="CX998" s="7">
        <v>0.91666700000000001</v>
      </c>
      <c r="CY998" s="7">
        <v>0.94</v>
      </c>
      <c r="CZ998" s="7">
        <v>2.3333E-2</v>
      </c>
      <c r="DA998" s="7">
        <v>15.314097</v>
      </c>
      <c r="DB998" s="7">
        <v>17.400950000000002</v>
      </c>
      <c r="DC998" s="7">
        <v>16.332519999999999</v>
      </c>
      <c r="DD998" s="7">
        <v>7.9891730000000001</v>
      </c>
      <c r="DE998" s="7">
        <v>1</v>
      </c>
      <c r="DF998" s="6"/>
      <c r="DG998" s="6"/>
      <c r="DH998" s="6"/>
      <c r="DI998" s="6"/>
      <c r="DJ998" s="7">
        <v>0</v>
      </c>
      <c r="DK998" s="7">
        <v>0</v>
      </c>
      <c r="DL998" s="7">
        <v>0</v>
      </c>
      <c r="DM998" s="7">
        <v>0</v>
      </c>
      <c r="DN998" s="7">
        <v>0</v>
      </c>
      <c r="DO998" s="7">
        <v>0</v>
      </c>
      <c r="DP998" s="6"/>
      <c r="DQ998" s="4" t="s">
        <v>125</v>
      </c>
    </row>
    <row r="999" spans="1:121" ht="20" customHeight="1" x14ac:dyDescent="0.15">
      <c r="A999" s="5">
        <v>2018</v>
      </c>
      <c r="B999" s="3" t="s">
        <v>206</v>
      </c>
      <c r="C999" s="4" t="str">
        <f>"1530011"</f>
        <v>1530011</v>
      </c>
      <c r="D999" s="4" t="s">
        <v>1143</v>
      </c>
      <c r="E999" s="4" t="str">
        <f>"1530311"</f>
        <v>1530311</v>
      </c>
      <c r="F999" s="4" t="s">
        <v>327</v>
      </c>
      <c r="G999" s="7">
        <v>3</v>
      </c>
      <c r="H999" s="7">
        <v>5</v>
      </c>
      <c r="I999" s="6"/>
      <c r="J999" s="4" t="s">
        <v>330</v>
      </c>
      <c r="K999" s="7">
        <v>651.38435500000003</v>
      </c>
      <c r="L999" s="7">
        <v>850</v>
      </c>
      <c r="M999" s="7">
        <v>76.633454</v>
      </c>
      <c r="N999" s="7">
        <v>2</v>
      </c>
      <c r="O999" s="7">
        <v>0</v>
      </c>
      <c r="P999" s="7">
        <v>74.947961000000006</v>
      </c>
      <c r="Q999" s="7">
        <v>49.965308</v>
      </c>
      <c r="R999" s="7">
        <v>50</v>
      </c>
      <c r="S999" s="7">
        <v>68.248407</v>
      </c>
      <c r="T999" s="7">
        <v>75</v>
      </c>
      <c r="U999" s="7">
        <v>45.498938000000003</v>
      </c>
      <c r="V999" s="7">
        <v>50</v>
      </c>
      <c r="W999" s="7">
        <v>72.062700000000007</v>
      </c>
      <c r="X999" s="7">
        <v>48.041800000000002</v>
      </c>
      <c r="Y999" s="7">
        <v>50</v>
      </c>
      <c r="Z999" s="7">
        <v>74.666687999999994</v>
      </c>
      <c r="AA999" s="7">
        <v>66.008426999999998</v>
      </c>
      <c r="AB999" s="7">
        <v>44.005617999999998</v>
      </c>
      <c r="AC999" s="7">
        <v>50</v>
      </c>
      <c r="AD999" s="7">
        <v>71.389814999999999</v>
      </c>
      <c r="AE999" s="7">
        <v>47.593209999999999</v>
      </c>
      <c r="AF999" s="7">
        <v>50</v>
      </c>
      <c r="AG999" s="7">
        <v>66.868365999999995</v>
      </c>
      <c r="AH999" s="7">
        <v>73.806451999999993</v>
      </c>
      <c r="AI999" s="7">
        <v>44.578910999999998</v>
      </c>
      <c r="AJ999" s="7">
        <v>50</v>
      </c>
      <c r="AK999" s="7">
        <v>6.75</v>
      </c>
      <c r="AL999" s="7">
        <v>8.65</v>
      </c>
      <c r="AM999" s="7">
        <v>6.93</v>
      </c>
      <c r="AN999" s="7">
        <v>0.52106699999999995</v>
      </c>
      <c r="AO999" s="7">
        <v>52.106687000000001</v>
      </c>
      <c r="AP999" s="7">
        <v>100</v>
      </c>
      <c r="AQ999" s="7">
        <v>0.56691400000000003</v>
      </c>
      <c r="AR999" s="7">
        <v>56.691383000000002</v>
      </c>
      <c r="AS999" s="7">
        <v>100</v>
      </c>
      <c r="AT999" s="7">
        <v>0.55460600000000004</v>
      </c>
      <c r="AU999" s="7">
        <v>0.50562799999999997</v>
      </c>
      <c r="AV999" s="7">
        <v>55.460569999999997</v>
      </c>
      <c r="AW999" s="7">
        <v>100</v>
      </c>
      <c r="AX999" s="7">
        <v>0.62459200000000004</v>
      </c>
      <c r="AY999" s="7">
        <v>0.54036300000000004</v>
      </c>
      <c r="AZ999" s="7">
        <v>62.459249999999997</v>
      </c>
      <c r="BA999" s="7">
        <v>100</v>
      </c>
      <c r="BB999" s="4" t="s">
        <v>124</v>
      </c>
      <c r="BC999" s="4" t="s">
        <v>124</v>
      </c>
      <c r="BD999" s="4" t="s">
        <v>124</v>
      </c>
      <c r="BE999" s="4" t="s">
        <v>124</v>
      </c>
      <c r="BF999" s="4" t="s">
        <v>124</v>
      </c>
      <c r="BG999" s="4" t="s">
        <v>124</v>
      </c>
      <c r="BH999" s="7">
        <v>0</v>
      </c>
      <c r="BI999" s="7">
        <v>0.98916999999999999</v>
      </c>
      <c r="BJ999" s="7">
        <v>1</v>
      </c>
      <c r="BK999" s="7">
        <v>0.98421099999999995</v>
      </c>
      <c r="BL999" s="7">
        <v>0.98916999999999999</v>
      </c>
      <c r="BM999" s="7">
        <v>1</v>
      </c>
      <c r="BN999" s="7">
        <v>0.98421099999999995</v>
      </c>
      <c r="BO999" s="7">
        <v>1</v>
      </c>
      <c r="BP999" s="7">
        <v>1</v>
      </c>
      <c r="BQ999" s="7">
        <v>1</v>
      </c>
      <c r="BR999" s="7">
        <v>2.5270999999999998E-2</v>
      </c>
      <c r="BS999" s="7">
        <v>50</v>
      </c>
      <c r="BT999" s="7">
        <v>50</v>
      </c>
      <c r="BU999" s="7">
        <v>6.9766999999999996E-2</v>
      </c>
      <c r="BV999" s="7">
        <v>46.046512</v>
      </c>
      <c r="BW999" s="7">
        <v>50</v>
      </c>
      <c r="BX999" s="4" t="s">
        <v>124</v>
      </c>
      <c r="BY999" s="4" t="s">
        <v>124</v>
      </c>
      <c r="BZ999" s="4" t="s">
        <v>124</v>
      </c>
      <c r="CA999" s="4" t="s">
        <v>124</v>
      </c>
      <c r="CB999" s="4" t="s">
        <v>124</v>
      </c>
      <c r="CC999" s="4" t="s">
        <v>124</v>
      </c>
      <c r="CD999" s="4" t="s">
        <v>124</v>
      </c>
      <c r="CE999" s="4" t="s">
        <v>124</v>
      </c>
      <c r="CF999" s="4" t="s">
        <v>124</v>
      </c>
      <c r="CG999" s="4" t="s">
        <v>124</v>
      </c>
      <c r="CH999" s="4" t="s">
        <v>124</v>
      </c>
      <c r="CI999" s="4" t="s">
        <v>124</v>
      </c>
      <c r="CJ999" s="4" t="s">
        <v>124</v>
      </c>
      <c r="CK999" s="4" t="s">
        <v>124</v>
      </c>
      <c r="CL999" s="4" t="s">
        <v>124</v>
      </c>
      <c r="CM999" s="4" t="s">
        <v>124</v>
      </c>
      <c r="CN999" s="4" t="s">
        <v>124</v>
      </c>
      <c r="CO999" s="4" t="s">
        <v>124</v>
      </c>
      <c r="CP999" s="4" t="s">
        <v>124</v>
      </c>
      <c r="CQ999" s="7">
        <v>0.734043</v>
      </c>
      <c r="CR999" s="7">
        <v>0.91262100000000002</v>
      </c>
      <c r="CS999" s="7">
        <v>48.936169999999997</v>
      </c>
      <c r="CT999" s="7">
        <v>50</v>
      </c>
      <c r="CU999" s="4" t="s">
        <v>124</v>
      </c>
      <c r="CV999" s="4" t="s">
        <v>124</v>
      </c>
      <c r="CW999" s="4" t="s">
        <v>124</v>
      </c>
      <c r="CX999" s="4" t="s">
        <v>124</v>
      </c>
      <c r="CY999" s="4" t="s">
        <v>124</v>
      </c>
      <c r="CZ999" s="4" t="s">
        <v>124</v>
      </c>
      <c r="DA999" s="7">
        <v>15.314097</v>
      </c>
      <c r="DB999" s="7">
        <v>17.400950000000002</v>
      </c>
      <c r="DC999" s="7">
        <v>16.332519999999999</v>
      </c>
      <c r="DD999" s="4" t="s">
        <v>124</v>
      </c>
      <c r="DE999" s="7">
        <v>0</v>
      </c>
      <c r="DF999" s="6"/>
      <c r="DG999" s="6"/>
      <c r="DH999" s="6"/>
      <c r="DI999" s="6"/>
      <c r="DJ999" s="7">
        <v>0</v>
      </c>
      <c r="DK999" s="7">
        <v>0</v>
      </c>
      <c r="DL999" s="7">
        <v>0</v>
      </c>
      <c r="DM999" s="7">
        <v>0</v>
      </c>
      <c r="DN999" s="7">
        <v>0</v>
      </c>
      <c r="DO999" s="7">
        <v>0</v>
      </c>
      <c r="DP999" s="6"/>
      <c r="DQ999" s="4" t="s">
        <v>125</v>
      </c>
    </row>
    <row r="1000" spans="1:121" ht="20" customHeight="1" x14ac:dyDescent="0.15">
      <c r="A1000" s="5">
        <v>2018</v>
      </c>
      <c r="B1000" s="3" t="s">
        <v>206</v>
      </c>
      <c r="C1000" s="4" t="str">
        <f t="shared" si="81"/>
        <v>1530011</v>
      </c>
      <c r="D1000" s="4" t="s">
        <v>1144</v>
      </c>
      <c r="E1000" s="4" t="str">
        <f>"1530211"</f>
        <v>1530211</v>
      </c>
      <c r="F1000" s="4" t="s">
        <v>327</v>
      </c>
      <c r="G1000" s="4" t="s">
        <v>328</v>
      </c>
      <c r="H1000" s="7">
        <v>2</v>
      </c>
      <c r="I1000" s="4" t="s">
        <v>329</v>
      </c>
      <c r="J1000" s="4" t="s">
        <v>330</v>
      </c>
      <c r="K1000" s="7">
        <v>157.30641199999999</v>
      </c>
      <c r="L1000" s="7">
        <v>200</v>
      </c>
      <c r="M1000" s="7">
        <v>78.653205999999997</v>
      </c>
      <c r="N1000" s="7">
        <v>2</v>
      </c>
      <c r="O1000" s="4" t="s">
        <v>124</v>
      </c>
      <c r="P1000" s="4" t="s">
        <v>124</v>
      </c>
      <c r="Q1000" s="4" t="s">
        <v>124</v>
      </c>
      <c r="R1000" s="4" t="s">
        <v>124</v>
      </c>
      <c r="S1000" s="4" t="s">
        <v>124</v>
      </c>
      <c r="T1000" s="4" t="s">
        <v>124</v>
      </c>
      <c r="U1000" s="4" t="s">
        <v>124</v>
      </c>
      <c r="V1000" s="4" t="s">
        <v>124</v>
      </c>
      <c r="W1000" s="4" t="s">
        <v>124</v>
      </c>
      <c r="X1000" s="4" t="s">
        <v>124</v>
      </c>
      <c r="Y1000" s="4" t="s">
        <v>124</v>
      </c>
      <c r="Z1000" s="4" t="s">
        <v>124</v>
      </c>
      <c r="AA1000" s="4" t="s">
        <v>124</v>
      </c>
      <c r="AB1000" s="4" t="s">
        <v>124</v>
      </c>
      <c r="AC1000" s="4" t="s">
        <v>124</v>
      </c>
      <c r="AD1000" s="4" t="s">
        <v>124</v>
      </c>
      <c r="AE1000" s="4" t="s">
        <v>124</v>
      </c>
      <c r="AF1000" s="4" t="s">
        <v>124</v>
      </c>
      <c r="AG1000" s="4" t="s">
        <v>124</v>
      </c>
      <c r="AH1000" s="4" t="s">
        <v>124</v>
      </c>
      <c r="AI1000" s="4" t="s">
        <v>124</v>
      </c>
      <c r="AJ1000" s="4" t="s">
        <v>124</v>
      </c>
      <c r="AK1000" s="4" t="s">
        <v>124</v>
      </c>
      <c r="AL1000" s="4" t="s">
        <v>124</v>
      </c>
      <c r="AM1000" s="4" t="s">
        <v>124</v>
      </c>
      <c r="AN1000" s="4" t="s">
        <v>124</v>
      </c>
      <c r="AO1000" s="4" t="s">
        <v>124</v>
      </c>
      <c r="AP1000" s="4" t="s">
        <v>124</v>
      </c>
      <c r="AQ1000" s="4" t="s">
        <v>124</v>
      </c>
      <c r="AR1000" s="4" t="s">
        <v>124</v>
      </c>
      <c r="AS1000" s="4" t="s">
        <v>124</v>
      </c>
      <c r="AT1000" s="4" t="s">
        <v>124</v>
      </c>
      <c r="AU1000" s="4" t="s">
        <v>124</v>
      </c>
      <c r="AV1000" s="4" t="s">
        <v>124</v>
      </c>
      <c r="AW1000" s="4" t="s">
        <v>124</v>
      </c>
      <c r="AX1000" s="4" t="s">
        <v>124</v>
      </c>
      <c r="AY1000" s="4" t="s">
        <v>124</v>
      </c>
      <c r="AZ1000" s="4" t="s">
        <v>124</v>
      </c>
      <c r="BA1000" s="4" t="s">
        <v>124</v>
      </c>
      <c r="BB1000" s="7">
        <v>0.82938900000000004</v>
      </c>
      <c r="BC1000" s="7">
        <v>41.469428999999998</v>
      </c>
      <c r="BD1000" s="7">
        <v>50</v>
      </c>
      <c r="BE1000" s="7">
        <v>0.59026500000000004</v>
      </c>
      <c r="BF1000" s="7">
        <v>29.513268</v>
      </c>
      <c r="BG1000" s="7">
        <v>50</v>
      </c>
      <c r="BH1000" s="7">
        <v>0</v>
      </c>
      <c r="BI1000" s="4" t="s">
        <v>124</v>
      </c>
      <c r="BJ1000" s="4" t="s">
        <v>124</v>
      </c>
      <c r="BK1000" s="4" t="s">
        <v>124</v>
      </c>
      <c r="BL1000" s="4" t="s">
        <v>124</v>
      </c>
      <c r="BM1000" s="4" t="s">
        <v>124</v>
      </c>
      <c r="BN1000" s="4" t="s">
        <v>124</v>
      </c>
      <c r="BO1000" s="4" t="s">
        <v>124</v>
      </c>
      <c r="BP1000" s="4" t="s">
        <v>124</v>
      </c>
      <c r="BQ1000" s="4" t="s">
        <v>124</v>
      </c>
      <c r="BR1000" s="7">
        <v>7.1066000000000004E-2</v>
      </c>
      <c r="BS1000" s="7">
        <v>45.786802000000002</v>
      </c>
      <c r="BT1000" s="7">
        <v>50</v>
      </c>
      <c r="BU1000" s="7">
        <v>9.7314999999999999E-2</v>
      </c>
      <c r="BV1000" s="7">
        <v>40.536912999999998</v>
      </c>
      <c r="BW1000" s="7">
        <v>50</v>
      </c>
      <c r="BX1000" s="4" t="s">
        <v>124</v>
      </c>
      <c r="BY1000" s="4" t="s">
        <v>124</v>
      </c>
      <c r="BZ1000" s="4" t="s">
        <v>124</v>
      </c>
      <c r="CA1000" s="4" t="s">
        <v>124</v>
      </c>
      <c r="CB1000" s="4" t="s">
        <v>124</v>
      </c>
      <c r="CC1000" s="4" t="s">
        <v>124</v>
      </c>
      <c r="CD1000" s="4" t="s">
        <v>124</v>
      </c>
      <c r="CE1000" s="4" t="s">
        <v>124</v>
      </c>
      <c r="CF1000" s="4" t="s">
        <v>124</v>
      </c>
      <c r="CG1000" s="4" t="s">
        <v>124</v>
      </c>
      <c r="CH1000" s="4" t="s">
        <v>124</v>
      </c>
      <c r="CI1000" s="4" t="s">
        <v>124</v>
      </c>
      <c r="CJ1000" s="4" t="s">
        <v>124</v>
      </c>
      <c r="CK1000" s="4" t="s">
        <v>124</v>
      </c>
      <c r="CL1000" s="4" t="s">
        <v>124</v>
      </c>
      <c r="CM1000" s="4" t="s">
        <v>124</v>
      </c>
      <c r="CN1000" s="4" t="s">
        <v>124</v>
      </c>
      <c r="CO1000" s="4" t="s">
        <v>124</v>
      </c>
      <c r="CP1000" s="4" t="s">
        <v>124</v>
      </c>
      <c r="CQ1000" s="4" t="s">
        <v>124</v>
      </c>
      <c r="CR1000" s="4" t="s">
        <v>124</v>
      </c>
      <c r="CS1000" s="4" t="s">
        <v>124</v>
      </c>
      <c r="CT1000" s="4" t="s">
        <v>124</v>
      </c>
      <c r="CU1000" s="4" t="s">
        <v>124</v>
      </c>
      <c r="CV1000" s="4" t="s">
        <v>124</v>
      </c>
      <c r="CW1000" s="4" t="s">
        <v>124</v>
      </c>
      <c r="CX1000" s="4" t="s">
        <v>124</v>
      </c>
      <c r="CY1000" s="4" t="s">
        <v>124</v>
      </c>
      <c r="CZ1000" s="4" t="s">
        <v>124</v>
      </c>
      <c r="DA1000" s="4" t="s">
        <v>124</v>
      </c>
      <c r="DB1000" s="4" t="s">
        <v>124</v>
      </c>
      <c r="DC1000" s="4" t="s">
        <v>124</v>
      </c>
      <c r="DD1000" s="4" t="s">
        <v>124</v>
      </c>
      <c r="DE1000" s="7">
        <v>0</v>
      </c>
      <c r="DF1000" s="6"/>
      <c r="DG1000" s="6"/>
      <c r="DH1000" s="6"/>
      <c r="DI1000" s="6"/>
      <c r="DJ1000" s="7">
        <v>0</v>
      </c>
      <c r="DK1000" s="7">
        <v>0</v>
      </c>
      <c r="DL1000" s="7">
        <v>0</v>
      </c>
      <c r="DM1000" s="7">
        <v>0</v>
      </c>
      <c r="DN1000" s="7">
        <v>0</v>
      </c>
      <c r="DO1000" s="7">
        <v>0</v>
      </c>
      <c r="DP1000" s="6"/>
      <c r="DQ1000" s="4" t="s">
        <v>125</v>
      </c>
    </row>
    <row r="1001" spans="1:121" ht="20" customHeight="1" x14ac:dyDescent="0.15">
      <c r="A1001" s="5">
        <v>2018</v>
      </c>
      <c r="B1001" s="3" t="s">
        <v>206</v>
      </c>
      <c r="C1001" s="4" t="str">
        <f t="shared" ref="C1001:C1003" si="266">"1530011"</f>
        <v>1530011</v>
      </c>
      <c r="D1001" s="4" t="s">
        <v>1145</v>
      </c>
      <c r="E1001" s="4" t="str">
        <f>"1530411"</f>
        <v>1530411</v>
      </c>
      <c r="F1001" s="4" t="s">
        <v>327</v>
      </c>
      <c r="G1001" s="7">
        <v>3</v>
      </c>
      <c r="H1001" s="7">
        <v>5</v>
      </c>
      <c r="I1001" s="4" t="s">
        <v>329</v>
      </c>
      <c r="J1001" s="4" t="s">
        <v>330</v>
      </c>
      <c r="K1001" s="7">
        <v>749.39523299999996</v>
      </c>
      <c r="L1001" s="7">
        <v>950</v>
      </c>
      <c r="M1001" s="7">
        <v>78.883708999999996</v>
      </c>
      <c r="N1001" s="7">
        <v>2</v>
      </c>
      <c r="O1001" s="7">
        <v>0</v>
      </c>
      <c r="P1001" s="7">
        <v>73.476146</v>
      </c>
      <c r="Q1001" s="7">
        <v>48.984096999999998</v>
      </c>
      <c r="R1001" s="7">
        <v>50</v>
      </c>
      <c r="S1001" s="7">
        <v>70.472894999999994</v>
      </c>
      <c r="T1001" s="7">
        <v>75</v>
      </c>
      <c r="U1001" s="7">
        <v>46.981929999999998</v>
      </c>
      <c r="V1001" s="7">
        <v>50</v>
      </c>
      <c r="W1001" s="7">
        <v>73.275757999999996</v>
      </c>
      <c r="X1001" s="7">
        <v>48.850504999999998</v>
      </c>
      <c r="Y1001" s="7">
        <v>50</v>
      </c>
      <c r="Z1001" s="7">
        <v>75</v>
      </c>
      <c r="AA1001" s="7">
        <v>68.855405000000005</v>
      </c>
      <c r="AB1001" s="7">
        <v>45.903602999999997</v>
      </c>
      <c r="AC1001" s="7">
        <v>50</v>
      </c>
      <c r="AD1001" s="7">
        <v>68.026520000000005</v>
      </c>
      <c r="AE1001" s="7">
        <v>45.351013000000002</v>
      </c>
      <c r="AF1001" s="7">
        <v>50</v>
      </c>
      <c r="AG1001" s="7">
        <v>65.119175999999996</v>
      </c>
      <c r="AH1001" s="7">
        <v>71.166452000000007</v>
      </c>
      <c r="AI1001" s="7">
        <v>43.412784000000002</v>
      </c>
      <c r="AJ1001" s="7">
        <v>50</v>
      </c>
      <c r="AK1001" s="7">
        <v>4.5199999999999996</v>
      </c>
      <c r="AL1001" s="7">
        <v>6.14</v>
      </c>
      <c r="AM1001" s="7">
        <v>6.04</v>
      </c>
      <c r="AN1001" s="7">
        <v>0.70313400000000004</v>
      </c>
      <c r="AO1001" s="7">
        <v>70.313361</v>
      </c>
      <c r="AP1001" s="7">
        <v>100</v>
      </c>
      <c r="AQ1001" s="7">
        <v>0.788439</v>
      </c>
      <c r="AR1001" s="7">
        <v>78.843948999999995</v>
      </c>
      <c r="AS1001" s="7">
        <v>100</v>
      </c>
      <c r="AT1001" s="7">
        <v>0.70811599999999997</v>
      </c>
      <c r="AU1001" s="7">
        <v>0.69754899999999997</v>
      </c>
      <c r="AV1001" s="7">
        <v>70.811578999999995</v>
      </c>
      <c r="AW1001" s="7">
        <v>100</v>
      </c>
      <c r="AX1001" s="7">
        <v>0.76425699999999996</v>
      </c>
      <c r="AY1001" s="7">
        <v>0.81554499999999996</v>
      </c>
      <c r="AZ1001" s="7">
        <v>76.425718000000003</v>
      </c>
      <c r="BA1001" s="7">
        <v>100</v>
      </c>
      <c r="BB1001" s="7">
        <v>0.71881300000000004</v>
      </c>
      <c r="BC1001" s="7">
        <v>35.940643999999999</v>
      </c>
      <c r="BD1001" s="7">
        <v>50</v>
      </c>
      <c r="BE1001" s="7">
        <v>0.33056999999999997</v>
      </c>
      <c r="BF1001" s="7">
        <v>16.528503000000001</v>
      </c>
      <c r="BG1001" s="7">
        <v>50</v>
      </c>
      <c r="BH1001" s="7">
        <v>0</v>
      </c>
      <c r="BI1001" s="7">
        <v>0.99038499999999996</v>
      </c>
      <c r="BJ1001" s="7">
        <v>0.98235300000000003</v>
      </c>
      <c r="BK1001" s="7">
        <v>1</v>
      </c>
      <c r="BL1001" s="7">
        <v>0.98717900000000003</v>
      </c>
      <c r="BM1001" s="7">
        <v>0.98235300000000003</v>
      </c>
      <c r="BN1001" s="7">
        <v>0.99295800000000001</v>
      </c>
      <c r="BO1001" s="7">
        <v>1</v>
      </c>
      <c r="BP1001" s="7">
        <v>1</v>
      </c>
      <c r="BQ1001" s="7">
        <v>1</v>
      </c>
      <c r="BR1001" s="7">
        <v>3.8585000000000001E-2</v>
      </c>
      <c r="BS1001" s="7">
        <v>50</v>
      </c>
      <c r="BT1001" s="7">
        <v>50</v>
      </c>
      <c r="BU1001" s="7">
        <v>6.4326999999999995E-2</v>
      </c>
      <c r="BV1001" s="7">
        <v>47.134503000000002</v>
      </c>
      <c r="BW1001" s="7">
        <v>50</v>
      </c>
      <c r="BX1001" s="4" t="s">
        <v>124</v>
      </c>
      <c r="BY1001" s="4" t="s">
        <v>124</v>
      </c>
      <c r="BZ1001" s="4" t="s">
        <v>124</v>
      </c>
      <c r="CA1001" s="4" t="s">
        <v>124</v>
      </c>
      <c r="CB1001" s="4" t="s">
        <v>124</v>
      </c>
      <c r="CC1001" s="4" t="s">
        <v>124</v>
      </c>
      <c r="CD1001" s="4" t="s">
        <v>124</v>
      </c>
      <c r="CE1001" s="4" t="s">
        <v>124</v>
      </c>
      <c r="CF1001" s="4" t="s">
        <v>124</v>
      </c>
      <c r="CG1001" s="4" t="s">
        <v>124</v>
      </c>
      <c r="CH1001" s="4" t="s">
        <v>124</v>
      </c>
      <c r="CI1001" s="4" t="s">
        <v>124</v>
      </c>
      <c r="CJ1001" s="4" t="s">
        <v>124</v>
      </c>
      <c r="CK1001" s="4" t="s">
        <v>124</v>
      </c>
      <c r="CL1001" s="4" t="s">
        <v>124</v>
      </c>
      <c r="CM1001" s="4" t="s">
        <v>124</v>
      </c>
      <c r="CN1001" s="4" t="s">
        <v>124</v>
      </c>
      <c r="CO1001" s="4" t="s">
        <v>124</v>
      </c>
      <c r="CP1001" s="4" t="s">
        <v>124</v>
      </c>
      <c r="CQ1001" s="7">
        <v>0.717391</v>
      </c>
      <c r="CR1001" s="7">
        <v>0.87619000000000002</v>
      </c>
      <c r="CS1001" s="7">
        <v>23.913042999999998</v>
      </c>
      <c r="CT1001" s="7">
        <v>50</v>
      </c>
      <c r="CU1001" s="4" t="s">
        <v>124</v>
      </c>
      <c r="CV1001" s="4" t="s">
        <v>124</v>
      </c>
      <c r="CW1001" s="4" t="s">
        <v>124</v>
      </c>
      <c r="CX1001" s="4" t="s">
        <v>124</v>
      </c>
      <c r="CY1001" s="4" t="s">
        <v>124</v>
      </c>
      <c r="CZ1001" s="4" t="s">
        <v>124</v>
      </c>
      <c r="DA1001" s="7">
        <v>15.314097</v>
      </c>
      <c r="DB1001" s="7">
        <v>17.400950000000002</v>
      </c>
      <c r="DC1001" s="7">
        <v>16.332519999999999</v>
      </c>
      <c r="DD1001" s="4" t="s">
        <v>124</v>
      </c>
      <c r="DE1001" s="7">
        <v>0</v>
      </c>
      <c r="DF1001" s="6"/>
      <c r="DG1001" s="6"/>
      <c r="DH1001" s="6"/>
      <c r="DI1001" s="6"/>
      <c r="DJ1001" s="7">
        <v>0</v>
      </c>
      <c r="DK1001" s="7">
        <v>0</v>
      </c>
      <c r="DL1001" s="7">
        <v>0</v>
      </c>
      <c r="DM1001" s="7">
        <v>0</v>
      </c>
      <c r="DN1001" s="7">
        <v>0</v>
      </c>
      <c r="DO1001" s="7">
        <v>0</v>
      </c>
      <c r="DP1001" s="6"/>
      <c r="DQ1001" s="4" t="s">
        <v>125</v>
      </c>
    </row>
    <row r="1002" spans="1:121" ht="20" customHeight="1" x14ac:dyDescent="0.15">
      <c r="A1002" s="5">
        <v>2018</v>
      </c>
      <c r="B1002" s="3" t="s">
        <v>206</v>
      </c>
      <c r="C1002" s="4" t="str">
        <f>"1530011"</f>
        <v>1530011</v>
      </c>
      <c r="D1002" s="4" t="s">
        <v>1146</v>
      </c>
      <c r="E1002" s="4" t="str">
        <f>"1535111"</f>
        <v>1535111</v>
      </c>
      <c r="F1002" s="4" t="s">
        <v>327</v>
      </c>
      <c r="G1002" s="7">
        <v>6</v>
      </c>
      <c r="H1002" s="7">
        <v>8</v>
      </c>
      <c r="I1002" s="4" t="s">
        <v>329</v>
      </c>
      <c r="J1002" s="4" t="s">
        <v>330</v>
      </c>
      <c r="K1002" s="7">
        <v>626.17177500000003</v>
      </c>
      <c r="L1002" s="7">
        <v>900</v>
      </c>
      <c r="M1002" s="7">
        <v>69.574641999999997</v>
      </c>
      <c r="N1002" s="7">
        <v>3</v>
      </c>
      <c r="O1002" s="7">
        <v>0</v>
      </c>
      <c r="P1002" s="7">
        <v>71.705293999999995</v>
      </c>
      <c r="Q1002" s="7">
        <v>47.803528999999997</v>
      </c>
      <c r="R1002" s="7">
        <v>50</v>
      </c>
      <c r="S1002" s="7">
        <v>63.961278</v>
      </c>
      <c r="T1002" s="7">
        <v>75</v>
      </c>
      <c r="U1002" s="7">
        <v>42.640852000000002</v>
      </c>
      <c r="V1002" s="7">
        <v>50</v>
      </c>
      <c r="W1002" s="7">
        <v>62.343063000000001</v>
      </c>
      <c r="X1002" s="7">
        <v>41.562041999999998</v>
      </c>
      <c r="Y1002" s="7">
        <v>50</v>
      </c>
      <c r="Z1002" s="7">
        <v>69.252960999999999</v>
      </c>
      <c r="AA1002" s="7">
        <v>53.386679000000001</v>
      </c>
      <c r="AB1002" s="7">
        <v>35.591118999999999</v>
      </c>
      <c r="AC1002" s="7">
        <v>50</v>
      </c>
      <c r="AD1002" s="7">
        <v>71.878821000000002</v>
      </c>
      <c r="AE1002" s="7">
        <v>47.919213999999997</v>
      </c>
      <c r="AF1002" s="7">
        <v>50</v>
      </c>
      <c r="AG1002" s="7">
        <v>65.307608000000002</v>
      </c>
      <c r="AH1002" s="7">
        <v>75</v>
      </c>
      <c r="AI1002" s="7">
        <v>43.538404999999997</v>
      </c>
      <c r="AJ1002" s="7">
        <v>50</v>
      </c>
      <c r="AK1002" s="7">
        <v>11.03</v>
      </c>
      <c r="AL1002" s="7">
        <v>15.86</v>
      </c>
      <c r="AM1002" s="7">
        <v>9.69</v>
      </c>
      <c r="AN1002" s="7">
        <v>0.55408800000000002</v>
      </c>
      <c r="AO1002" s="7">
        <v>55.408821000000003</v>
      </c>
      <c r="AP1002" s="7">
        <v>100</v>
      </c>
      <c r="AQ1002" s="7">
        <v>0.49065599999999998</v>
      </c>
      <c r="AR1002" s="7">
        <v>49.065604</v>
      </c>
      <c r="AS1002" s="7">
        <v>100</v>
      </c>
      <c r="AT1002" s="7">
        <v>0.52589900000000001</v>
      </c>
      <c r="AU1002" s="7">
        <v>0.574735</v>
      </c>
      <c r="AV1002" s="7">
        <v>52.589942000000001</v>
      </c>
      <c r="AW1002" s="7">
        <v>100</v>
      </c>
      <c r="AX1002" s="7">
        <v>0.42595899999999998</v>
      </c>
      <c r="AY1002" s="7">
        <v>0.53781999999999996</v>
      </c>
      <c r="AZ1002" s="7">
        <v>42.595897999999998</v>
      </c>
      <c r="BA1002" s="7">
        <v>100</v>
      </c>
      <c r="BB1002" s="4" t="s">
        <v>124</v>
      </c>
      <c r="BC1002" s="4" t="s">
        <v>124</v>
      </c>
      <c r="BD1002" s="4" t="s">
        <v>124</v>
      </c>
      <c r="BE1002" s="4" t="s">
        <v>124</v>
      </c>
      <c r="BF1002" s="4" t="s">
        <v>124</v>
      </c>
      <c r="BG1002" s="4" t="s">
        <v>124</v>
      </c>
      <c r="BH1002" s="7">
        <v>0</v>
      </c>
      <c r="BI1002" s="7">
        <v>0.98680400000000001</v>
      </c>
      <c r="BJ1002" s="7">
        <v>0.98349799999999998</v>
      </c>
      <c r="BK1002" s="7">
        <v>0.98944600000000005</v>
      </c>
      <c r="BL1002" s="7">
        <v>0.98531599999999997</v>
      </c>
      <c r="BM1002" s="7">
        <v>0.98019800000000001</v>
      </c>
      <c r="BN1002" s="7">
        <v>0.98941800000000002</v>
      </c>
      <c r="BO1002" s="7">
        <v>0.99052099999999998</v>
      </c>
      <c r="BP1002" s="7">
        <v>0.98979600000000001</v>
      </c>
      <c r="BQ1002" s="7">
        <v>0.99114999999999998</v>
      </c>
      <c r="BR1002" s="7">
        <v>5.5965000000000001E-2</v>
      </c>
      <c r="BS1002" s="7">
        <v>48.807068999999998</v>
      </c>
      <c r="BT1002" s="7">
        <v>50</v>
      </c>
      <c r="BU1002" s="7">
        <v>9.6346000000000001E-2</v>
      </c>
      <c r="BV1002" s="7">
        <v>40.730896999999999</v>
      </c>
      <c r="BW1002" s="7">
        <v>50</v>
      </c>
      <c r="BX1002" s="4" t="s">
        <v>124</v>
      </c>
      <c r="BY1002" s="4" t="s">
        <v>124</v>
      </c>
      <c r="BZ1002" s="4" t="s">
        <v>124</v>
      </c>
      <c r="CA1002" s="4" t="s">
        <v>124</v>
      </c>
      <c r="CB1002" s="4" t="s">
        <v>124</v>
      </c>
      <c r="CC1002" s="4" t="s">
        <v>124</v>
      </c>
      <c r="CD1002" s="7">
        <v>0.91981100000000005</v>
      </c>
      <c r="CE1002" s="7">
        <v>48.926133999999998</v>
      </c>
      <c r="CF1002" s="7">
        <v>50</v>
      </c>
      <c r="CG1002" s="4" t="s">
        <v>124</v>
      </c>
      <c r="CH1002" s="4" t="s">
        <v>124</v>
      </c>
      <c r="CI1002" s="4" t="s">
        <v>124</v>
      </c>
      <c r="CJ1002" s="4" t="s">
        <v>124</v>
      </c>
      <c r="CK1002" s="4" t="s">
        <v>124</v>
      </c>
      <c r="CL1002" s="4" t="s">
        <v>124</v>
      </c>
      <c r="CM1002" s="4" t="s">
        <v>124</v>
      </c>
      <c r="CN1002" s="4" t="s">
        <v>124</v>
      </c>
      <c r="CO1002" s="4" t="s">
        <v>124</v>
      </c>
      <c r="CP1002" s="4" t="s">
        <v>124</v>
      </c>
      <c r="CQ1002" s="7">
        <v>0.43488399999999999</v>
      </c>
      <c r="CR1002" s="7">
        <v>0.95343699999999998</v>
      </c>
      <c r="CS1002" s="7">
        <v>28.992248</v>
      </c>
      <c r="CT1002" s="7">
        <v>50</v>
      </c>
      <c r="CU1002" s="4" t="s">
        <v>124</v>
      </c>
      <c r="CV1002" s="4" t="s">
        <v>124</v>
      </c>
      <c r="CW1002" s="4" t="s">
        <v>124</v>
      </c>
      <c r="CX1002" s="4" t="s">
        <v>124</v>
      </c>
      <c r="CY1002" s="4" t="s">
        <v>124</v>
      </c>
      <c r="CZ1002" s="4" t="s">
        <v>124</v>
      </c>
      <c r="DA1002" s="7">
        <v>15.314097</v>
      </c>
      <c r="DB1002" s="7">
        <v>17.400950000000002</v>
      </c>
      <c r="DC1002" s="7">
        <v>16.332519999999999</v>
      </c>
      <c r="DD1002" s="4" t="s">
        <v>124</v>
      </c>
      <c r="DE1002" s="7">
        <v>0</v>
      </c>
      <c r="DF1002" s="6"/>
      <c r="DG1002" s="6"/>
      <c r="DH1002" s="6"/>
      <c r="DI1002" s="6"/>
      <c r="DJ1002" s="7">
        <v>0</v>
      </c>
      <c r="DK1002" s="7">
        <v>0</v>
      </c>
      <c r="DL1002" s="7">
        <v>0</v>
      </c>
      <c r="DM1002" s="7">
        <v>0</v>
      </c>
      <c r="DN1002" s="7">
        <v>0</v>
      </c>
      <c r="DO1002" s="7">
        <v>0</v>
      </c>
      <c r="DP1002" s="6"/>
      <c r="DQ1002" s="4" t="s">
        <v>125</v>
      </c>
    </row>
    <row r="1003" spans="1:121" ht="20" customHeight="1" x14ac:dyDescent="0.15">
      <c r="A1003" s="5">
        <v>2018</v>
      </c>
      <c r="B1003" s="3" t="s">
        <v>206</v>
      </c>
      <c r="C1003" s="4" t="str">
        <f t="shared" si="266"/>
        <v>1530011</v>
      </c>
      <c r="D1003" s="4" t="s">
        <v>1147</v>
      </c>
      <c r="E1003" s="4" t="str">
        <f>"1536111"</f>
        <v>1536111</v>
      </c>
      <c r="F1003" s="4" t="s">
        <v>327</v>
      </c>
      <c r="G1003" s="7">
        <v>9</v>
      </c>
      <c r="H1003" s="7">
        <v>12</v>
      </c>
      <c r="I1003" s="6"/>
      <c r="J1003" s="4" t="s">
        <v>330</v>
      </c>
      <c r="K1003" s="7">
        <v>1034.6240479999999</v>
      </c>
      <c r="L1003" s="7">
        <v>1450</v>
      </c>
      <c r="M1003" s="7">
        <v>71.353382999999994</v>
      </c>
      <c r="N1003" s="7">
        <v>3</v>
      </c>
      <c r="O1003" s="7">
        <v>0</v>
      </c>
      <c r="P1003" s="7">
        <v>53.941957000000002</v>
      </c>
      <c r="Q1003" s="7">
        <v>107.883914</v>
      </c>
      <c r="R1003" s="7">
        <v>150</v>
      </c>
      <c r="S1003" s="7">
        <v>46.297778000000001</v>
      </c>
      <c r="T1003" s="7">
        <v>58.492063000000002</v>
      </c>
      <c r="U1003" s="7">
        <v>92.595556000000002</v>
      </c>
      <c r="V1003" s="7">
        <v>150</v>
      </c>
      <c r="W1003" s="7">
        <v>51.801547999999997</v>
      </c>
      <c r="X1003" s="7">
        <v>103.60309599999999</v>
      </c>
      <c r="Y1003" s="7">
        <v>150</v>
      </c>
      <c r="Z1003" s="7">
        <v>55.989418000000001</v>
      </c>
      <c r="AA1003" s="7">
        <v>44.765926</v>
      </c>
      <c r="AB1003" s="7">
        <v>89.531852000000001</v>
      </c>
      <c r="AC1003" s="7">
        <v>150</v>
      </c>
      <c r="AD1003" s="7">
        <v>52.511206999999999</v>
      </c>
      <c r="AE1003" s="7">
        <v>70.014942000000005</v>
      </c>
      <c r="AF1003" s="7">
        <v>100</v>
      </c>
      <c r="AG1003" s="7">
        <v>46.405023999999997</v>
      </c>
      <c r="AH1003" s="7">
        <v>56.272615000000002</v>
      </c>
      <c r="AI1003" s="7">
        <v>61.873365</v>
      </c>
      <c r="AJ1003" s="7">
        <v>100</v>
      </c>
      <c r="AK1003" s="7">
        <v>12.19</v>
      </c>
      <c r="AL1003" s="7">
        <v>11.22</v>
      </c>
      <c r="AM1003" s="7">
        <v>9.86</v>
      </c>
      <c r="AN1003" s="4" t="s">
        <v>124</v>
      </c>
      <c r="AO1003" s="4" t="s">
        <v>124</v>
      </c>
      <c r="AP1003" s="4" t="s">
        <v>124</v>
      </c>
      <c r="AQ1003" s="4" t="s">
        <v>124</v>
      </c>
      <c r="AR1003" s="4" t="s">
        <v>124</v>
      </c>
      <c r="AS1003" s="4" t="s">
        <v>124</v>
      </c>
      <c r="AT1003" s="4" t="s">
        <v>124</v>
      </c>
      <c r="AU1003" s="4" t="s">
        <v>124</v>
      </c>
      <c r="AV1003" s="4" t="s">
        <v>124</v>
      </c>
      <c r="AW1003" s="4" t="s">
        <v>124</v>
      </c>
      <c r="AX1003" s="4" t="s">
        <v>124</v>
      </c>
      <c r="AY1003" s="4" t="s">
        <v>124</v>
      </c>
      <c r="AZ1003" s="4" t="s">
        <v>124</v>
      </c>
      <c r="BA1003" s="4" t="s">
        <v>124</v>
      </c>
      <c r="BB1003" s="4" t="s">
        <v>124</v>
      </c>
      <c r="BC1003" s="4" t="s">
        <v>124</v>
      </c>
      <c r="BD1003" s="4" t="s">
        <v>124</v>
      </c>
      <c r="BE1003" s="4" t="s">
        <v>124</v>
      </c>
      <c r="BF1003" s="4" t="s">
        <v>124</v>
      </c>
      <c r="BG1003" s="4" t="s">
        <v>124</v>
      </c>
      <c r="BH1003" s="7">
        <v>1</v>
      </c>
      <c r="BI1003" s="7">
        <v>0.975962</v>
      </c>
      <c r="BJ1003" s="7">
        <v>0.93902399999999997</v>
      </c>
      <c r="BK1003" s="7">
        <v>1</v>
      </c>
      <c r="BL1003" s="7">
        <v>0.975962</v>
      </c>
      <c r="BM1003" s="7">
        <v>0.93902399999999997</v>
      </c>
      <c r="BN1003" s="7">
        <v>1</v>
      </c>
      <c r="BO1003" s="7">
        <v>0.975962</v>
      </c>
      <c r="BP1003" s="7">
        <v>0.95121999999999995</v>
      </c>
      <c r="BQ1003" s="7">
        <v>0.99206300000000003</v>
      </c>
      <c r="BR1003" s="7">
        <v>0.219024</v>
      </c>
      <c r="BS1003" s="7">
        <v>16.195243999999999</v>
      </c>
      <c r="BT1003" s="7">
        <v>50</v>
      </c>
      <c r="BU1003" s="7">
        <v>0.31645600000000002</v>
      </c>
      <c r="BV1003" s="7">
        <v>0</v>
      </c>
      <c r="BW1003" s="7">
        <v>50</v>
      </c>
      <c r="BX1003" s="7">
        <v>0.62470300000000001</v>
      </c>
      <c r="BY1003" s="7">
        <v>41.646872999999999</v>
      </c>
      <c r="BZ1003" s="7">
        <v>50</v>
      </c>
      <c r="CA1003" s="7">
        <v>0.396675</v>
      </c>
      <c r="CB1003" s="7">
        <v>26.444972</v>
      </c>
      <c r="CC1003" s="7">
        <v>50</v>
      </c>
      <c r="CD1003" s="7">
        <v>0.91</v>
      </c>
      <c r="CE1003" s="7">
        <v>48.404254999999999</v>
      </c>
      <c r="CF1003" s="7">
        <v>50</v>
      </c>
      <c r="CG1003" s="7">
        <v>0.94786700000000002</v>
      </c>
      <c r="CH1003" s="7">
        <v>100</v>
      </c>
      <c r="CI1003" s="7">
        <v>100</v>
      </c>
      <c r="CJ1003" s="7">
        <v>0</v>
      </c>
      <c r="CK1003" s="7">
        <v>0.95121999999999995</v>
      </c>
      <c r="CL1003" s="7">
        <v>100</v>
      </c>
      <c r="CM1003" s="7">
        <v>100</v>
      </c>
      <c r="CN1003" s="7">
        <v>0.75122</v>
      </c>
      <c r="CO1003" s="7">
        <v>100</v>
      </c>
      <c r="CP1003" s="7">
        <v>100</v>
      </c>
      <c r="CQ1003" s="7">
        <v>0.39645000000000002</v>
      </c>
      <c r="CR1003" s="7">
        <v>0.93888899999999997</v>
      </c>
      <c r="CS1003" s="7">
        <v>26.42998</v>
      </c>
      <c r="CT1003" s="7">
        <v>50</v>
      </c>
      <c r="CU1003" s="7">
        <v>0.61201499999999998</v>
      </c>
      <c r="CV1003" s="7">
        <v>50</v>
      </c>
      <c r="CW1003" s="7">
        <v>50</v>
      </c>
      <c r="CX1003" s="7">
        <v>0.95121999999999995</v>
      </c>
      <c r="CY1003" s="7">
        <v>0.94</v>
      </c>
      <c r="CZ1003" s="7">
        <v>-1.1220000000000001E-2</v>
      </c>
      <c r="DA1003" s="7">
        <v>15.314097</v>
      </c>
      <c r="DB1003" s="7">
        <v>17.400950000000002</v>
      </c>
      <c r="DC1003" s="7">
        <v>16.332519999999999</v>
      </c>
      <c r="DD1003" s="7">
        <v>7.9891730000000001</v>
      </c>
      <c r="DE1003" s="7">
        <v>1</v>
      </c>
      <c r="DF1003" s="6"/>
      <c r="DG1003" s="6"/>
      <c r="DH1003" s="6"/>
      <c r="DI1003" s="6"/>
      <c r="DJ1003" s="7">
        <v>0</v>
      </c>
      <c r="DK1003" s="7">
        <v>0</v>
      </c>
      <c r="DL1003" s="7">
        <v>0</v>
      </c>
      <c r="DM1003" s="7">
        <v>0</v>
      </c>
      <c r="DN1003" s="7">
        <v>0</v>
      </c>
      <c r="DO1003" s="7">
        <v>0</v>
      </c>
      <c r="DP1003" s="6"/>
      <c r="DQ1003" s="4" t="s">
        <v>125</v>
      </c>
    </row>
    <row r="1004" spans="1:121" ht="20" customHeight="1" x14ac:dyDescent="0.15">
      <c r="A1004" s="5">
        <v>2018</v>
      </c>
      <c r="B1004" s="3" t="s">
        <v>210</v>
      </c>
      <c r="C1004" s="4" t="str">
        <f>"1540011"</f>
        <v>1540011</v>
      </c>
      <c r="D1004" s="4" t="s">
        <v>1148</v>
      </c>
      <c r="E1004" s="4" t="str">
        <f>"1540211"</f>
        <v>1540211</v>
      </c>
      <c r="F1004" s="4" t="s">
        <v>327</v>
      </c>
      <c r="G1004" s="4" t="s">
        <v>328</v>
      </c>
      <c r="H1004" s="7">
        <v>4</v>
      </c>
      <c r="I1004" s="4" t="s">
        <v>329</v>
      </c>
      <c r="J1004" s="4" t="s">
        <v>330</v>
      </c>
      <c r="K1004" s="7">
        <v>575.81642199999999</v>
      </c>
      <c r="L1004" s="7">
        <v>650</v>
      </c>
      <c r="M1004" s="7">
        <v>88.587142</v>
      </c>
      <c r="N1004" s="7">
        <v>1</v>
      </c>
      <c r="O1004" s="7">
        <v>0</v>
      </c>
      <c r="P1004" s="7">
        <v>78.726731999999998</v>
      </c>
      <c r="Q1004" s="7">
        <v>50</v>
      </c>
      <c r="R1004" s="7">
        <v>50</v>
      </c>
      <c r="S1004" s="7">
        <v>72.345017999999996</v>
      </c>
      <c r="T1004" s="7">
        <v>75</v>
      </c>
      <c r="U1004" s="7">
        <v>48.230012000000002</v>
      </c>
      <c r="V1004" s="7">
        <v>50</v>
      </c>
      <c r="W1004" s="7">
        <v>79.805598000000003</v>
      </c>
      <c r="X1004" s="7">
        <v>50</v>
      </c>
      <c r="Y1004" s="7">
        <v>50</v>
      </c>
      <c r="Z1004" s="7">
        <v>75</v>
      </c>
      <c r="AA1004" s="7">
        <v>74.524029999999996</v>
      </c>
      <c r="AB1004" s="7">
        <v>49.682687000000001</v>
      </c>
      <c r="AC1004" s="7">
        <v>50</v>
      </c>
      <c r="AD1004" s="4" t="s">
        <v>124</v>
      </c>
      <c r="AE1004" s="4" t="s">
        <v>124</v>
      </c>
      <c r="AF1004" s="4" t="s">
        <v>124</v>
      </c>
      <c r="AG1004" s="4" t="s">
        <v>124</v>
      </c>
      <c r="AH1004" s="4" t="s">
        <v>124</v>
      </c>
      <c r="AI1004" s="4" t="s">
        <v>124</v>
      </c>
      <c r="AJ1004" s="4" t="s">
        <v>124</v>
      </c>
      <c r="AK1004" s="7">
        <v>2.65</v>
      </c>
      <c r="AL1004" s="7">
        <v>0.47</v>
      </c>
      <c r="AM1004" s="4" t="s">
        <v>124</v>
      </c>
      <c r="AN1004" s="7">
        <v>0.70481000000000005</v>
      </c>
      <c r="AO1004" s="7">
        <v>70.480951000000005</v>
      </c>
      <c r="AP1004" s="7">
        <v>100</v>
      </c>
      <c r="AQ1004" s="7">
        <v>0.92194100000000001</v>
      </c>
      <c r="AR1004" s="7">
        <v>92.194109999999995</v>
      </c>
      <c r="AS1004" s="7">
        <v>100</v>
      </c>
      <c r="AT1004" s="4" t="s">
        <v>124</v>
      </c>
      <c r="AU1004" s="7">
        <v>0.70815099999999997</v>
      </c>
      <c r="AV1004" s="4" t="s">
        <v>124</v>
      </c>
      <c r="AW1004" s="4" t="s">
        <v>124</v>
      </c>
      <c r="AX1004" s="4" t="s">
        <v>124</v>
      </c>
      <c r="AY1004" s="7">
        <v>0.891262</v>
      </c>
      <c r="AZ1004" s="4" t="s">
        <v>124</v>
      </c>
      <c r="BA1004" s="4" t="s">
        <v>124</v>
      </c>
      <c r="BB1004" s="7">
        <v>0.67752100000000004</v>
      </c>
      <c r="BC1004" s="7">
        <v>33.876072000000001</v>
      </c>
      <c r="BD1004" s="7">
        <v>50</v>
      </c>
      <c r="BE1004" s="7">
        <v>0.64292499999999997</v>
      </c>
      <c r="BF1004" s="7">
        <v>32.146241000000003</v>
      </c>
      <c r="BG1004" s="7">
        <v>50</v>
      </c>
      <c r="BH1004" s="7">
        <v>0</v>
      </c>
      <c r="BI1004" s="7">
        <v>1</v>
      </c>
      <c r="BJ1004" s="7">
        <v>1</v>
      </c>
      <c r="BK1004" s="7">
        <v>1</v>
      </c>
      <c r="BL1004" s="7">
        <v>1</v>
      </c>
      <c r="BM1004" s="7">
        <v>1</v>
      </c>
      <c r="BN1004" s="7">
        <v>1</v>
      </c>
      <c r="BO1004" s="4" t="s">
        <v>124</v>
      </c>
      <c r="BP1004" s="4" t="s">
        <v>124</v>
      </c>
      <c r="BQ1004" s="4" t="s">
        <v>124</v>
      </c>
      <c r="BR1004" s="7">
        <v>4.7169999999999998E-3</v>
      </c>
      <c r="BS1004" s="7">
        <v>50</v>
      </c>
      <c r="BT1004" s="7">
        <v>50</v>
      </c>
      <c r="BU1004" s="7">
        <v>9.2589999999999999E-3</v>
      </c>
      <c r="BV1004" s="7">
        <v>50</v>
      </c>
      <c r="BW1004" s="7">
        <v>50</v>
      </c>
      <c r="BX1004" s="4" t="s">
        <v>124</v>
      </c>
      <c r="BY1004" s="4" t="s">
        <v>124</v>
      </c>
      <c r="BZ1004" s="4" t="s">
        <v>124</v>
      </c>
      <c r="CA1004" s="4" t="s">
        <v>124</v>
      </c>
      <c r="CB1004" s="4" t="s">
        <v>124</v>
      </c>
      <c r="CC1004" s="4" t="s">
        <v>124</v>
      </c>
      <c r="CD1004" s="4" t="s">
        <v>124</v>
      </c>
      <c r="CE1004" s="4" t="s">
        <v>124</v>
      </c>
      <c r="CF1004" s="4" t="s">
        <v>124</v>
      </c>
      <c r="CG1004" s="4" t="s">
        <v>124</v>
      </c>
      <c r="CH1004" s="4" t="s">
        <v>124</v>
      </c>
      <c r="CI1004" s="4" t="s">
        <v>124</v>
      </c>
      <c r="CJ1004" s="4" t="s">
        <v>124</v>
      </c>
      <c r="CK1004" s="4" t="s">
        <v>124</v>
      </c>
      <c r="CL1004" s="4" t="s">
        <v>124</v>
      </c>
      <c r="CM1004" s="4" t="s">
        <v>124</v>
      </c>
      <c r="CN1004" s="4" t="s">
        <v>124</v>
      </c>
      <c r="CO1004" s="4" t="s">
        <v>124</v>
      </c>
      <c r="CP1004" s="4" t="s">
        <v>124</v>
      </c>
      <c r="CQ1004" s="7">
        <v>0.73809499999999995</v>
      </c>
      <c r="CR1004" s="7">
        <v>0.97674399999999995</v>
      </c>
      <c r="CS1004" s="7">
        <v>49.206349000000003</v>
      </c>
      <c r="CT1004" s="7">
        <v>50</v>
      </c>
      <c r="CU1004" s="4" t="s">
        <v>124</v>
      </c>
      <c r="CV1004" s="4" t="s">
        <v>124</v>
      </c>
      <c r="CW1004" s="4" t="s">
        <v>124</v>
      </c>
      <c r="CX1004" s="4" t="s">
        <v>124</v>
      </c>
      <c r="CY1004" s="4" t="s">
        <v>124</v>
      </c>
      <c r="CZ1004" s="4" t="s">
        <v>124</v>
      </c>
      <c r="DA1004" s="7">
        <v>15.314097</v>
      </c>
      <c r="DB1004" s="7">
        <v>17.400950000000002</v>
      </c>
      <c r="DC1004" s="7">
        <v>16.332519999999999</v>
      </c>
      <c r="DD1004" s="4" t="s">
        <v>124</v>
      </c>
      <c r="DE1004" s="7">
        <v>0</v>
      </c>
      <c r="DF1004" s="6"/>
      <c r="DG1004" s="6"/>
      <c r="DH1004" s="4" t="s">
        <v>331</v>
      </c>
      <c r="DI1004" s="4" t="s">
        <v>545</v>
      </c>
      <c r="DJ1004" s="7">
        <v>1</v>
      </c>
      <c r="DK1004" s="7">
        <v>0</v>
      </c>
      <c r="DL1004" s="7">
        <v>1</v>
      </c>
      <c r="DM1004" s="7">
        <v>0</v>
      </c>
      <c r="DN1004" s="7">
        <v>0</v>
      </c>
      <c r="DO1004" s="7">
        <v>0</v>
      </c>
      <c r="DP1004" s="6"/>
      <c r="DQ1004" s="4" t="s">
        <v>125</v>
      </c>
    </row>
    <row r="1005" spans="1:121" ht="20" customHeight="1" x14ac:dyDescent="0.15">
      <c r="A1005" s="5">
        <v>2018</v>
      </c>
      <c r="B1005" s="3" t="s">
        <v>210</v>
      </c>
      <c r="C1005" s="4" t="str">
        <f>"1540011"</f>
        <v>1540011</v>
      </c>
      <c r="D1005" s="4" t="s">
        <v>1149</v>
      </c>
      <c r="E1005" s="4" t="str">
        <f>"1546111"</f>
        <v>1546111</v>
      </c>
      <c r="F1005" s="4" t="s">
        <v>327</v>
      </c>
      <c r="G1005" s="7">
        <v>9</v>
      </c>
      <c r="H1005" s="7">
        <v>12</v>
      </c>
      <c r="I1005" s="6"/>
      <c r="J1005" s="4" t="s">
        <v>330</v>
      </c>
      <c r="K1005" s="7">
        <v>1118.209965</v>
      </c>
      <c r="L1005" s="7">
        <v>1450</v>
      </c>
      <c r="M1005" s="7">
        <v>77.117929000000004</v>
      </c>
      <c r="N1005" s="7">
        <v>3</v>
      </c>
      <c r="O1005" s="7">
        <v>1</v>
      </c>
      <c r="P1005" s="7">
        <v>65.476190000000003</v>
      </c>
      <c r="Q1005" s="7">
        <v>130.952381</v>
      </c>
      <c r="R1005" s="7">
        <v>150</v>
      </c>
      <c r="S1005" s="7">
        <v>53.808332999999998</v>
      </c>
      <c r="T1005" s="7">
        <v>73.522988999999995</v>
      </c>
      <c r="U1005" s="7">
        <v>107.61666700000001</v>
      </c>
      <c r="V1005" s="7">
        <v>150</v>
      </c>
      <c r="W1005" s="7">
        <v>61.285713999999999</v>
      </c>
      <c r="X1005" s="7">
        <v>122.57142899999999</v>
      </c>
      <c r="Y1005" s="7">
        <v>150</v>
      </c>
      <c r="Z1005" s="7">
        <v>69.477011000000005</v>
      </c>
      <c r="AA1005" s="7">
        <v>49.408332999999999</v>
      </c>
      <c r="AB1005" s="7">
        <v>98.816666999999995</v>
      </c>
      <c r="AC1005" s="7">
        <v>150</v>
      </c>
      <c r="AD1005" s="7">
        <v>55.293564000000003</v>
      </c>
      <c r="AE1005" s="7">
        <v>73.724750999999998</v>
      </c>
      <c r="AF1005" s="7">
        <v>100</v>
      </c>
      <c r="AG1005" s="7">
        <v>44.592308000000003</v>
      </c>
      <c r="AH1005" s="7">
        <v>62.673740000000002</v>
      </c>
      <c r="AI1005" s="7">
        <v>59.456409999999998</v>
      </c>
      <c r="AJ1005" s="7">
        <v>100</v>
      </c>
      <c r="AK1005" s="7">
        <v>19.71</v>
      </c>
      <c r="AL1005" s="7">
        <v>20.059999999999999</v>
      </c>
      <c r="AM1005" s="7">
        <v>18.079999999999998</v>
      </c>
      <c r="AN1005" s="4" t="s">
        <v>124</v>
      </c>
      <c r="AO1005" s="4" t="s">
        <v>124</v>
      </c>
      <c r="AP1005" s="4" t="s">
        <v>124</v>
      </c>
      <c r="AQ1005" s="4" t="s">
        <v>124</v>
      </c>
      <c r="AR1005" s="4" t="s">
        <v>124</v>
      </c>
      <c r="AS1005" s="4" t="s">
        <v>124</v>
      </c>
      <c r="AT1005" s="4" t="s">
        <v>124</v>
      </c>
      <c r="AU1005" s="4" t="s">
        <v>124</v>
      </c>
      <c r="AV1005" s="4" t="s">
        <v>124</v>
      </c>
      <c r="AW1005" s="4" t="s">
        <v>124</v>
      </c>
      <c r="AX1005" s="4" t="s">
        <v>124</v>
      </c>
      <c r="AY1005" s="4" t="s">
        <v>124</v>
      </c>
      <c r="AZ1005" s="4" t="s">
        <v>124</v>
      </c>
      <c r="BA1005" s="4" t="s">
        <v>124</v>
      </c>
      <c r="BB1005" s="4" t="s">
        <v>124</v>
      </c>
      <c r="BC1005" s="4" t="s">
        <v>124</v>
      </c>
      <c r="BD1005" s="4" t="s">
        <v>124</v>
      </c>
      <c r="BE1005" s="4" t="s">
        <v>124</v>
      </c>
      <c r="BF1005" s="4" t="s">
        <v>124</v>
      </c>
      <c r="BG1005" s="4" t="s">
        <v>124</v>
      </c>
      <c r="BH1005" s="7">
        <v>1</v>
      </c>
      <c r="BI1005" s="7">
        <v>0.94444399999999995</v>
      </c>
      <c r="BJ1005" s="7">
        <v>0.88</v>
      </c>
      <c r="BK1005" s="7">
        <v>1</v>
      </c>
      <c r="BL1005" s="7">
        <v>0.94444399999999995</v>
      </c>
      <c r="BM1005" s="7">
        <v>0.88</v>
      </c>
      <c r="BN1005" s="7">
        <v>1</v>
      </c>
      <c r="BO1005" s="7">
        <v>0.96363600000000005</v>
      </c>
      <c r="BP1005" s="7">
        <v>0.92307700000000004</v>
      </c>
      <c r="BQ1005" s="7">
        <v>1</v>
      </c>
      <c r="BR1005" s="7">
        <v>9.6490999999999993E-2</v>
      </c>
      <c r="BS1005" s="7">
        <v>40.701754000000001</v>
      </c>
      <c r="BT1005" s="7">
        <v>50</v>
      </c>
      <c r="BU1005" s="7">
        <v>0.20430100000000001</v>
      </c>
      <c r="BV1005" s="7">
        <v>19.139785</v>
      </c>
      <c r="BW1005" s="7">
        <v>50</v>
      </c>
      <c r="BX1005" s="7">
        <v>0.60344799999999998</v>
      </c>
      <c r="BY1005" s="7">
        <v>40.229885000000003</v>
      </c>
      <c r="BZ1005" s="7">
        <v>50</v>
      </c>
      <c r="CA1005" s="7">
        <v>0.52586200000000005</v>
      </c>
      <c r="CB1005" s="7">
        <v>35.057471</v>
      </c>
      <c r="CC1005" s="7">
        <v>50</v>
      </c>
      <c r="CD1005" s="7">
        <v>0.73333300000000001</v>
      </c>
      <c r="CE1005" s="7">
        <v>39.007092</v>
      </c>
      <c r="CF1005" s="7">
        <v>50</v>
      </c>
      <c r="CG1005" s="7">
        <v>0.94318199999999996</v>
      </c>
      <c r="CH1005" s="7">
        <v>100</v>
      </c>
      <c r="CI1005" s="7">
        <v>100</v>
      </c>
      <c r="CJ1005" s="7">
        <v>0</v>
      </c>
      <c r="CK1005" s="7">
        <v>1</v>
      </c>
      <c r="CL1005" s="7">
        <v>100</v>
      </c>
      <c r="CM1005" s="7">
        <v>100</v>
      </c>
      <c r="CN1005" s="7">
        <v>0.79069800000000001</v>
      </c>
      <c r="CO1005" s="7">
        <v>100</v>
      </c>
      <c r="CP1005" s="7">
        <v>100</v>
      </c>
      <c r="CQ1005" s="7">
        <v>0.6</v>
      </c>
      <c r="CR1005" s="7">
        <v>0.67307700000000004</v>
      </c>
      <c r="CS1005" s="7">
        <v>10</v>
      </c>
      <c r="CT1005" s="7">
        <v>50</v>
      </c>
      <c r="CU1005" s="7">
        <v>0.491228</v>
      </c>
      <c r="CV1005" s="7">
        <v>40.935673000000001</v>
      </c>
      <c r="CW1005" s="7">
        <v>50</v>
      </c>
      <c r="CX1005" s="7">
        <v>1</v>
      </c>
      <c r="CY1005" s="7">
        <v>0.94</v>
      </c>
      <c r="CZ1005" s="7">
        <v>-0.06</v>
      </c>
      <c r="DA1005" s="7">
        <v>15.314097</v>
      </c>
      <c r="DB1005" s="7">
        <v>17.400950000000002</v>
      </c>
      <c r="DC1005" s="7">
        <v>16.332519999999999</v>
      </c>
      <c r="DD1005" s="7">
        <v>7.9891730000000001</v>
      </c>
      <c r="DE1005" s="7">
        <v>1</v>
      </c>
      <c r="DF1005" s="6"/>
      <c r="DG1005" s="6"/>
      <c r="DH1005" s="6"/>
      <c r="DI1005" s="6"/>
      <c r="DJ1005" s="7">
        <v>0</v>
      </c>
      <c r="DK1005" s="7">
        <v>0</v>
      </c>
      <c r="DL1005" s="7">
        <v>0</v>
      </c>
      <c r="DM1005" s="7">
        <v>0</v>
      </c>
      <c r="DN1005" s="7">
        <v>0</v>
      </c>
      <c r="DO1005" s="7">
        <v>0</v>
      </c>
      <c r="DP1005" s="6"/>
      <c r="DQ1005" s="4" t="s">
        <v>125</v>
      </c>
    </row>
    <row r="1006" spans="1:121" ht="20" customHeight="1" x14ac:dyDescent="0.15">
      <c r="A1006" s="5">
        <v>2018</v>
      </c>
      <c r="B1006" s="3" t="s">
        <v>210</v>
      </c>
      <c r="C1006" s="4" t="str">
        <f t="shared" si="85"/>
        <v>1540011</v>
      </c>
      <c r="D1006" s="4" t="s">
        <v>1150</v>
      </c>
      <c r="E1006" s="4" t="str">
        <f>"1545111"</f>
        <v>1545111</v>
      </c>
      <c r="F1006" s="4" t="s">
        <v>327</v>
      </c>
      <c r="G1006" s="7">
        <v>5</v>
      </c>
      <c r="H1006" s="7">
        <v>8</v>
      </c>
      <c r="I1006" s="6"/>
      <c r="J1006" s="4" t="s">
        <v>330</v>
      </c>
      <c r="K1006" s="7">
        <v>743.05760399999997</v>
      </c>
      <c r="L1006" s="7">
        <v>900</v>
      </c>
      <c r="M1006" s="7">
        <v>82.561955999999995</v>
      </c>
      <c r="N1006" s="7">
        <v>2</v>
      </c>
      <c r="O1006" s="7">
        <v>0</v>
      </c>
      <c r="P1006" s="7">
        <v>80.233979000000005</v>
      </c>
      <c r="Q1006" s="7">
        <v>50</v>
      </c>
      <c r="R1006" s="7">
        <v>50</v>
      </c>
      <c r="S1006" s="7">
        <v>70.670388000000003</v>
      </c>
      <c r="T1006" s="7">
        <v>75</v>
      </c>
      <c r="U1006" s="7">
        <v>47.113591999999997</v>
      </c>
      <c r="V1006" s="7">
        <v>50</v>
      </c>
      <c r="W1006" s="7">
        <v>75.469380000000001</v>
      </c>
      <c r="X1006" s="7">
        <v>50</v>
      </c>
      <c r="Y1006" s="7">
        <v>50</v>
      </c>
      <c r="Z1006" s="7">
        <v>75</v>
      </c>
      <c r="AA1006" s="7">
        <v>66.372412999999995</v>
      </c>
      <c r="AB1006" s="7">
        <v>44.248275</v>
      </c>
      <c r="AC1006" s="7">
        <v>50</v>
      </c>
      <c r="AD1006" s="7">
        <v>75.736181000000002</v>
      </c>
      <c r="AE1006" s="7">
        <v>50</v>
      </c>
      <c r="AF1006" s="7">
        <v>50</v>
      </c>
      <c r="AG1006" s="7">
        <v>65.304226999999997</v>
      </c>
      <c r="AH1006" s="7">
        <v>75</v>
      </c>
      <c r="AI1006" s="7">
        <v>43.536150999999997</v>
      </c>
      <c r="AJ1006" s="7">
        <v>50</v>
      </c>
      <c r="AK1006" s="7">
        <v>4.32</v>
      </c>
      <c r="AL1006" s="7">
        <v>8.6199999999999992</v>
      </c>
      <c r="AM1006" s="7">
        <v>9.69</v>
      </c>
      <c r="AN1006" s="7">
        <v>0.71390299999999995</v>
      </c>
      <c r="AO1006" s="7">
        <v>71.390253999999999</v>
      </c>
      <c r="AP1006" s="7">
        <v>100</v>
      </c>
      <c r="AQ1006" s="7">
        <v>0.75550200000000001</v>
      </c>
      <c r="AR1006" s="7">
        <v>75.550225999999995</v>
      </c>
      <c r="AS1006" s="7">
        <v>100</v>
      </c>
      <c r="AT1006" s="7">
        <v>0.66275600000000001</v>
      </c>
      <c r="AU1006" s="7">
        <v>0.74843700000000002</v>
      </c>
      <c r="AV1006" s="7">
        <v>66.275615999999999</v>
      </c>
      <c r="AW1006" s="7">
        <v>100</v>
      </c>
      <c r="AX1006" s="7">
        <v>0.65151800000000004</v>
      </c>
      <c r="AY1006" s="7">
        <v>0.82571399999999995</v>
      </c>
      <c r="AZ1006" s="7">
        <v>65.151803000000001</v>
      </c>
      <c r="BA1006" s="7">
        <v>100</v>
      </c>
      <c r="BB1006" s="4" t="s">
        <v>124</v>
      </c>
      <c r="BC1006" s="4" t="s">
        <v>124</v>
      </c>
      <c r="BD1006" s="4" t="s">
        <v>124</v>
      </c>
      <c r="BE1006" s="4" t="s">
        <v>124</v>
      </c>
      <c r="BF1006" s="4" t="s">
        <v>124</v>
      </c>
      <c r="BG1006" s="4" t="s">
        <v>124</v>
      </c>
      <c r="BH1006" s="7">
        <v>0</v>
      </c>
      <c r="BI1006" s="7">
        <v>0.99521499999999996</v>
      </c>
      <c r="BJ1006" s="7">
        <v>0.98912999999999995</v>
      </c>
      <c r="BK1006" s="7">
        <v>1</v>
      </c>
      <c r="BL1006" s="7">
        <v>0.99521499999999996</v>
      </c>
      <c r="BM1006" s="7">
        <v>0.98912999999999995</v>
      </c>
      <c r="BN1006" s="7">
        <v>1</v>
      </c>
      <c r="BO1006" s="7">
        <v>0.99074099999999998</v>
      </c>
      <c r="BP1006" s="7">
        <v>0.97872300000000001</v>
      </c>
      <c r="BQ1006" s="7">
        <v>1</v>
      </c>
      <c r="BR1006" s="7">
        <v>1.9139E-2</v>
      </c>
      <c r="BS1006" s="7">
        <v>50</v>
      </c>
      <c r="BT1006" s="7">
        <v>50</v>
      </c>
      <c r="BU1006" s="7">
        <v>2.1052999999999999E-2</v>
      </c>
      <c r="BV1006" s="7">
        <v>50</v>
      </c>
      <c r="BW1006" s="7">
        <v>50</v>
      </c>
      <c r="BX1006" s="4" t="s">
        <v>124</v>
      </c>
      <c r="BY1006" s="4" t="s">
        <v>124</v>
      </c>
      <c r="BZ1006" s="4" t="s">
        <v>124</v>
      </c>
      <c r="CA1006" s="4" t="s">
        <v>124</v>
      </c>
      <c r="CB1006" s="4" t="s">
        <v>124</v>
      </c>
      <c r="CC1006" s="4" t="s">
        <v>124</v>
      </c>
      <c r="CD1006" s="7">
        <v>0.74576299999999995</v>
      </c>
      <c r="CE1006" s="7">
        <v>39.668228999999997</v>
      </c>
      <c r="CF1006" s="7">
        <v>50</v>
      </c>
      <c r="CG1006" s="4" t="s">
        <v>124</v>
      </c>
      <c r="CH1006" s="4" t="s">
        <v>124</v>
      </c>
      <c r="CI1006" s="4" t="s">
        <v>124</v>
      </c>
      <c r="CJ1006" s="4" t="s">
        <v>124</v>
      </c>
      <c r="CK1006" s="4" t="s">
        <v>124</v>
      </c>
      <c r="CL1006" s="4" t="s">
        <v>124</v>
      </c>
      <c r="CM1006" s="4" t="s">
        <v>124</v>
      </c>
      <c r="CN1006" s="4" t="s">
        <v>124</v>
      </c>
      <c r="CO1006" s="4" t="s">
        <v>124</v>
      </c>
      <c r="CP1006" s="4" t="s">
        <v>124</v>
      </c>
      <c r="CQ1006" s="7">
        <v>0.60185200000000005</v>
      </c>
      <c r="CR1006" s="7">
        <v>1</v>
      </c>
      <c r="CS1006" s="7">
        <v>40.123457000000002</v>
      </c>
      <c r="CT1006" s="7">
        <v>50</v>
      </c>
      <c r="CU1006" s="4" t="s">
        <v>124</v>
      </c>
      <c r="CV1006" s="4" t="s">
        <v>124</v>
      </c>
      <c r="CW1006" s="4" t="s">
        <v>124</v>
      </c>
      <c r="CX1006" s="4" t="s">
        <v>124</v>
      </c>
      <c r="CY1006" s="4" t="s">
        <v>124</v>
      </c>
      <c r="CZ1006" s="4" t="s">
        <v>124</v>
      </c>
      <c r="DA1006" s="7">
        <v>15.314097</v>
      </c>
      <c r="DB1006" s="7">
        <v>17.400950000000002</v>
      </c>
      <c r="DC1006" s="7">
        <v>16.332519999999999</v>
      </c>
      <c r="DD1006" s="4" t="s">
        <v>124</v>
      </c>
      <c r="DE1006" s="7">
        <v>0</v>
      </c>
      <c r="DF1006" s="6"/>
      <c r="DG1006" s="6"/>
      <c r="DH1006" s="6"/>
      <c r="DI1006" s="6"/>
      <c r="DJ1006" s="7">
        <v>0</v>
      </c>
      <c r="DK1006" s="7">
        <v>0</v>
      </c>
      <c r="DL1006" s="7">
        <v>0</v>
      </c>
      <c r="DM1006" s="7">
        <v>0</v>
      </c>
      <c r="DN1006" s="7">
        <v>0</v>
      </c>
      <c r="DO1006" s="7">
        <v>0</v>
      </c>
      <c r="DP1006" s="6"/>
      <c r="DQ1006" s="4" t="s">
        <v>125</v>
      </c>
    </row>
    <row r="1007" spans="1:121" ht="20" customHeight="1" x14ac:dyDescent="0.15">
      <c r="A1007" s="5">
        <v>2018</v>
      </c>
      <c r="B1007" s="3" t="s">
        <v>211</v>
      </c>
      <c r="C1007" s="4" t="str">
        <f t="shared" si="86"/>
        <v>1550011</v>
      </c>
      <c r="D1007" s="4" t="s">
        <v>1151</v>
      </c>
      <c r="E1007" s="4" t="str">
        <f>"1551611"</f>
        <v>1551611</v>
      </c>
      <c r="F1007" s="4" t="s">
        <v>327</v>
      </c>
      <c r="G1007" s="4" t="s">
        <v>328</v>
      </c>
      <c r="H1007" s="7">
        <v>5</v>
      </c>
      <c r="I1007" s="6"/>
      <c r="J1007" s="4" t="s">
        <v>330</v>
      </c>
      <c r="K1007" s="7">
        <v>751.60332600000004</v>
      </c>
      <c r="L1007" s="7">
        <v>950</v>
      </c>
      <c r="M1007" s="7">
        <v>79.116140000000001</v>
      </c>
      <c r="N1007" s="7">
        <v>2</v>
      </c>
      <c r="O1007" s="7">
        <v>0</v>
      </c>
      <c r="P1007" s="7">
        <v>76.696147999999994</v>
      </c>
      <c r="Q1007" s="7">
        <v>50</v>
      </c>
      <c r="R1007" s="7">
        <v>50</v>
      </c>
      <c r="S1007" s="7">
        <v>66.789648</v>
      </c>
      <c r="T1007" s="7">
        <v>75</v>
      </c>
      <c r="U1007" s="7">
        <v>44.526432</v>
      </c>
      <c r="V1007" s="7">
        <v>50</v>
      </c>
      <c r="W1007" s="7">
        <v>73.410061999999996</v>
      </c>
      <c r="X1007" s="7">
        <v>48.940041999999998</v>
      </c>
      <c r="Y1007" s="7">
        <v>50</v>
      </c>
      <c r="Z1007" s="7">
        <v>75</v>
      </c>
      <c r="AA1007" s="7">
        <v>62.768135000000001</v>
      </c>
      <c r="AB1007" s="7">
        <v>41.845422999999997</v>
      </c>
      <c r="AC1007" s="7">
        <v>50</v>
      </c>
      <c r="AD1007" s="7">
        <v>73.761392999999998</v>
      </c>
      <c r="AE1007" s="7">
        <v>49.174261999999999</v>
      </c>
      <c r="AF1007" s="7">
        <v>50</v>
      </c>
      <c r="AG1007" s="7">
        <v>63.587097</v>
      </c>
      <c r="AH1007" s="7">
        <v>75</v>
      </c>
      <c r="AI1007" s="7">
        <v>42.391398000000002</v>
      </c>
      <c r="AJ1007" s="7">
        <v>50</v>
      </c>
      <c r="AK1007" s="7">
        <v>8.2100000000000009</v>
      </c>
      <c r="AL1007" s="7">
        <v>12.23</v>
      </c>
      <c r="AM1007" s="7">
        <v>11.41</v>
      </c>
      <c r="AN1007" s="7">
        <v>0.66006200000000004</v>
      </c>
      <c r="AO1007" s="7">
        <v>66.006193999999994</v>
      </c>
      <c r="AP1007" s="7">
        <v>100</v>
      </c>
      <c r="AQ1007" s="7">
        <v>0.745564</v>
      </c>
      <c r="AR1007" s="7">
        <v>74.556426000000002</v>
      </c>
      <c r="AS1007" s="7">
        <v>100</v>
      </c>
      <c r="AT1007" s="7">
        <v>0.607483</v>
      </c>
      <c r="AU1007" s="7">
        <v>0.68216900000000003</v>
      </c>
      <c r="AV1007" s="7">
        <v>60.748341000000003</v>
      </c>
      <c r="AW1007" s="7">
        <v>100</v>
      </c>
      <c r="AX1007" s="7">
        <v>0.64529599999999998</v>
      </c>
      <c r="AY1007" s="7">
        <v>0.78772299999999995</v>
      </c>
      <c r="AZ1007" s="7">
        <v>64.529590999999996</v>
      </c>
      <c r="BA1007" s="7">
        <v>100</v>
      </c>
      <c r="BB1007" s="7">
        <v>0.76674600000000004</v>
      </c>
      <c r="BC1007" s="7">
        <v>38.337324000000002</v>
      </c>
      <c r="BD1007" s="7">
        <v>50</v>
      </c>
      <c r="BE1007" s="7">
        <v>0.70013499999999995</v>
      </c>
      <c r="BF1007" s="7">
        <v>35.006768999999998</v>
      </c>
      <c r="BG1007" s="7">
        <v>50</v>
      </c>
      <c r="BH1007" s="7">
        <v>0</v>
      </c>
      <c r="BI1007" s="7">
        <v>1</v>
      </c>
      <c r="BJ1007" s="7">
        <v>1</v>
      </c>
      <c r="BK1007" s="7">
        <v>1</v>
      </c>
      <c r="BL1007" s="7">
        <v>1</v>
      </c>
      <c r="BM1007" s="7">
        <v>1</v>
      </c>
      <c r="BN1007" s="7">
        <v>1</v>
      </c>
      <c r="BO1007" s="7">
        <v>1</v>
      </c>
      <c r="BP1007" s="7">
        <v>1</v>
      </c>
      <c r="BQ1007" s="7">
        <v>1</v>
      </c>
      <c r="BR1007" s="7">
        <v>0.05</v>
      </c>
      <c r="BS1007" s="7">
        <v>50</v>
      </c>
      <c r="BT1007" s="7">
        <v>50</v>
      </c>
      <c r="BU1007" s="7">
        <v>8.1818000000000002E-2</v>
      </c>
      <c r="BV1007" s="7">
        <v>43.636364</v>
      </c>
      <c r="BW1007" s="7">
        <v>50</v>
      </c>
      <c r="BX1007" s="4" t="s">
        <v>124</v>
      </c>
      <c r="BY1007" s="4" t="s">
        <v>124</v>
      </c>
      <c r="BZ1007" s="4" t="s">
        <v>124</v>
      </c>
      <c r="CA1007" s="4" t="s">
        <v>124</v>
      </c>
      <c r="CB1007" s="4" t="s">
        <v>124</v>
      </c>
      <c r="CC1007" s="4" t="s">
        <v>124</v>
      </c>
      <c r="CD1007" s="4" t="s">
        <v>124</v>
      </c>
      <c r="CE1007" s="4" t="s">
        <v>124</v>
      </c>
      <c r="CF1007" s="4" t="s">
        <v>124</v>
      </c>
      <c r="CG1007" s="4" t="s">
        <v>124</v>
      </c>
      <c r="CH1007" s="4" t="s">
        <v>124</v>
      </c>
      <c r="CI1007" s="4" t="s">
        <v>124</v>
      </c>
      <c r="CJ1007" s="4" t="s">
        <v>124</v>
      </c>
      <c r="CK1007" s="4" t="s">
        <v>124</v>
      </c>
      <c r="CL1007" s="4" t="s">
        <v>124</v>
      </c>
      <c r="CM1007" s="4" t="s">
        <v>124</v>
      </c>
      <c r="CN1007" s="4" t="s">
        <v>124</v>
      </c>
      <c r="CO1007" s="4" t="s">
        <v>124</v>
      </c>
      <c r="CP1007" s="4" t="s">
        <v>124</v>
      </c>
      <c r="CQ1007" s="7">
        <v>0.62857099999999999</v>
      </c>
      <c r="CR1007" s="7">
        <v>1</v>
      </c>
      <c r="CS1007" s="7">
        <v>41.904761999999998</v>
      </c>
      <c r="CT1007" s="7">
        <v>50</v>
      </c>
      <c r="CU1007" s="4" t="s">
        <v>124</v>
      </c>
      <c r="CV1007" s="4" t="s">
        <v>124</v>
      </c>
      <c r="CW1007" s="4" t="s">
        <v>124</v>
      </c>
      <c r="CX1007" s="4" t="s">
        <v>124</v>
      </c>
      <c r="CY1007" s="4" t="s">
        <v>124</v>
      </c>
      <c r="CZ1007" s="4" t="s">
        <v>124</v>
      </c>
      <c r="DA1007" s="7">
        <v>15.314097</v>
      </c>
      <c r="DB1007" s="7">
        <v>17.400950000000002</v>
      </c>
      <c r="DC1007" s="7">
        <v>16.332519999999999</v>
      </c>
      <c r="DD1007" s="4" t="s">
        <v>124</v>
      </c>
      <c r="DE1007" s="7">
        <v>0</v>
      </c>
      <c r="DF1007" s="6"/>
      <c r="DG1007" s="6"/>
      <c r="DH1007" s="6"/>
      <c r="DI1007" s="6"/>
      <c r="DJ1007" s="7">
        <v>0</v>
      </c>
      <c r="DK1007" s="7">
        <v>0</v>
      </c>
      <c r="DL1007" s="7">
        <v>0</v>
      </c>
      <c r="DM1007" s="7">
        <v>0</v>
      </c>
      <c r="DN1007" s="7">
        <v>0</v>
      </c>
      <c r="DO1007" s="7">
        <v>0</v>
      </c>
      <c r="DP1007" s="6"/>
      <c r="DQ1007" s="4" t="s">
        <v>125</v>
      </c>
    </row>
    <row r="1008" spans="1:121" ht="20" customHeight="1" x14ac:dyDescent="0.15">
      <c r="A1008" s="5">
        <v>2018</v>
      </c>
      <c r="B1008" s="3" t="s">
        <v>211</v>
      </c>
      <c r="C1008" s="4" t="str">
        <f t="shared" ref="C1008:C1022" si="267">"1550011"</f>
        <v>1550011</v>
      </c>
      <c r="D1008" s="4" t="s">
        <v>1152</v>
      </c>
      <c r="E1008" s="4" t="str">
        <f>"1550211"</f>
        <v>1550211</v>
      </c>
      <c r="F1008" s="4" t="s">
        <v>327</v>
      </c>
      <c r="G1008" s="4" t="s">
        <v>338</v>
      </c>
      <c r="H1008" s="7">
        <v>5</v>
      </c>
      <c r="I1008" s="6"/>
      <c r="J1008" s="4" t="s">
        <v>330</v>
      </c>
      <c r="K1008" s="7">
        <v>708.59382600000004</v>
      </c>
      <c r="L1008" s="7">
        <v>800</v>
      </c>
      <c r="M1008" s="7">
        <v>88.574228000000005</v>
      </c>
      <c r="N1008" s="7">
        <v>1</v>
      </c>
      <c r="O1008" s="7">
        <v>0</v>
      </c>
      <c r="P1008" s="7">
        <v>81.817419999999998</v>
      </c>
      <c r="Q1008" s="7">
        <v>50</v>
      </c>
      <c r="R1008" s="7">
        <v>50</v>
      </c>
      <c r="S1008" s="7">
        <v>70.247966000000005</v>
      </c>
      <c r="T1008" s="7">
        <v>75</v>
      </c>
      <c r="U1008" s="7">
        <v>46.831977000000002</v>
      </c>
      <c r="V1008" s="7">
        <v>50</v>
      </c>
      <c r="W1008" s="7">
        <v>76.895391000000004</v>
      </c>
      <c r="X1008" s="7">
        <v>50</v>
      </c>
      <c r="Y1008" s="7">
        <v>50</v>
      </c>
      <c r="Z1008" s="7">
        <v>75</v>
      </c>
      <c r="AA1008" s="7">
        <v>68.779977000000002</v>
      </c>
      <c r="AB1008" s="7">
        <v>45.853318000000002</v>
      </c>
      <c r="AC1008" s="7">
        <v>50</v>
      </c>
      <c r="AD1008" s="7">
        <v>75.685783000000001</v>
      </c>
      <c r="AE1008" s="7">
        <v>50</v>
      </c>
      <c r="AF1008" s="7">
        <v>50</v>
      </c>
      <c r="AG1008" s="4" t="s">
        <v>124</v>
      </c>
      <c r="AH1008" s="7">
        <v>75</v>
      </c>
      <c r="AI1008" s="4" t="s">
        <v>124</v>
      </c>
      <c r="AJ1008" s="4" t="s">
        <v>124</v>
      </c>
      <c r="AK1008" s="7">
        <v>4.75</v>
      </c>
      <c r="AL1008" s="7">
        <v>6.22</v>
      </c>
      <c r="AM1008" s="4" t="s">
        <v>124</v>
      </c>
      <c r="AN1008" s="7">
        <v>0.78036499999999998</v>
      </c>
      <c r="AO1008" s="7">
        <v>78.036512000000002</v>
      </c>
      <c r="AP1008" s="7">
        <v>100</v>
      </c>
      <c r="AQ1008" s="7">
        <v>0.82109500000000002</v>
      </c>
      <c r="AR1008" s="7">
        <v>82.109514000000004</v>
      </c>
      <c r="AS1008" s="7">
        <v>100</v>
      </c>
      <c r="AT1008" s="7">
        <v>0.72317600000000004</v>
      </c>
      <c r="AU1008" s="7">
        <v>0.79726200000000003</v>
      </c>
      <c r="AV1008" s="7">
        <v>72.317571999999998</v>
      </c>
      <c r="AW1008" s="7">
        <v>100</v>
      </c>
      <c r="AX1008" s="7">
        <v>0.854931</v>
      </c>
      <c r="AY1008" s="7">
        <v>0.81109799999999999</v>
      </c>
      <c r="AZ1008" s="7">
        <v>85.493125000000006</v>
      </c>
      <c r="BA1008" s="7">
        <v>100</v>
      </c>
      <c r="BB1008" s="4" t="s">
        <v>124</v>
      </c>
      <c r="BC1008" s="4" t="s">
        <v>124</v>
      </c>
      <c r="BD1008" s="4" t="s">
        <v>124</v>
      </c>
      <c r="BE1008" s="4" t="s">
        <v>124</v>
      </c>
      <c r="BF1008" s="4" t="s">
        <v>124</v>
      </c>
      <c r="BG1008" s="4" t="s">
        <v>124</v>
      </c>
      <c r="BH1008" s="7">
        <v>0</v>
      </c>
      <c r="BI1008" s="7">
        <v>0.99465199999999998</v>
      </c>
      <c r="BJ1008" s="7">
        <v>0.98148100000000005</v>
      </c>
      <c r="BK1008" s="7">
        <v>1</v>
      </c>
      <c r="BL1008" s="7">
        <v>0.98930499999999999</v>
      </c>
      <c r="BM1008" s="7">
        <v>0.98148100000000005</v>
      </c>
      <c r="BN1008" s="7">
        <v>0.99248099999999995</v>
      </c>
      <c r="BO1008" s="7">
        <v>1</v>
      </c>
      <c r="BP1008" s="4" t="s">
        <v>124</v>
      </c>
      <c r="BQ1008" s="7">
        <v>1</v>
      </c>
      <c r="BR1008" s="7">
        <v>1.9663E-2</v>
      </c>
      <c r="BS1008" s="7">
        <v>50</v>
      </c>
      <c r="BT1008" s="7">
        <v>50</v>
      </c>
      <c r="BU1008" s="7">
        <v>6.0241000000000003E-2</v>
      </c>
      <c r="BV1008" s="7">
        <v>47.951807000000002</v>
      </c>
      <c r="BW1008" s="7">
        <v>50</v>
      </c>
      <c r="BX1008" s="4" t="s">
        <v>124</v>
      </c>
      <c r="BY1008" s="4" t="s">
        <v>124</v>
      </c>
      <c r="BZ1008" s="4" t="s">
        <v>124</v>
      </c>
      <c r="CA1008" s="4" t="s">
        <v>124</v>
      </c>
      <c r="CB1008" s="4" t="s">
        <v>124</v>
      </c>
      <c r="CC1008" s="4" t="s">
        <v>124</v>
      </c>
      <c r="CD1008" s="4" t="s">
        <v>124</v>
      </c>
      <c r="CE1008" s="4" t="s">
        <v>124</v>
      </c>
      <c r="CF1008" s="4" t="s">
        <v>124</v>
      </c>
      <c r="CG1008" s="4" t="s">
        <v>124</v>
      </c>
      <c r="CH1008" s="4" t="s">
        <v>124</v>
      </c>
      <c r="CI1008" s="4" t="s">
        <v>124</v>
      </c>
      <c r="CJ1008" s="4" t="s">
        <v>124</v>
      </c>
      <c r="CK1008" s="4" t="s">
        <v>124</v>
      </c>
      <c r="CL1008" s="4" t="s">
        <v>124</v>
      </c>
      <c r="CM1008" s="4" t="s">
        <v>124</v>
      </c>
      <c r="CN1008" s="4" t="s">
        <v>124</v>
      </c>
      <c r="CO1008" s="4" t="s">
        <v>124</v>
      </c>
      <c r="CP1008" s="4" t="s">
        <v>124</v>
      </c>
      <c r="CQ1008" s="7">
        <v>0.82608700000000002</v>
      </c>
      <c r="CR1008" s="7">
        <v>1</v>
      </c>
      <c r="CS1008" s="7">
        <v>50</v>
      </c>
      <c r="CT1008" s="7">
        <v>50</v>
      </c>
      <c r="CU1008" s="4" t="s">
        <v>124</v>
      </c>
      <c r="CV1008" s="4" t="s">
        <v>124</v>
      </c>
      <c r="CW1008" s="4" t="s">
        <v>124</v>
      </c>
      <c r="CX1008" s="4" t="s">
        <v>124</v>
      </c>
      <c r="CY1008" s="4" t="s">
        <v>124</v>
      </c>
      <c r="CZ1008" s="4" t="s">
        <v>124</v>
      </c>
      <c r="DA1008" s="7">
        <v>15.314097</v>
      </c>
      <c r="DB1008" s="7">
        <v>17.400950000000002</v>
      </c>
      <c r="DC1008" s="7">
        <v>16.332519999999999</v>
      </c>
      <c r="DD1008" s="4" t="s">
        <v>124</v>
      </c>
      <c r="DE1008" s="7">
        <v>0</v>
      </c>
      <c r="DF1008" s="6"/>
      <c r="DG1008" s="6"/>
      <c r="DH1008" s="4" t="s">
        <v>331</v>
      </c>
      <c r="DI1008" s="4" t="s">
        <v>478</v>
      </c>
      <c r="DJ1008" s="7">
        <v>1</v>
      </c>
      <c r="DK1008" s="7">
        <v>1</v>
      </c>
      <c r="DL1008" s="7">
        <v>0</v>
      </c>
      <c r="DM1008" s="7">
        <v>1</v>
      </c>
      <c r="DN1008" s="7">
        <v>1</v>
      </c>
      <c r="DO1008" s="7">
        <v>0</v>
      </c>
      <c r="DP1008" s="6"/>
      <c r="DQ1008" s="4" t="s">
        <v>125</v>
      </c>
    </row>
    <row r="1009" spans="1:121" ht="20" customHeight="1" x14ac:dyDescent="0.15">
      <c r="A1009" s="5">
        <v>2018</v>
      </c>
      <c r="B1009" s="3" t="s">
        <v>211</v>
      </c>
      <c r="C1009" s="4" t="str">
        <f t="shared" si="267"/>
        <v>1550011</v>
      </c>
      <c r="D1009" s="4" t="s">
        <v>1153</v>
      </c>
      <c r="E1009" s="4" t="str">
        <f>"1555311"</f>
        <v>1555311</v>
      </c>
      <c r="F1009" s="4" t="s">
        <v>327</v>
      </c>
      <c r="G1009" s="7">
        <v>6</v>
      </c>
      <c r="H1009" s="7">
        <v>8</v>
      </c>
      <c r="I1009" s="6"/>
      <c r="J1009" s="4" t="s">
        <v>330</v>
      </c>
      <c r="K1009" s="7">
        <v>713.41688199999999</v>
      </c>
      <c r="L1009" s="7">
        <v>900</v>
      </c>
      <c r="M1009" s="7">
        <v>79.268541999999997</v>
      </c>
      <c r="N1009" s="7">
        <v>2</v>
      </c>
      <c r="O1009" s="7">
        <v>0</v>
      </c>
      <c r="P1009" s="7">
        <v>76.697277</v>
      </c>
      <c r="Q1009" s="7">
        <v>50</v>
      </c>
      <c r="R1009" s="7">
        <v>50</v>
      </c>
      <c r="S1009" s="7">
        <v>64.253083000000004</v>
      </c>
      <c r="T1009" s="7">
        <v>75</v>
      </c>
      <c r="U1009" s="7">
        <v>42.835388000000002</v>
      </c>
      <c r="V1009" s="7">
        <v>50</v>
      </c>
      <c r="W1009" s="7">
        <v>71.344678000000002</v>
      </c>
      <c r="X1009" s="7">
        <v>47.563118000000003</v>
      </c>
      <c r="Y1009" s="7">
        <v>50</v>
      </c>
      <c r="Z1009" s="7">
        <v>75</v>
      </c>
      <c r="AA1009" s="7">
        <v>58.482759999999999</v>
      </c>
      <c r="AB1009" s="7">
        <v>38.988506999999998</v>
      </c>
      <c r="AC1009" s="7">
        <v>50</v>
      </c>
      <c r="AD1009" s="7">
        <v>75.504857999999999</v>
      </c>
      <c r="AE1009" s="7">
        <v>50</v>
      </c>
      <c r="AF1009" s="7">
        <v>50</v>
      </c>
      <c r="AG1009" s="7">
        <v>61.486108999999999</v>
      </c>
      <c r="AH1009" s="7">
        <v>75</v>
      </c>
      <c r="AI1009" s="7">
        <v>40.990740000000002</v>
      </c>
      <c r="AJ1009" s="7">
        <v>50</v>
      </c>
      <c r="AK1009" s="7">
        <v>10.74</v>
      </c>
      <c r="AL1009" s="7">
        <v>16.510000000000002</v>
      </c>
      <c r="AM1009" s="7">
        <v>13.51</v>
      </c>
      <c r="AN1009" s="7">
        <v>0.60817500000000002</v>
      </c>
      <c r="AO1009" s="7">
        <v>60.817462999999996</v>
      </c>
      <c r="AP1009" s="7">
        <v>100</v>
      </c>
      <c r="AQ1009" s="7">
        <v>0.70821100000000003</v>
      </c>
      <c r="AR1009" s="7">
        <v>70.821136999999993</v>
      </c>
      <c r="AS1009" s="7">
        <v>100</v>
      </c>
      <c r="AT1009" s="7">
        <v>0.58863399999999999</v>
      </c>
      <c r="AU1009" s="7">
        <v>0.61846699999999999</v>
      </c>
      <c r="AV1009" s="7">
        <v>58.863360999999998</v>
      </c>
      <c r="AW1009" s="7">
        <v>100</v>
      </c>
      <c r="AX1009" s="7">
        <v>0.60530700000000004</v>
      </c>
      <c r="AY1009" s="7">
        <v>0.76222599999999996</v>
      </c>
      <c r="AZ1009" s="7">
        <v>60.530678000000002</v>
      </c>
      <c r="BA1009" s="7">
        <v>100</v>
      </c>
      <c r="BB1009" s="4" t="s">
        <v>124</v>
      </c>
      <c r="BC1009" s="4" t="s">
        <v>124</v>
      </c>
      <c r="BD1009" s="4" t="s">
        <v>124</v>
      </c>
      <c r="BE1009" s="4" t="s">
        <v>124</v>
      </c>
      <c r="BF1009" s="4" t="s">
        <v>124</v>
      </c>
      <c r="BG1009" s="4" t="s">
        <v>124</v>
      </c>
      <c r="BH1009" s="7">
        <v>0</v>
      </c>
      <c r="BI1009" s="7">
        <v>0.99277099999999996</v>
      </c>
      <c r="BJ1009" s="7">
        <v>0.99337699999999995</v>
      </c>
      <c r="BK1009" s="7">
        <v>0.99242399999999997</v>
      </c>
      <c r="BL1009" s="7">
        <v>0.99275400000000003</v>
      </c>
      <c r="BM1009" s="7">
        <v>0.99333300000000002</v>
      </c>
      <c r="BN1009" s="7">
        <v>0.99242399999999997</v>
      </c>
      <c r="BO1009" s="7">
        <v>0.992537</v>
      </c>
      <c r="BP1009" s="7">
        <v>1</v>
      </c>
      <c r="BQ1009" s="7">
        <v>0.98969099999999999</v>
      </c>
      <c r="BR1009" s="7">
        <v>3.8647000000000001E-2</v>
      </c>
      <c r="BS1009" s="7">
        <v>50</v>
      </c>
      <c r="BT1009" s="7">
        <v>50</v>
      </c>
      <c r="BU1009" s="7">
        <v>6.3829999999999998E-2</v>
      </c>
      <c r="BV1009" s="7">
        <v>47.234043</v>
      </c>
      <c r="BW1009" s="7">
        <v>50</v>
      </c>
      <c r="BX1009" s="4" t="s">
        <v>124</v>
      </c>
      <c r="BY1009" s="4" t="s">
        <v>124</v>
      </c>
      <c r="BZ1009" s="4" t="s">
        <v>124</v>
      </c>
      <c r="CA1009" s="4" t="s">
        <v>124</v>
      </c>
      <c r="CB1009" s="4" t="s">
        <v>124</v>
      </c>
      <c r="CC1009" s="4" t="s">
        <v>124</v>
      </c>
      <c r="CD1009" s="7">
        <v>0.99236599999999997</v>
      </c>
      <c r="CE1009" s="7">
        <v>50</v>
      </c>
      <c r="CF1009" s="7">
        <v>50</v>
      </c>
      <c r="CG1009" s="4" t="s">
        <v>124</v>
      </c>
      <c r="CH1009" s="4" t="s">
        <v>124</v>
      </c>
      <c r="CI1009" s="4" t="s">
        <v>124</v>
      </c>
      <c r="CJ1009" s="4" t="s">
        <v>124</v>
      </c>
      <c r="CK1009" s="4" t="s">
        <v>124</v>
      </c>
      <c r="CL1009" s="4" t="s">
        <v>124</v>
      </c>
      <c r="CM1009" s="4" t="s">
        <v>124</v>
      </c>
      <c r="CN1009" s="4" t="s">
        <v>124</v>
      </c>
      <c r="CO1009" s="4" t="s">
        <v>124</v>
      </c>
      <c r="CP1009" s="4" t="s">
        <v>124</v>
      </c>
      <c r="CQ1009" s="7">
        <v>0.67158700000000005</v>
      </c>
      <c r="CR1009" s="7">
        <v>0.97482000000000002</v>
      </c>
      <c r="CS1009" s="7">
        <v>44.772447999999997</v>
      </c>
      <c r="CT1009" s="7">
        <v>50</v>
      </c>
      <c r="CU1009" s="4" t="s">
        <v>124</v>
      </c>
      <c r="CV1009" s="4" t="s">
        <v>124</v>
      </c>
      <c r="CW1009" s="4" t="s">
        <v>124</v>
      </c>
      <c r="CX1009" s="4" t="s">
        <v>124</v>
      </c>
      <c r="CY1009" s="4" t="s">
        <v>124</v>
      </c>
      <c r="CZ1009" s="4" t="s">
        <v>124</v>
      </c>
      <c r="DA1009" s="7">
        <v>15.314097</v>
      </c>
      <c r="DB1009" s="7">
        <v>17.400950000000002</v>
      </c>
      <c r="DC1009" s="7">
        <v>16.332519999999999</v>
      </c>
      <c r="DD1009" s="4" t="s">
        <v>124</v>
      </c>
      <c r="DE1009" s="7">
        <v>0</v>
      </c>
      <c r="DF1009" s="6"/>
      <c r="DG1009" s="6"/>
      <c r="DH1009" s="6"/>
      <c r="DI1009" s="6"/>
      <c r="DJ1009" s="7">
        <v>0</v>
      </c>
      <c r="DK1009" s="7">
        <v>0</v>
      </c>
      <c r="DL1009" s="7">
        <v>0</v>
      </c>
      <c r="DM1009" s="7">
        <v>0</v>
      </c>
      <c r="DN1009" s="7">
        <v>0</v>
      </c>
      <c r="DO1009" s="7">
        <v>0</v>
      </c>
      <c r="DP1009" s="6"/>
      <c r="DQ1009" s="4" t="s">
        <v>125</v>
      </c>
    </row>
    <row r="1010" spans="1:121" ht="20" customHeight="1" x14ac:dyDescent="0.15">
      <c r="A1010" s="5">
        <v>2018</v>
      </c>
      <c r="B1010" s="3" t="s">
        <v>211</v>
      </c>
      <c r="C1010" s="4" t="str">
        <f t="shared" si="267"/>
        <v>1550011</v>
      </c>
      <c r="D1010" s="4" t="s">
        <v>1154</v>
      </c>
      <c r="E1010" s="4" t="str">
        <f>"1550411"</f>
        <v>1550411</v>
      </c>
      <c r="F1010" s="4" t="s">
        <v>327</v>
      </c>
      <c r="G1010" s="4" t="s">
        <v>338</v>
      </c>
      <c r="H1010" s="7">
        <v>5</v>
      </c>
      <c r="I1010" s="6"/>
      <c r="J1010" s="4" t="s">
        <v>330</v>
      </c>
      <c r="K1010" s="7">
        <v>678.08009100000004</v>
      </c>
      <c r="L1010" s="7">
        <v>850</v>
      </c>
      <c r="M1010" s="7">
        <v>79.774128000000005</v>
      </c>
      <c r="N1010" s="7">
        <v>2</v>
      </c>
      <c r="O1010" s="7">
        <v>0</v>
      </c>
      <c r="P1010" s="7">
        <v>83.975577999999999</v>
      </c>
      <c r="Q1010" s="7">
        <v>50</v>
      </c>
      <c r="R1010" s="7">
        <v>50</v>
      </c>
      <c r="S1010" s="7">
        <v>72.389486000000005</v>
      </c>
      <c r="T1010" s="7">
        <v>75</v>
      </c>
      <c r="U1010" s="7">
        <v>48.259656999999997</v>
      </c>
      <c r="V1010" s="7">
        <v>50</v>
      </c>
      <c r="W1010" s="7">
        <v>79.846667999999994</v>
      </c>
      <c r="X1010" s="7">
        <v>50</v>
      </c>
      <c r="Y1010" s="7">
        <v>50</v>
      </c>
      <c r="Z1010" s="7">
        <v>75</v>
      </c>
      <c r="AA1010" s="7">
        <v>67.478033999999994</v>
      </c>
      <c r="AB1010" s="7">
        <v>44.985356000000003</v>
      </c>
      <c r="AC1010" s="7">
        <v>50</v>
      </c>
      <c r="AD1010" s="7">
        <v>72.921544999999995</v>
      </c>
      <c r="AE1010" s="7">
        <v>48.614362999999997</v>
      </c>
      <c r="AF1010" s="7">
        <v>50</v>
      </c>
      <c r="AG1010" s="7">
        <v>61.883870999999999</v>
      </c>
      <c r="AH1010" s="7">
        <v>75</v>
      </c>
      <c r="AI1010" s="7">
        <v>41.255913999999997</v>
      </c>
      <c r="AJ1010" s="7">
        <v>50</v>
      </c>
      <c r="AK1010" s="7">
        <v>2.61</v>
      </c>
      <c r="AL1010" s="7">
        <v>7.52</v>
      </c>
      <c r="AM1010" s="7">
        <v>13.11</v>
      </c>
      <c r="AN1010" s="7">
        <v>0.69034300000000004</v>
      </c>
      <c r="AO1010" s="7">
        <v>69.034298000000007</v>
      </c>
      <c r="AP1010" s="7">
        <v>100</v>
      </c>
      <c r="AQ1010" s="7">
        <v>0.689245</v>
      </c>
      <c r="AR1010" s="7">
        <v>68.924548000000001</v>
      </c>
      <c r="AS1010" s="7">
        <v>100</v>
      </c>
      <c r="AT1010" s="7">
        <v>0.57971799999999996</v>
      </c>
      <c r="AU1010" s="7">
        <v>0.71898700000000004</v>
      </c>
      <c r="AV1010" s="7">
        <v>57.971791000000003</v>
      </c>
      <c r="AW1010" s="7">
        <v>100</v>
      </c>
      <c r="AX1010" s="7">
        <v>0.57671099999999997</v>
      </c>
      <c r="AY1010" s="7">
        <v>0.71965999999999997</v>
      </c>
      <c r="AZ1010" s="7">
        <v>57.671140999999999</v>
      </c>
      <c r="BA1010" s="7">
        <v>100</v>
      </c>
      <c r="BB1010" s="4" t="s">
        <v>124</v>
      </c>
      <c r="BC1010" s="4" t="s">
        <v>124</v>
      </c>
      <c r="BD1010" s="4" t="s">
        <v>124</v>
      </c>
      <c r="BE1010" s="4" t="s">
        <v>124</v>
      </c>
      <c r="BF1010" s="4" t="s">
        <v>124</v>
      </c>
      <c r="BG1010" s="4" t="s">
        <v>124</v>
      </c>
      <c r="BH1010" s="7">
        <v>0</v>
      </c>
      <c r="BI1010" s="7">
        <v>0.99519199999999997</v>
      </c>
      <c r="BJ1010" s="7">
        <v>0.98181799999999997</v>
      </c>
      <c r="BK1010" s="7">
        <v>1</v>
      </c>
      <c r="BL1010" s="7">
        <v>0.99038499999999996</v>
      </c>
      <c r="BM1010" s="7">
        <v>0.98181799999999997</v>
      </c>
      <c r="BN1010" s="7">
        <v>0.99346400000000001</v>
      </c>
      <c r="BO1010" s="7">
        <v>0.98795200000000005</v>
      </c>
      <c r="BP1010" s="7">
        <v>0.95238100000000003</v>
      </c>
      <c r="BQ1010" s="7">
        <v>1</v>
      </c>
      <c r="BR1010" s="7">
        <v>3.5623000000000002E-2</v>
      </c>
      <c r="BS1010" s="7">
        <v>50</v>
      </c>
      <c r="BT1010" s="7">
        <v>50</v>
      </c>
      <c r="BU1010" s="7">
        <v>8.4210999999999994E-2</v>
      </c>
      <c r="BV1010" s="7">
        <v>43.157895000000003</v>
      </c>
      <c r="BW1010" s="7">
        <v>50</v>
      </c>
      <c r="BX1010" s="4" t="s">
        <v>124</v>
      </c>
      <c r="BY1010" s="4" t="s">
        <v>124</v>
      </c>
      <c r="BZ1010" s="4" t="s">
        <v>124</v>
      </c>
      <c r="CA1010" s="4" t="s">
        <v>124</v>
      </c>
      <c r="CB1010" s="4" t="s">
        <v>124</v>
      </c>
      <c r="CC1010" s="4" t="s">
        <v>124</v>
      </c>
      <c r="CD1010" s="4" t="s">
        <v>124</v>
      </c>
      <c r="CE1010" s="4" t="s">
        <v>124</v>
      </c>
      <c r="CF1010" s="4" t="s">
        <v>124</v>
      </c>
      <c r="CG1010" s="4" t="s">
        <v>124</v>
      </c>
      <c r="CH1010" s="4" t="s">
        <v>124</v>
      </c>
      <c r="CI1010" s="4" t="s">
        <v>124</v>
      </c>
      <c r="CJ1010" s="4" t="s">
        <v>124</v>
      </c>
      <c r="CK1010" s="4" t="s">
        <v>124</v>
      </c>
      <c r="CL1010" s="4" t="s">
        <v>124</v>
      </c>
      <c r="CM1010" s="4" t="s">
        <v>124</v>
      </c>
      <c r="CN1010" s="4" t="s">
        <v>124</v>
      </c>
      <c r="CO1010" s="4" t="s">
        <v>124</v>
      </c>
      <c r="CP1010" s="4" t="s">
        <v>124</v>
      </c>
      <c r="CQ1010" s="7">
        <v>0.72307699999999997</v>
      </c>
      <c r="CR1010" s="7">
        <v>0.98484799999999995</v>
      </c>
      <c r="CS1010" s="7">
        <v>48.205128000000002</v>
      </c>
      <c r="CT1010" s="7">
        <v>50</v>
      </c>
      <c r="CU1010" s="4" t="s">
        <v>124</v>
      </c>
      <c r="CV1010" s="4" t="s">
        <v>124</v>
      </c>
      <c r="CW1010" s="4" t="s">
        <v>124</v>
      </c>
      <c r="CX1010" s="4" t="s">
        <v>124</v>
      </c>
      <c r="CY1010" s="4" t="s">
        <v>124</v>
      </c>
      <c r="CZ1010" s="4" t="s">
        <v>124</v>
      </c>
      <c r="DA1010" s="7">
        <v>15.314097</v>
      </c>
      <c r="DB1010" s="7">
        <v>17.400950000000002</v>
      </c>
      <c r="DC1010" s="7">
        <v>16.332519999999999</v>
      </c>
      <c r="DD1010" s="4" t="s">
        <v>124</v>
      </c>
      <c r="DE1010" s="7">
        <v>0</v>
      </c>
      <c r="DF1010" s="6"/>
      <c r="DG1010" s="6"/>
      <c r="DH1010" s="6"/>
      <c r="DI1010" s="6"/>
      <c r="DJ1010" s="7">
        <v>0</v>
      </c>
      <c r="DK1010" s="7">
        <v>0</v>
      </c>
      <c r="DL1010" s="7">
        <v>0</v>
      </c>
      <c r="DM1010" s="7">
        <v>0</v>
      </c>
      <c r="DN1010" s="7">
        <v>0</v>
      </c>
      <c r="DO1010" s="7">
        <v>0</v>
      </c>
      <c r="DP1010" s="6"/>
      <c r="DQ1010" s="4" t="s">
        <v>125</v>
      </c>
    </row>
    <row r="1011" spans="1:121" ht="20" customHeight="1" x14ac:dyDescent="0.15">
      <c r="A1011" s="5">
        <v>2018</v>
      </c>
      <c r="B1011" s="3" t="s">
        <v>211</v>
      </c>
      <c r="C1011" s="4" t="str">
        <f>"1550011"</f>
        <v>1550011</v>
      </c>
      <c r="D1011" s="4" t="s">
        <v>1155</v>
      </c>
      <c r="E1011" s="4" t="str">
        <f>"1550511"</f>
        <v>1550511</v>
      </c>
      <c r="F1011" s="4" t="s">
        <v>327</v>
      </c>
      <c r="G1011" s="4" t="s">
        <v>328</v>
      </c>
      <c r="H1011" s="7">
        <v>5</v>
      </c>
      <c r="I1011" s="4" t="s">
        <v>335</v>
      </c>
      <c r="J1011" s="4" t="s">
        <v>330</v>
      </c>
      <c r="K1011" s="7">
        <v>714.77489100000003</v>
      </c>
      <c r="L1011" s="7">
        <v>950</v>
      </c>
      <c r="M1011" s="7">
        <v>75.239462000000003</v>
      </c>
      <c r="N1011" s="7">
        <v>2</v>
      </c>
      <c r="O1011" s="7">
        <v>0</v>
      </c>
      <c r="P1011" s="7">
        <v>71.536140000000003</v>
      </c>
      <c r="Q1011" s="7">
        <v>47.690759999999997</v>
      </c>
      <c r="R1011" s="7">
        <v>50</v>
      </c>
      <c r="S1011" s="7">
        <v>64.607180999999997</v>
      </c>
      <c r="T1011" s="7">
        <v>75</v>
      </c>
      <c r="U1011" s="7">
        <v>43.071454000000003</v>
      </c>
      <c r="V1011" s="7">
        <v>50</v>
      </c>
      <c r="W1011" s="7">
        <v>65.509078000000002</v>
      </c>
      <c r="X1011" s="7">
        <v>43.672719000000001</v>
      </c>
      <c r="Y1011" s="7">
        <v>50</v>
      </c>
      <c r="Z1011" s="7">
        <v>75</v>
      </c>
      <c r="AA1011" s="7">
        <v>58.273364000000001</v>
      </c>
      <c r="AB1011" s="7">
        <v>38.848909999999997</v>
      </c>
      <c r="AC1011" s="7">
        <v>50</v>
      </c>
      <c r="AD1011" s="7">
        <v>68.264493000000002</v>
      </c>
      <c r="AE1011" s="7">
        <v>45.509661999999999</v>
      </c>
      <c r="AF1011" s="7">
        <v>50</v>
      </c>
      <c r="AG1011" s="7">
        <v>61.381658000000002</v>
      </c>
      <c r="AH1011" s="7">
        <v>75</v>
      </c>
      <c r="AI1011" s="7">
        <v>40.921104999999997</v>
      </c>
      <c r="AJ1011" s="7">
        <v>50</v>
      </c>
      <c r="AK1011" s="7">
        <v>10.39</v>
      </c>
      <c r="AL1011" s="7">
        <v>16.72</v>
      </c>
      <c r="AM1011" s="7">
        <v>13.61</v>
      </c>
      <c r="AN1011" s="7">
        <v>0.66926600000000003</v>
      </c>
      <c r="AO1011" s="7">
        <v>66.926642000000001</v>
      </c>
      <c r="AP1011" s="7">
        <v>100</v>
      </c>
      <c r="AQ1011" s="7">
        <v>0.65016399999999996</v>
      </c>
      <c r="AR1011" s="7">
        <v>65.016447999999997</v>
      </c>
      <c r="AS1011" s="7">
        <v>100</v>
      </c>
      <c r="AT1011" s="7">
        <v>0.605244</v>
      </c>
      <c r="AU1011" s="7">
        <v>0.75261599999999995</v>
      </c>
      <c r="AV1011" s="7">
        <v>60.524439999999998</v>
      </c>
      <c r="AW1011" s="7">
        <v>100</v>
      </c>
      <c r="AX1011" s="7">
        <v>0.64090000000000003</v>
      </c>
      <c r="AY1011" s="7">
        <v>0.66222599999999998</v>
      </c>
      <c r="AZ1011" s="7">
        <v>64.089979999999997</v>
      </c>
      <c r="BA1011" s="7">
        <v>100</v>
      </c>
      <c r="BB1011" s="7">
        <v>0.70060599999999995</v>
      </c>
      <c r="BC1011" s="7">
        <v>35.030287999999999</v>
      </c>
      <c r="BD1011" s="7">
        <v>50</v>
      </c>
      <c r="BE1011" s="7">
        <v>0.52706500000000001</v>
      </c>
      <c r="BF1011" s="7">
        <v>26.353251</v>
      </c>
      <c r="BG1011" s="7">
        <v>50</v>
      </c>
      <c r="BH1011" s="7">
        <v>0</v>
      </c>
      <c r="BI1011" s="7">
        <v>0.99065400000000003</v>
      </c>
      <c r="BJ1011" s="7">
        <v>0.99193500000000001</v>
      </c>
      <c r="BK1011" s="7">
        <v>0.98888900000000002</v>
      </c>
      <c r="BL1011" s="7">
        <v>0.99065400000000003</v>
      </c>
      <c r="BM1011" s="7">
        <v>0.99193500000000001</v>
      </c>
      <c r="BN1011" s="7">
        <v>0.98888900000000002</v>
      </c>
      <c r="BO1011" s="7">
        <v>0.98630099999999998</v>
      </c>
      <c r="BP1011" s="7">
        <v>0.97872300000000001</v>
      </c>
      <c r="BQ1011" s="7">
        <v>1</v>
      </c>
      <c r="BR1011" s="7">
        <v>5.0998000000000002E-2</v>
      </c>
      <c r="BS1011" s="7">
        <v>49.800443000000001</v>
      </c>
      <c r="BT1011" s="7">
        <v>50</v>
      </c>
      <c r="BU1011" s="7">
        <v>5.3060999999999997E-2</v>
      </c>
      <c r="BV1011" s="7">
        <v>49.387754999999999</v>
      </c>
      <c r="BW1011" s="7">
        <v>50</v>
      </c>
      <c r="BX1011" s="4" t="s">
        <v>124</v>
      </c>
      <c r="BY1011" s="4" t="s">
        <v>124</v>
      </c>
      <c r="BZ1011" s="4" t="s">
        <v>124</v>
      </c>
      <c r="CA1011" s="4" t="s">
        <v>124</v>
      </c>
      <c r="CB1011" s="4" t="s">
        <v>124</v>
      </c>
      <c r="CC1011" s="4" t="s">
        <v>124</v>
      </c>
      <c r="CD1011" s="4" t="s">
        <v>124</v>
      </c>
      <c r="CE1011" s="4" t="s">
        <v>124</v>
      </c>
      <c r="CF1011" s="4" t="s">
        <v>124</v>
      </c>
      <c r="CG1011" s="4" t="s">
        <v>124</v>
      </c>
      <c r="CH1011" s="4" t="s">
        <v>124</v>
      </c>
      <c r="CI1011" s="4" t="s">
        <v>124</v>
      </c>
      <c r="CJ1011" s="4" t="s">
        <v>124</v>
      </c>
      <c r="CK1011" s="4" t="s">
        <v>124</v>
      </c>
      <c r="CL1011" s="4" t="s">
        <v>124</v>
      </c>
      <c r="CM1011" s="4" t="s">
        <v>124</v>
      </c>
      <c r="CN1011" s="4" t="s">
        <v>124</v>
      </c>
      <c r="CO1011" s="4" t="s">
        <v>124</v>
      </c>
      <c r="CP1011" s="4" t="s">
        <v>124</v>
      </c>
      <c r="CQ1011" s="7">
        <v>0.56896599999999997</v>
      </c>
      <c r="CR1011" s="7">
        <v>1</v>
      </c>
      <c r="CS1011" s="7">
        <v>37.931033999999997</v>
      </c>
      <c r="CT1011" s="7">
        <v>50</v>
      </c>
      <c r="CU1011" s="4" t="s">
        <v>124</v>
      </c>
      <c r="CV1011" s="4" t="s">
        <v>124</v>
      </c>
      <c r="CW1011" s="4" t="s">
        <v>124</v>
      </c>
      <c r="CX1011" s="4" t="s">
        <v>124</v>
      </c>
      <c r="CY1011" s="4" t="s">
        <v>124</v>
      </c>
      <c r="CZ1011" s="4" t="s">
        <v>124</v>
      </c>
      <c r="DA1011" s="7">
        <v>15.314097</v>
      </c>
      <c r="DB1011" s="7">
        <v>17.400950000000002</v>
      </c>
      <c r="DC1011" s="7">
        <v>16.332519999999999</v>
      </c>
      <c r="DD1011" s="4" t="s">
        <v>124</v>
      </c>
      <c r="DE1011" s="7">
        <v>0</v>
      </c>
      <c r="DF1011" s="6"/>
      <c r="DG1011" s="6"/>
      <c r="DH1011" s="6"/>
      <c r="DI1011" s="6"/>
      <c r="DJ1011" s="7">
        <v>0</v>
      </c>
      <c r="DK1011" s="7">
        <v>0</v>
      </c>
      <c r="DL1011" s="7">
        <v>0</v>
      </c>
      <c r="DM1011" s="7">
        <v>0</v>
      </c>
      <c r="DN1011" s="7">
        <v>0</v>
      </c>
      <c r="DO1011" s="7">
        <v>0</v>
      </c>
      <c r="DP1011" s="6"/>
      <c r="DQ1011" s="4" t="s">
        <v>125</v>
      </c>
    </row>
    <row r="1012" spans="1:121" ht="20" customHeight="1" x14ac:dyDescent="0.15">
      <c r="A1012" s="5">
        <v>2018</v>
      </c>
      <c r="B1012" s="3" t="s">
        <v>211</v>
      </c>
      <c r="C1012" s="4" t="str">
        <f>"1550011"</f>
        <v>1550011</v>
      </c>
      <c r="D1012" s="4" t="s">
        <v>1156</v>
      </c>
      <c r="E1012" s="4" t="str">
        <f>"1556111"</f>
        <v>1556111</v>
      </c>
      <c r="F1012" s="4" t="s">
        <v>327</v>
      </c>
      <c r="G1012" s="7">
        <v>9</v>
      </c>
      <c r="H1012" s="7">
        <v>12</v>
      </c>
      <c r="I1012" s="6"/>
      <c r="J1012" s="4" t="s">
        <v>330</v>
      </c>
      <c r="K1012" s="7">
        <v>1306.215009</v>
      </c>
      <c r="L1012" s="7">
        <v>1550</v>
      </c>
      <c r="M1012" s="7">
        <v>84.271935999999997</v>
      </c>
      <c r="N1012" s="7">
        <v>3</v>
      </c>
      <c r="O1012" s="7">
        <v>1</v>
      </c>
      <c r="P1012" s="7">
        <v>66.022087999999997</v>
      </c>
      <c r="Q1012" s="7">
        <v>132.04417699999999</v>
      </c>
      <c r="R1012" s="7">
        <v>150</v>
      </c>
      <c r="S1012" s="7">
        <v>54.281332999999997</v>
      </c>
      <c r="T1012" s="7">
        <v>73.111915999999994</v>
      </c>
      <c r="U1012" s="7">
        <v>108.562667</v>
      </c>
      <c r="V1012" s="7">
        <v>150</v>
      </c>
      <c r="W1012" s="7">
        <v>65.363118999999998</v>
      </c>
      <c r="X1012" s="7">
        <v>130.726238</v>
      </c>
      <c r="Y1012" s="7">
        <v>150</v>
      </c>
      <c r="Z1012" s="7">
        <v>72.350241999999994</v>
      </c>
      <c r="AA1012" s="7">
        <v>53.792444000000003</v>
      </c>
      <c r="AB1012" s="7">
        <v>107.584889</v>
      </c>
      <c r="AC1012" s="7">
        <v>150</v>
      </c>
      <c r="AD1012" s="7">
        <v>74.229145000000003</v>
      </c>
      <c r="AE1012" s="7">
        <v>98.972193000000004</v>
      </c>
      <c r="AF1012" s="7">
        <v>100</v>
      </c>
      <c r="AG1012" s="7">
        <v>61.966366999999998</v>
      </c>
      <c r="AH1012" s="7">
        <v>75</v>
      </c>
      <c r="AI1012" s="7">
        <v>82.621823000000006</v>
      </c>
      <c r="AJ1012" s="7">
        <v>100</v>
      </c>
      <c r="AK1012" s="7">
        <v>18.829999999999998</v>
      </c>
      <c r="AL1012" s="7">
        <v>18.55</v>
      </c>
      <c r="AM1012" s="7">
        <v>13.03</v>
      </c>
      <c r="AN1012" s="4" t="s">
        <v>124</v>
      </c>
      <c r="AO1012" s="4" t="s">
        <v>124</v>
      </c>
      <c r="AP1012" s="4" t="s">
        <v>124</v>
      </c>
      <c r="AQ1012" s="4" t="s">
        <v>124</v>
      </c>
      <c r="AR1012" s="4" t="s">
        <v>124</v>
      </c>
      <c r="AS1012" s="4" t="s">
        <v>124</v>
      </c>
      <c r="AT1012" s="4" t="s">
        <v>124</v>
      </c>
      <c r="AU1012" s="4" t="s">
        <v>124</v>
      </c>
      <c r="AV1012" s="4" t="s">
        <v>124</v>
      </c>
      <c r="AW1012" s="4" t="s">
        <v>124</v>
      </c>
      <c r="AX1012" s="4" t="s">
        <v>124</v>
      </c>
      <c r="AY1012" s="4" t="s">
        <v>124</v>
      </c>
      <c r="AZ1012" s="4" t="s">
        <v>124</v>
      </c>
      <c r="BA1012" s="4" t="s">
        <v>124</v>
      </c>
      <c r="BB1012" s="7">
        <v>0.41634100000000002</v>
      </c>
      <c r="BC1012" s="7">
        <v>20.817070999999999</v>
      </c>
      <c r="BD1012" s="7">
        <v>50</v>
      </c>
      <c r="BE1012" s="7">
        <v>0.63194300000000003</v>
      </c>
      <c r="BF1012" s="7">
        <v>31.597131999999998</v>
      </c>
      <c r="BG1012" s="7">
        <v>50</v>
      </c>
      <c r="BH1012" s="7">
        <v>0</v>
      </c>
      <c r="BI1012" s="7">
        <v>0.98847300000000005</v>
      </c>
      <c r="BJ1012" s="7">
        <v>0.99264699999999995</v>
      </c>
      <c r="BK1012" s="7">
        <v>0.98578200000000005</v>
      </c>
      <c r="BL1012" s="7">
        <v>0.98847300000000005</v>
      </c>
      <c r="BM1012" s="7">
        <v>0.99264699999999995</v>
      </c>
      <c r="BN1012" s="7">
        <v>0.98578200000000005</v>
      </c>
      <c r="BO1012" s="7">
        <v>0.96551699999999996</v>
      </c>
      <c r="BP1012" s="7">
        <v>0.95588200000000001</v>
      </c>
      <c r="BQ1012" s="7">
        <v>0.97169799999999995</v>
      </c>
      <c r="BR1012" s="7">
        <v>6.7492999999999997E-2</v>
      </c>
      <c r="BS1012" s="7">
        <v>46.501376999999998</v>
      </c>
      <c r="BT1012" s="7">
        <v>50</v>
      </c>
      <c r="BU1012" s="7">
        <v>0.130604</v>
      </c>
      <c r="BV1012" s="7">
        <v>33.879142000000002</v>
      </c>
      <c r="BW1012" s="7">
        <v>50</v>
      </c>
      <c r="BX1012" s="7">
        <v>0.88684600000000002</v>
      </c>
      <c r="BY1012" s="7">
        <v>50</v>
      </c>
      <c r="BZ1012" s="7">
        <v>50</v>
      </c>
      <c r="CA1012" s="7">
        <v>0.69165500000000002</v>
      </c>
      <c r="CB1012" s="7">
        <v>46.110325000000003</v>
      </c>
      <c r="CC1012" s="7">
        <v>50</v>
      </c>
      <c r="CD1012" s="7">
        <v>0.94270799999999999</v>
      </c>
      <c r="CE1012" s="7">
        <v>50</v>
      </c>
      <c r="CF1012" s="7">
        <v>50</v>
      </c>
      <c r="CG1012" s="7">
        <v>0.98309899999999995</v>
      </c>
      <c r="CH1012" s="7">
        <v>100</v>
      </c>
      <c r="CI1012" s="7">
        <v>100</v>
      </c>
      <c r="CJ1012" s="7">
        <v>0</v>
      </c>
      <c r="CK1012" s="7">
        <v>0.95419799999999999</v>
      </c>
      <c r="CL1012" s="7">
        <v>100</v>
      </c>
      <c r="CM1012" s="7">
        <v>100</v>
      </c>
      <c r="CN1012" s="7">
        <v>0.87323899999999999</v>
      </c>
      <c r="CO1012" s="7">
        <v>100</v>
      </c>
      <c r="CP1012" s="7">
        <v>100</v>
      </c>
      <c r="CQ1012" s="7">
        <v>0.47252699999999997</v>
      </c>
      <c r="CR1012" s="7">
        <v>1.005525</v>
      </c>
      <c r="CS1012" s="7">
        <v>31.501832</v>
      </c>
      <c r="CT1012" s="7">
        <v>50</v>
      </c>
      <c r="CU1012" s="7">
        <v>0.42355399999999999</v>
      </c>
      <c r="CV1012" s="7">
        <v>35.296143000000001</v>
      </c>
      <c r="CW1012" s="7">
        <v>50</v>
      </c>
      <c r="CX1012" s="7">
        <v>0.95419799999999999</v>
      </c>
      <c r="CY1012" s="7">
        <v>0.94</v>
      </c>
      <c r="CZ1012" s="7">
        <v>-1.4198000000000001E-2</v>
      </c>
      <c r="DA1012" s="7">
        <v>15.314097</v>
      </c>
      <c r="DB1012" s="7">
        <v>17.400950000000002</v>
      </c>
      <c r="DC1012" s="7">
        <v>16.332519999999999</v>
      </c>
      <c r="DD1012" s="7">
        <v>7.9891730000000001</v>
      </c>
      <c r="DE1012" s="7">
        <v>1</v>
      </c>
      <c r="DF1012" s="6"/>
      <c r="DG1012" s="6"/>
      <c r="DH1012" s="6"/>
      <c r="DI1012" s="6"/>
      <c r="DJ1012" s="7">
        <v>0</v>
      </c>
      <c r="DK1012" s="7">
        <v>0</v>
      </c>
      <c r="DL1012" s="7">
        <v>0</v>
      </c>
      <c r="DM1012" s="7">
        <v>0</v>
      </c>
      <c r="DN1012" s="7">
        <v>0</v>
      </c>
      <c r="DO1012" s="7">
        <v>0</v>
      </c>
      <c r="DP1012" s="6"/>
      <c r="DQ1012" s="4" t="s">
        <v>125</v>
      </c>
    </row>
    <row r="1013" spans="1:121" ht="20" customHeight="1" x14ac:dyDescent="0.15">
      <c r="A1013" s="5">
        <v>2018</v>
      </c>
      <c r="B1013" s="3" t="s">
        <v>211</v>
      </c>
      <c r="C1013" s="4" t="str">
        <f>"1550011"</f>
        <v>1550011</v>
      </c>
      <c r="D1013" s="4" t="s">
        <v>1157</v>
      </c>
      <c r="E1013" s="4" t="str">
        <f>"1550611"</f>
        <v>1550611</v>
      </c>
      <c r="F1013" s="4" t="s">
        <v>327</v>
      </c>
      <c r="G1013" s="4" t="s">
        <v>338</v>
      </c>
      <c r="H1013" s="7">
        <v>5</v>
      </c>
      <c r="I1013" s="6"/>
      <c r="J1013" s="4" t="s">
        <v>330</v>
      </c>
      <c r="K1013" s="7">
        <v>772.35410000000002</v>
      </c>
      <c r="L1013" s="7">
        <v>950</v>
      </c>
      <c r="M1013" s="7">
        <v>81.300432000000001</v>
      </c>
      <c r="N1013" s="7">
        <v>2</v>
      </c>
      <c r="O1013" s="7">
        <v>0</v>
      </c>
      <c r="P1013" s="7">
        <v>80.138840999999999</v>
      </c>
      <c r="Q1013" s="7">
        <v>50</v>
      </c>
      <c r="R1013" s="7">
        <v>50</v>
      </c>
      <c r="S1013" s="7">
        <v>69.980222999999995</v>
      </c>
      <c r="T1013" s="7">
        <v>75</v>
      </c>
      <c r="U1013" s="7">
        <v>46.653481999999997</v>
      </c>
      <c r="V1013" s="7">
        <v>50</v>
      </c>
      <c r="W1013" s="7">
        <v>78.833646999999999</v>
      </c>
      <c r="X1013" s="7">
        <v>50</v>
      </c>
      <c r="Y1013" s="7">
        <v>50</v>
      </c>
      <c r="Z1013" s="7">
        <v>75</v>
      </c>
      <c r="AA1013" s="7">
        <v>66.616292000000001</v>
      </c>
      <c r="AB1013" s="7">
        <v>44.410860999999997</v>
      </c>
      <c r="AC1013" s="7">
        <v>50</v>
      </c>
      <c r="AD1013" s="7">
        <v>73.326328000000004</v>
      </c>
      <c r="AE1013" s="7">
        <v>48.884219000000002</v>
      </c>
      <c r="AF1013" s="7">
        <v>50</v>
      </c>
      <c r="AG1013" s="7">
        <v>59.782642000000003</v>
      </c>
      <c r="AH1013" s="7">
        <v>75</v>
      </c>
      <c r="AI1013" s="7">
        <v>39.855094999999999</v>
      </c>
      <c r="AJ1013" s="7">
        <v>50</v>
      </c>
      <c r="AK1013" s="7">
        <v>5.01</v>
      </c>
      <c r="AL1013" s="7">
        <v>8.3800000000000008</v>
      </c>
      <c r="AM1013" s="7">
        <v>15.21</v>
      </c>
      <c r="AN1013" s="7">
        <v>0.72457000000000005</v>
      </c>
      <c r="AO1013" s="7">
        <v>72.457014000000001</v>
      </c>
      <c r="AP1013" s="7">
        <v>100</v>
      </c>
      <c r="AQ1013" s="7">
        <v>0.82980600000000004</v>
      </c>
      <c r="AR1013" s="7">
        <v>82.980590000000007</v>
      </c>
      <c r="AS1013" s="7">
        <v>100</v>
      </c>
      <c r="AT1013" s="7">
        <v>0.79262500000000002</v>
      </c>
      <c r="AU1013" s="7">
        <v>0.709731</v>
      </c>
      <c r="AV1013" s="7">
        <v>79.262527000000006</v>
      </c>
      <c r="AW1013" s="7">
        <v>100</v>
      </c>
      <c r="AX1013" s="7">
        <v>0.874915</v>
      </c>
      <c r="AY1013" s="7">
        <v>0.81996999999999998</v>
      </c>
      <c r="AZ1013" s="7">
        <v>87.491454000000004</v>
      </c>
      <c r="BA1013" s="7">
        <v>100</v>
      </c>
      <c r="BB1013" s="7">
        <v>0.50570700000000002</v>
      </c>
      <c r="BC1013" s="7">
        <v>25.285360000000001</v>
      </c>
      <c r="BD1013" s="7">
        <v>50</v>
      </c>
      <c r="BE1013" s="7">
        <v>0.38994099999999998</v>
      </c>
      <c r="BF1013" s="7">
        <v>19.497028</v>
      </c>
      <c r="BG1013" s="7">
        <v>50</v>
      </c>
      <c r="BH1013" s="7">
        <v>0</v>
      </c>
      <c r="BI1013" s="7">
        <v>1</v>
      </c>
      <c r="BJ1013" s="7">
        <v>1</v>
      </c>
      <c r="BK1013" s="7">
        <v>1</v>
      </c>
      <c r="BL1013" s="7">
        <v>1</v>
      </c>
      <c r="BM1013" s="7">
        <v>1</v>
      </c>
      <c r="BN1013" s="7">
        <v>1</v>
      </c>
      <c r="BO1013" s="7">
        <v>0.99</v>
      </c>
      <c r="BP1013" s="7">
        <v>0.95454499999999998</v>
      </c>
      <c r="BQ1013" s="7">
        <v>1</v>
      </c>
      <c r="BR1013" s="7">
        <v>4.3999999999999997E-2</v>
      </c>
      <c r="BS1013" s="7">
        <v>50</v>
      </c>
      <c r="BT1013" s="7">
        <v>50</v>
      </c>
      <c r="BU1013" s="7">
        <v>0.128</v>
      </c>
      <c r="BV1013" s="7">
        <v>34.4</v>
      </c>
      <c r="BW1013" s="7">
        <v>50</v>
      </c>
      <c r="BX1013" s="4" t="s">
        <v>124</v>
      </c>
      <c r="BY1013" s="4" t="s">
        <v>124</v>
      </c>
      <c r="BZ1013" s="4" t="s">
        <v>124</v>
      </c>
      <c r="CA1013" s="4" t="s">
        <v>124</v>
      </c>
      <c r="CB1013" s="4" t="s">
        <v>124</v>
      </c>
      <c r="CC1013" s="4" t="s">
        <v>124</v>
      </c>
      <c r="CD1013" s="4" t="s">
        <v>124</v>
      </c>
      <c r="CE1013" s="4" t="s">
        <v>124</v>
      </c>
      <c r="CF1013" s="4" t="s">
        <v>124</v>
      </c>
      <c r="CG1013" s="4" t="s">
        <v>124</v>
      </c>
      <c r="CH1013" s="4" t="s">
        <v>124</v>
      </c>
      <c r="CI1013" s="4" t="s">
        <v>124</v>
      </c>
      <c r="CJ1013" s="4" t="s">
        <v>124</v>
      </c>
      <c r="CK1013" s="4" t="s">
        <v>124</v>
      </c>
      <c r="CL1013" s="4" t="s">
        <v>124</v>
      </c>
      <c r="CM1013" s="4" t="s">
        <v>124</v>
      </c>
      <c r="CN1013" s="4" t="s">
        <v>124</v>
      </c>
      <c r="CO1013" s="4" t="s">
        <v>124</v>
      </c>
      <c r="CP1013" s="4" t="s">
        <v>124</v>
      </c>
      <c r="CQ1013" s="7">
        <v>0.61764699999999995</v>
      </c>
      <c r="CR1013" s="7">
        <v>0.97142899999999999</v>
      </c>
      <c r="CS1013" s="7">
        <v>41.176470999999999</v>
      </c>
      <c r="CT1013" s="7">
        <v>50</v>
      </c>
      <c r="CU1013" s="4" t="s">
        <v>124</v>
      </c>
      <c r="CV1013" s="4" t="s">
        <v>124</v>
      </c>
      <c r="CW1013" s="4" t="s">
        <v>124</v>
      </c>
      <c r="CX1013" s="4" t="s">
        <v>124</v>
      </c>
      <c r="CY1013" s="4" t="s">
        <v>124</v>
      </c>
      <c r="CZ1013" s="4" t="s">
        <v>124</v>
      </c>
      <c r="DA1013" s="7">
        <v>15.314097</v>
      </c>
      <c r="DB1013" s="7">
        <v>17.400950000000002</v>
      </c>
      <c r="DC1013" s="7">
        <v>16.332519999999999</v>
      </c>
      <c r="DD1013" s="4" t="s">
        <v>124</v>
      </c>
      <c r="DE1013" s="7">
        <v>0</v>
      </c>
      <c r="DF1013" s="6"/>
      <c r="DG1013" s="6"/>
      <c r="DH1013" s="4" t="s">
        <v>331</v>
      </c>
      <c r="DI1013" s="4" t="s">
        <v>596</v>
      </c>
      <c r="DJ1013" s="7">
        <v>0</v>
      </c>
      <c r="DK1013" s="7">
        <v>0</v>
      </c>
      <c r="DL1013" s="7">
        <v>0</v>
      </c>
      <c r="DM1013" s="7">
        <v>1</v>
      </c>
      <c r="DN1013" s="7">
        <v>1</v>
      </c>
      <c r="DO1013" s="7">
        <v>0</v>
      </c>
      <c r="DP1013" s="6"/>
      <c r="DQ1013" s="4" t="s">
        <v>125</v>
      </c>
    </row>
    <row r="1014" spans="1:121" ht="20" customHeight="1" x14ac:dyDescent="0.15">
      <c r="A1014" s="5">
        <v>2018</v>
      </c>
      <c r="B1014" s="3" t="s">
        <v>211</v>
      </c>
      <c r="C1014" s="4" t="str">
        <f t="shared" si="267"/>
        <v>1550011</v>
      </c>
      <c r="D1014" s="4" t="s">
        <v>1158</v>
      </c>
      <c r="E1014" s="4" t="str">
        <f>"1556211"</f>
        <v>1556211</v>
      </c>
      <c r="F1014" s="4" t="s">
        <v>327</v>
      </c>
      <c r="G1014" s="7">
        <v>9</v>
      </c>
      <c r="H1014" s="7">
        <v>12</v>
      </c>
      <c r="I1014" s="6"/>
      <c r="J1014" s="4" t="s">
        <v>330</v>
      </c>
      <c r="K1014" s="7">
        <v>1335.07953</v>
      </c>
      <c r="L1014" s="7">
        <v>1550</v>
      </c>
      <c r="M1014" s="7">
        <v>86.134163000000001</v>
      </c>
      <c r="N1014" s="7">
        <v>2</v>
      </c>
      <c r="O1014" s="7">
        <v>1</v>
      </c>
      <c r="P1014" s="7">
        <v>70.075861000000003</v>
      </c>
      <c r="Q1014" s="7">
        <v>140.15172200000001</v>
      </c>
      <c r="R1014" s="7">
        <v>150</v>
      </c>
      <c r="S1014" s="7">
        <v>55.455083000000002</v>
      </c>
      <c r="T1014" s="7">
        <v>75</v>
      </c>
      <c r="U1014" s="7">
        <v>110.91016500000001</v>
      </c>
      <c r="V1014" s="7">
        <v>150</v>
      </c>
      <c r="W1014" s="7">
        <v>66.804094000000006</v>
      </c>
      <c r="X1014" s="7">
        <v>133.60818699999999</v>
      </c>
      <c r="Y1014" s="7">
        <v>150</v>
      </c>
      <c r="Z1014" s="7">
        <v>72.549730999999994</v>
      </c>
      <c r="AA1014" s="7">
        <v>51.645389999999999</v>
      </c>
      <c r="AB1014" s="7">
        <v>103.29078</v>
      </c>
      <c r="AC1014" s="7">
        <v>150</v>
      </c>
      <c r="AD1014" s="7">
        <v>78.727860000000007</v>
      </c>
      <c r="AE1014" s="7">
        <v>100</v>
      </c>
      <c r="AF1014" s="7">
        <v>100</v>
      </c>
      <c r="AG1014" s="7">
        <v>61.762661000000001</v>
      </c>
      <c r="AH1014" s="7">
        <v>75</v>
      </c>
      <c r="AI1014" s="7">
        <v>82.350215000000006</v>
      </c>
      <c r="AJ1014" s="7">
        <v>100</v>
      </c>
      <c r="AK1014" s="7">
        <v>19.54</v>
      </c>
      <c r="AL1014" s="7">
        <v>20.9</v>
      </c>
      <c r="AM1014" s="7">
        <v>13.23</v>
      </c>
      <c r="AN1014" s="4" t="s">
        <v>124</v>
      </c>
      <c r="AO1014" s="4" t="s">
        <v>124</v>
      </c>
      <c r="AP1014" s="4" t="s">
        <v>124</v>
      </c>
      <c r="AQ1014" s="4" t="s">
        <v>124</v>
      </c>
      <c r="AR1014" s="4" t="s">
        <v>124</v>
      </c>
      <c r="AS1014" s="4" t="s">
        <v>124</v>
      </c>
      <c r="AT1014" s="4" t="s">
        <v>124</v>
      </c>
      <c r="AU1014" s="4" t="s">
        <v>124</v>
      </c>
      <c r="AV1014" s="4" t="s">
        <v>124</v>
      </c>
      <c r="AW1014" s="4" t="s">
        <v>124</v>
      </c>
      <c r="AX1014" s="4" t="s">
        <v>124</v>
      </c>
      <c r="AY1014" s="4" t="s">
        <v>124</v>
      </c>
      <c r="AZ1014" s="4" t="s">
        <v>124</v>
      </c>
      <c r="BA1014" s="4" t="s">
        <v>124</v>
      </c>
      <c r="BB1014" s="7">
        <v>0.69701299999999999</v>
      </c>
      <c r="BC1014" s="7">
        <v>34.850642000000001</v>
      </c>
      <c r="BD1014" s="7">
        <v>50</v>
      </c>
      <c r="BE1014" s="7">
        <v>0.65083800000000003</v>
      </c>
      <c r="BF1014" s="7">
        <v>32.541876000000002</v>
      </c>
      <c r="BG1014" s="7">
        <v>50</v>
      </c>
      <c r="BH1014" s="7">
        <v>0</v>
      </c>
      <c r="BI1014" s="7">
        <v>0.99716700000000003</v>
      </c>
      <c r="BJ1014" s="7">
        <v>1</v>
      </c>
      <c r="BK1014" s="7">
        <v>0.996</v>
      </c>
      <c r="BL1014" s="7">
        <v>0.99716700000000003</v>
      </c>
      <c r="BM1014" s="7">
        <v>1</v>
      </c>
      <c r="BN1014" s="7">
        <v>0.996</v>
      </c>
      <c r="BO1014" s="7">
        <v>0.98583600000000005</v>
      </c>
      <c r="BP1014" s="7">
        <v>0.961538</v>
      </c>
      <c r="BQ1014" s="7">
        <v>0.99598399999999998</v>
      </c>
      <c r="BR1014" s="7">
        <v>7.886E-2</v>
      </c>
      <c r="BS1014" s="7">
        <v>44.227966000000002</v>
      </c>
      <c r="BT1014" s="7">
        <v>50</v>
      </c>
      <c r="BU1014" s="7">
        <v>0.16511600000000001</v>
      </c>
      <c r="BV1014" s="7">
        <v>26.976744</v>
      </c>
      <c r="BW1014" s="7">
        <v>50</v>
      </c>
      <c r="BX1014" s="7">
        <v>0.88583199999999995</v>
      </c>
      <c r="BY1014" s="7">
        <v>50</v>
      </c>
      <c r="BZ1014" s="7">
        <v>50</v>
      </c>
      <c r="CA1014" s="7">
        <v>0.70701499999999995</v>
      </c>
      <c r="CB1014" s="7">
        <v>47.134341999999997</v>
      </c>
      <c r="CC1014" s="7">
        <v>50</v>
      </c>
      <c r="CD1014" s="7">
        <v>0.94315199999999999</v>
      </c>
      <c r="CE1014" s="7">
        <v>50</v>
      </c>
      <c r="CF1014" s="7">
        <v>50</v>
      </c>
      <c r="CG1014" s="7">
        <v>0.97935099999999997</v>
      </c>
      <c r="CH1014" s="7">
        <v>100</v>
      </c>
      <c r="CI1014" s="7">
        <v>100</v>
      </c>
      <c r="CJ1014" s="7">
        <v>0</v>
      </c>
      <c r="CK1014" s="7">
        <v>1</v>
      </c>
      <c r="CL1014" s="7">
        <v>100</v>
      </c>
      <c r="CM1014" s="7">
        <v>100</v>
      </c>
      <c r="CN1014" s="7">
        <v>0.85671600000000003</v>
      </c>
      <c r="CO1014" s="7">
        <v>100</v>
      </c>
      <c r="CP1014" s="7">
        <v>100</v>
      </c>
      <c r="CQ1014" s="7">
        <v>0.58333299999999999</v>
      </c>
      <c r="CR1014" s="7">
        <v>0.93939399999999995</v>
      </c>
      <c r="CS1014" s="7">
        <v>38.888888999999999</v>
      </c>
      <c r="CT1014" s="7">
        <v>50</v>
      </c>
      <c r="CU1014" s="7">
        <v>0.48177599999999998</v>
      </c>
      <c r="CV1014" s="7">
        <v>40.148001000000001</v>
      </c>
      <c r="CW1014" s="7">
        <v>50</v>
      </c>
      <c r="CX1014" s="7">
        <v>1</v>
      </c>
      <c r="CY1014" s="7">
        <v>0.94</v>
      </c>
      <c r="CZ1014" s="7">
        <v>-0.06</v>
      </c>
      <c r="DA1014" s="7">
        <v>15.314097</v>
      </c>
      <c r="DB1014" s="7">
        <v>17.400950000000002</v>
      </c>
      <c r="DC1014" s="7">
        <v>16.332519999999999</v>
      </c>
      <c r="DD1014" s="7">
        <v>7.9891730000000001</v>
      </c>
      <c r="DE1014" s="7">
        <v>1</v>
      </c>
      <c r="DF1014" s="6"/>
      <c r="DG1014" s="6"/>
      <c r="DH1014" s="6"/>
      <c r="DI1014" s="6"/>
      <c r="DJ1014" s="7">
        <v>0</v>
      </c>
      <c r="DK1014" s="7">
        <v>0</v>
      </c>
      <c r="DL1014" s="7">
        <v>0</v>
      </c>
      <c r="DM1014" s="7">
        <v>0</v>
      </c>
      <c r="DN1014" s="7">
        <v>0</v>
      </c>
      <c r="DO1014" s="7">
        <v>0</v>
      </c>
      <c r="DP1014" s="6"/>
      <c r="DQ1014" s="4" t="s">
        <v>125</v>
      </c>
    </row>
    <row r="1015" spans="1:121" ht="20" customHeight="1" x14ac:dyDescent="0.15">
      <c r="A1015" s="5">
        <v>2018</v>
      </c>
      <c r="B1015" s="3" t="s">
        <v>211</v>
      </c>
      <c r="C1015" s="4" t="str">
        <f t="shared" si="267"/>
        <v>1550011</v>
      </c>
      <c r="D1015" s="4" t="s">
        <v>1159</v>
      </c>
      <c r="E1015" s="4" t="str">
        <f>"1555111"</f>
        <v>1555111</v>
      </c>
      <c r="F1015" s="4" t="s">
        <v>327</v>
      </c>
      <c r="G1015" s="7">
        <v>6</v>
      </c>
      <c r="H1015" s="7">
        <v>8</v>
      </c>
      <c r="I1015" s="6"/>
      <c r="J1015" s="4" t="s">
        <v>330</v>
      </c>
      <c r="K1015" s="7">
        <v>742.49992299999997</v>
      </c>
      <c r="L1015" s="7">
        <v>1000</v>
      </c>
      <c r="M1015" s="7">
        <v>74.249992000000006</v>
      </c>
      <c r="N1015" s="7">
        <v>3</v>
      </c>
      <c r="O1015" s="7">
        <v>1</v>
      </c>
      <c r="P1015" s="7">
        <v>77.453196000000005</v>
      </c>
      <c r="Q1015" s="7">
        <v>50</v>
      </c>
      <c r="R1015" s="7">
        <v>50</v>
      </c>
      <c r="S1015" s="7">
        <v>60.257370999999999</v>
      </c>
      <c r="T1015" s="7">
        <v>75</v>
      </c>
      <c r="U1015" s="7">
        <v>40.171581000000003</v>
      </c>
      <c r="V1015" s="7">
        <v>50</v>
      </c>
      <c r="W1015" s="7">
        <v>71.474835999999996</v>
      </c>
      <c r="X1015" s="7">
        <v>47.649890999999997</v>
      </c>
      <c r="Y1015" s="7">
        <v>50</v>
      </c>
      <c r="Z1015" s="7">
        <v>75</v>
      </c>
      <c r="AA1015" s="7">
        <v>53.412548999999999</v>
      </c>
      <c r="AB1015" s="7">
        <v>35.608365999999997</v>
      </c>
      <c r="AC1015" s="7">
        <v>50</v>
      </c>
      <c r="AD1015" s="7">
        <v>72.716279999999998</v>
      </c>
      <c r="AE1015" s="7">
        <v>48.477519999999998</v>
      </c>
      <c r="AF1015" s="7">
        <v>50</v>
      </c>
      <c r="AG1015" s="7">
        <v>59.104875999999997</v>
      </c>
      <c r="AH1015" s="7">
        <v>75</v>
      </c>
      <c r="AI1015" s="7">
        <v>39.403250999999997</v>
      </c>
      <c r="AJ1015" s="7">
        <v>50</v>
      </c>
      <c r="AK1015" s="7">
        <v>14.74</v>
      </c>
      <c r="AL1015" s="7">
        <v>21.58</v>
      </c>
      <c r="AM1015" s="7">
        <v>15.89</v>
      </c>
      <c r="AN1015" s="7">
        <v>0.63282000000000005</v>
      </c>
      <c r="AO1015" s="7">
        <v>63.281953000000001</v>
      </c>
      <c r="AP1015" s="7">
        <v>100</v>
      </c>
      <c r="AQ1015" s="7">
        <v>0.64036499999999996</v>
      </c>
      <c r="AR1015" s="7">
        <v>64.036491999999996</v>
      </c>
      <c r="AS1015" s="7">
        <v>100</v>
      </c>
      <c r="AT1015" s="7">
        <v>0.57412700000000005</v>
      </c>
      <c r="AU1015" s="7">
        <v>0.65586299999999997</v>
      </c>
      <c r="AV1015" s="7">
        <v>57.412737999999997</v>
      </c>
      <c r="AW1015" s="7">
        <v>100</v>
      </c>
      <c r="AX1015" s="7">
        <v>0.50729999999999997</v>
      </c>
      <c r="AY1015" s="7">
        <v>0.69216200000000005</v>
      </c>
      <c r="AZ1015" s="7">
        <v>50.730007000000001</v>
      </c>
      <c r="BA1015" s="7">
        <v>100</v>
      </c>
      <c r="BB1015" s="7">
        <v>0.75200500000000003</v>
      </c>
      <c r="BC1015" s="7">
        <v>37.600267000000002</v>
      </c>
      <c r="BD1015" s="7">
        <v>50</v>
      </c>
      <c r="BE1015" s="7">
        <v>0.74182999999999999</v>
      </c>
      <c r="BF1015" s="7">
        <v>37.09151</v>
      </c>
      <c r="BG1015" s="7">
        <v>50</v>
      </c>
      <c r="BH1015" s="7">
        <v>0</v>
      </c>
      <c r="BI1015" s="7">
        <v>0.99219599999999997</v>
      </c>
      <c r="BJ1015" s="7">
        <v>0.99307999999999996</v>
      </c>
      <c r="BK1015" s="7">
        <v>0.99177599999999999</v>
      </c>
      <c r="BL1015" s="7">
        <v>0.98995500000000003</v>
      </c>
      <c r="BM1015" s="7">
        <v>0.98615900000000001</v>
      </c>
      <c r="BN1015" s="7">
        <v>0.99176299999999995</v>
      </c>
      <c r="BO1015" s="7">
        <v>0.99683500000000003</v>
      </c>
      <c r="BP1015" s="7">
        <v>1</v>
      </c>
      <c r="BQ1015" s="7">
        <v>0.99545499999999998</v>
      </c>
      <c r="BR1015" s="7">
        <v>5.5803999999999999E-2</v>
      </c>
      <c r="BS1015" s="7">
        <v>48.839286000000001</v>
      </c>
      <c r="BT1015" s="7">
        <v>50</v>
      </c>
      <c r="BU1015" s="7">
        <v>0.121771</v>
      </c>
      <c r="BV1015" s="7">
        <v>35.645755999999999</v>
      </c>
      <c r="BW1015" s="7">
        <v>50</v>
      </c>
      <c r="BX1015" s="4" t="s">
        <v>124</v>
      </c>
      <c r="BY1015" s="4" t="s">
        <v>124</v>
      </c>
      <c r="BZ1015" s="4" t="s">
        <v>124</v>
      </c>
      <c r="CA1015" s="4" t="s">
        <v>124</v>
      </c>
      <c r="CB1015" s="4" t="s">
        <v>124</v>
      </c>
      <c r="CC1015" s="4" t="s">
        <v>124</v>
      </c>
      <c r="CD1015" s="7">
        <v>0.95469300000000001</v>
      </c>
      <c r="CE1015" s="7">
        <v>50</v>
      </c>
      <c r="CF1015" s="7">
        <v>50</v>
      </c>
      <c r="CG1015" s="4" t="s">
        <v>124</v>
      </c>
      <c r="CH1015" s="4" t="s">
        <v>124</v>
      </c>
      <c r="CI1015" s="4" t="s">
        <v>124</v>
      </c>
      <c r="CJ1015" s="4" t="s">
        <v>124</v>
      </c>
      <c r="CK1015" s="4" t="s">
        <v>124</v>
      </c>
      <c r="CL1015" s="4" t="s">
        <v>124</v>
      </c>
      <c r="CM1015" s="4" t="s">
        <v>124</v>
      </c>
      <c r="CN1015" s="4" t="s">
        <v>124</v>
      </c>
      <c r="CO1015" s="4" t="s">
        <v>124</v>
      </c>
      <c r="CP1015" s="4" t="s">
        <v>124</v>
      </c>
      <c r="CQ1015" s="7">
        <v>0.54827000000000004</v>
      </c>
      <c r="CR1015" s="7">
        <v>0.91652800000000001</v>
      </c>
      <c r="CS1015" s="7">
        <v>36.551304999999999</v>
      </c>
      <c r="CT1015" s="7">
        <v>50</v>
      </c>
      <c r="CU1015" s="4" t="s">
        <v>124</v>
      </c>
      <c r="CV1015" s="4" t="s">
        <v>124</v>
      </c>
      <c r="CW1015" s="4" t="s">
        <v>124</v>
      </c>
      <c r="CX1015" s="4" t="s">
        <v>124</v>
      </c>
      <c r="CY1015" s="4" t="s">
        <v>124</v>
      </c>
      <c r="CZ1015" s="4" t="s">
        <v>124</v>
      </c>
      <c r="DA1015" s="7">
        <v>15.314097</v>
      </c>
      <c r="DB1015" s="7">
        <v>17.400950000000002</v>
      </c>
      <c r="DC1015" s="7">
        <v>16.332519999999999</v>
      </c>
      <c r="DD1015" s="4" t="s">
        <v>124</v>
      </c>
      <c r="DE1015" s="7">
        <v>1</v>
      </c>
      <c r="DF1015" s="6"/>
      <c r="DG1015" s="6"/>
      <c r="DH1015" s="6"/>
      <c r="DI1015" s="6"/>
      <c r="DJ1015" s="7">
        <v>0</v>
      </c>
      <c r="DK1015" s="7">
        <v>0</v>
      </c>
      <c r="DL1015" s="7">
        <v>0</v>
      </c>
      <c r="DM1015" s="7">
        <v>0</v>
      </c>
      <c r="DN1015" s="7">
        <v>0</v>
      </c>
      <c r="DO1015" s="7">
        <v>0</v>
      </c>
      <c r="DP1015" s="6"/>
      <c r="DQ1015" s="4" t="s">
        <v>125</v>
      </c>
    </row>
    <row r="1016" spans="1:121" ht="20" customHeight="1" x14ac:dyDescent="0.15">
      <c r="A1016" s="5">
        <v>2018</v>
      </c>
      <c r="B1016" s="3" t="s">
        <v>211</v>
      </c>
      <c r="C1016" s="4" t="str">
        <f t="shared" si="267"/>
        <v>1550011</v>
      </c>
      <c r="D1016" s="4" t="s">
        <v>1160</v>
      </c>
      <c r="E1016" s="4" t="str">
        <f>"1550911"</f>
        <v>1550911</v>
      </c>
      <c r="F1016" s="4" t="s">
        <v>327</v>
      </c>
      <c r="G1016" s="4" t="s">
        <v>338</v>
      </c>
      <c r="H1016" s="7">
        <v>5</v>
      </c>
      <c r="I1016" s="6"/>
      <c r="J1016" s="4" t="s">
        <v>330</v>
      </c>
      <c r="K1016" s="7">
        <v>647.29313300000001</v>
      </c>
      <c r="L1016" s="7">
        <v>800</v>
      </c>
      <c r="M1016" s="7">
        <v>80.911642000000001</v>
      </c>
      <c r="N1016" s="7">
        <v>2</v>
      </c>
      <c r="O1016" s="7">
        <v>0</v>
      </c>
      <c r="P1016" s="7">
        <v>80.635142000000002</v>
      </c>
      <c r="Q1016" s="7">
        <v>50</v>
      </c>
      <c r="R1016" s="7">
        <v>50</v>
      </c>
      <c r="S1016" s="7">
        <v>65.804741000000007</v>
      </c>
      <c r="T1016" s="7">
        <v>75</v>
      </c>
      <c r="U1016" s="7">
        <v>43.869827999999998</v>
      </c>
      <c r="V1016" s="7">
        <v>50</v>
      </c>
      <c r="W1016" s="7">
        <v>77.211949000000004</v>
      </c>
      <c r="X1016" s="7">
        <v>50</v>
      </c>
      <c r="Y1016" s="7">
        <v>50</v>
      </c>
      <c r="Z1016" s="7">
        <v>75</v>
      </c>
      <c r="AA1016" s="7">
        <v>63.148178000000001</v>
      </c>
      <c r="AB1016" s="7">
        <v>42.098785999999997</v>
      </c>
      <c r="AC1016" s="7">
        <v>50</v>
      </c>
      <c r="AD1016" s="7">
        <v>77.688171999999994</v>
      </c>
      <c r="AE1016" s="7">
        <v>50</v>
      </c>
      <c r="AF1016" s="7">
        <v>50</v>
      </c>
      <c r="AG1016" s="4" t="s">
        <v>124</v>
      </c>
      <c r="AH1016" s="7">
        <v>75</v>
      </c>
      <c r="AI1016" s="4" t="s">
        <v>124</v>
      </c>
      <c r="AJ1016" s="4" t="s">
        <v>124</v>
      </c>
      <c r="AK1016" s="7">
        <v>9.19</v>
      </c>
      <c r="AL1016" s="7">
        <v>11.85</v>
      </c>
      <c r="AM1016" s="4" t="s">
        <v>124</v>
      </c>
      <c r="AN1016" s="7">
        <v>0.73512</v>
      </c>
      <c r="AO1016" s="7">
        <v>73.511959000000004</v>
      </c>
      <c r="AP1016" s="7">
        <v>100</v>
      </c>
      <c r="AQ1016" s="7">
        <v>0.87597700000000001</v>
      </c>
      <c r="AR1016" s="7">
        <v>87.597656000000001</v>
      </c>
      <c r="AS1016" s="7">
        <v>100</v>
      </c>
      <c r="AT1016" s="7">
        <v>0.51249400000000001</v>
      </c>
      <c r="AU1016" s="7">
        <v>0.79319600000000001</v>
      </c>
      <c r="AV1016" s="7">
        <v>51.249434999999998</v>
      </c>
      <c r="AW1016" s="7">
        <v>100</v>
      </c>
      <c r="AX1016" s="7">
        <v>0.80305700000000002</v>
      </c>
      <c r="AY1016" s="7">
        <v>0.89499899999999999</v>
      </c>
      <c r="AZ1016" s="7">
        <v>80.305740999999998</v>
      </c>
      <c r="BA1016" s="7">
        <v>100</v>
      </c>
      <c r="BB1016" s="4" t="s">
        <v>124</v>
      </c>
      <c r="BC1016" s="4" t="s">
        <v>124</v>
      </c>
      <c r="BD1016" s="4" t="s">
        <v>124</v>
      </c>
      <c r="BE1016" s="4" t="s">
        <v>124</v>
      </c>
      <c r="BF1016" s="4" t="s">
        <v>124</v>
      </c>
      <c r="BG1016" s="4" t="s">
        <v>124</v>
      </c>
      <c r="BH1016" s="7">
        <v>0</v>
      </c>
      <c r="BI1016" s="7">
        <v>1</v>
      </c>
      <c r="BJ1016" s="7">
        <v>1</v>
      </c>
      <c r="BK1016" s="7">
        <v>1</v>
      </c>
      <c r="BL1016" s="7">
        <v>1</v>
      </c>
      <c r="BM1016" s="7">
        <v>1</v>
      </c>
      <c r="BN1016" s="7">
        <v>1</v>
      </c>
      <c r="BO1016" s="7">
        <v>1</v>
      </c>
      <c r="BP1016" s="4" t="s">
        <v>124</v>
      </c>
      <c r="BQ1016" s="7">
        <v>1</v>
      </c>
      <c r="BR1016" s="7">
        <v>6.6225000000000006E-2</v>
      </c>
      <c r="BS1016" s="7">
        <v>46.754967000000001</v>
      </c>
      <c r="BT1016" s="7">
        <v>50</v>
      </c>
      <c r="BU1016" s="7">
        <v>0.19047600000000001</v>
      </c>
      <c r="BV1016" s="7">
        <v>21.904762000000002</v>
      </c>
      <c r="BW1016" s="7">
        <v>50</v>
      </c>
      <c r="BX1016" s="4" t="s">
        <v>124</v>
      </c>
      <c r="BY1016" s="4" t="s">
        <v>124</v>
      </c>
      <c r="BZ1016" s="4" t="s">
        <v>124</v>
      </c>
      <c r="CA1016" s="4" t="s">
        <v>124</v>
      </c>
      <c r="CB1016" s="4" t="s">
        <v>124</v>
      </c>
      <c r="CC1016" s="4" t="s">
        <v>124</v>
      </c>
      <c r="CD1016" s="4" t="s">
        <v>124</v>
      </c>
      <c r="CE1016" s="4" t="s">
        <v>124</v>
      </c>
      <c r="CF1016" s="4" t="s">
        <v>124</v>
      </c>
      <c r="CG1016" s="4" t="s">
        <v>124</v>
      </c>
      <c r="CH1016" s="4" t="s">
        <v>124</v>
      </c>
      <c r="CI1016" s="4" t="s">
        <v>124</v>
      </c>
      <c r="CJ1016" s="4" t="s">
        <v>124</v>
      </c>
      <c r="CK1016" s="4" t="s">
        <v>124</v>
      </c>
      <c r="CL1016" s="4" t="s">
        <v>124</v>
      </c>
      <c r="CM1016" s="4" t="s">
        <v>124</v>
      </c>
      <c r="CN1016" s="4" t="s">
        <v>124</v>
      </c>
      <c r="CO1016" s="4" t="s">
        <v>124</v>
      </c>
      <c r="CP1016" s="4" t="s">
        <v>124</v>
      </c>
      <c r="CQ1016" s="7">
        <v>0.90740699999999996</v>
      </c>
      <c r="CR1016" s="7">
        <v>0.98181799999999997</v>
      </c>
      <c r="CS1016" s="7">
        <v>50</v>
      </c>
      <c r="CT1016" s="7">
        <v>50</v>
      </c>
      <c r="CU1016" s="4" t="s">
        <v>124</v>
      </c>
      <c r="CV1016" s="4" t="s">
        <v>124</v>
      </c>
      <c r="CW1016" s="4" t="s">
        <v>124</v>
      </c>
      <c r="CX1016" s="4" t="s">
        <v>124</v>
      </c>
      <c r="CY1016" s="4" t="s">
        <v>124</v>
      </c>
      <c r="CZ1016" s="4" t="s">
        <v>124</v>
      </c>
      <c r="DA1016" s="7">
        <v>15.314097</v>
      </c>
      <c r="DB1016" s="7">
        <v>17.400950000000002</v>
      </c>
      <c r="DC1016" s="7">
        <v>16.332519999999999</v>
      </c>
      <c r="DD1016" s="4" t="s">
        <v>124</v>
      </c>
      <c r="DE1016" s="7">
        <v>0</v>
      </c>
      <c r="DF1016" s="6"/>
      <c r="DG1016" s="6"/>
      <c r="DH1016" s="4" t="s">
        <v>331</v>
      </c>
      <c r="DI1016" s="4" t="s">
        <v>452</v>
      </c>
      <c r="DJ1016" s="7">
        <v>0</v>
      </c>
      <c r="DK1016" s="7">
        <v>0</v>
      </c>
      <c r="DL1016" s="7">
        <v>1</v>
      </c>
      <c r="DM1016" s="7">
        <v>0</v>
      </c>
      <c r="DN1016" s="7">
        <v>1</v>
      </c>
      <c r="DO1016" s="7">
        <v>0</v>
      </c>
      <c r="DP1016" s="6"/>
      <c r="DQ1016" s="4" t="s">
        <v>125</v>
      </c>
    </row>
    <row r="1017" spans="1:121" ht="20" customHeight="1" x14ac:dyDescent="0.15">
      <c r="A1017" s="5">
        <v>2018</v>
      </c>
      <c r="B1017" s="3" t="s">
        <v>211</v>
      </c>
      <c r="C1017" s="4" t="str">
        <f t="shared" si="267"/>
        <v>1550011</v>
      </c>
      <c r="D1017" s="4" t="s">
        <v>1161</v>
      </c>
      <c r="E1017" s="4" t="str">
        <f>"1551011"</f>
        <v>1551011</v>
      </c>
      <c r="F1017" s="4" t="s">
        <v>327</v>
      </c>
      <c r="G1017" s="4" t="s">
        <v>338</v>
      </c>
      <c r="H1017" s="7">
        <v>5</v>
      </c>
      <c r="I1017" s="6"/>
      <c r="J1017" s="4" t="s">
        <v>330</v>
      </c>
      <c r="K1017" s="7">
        <v>528.50480800000003</v>
      </c>
      <c r="L1017" s="7">
        <v>600</v>
      </c>
      <c r="M1017" s="7">
        <v>88.084135000000003</v>
      </c>
      <c r="N1017" s="7">
        <v>1</v>
      </c>
      <c r="O1017" s="7">
        <v>0</v>
      </c>
      <c r="P1017" s="7">
        <v>86.567164000000005</v>
      </c>
      <c r="Q1017" s="7">
        <v>50</v>
      </c>
      <c r="R1017" s="7">
        <v>50</v>
      </c>
      <c r="S1017" s="7">
        <v>75.204154000000003</v>
      </c>
      <c r="T1017" s="7">
        <v>75</v>
      </c>
      <c r="U1017" s="7">
        <v>50</v>
      </c>
      <c r="V1017" s="7">
        <v>50</v>
      </c>
      <c r="W1017" s="7">
        <v>81.615748999999994</v>
      </c>
      <c r="X1017" s="7">
        <v>50</v>
      </c>
      <c r="Y1017" s="7">
        <v>50</v>
      </c>
      <c r="Z1017" s="7">
        <v>75</v>
      </c>
      <c r="AA1017" s="7">
        <v>70.642546999999993</v>
      </c>
      <c r="AB1017" s="7">
        <v>47.095030999999999</v>
      </c>
      <c r="AC1017" s="7">
        <v>50</v>
      </c>
      <c r="AD1017" s="7">
        <v>80.752230999999995</v>
      </c>
      <c r="AE1017" s="7">
        <v>50</v>
      </c>
      <c r="AF1017" s="7">
        <v>50</v>
      </c>
      <c r="AG1017" s="4" t="s">
        <v>124</v>
      </c>
      <c r="AH1017" s="7">
        <v>75</v>
      </c>
      <c r="AI1017" s="4" t="s">
        <v>124</v>
      </c>
      <c r="AJ1017" s="4" t="s">
        <v>124</v>
      </c>
      <c r="AK1017" s="7">
        <v>-0.2</v>
      </c>
      <c r="AL1017" s="7">
        <v>4.3499999999999996</v>
      </c>
      <c r="AM1017" s="4" t="s">
        <v>124</v>
      </c>
      <c r="AN1017" s="7">
        <v>0.79503599999999996</v>
      </c>
      <c r="AO1017" s="7">
        <v>79.503558999999996</v>
      </c>
      <c r="AP1017" s="7">
        <v>100</v>
      </c>
      <c r="AQ1017" s="7">
        <v>0.86821499999999996</v>
      </c>
      <c r="AR1017" s="7">
        <v>86.821471000000003</v>
      </c>
      <c r="AS1017" s="7">
        <v>100</v>
      </c>
      <c r="AT1017" s="4" t="s">
        <v>124</v>
      </c>
      <c r="AU1017" s="7">
        <v>0.80504500000000001</v>
      </c>
      <c r="AV1017" s="4" t="s">
        <v>124</v>
      </c>
      <c r="AW1017" s="4" t="s">
        <v>124</v>
      </c>
      <c r="AX1017" s="4" t="s">
        <v>124</v>
      </c>
      <c r="AY1017" s="7">
        <v>0.87645399999999996</v>
      </c>
      <c r="AZ1017" s="4" t="s">
        <v>124</v>
      </c>
      <c r="BA1017" s="4" t="s">
        <v>124</v>
      </c>
      <c r="BB1017" s="4" t="s">
        <v>124</v>
      </c>
      <c r="BC1017" s="4" t="s">
        <v>124</v>
      </c>
      <c r="BD1017" s="4" t="s">
        <v>124</v>
      </c>
      <c r="BE1017" s="4" t="s">
        <v>124</v>
      </c>
      <c r="BF1017" s="4" t="s">
        <v>124</v>
      </c>
      <c r="BG1017" s="4" t="s">
        <v>124</v>
      </c>
      <c r="BH1017" s="7">
        <v>0</v>
      </c>
      <c r="BI1017" s="7">
        <v>0.99354799999999999</v>
      </c>
      <c r="BJ1017" s="7">
        <v>1</v>
      </c>
      <c r="BK1017" s="7">
        <v>0.99193500000000001</v>
      </c>
      <c r="BL1017" s="7">
        <v>0.99354799999999999</v>
      </c>
      <c r="BM1017" s="7">
        <v>1</v>
      </c>
      <c r="BN1017" s="7">
        <v>0.99193500000000001</v>
      </c>
      <c r="BO1017" s="7">
        <v>1</v>
      </c>
      <c r="BP1017" s="4" t="s">
        <v>124</v>
      </c>
      <c r="BQ1017" s="7">
        <v>1</v>
      </c>
      <c r="BR1017" s="7">
        <v>3.9474000000000002E-2</v>
      </c>
      <c r="BS1017" s="7">
        <v>50</v>
      </c>
      <c r="BT1017" s="7">
        <v>50</v>
      </c>
      <c r="BU1017" s="7">
        <v>0.16666700000000001</v>
      </c>
      <c r="BV1017" s="7">
        <v>26.666667</v>
      </c>
      <c r="BW1017" s="7">
        <v>50</v>
      </c>
      <c r="BX1017" s="4" t="s">
        <v>124</v>
      </c>
      <c r="BY1017" s="4" t="s">
        <v>124</v>
      </c>
      <c r="BZ1017" s="4" t="s">
        <v>124</v>
      </c>
      <c r="CA1017" s="4" t="s">
        <v>124</v>
      </c>
      <c r="CB1017" s="4" t="s">
        <v>124</v>
      </c>
      <c r="CC1017" s="4" t="s">
        <v>124</v>
      </c>
      <c r="CD1017" s="4" t="s">
        <v>124</v>
      </c>
      <c r="CE1017" s="4" t="s">
        <v>124</v>
      </c>
      <c r="CF1017" s="4" t="s">
        <v>124</v>
      </c>
      <c r="CG1017" s="4" t="s">
        <v>124</v>
      </c>
      <c r="CH1017" s="4" t="s">
        <v>124</v>
      </c>
      <c r="CI1017" s="4" t="s">
        <v>124</v>
      </c>
      <c r="CJ1017" s="4" t="s">
        <v>124</v>
      </c>
      <c r="CK1017" s="4" t="s">
        <v>124</v>
      </c>
      <c r="CL1017" s="4" t="s">
        <v>124</v>
      </c>
      <c r="CM1017" s="4" t="s">
        <v>124</v>
      </c>
      <c r="CN1017" s="4" t="s">
        <v>124</v>
      </c>
      <c r="CO1017" s="4" t="s">
        <v>124</v>
      </c>
      <c r="CP1017" s="4" t="s">
        <v>124</v>
      </c>
      <c r="CQ1017" s="7">
        <v>0.57627099999999998</v>
      </c>
      <c r="CR1017" s="7">
        <v>1.035088</v>
      </c>
      <c r="CS1017" s="7">
        <v>38.418078999999999</v>
      </c>
      <c r="CT1017" s="7">
        <v>50</v>
      </c>
      <c r="CU1017" s="4" t="s">
        <v>124</v>
      </c>
      <c r="CV1017" s="4" t="s">
        <v>124</v>
      </c>
      <c r="CW1017" s="4" t="s">
        <v>124</v>
      </c>
      <c r="CX1017" s="4" t="s">
        <v>124</v>
      </c>
      <c r="CY1017" s="4" t="s">
        <v>124</v>
      </c>
      <c r="CZ1017" s="4" t="s">
        <v>124</v>
      </c>
      <c r="DA1017" s="7">
        <v>15.314097</v>
      </c>
      <c r="DB1017" s="7">
        <v>17.400950000000002</v>
      </c>
      <c r="DC1017" s="7">
        <v>16.332519999999999</v>
      </c>
      <c r="DD1017" s="4" t="s">
        <v>124</v>
      </c>
      <c r="DE1017" s="7">
        <v>0</v>
      </c>
      <c r="DF1017" s="6"/>
      <c r="DG1017" s="6"/>
      <c r="DH1017" s="4" t="s">
        <v>331</v>
      </c>
      <c r="DI1017" s="4" t="s">
        <v>497</v>
      </c>
      <c r="DJ1017" s="7">
        <v>1</v>
      </c>
      <c r="DK1017" s="7">
        <v>1</v>
      </c>
      <c r="DL1017" s="7">
        <v>1</v>
      </c>
      <c r="DM1017" s="7">
        <v>0</v>
      </c>
      <c r="DN1017" s="7">
        <v>0</v>
      </c>
      <c r="DO1017" s="7">
        <v>0</v>
      </c>
      <c r="DP1017" s="6"/>
      <c r="DQ1017" s="4" t="s">
        <v>125</v>
      </c>
    </row>
    <row r="1018" spans="1:121" ht="20" customHeight="1" x14ac:dyDescent="0.15">
      <c r="A1018" s="5">
        <v>2018</v>
      </c>
      <c r="B1018" s="3" t="s">
        <v>211</v>
      </c>
      <c r="C1018" s="4" t="str">
        <f t="shared" si="267"/>
        <v>1550011</v>
      </c>
      <c r="D1018" s="4" t="s">
        <v>1162</v>
      </c>
      <c r="E1018" s="4" t="str">
        <f>"1555211"</f>
        <v>1555211</v>
      </c>
      <c r="F1018" s="4" t="s">
        <v>327</v>
      </c>
      <c r="G1018" s="7">
        <v>6</v>
      </c>
      <c r="H1018" s="7">
        <v>8</v>
      </c>
      <c r="I1018" s="6"/>
      <c r="J1018" s="4" t="s">
        <v>330</v>
      </c>
      <c r="K1018" s="7">
        <v>698.61091099999999</v>
      </c>
      <c r="L1018" s="7">
        <v>1000</v>
      </c>
      <c r="M1018" s="7">
        <v>69.861091000000002</v>
      </c>
      <c r="N1018" s="7">
        <v>3</v>
      </c>
      <c r="O1018" s="7">
        <v>1</v>
      </c>
      <c r="P1018" s="7">
        <v>74.021559999999994</v>
      </c>
      <c r="Q1018" s="7">
        <v>49.347707</v>
      </c>
      <c r="R1018" s="7">
        <v>50</v>
      </c>
      <c r="S1018" s="7">
        <v>60.688400999999999</v>
      </c>
      <c r="T1018" s="7">
        <v>75</v>
      </c>
      <c r="U1018" s="7">
        <v>40.458933999999999</v>
      </c>
      <c r="V1018" s="7">
        <v>50</v>
      </c>
      <c r="W1018" s="7">
        <v>65.188034999999999</v>
      </c>
      <c r="X1018" s="7">
        <v>43.458689999999997</v>
      </c>
      <c r="Y1018" s="7">
        <v>50</v>
      </c>
      <c r="Z1018" s="7">
        <v>73.439991000000006</v>
      </c>
      <c r="AA1018" s="7">
        <v>51.563308999999997</v>
      </c>
      <c r="AB1018" s="7">
        <v>34.375539000000003</v>
      </c>
      <c r="AC1018" s="7">
        <v>50</v>
      </c>
      <c r="AD1018" s="7">
        <v>68.423316999999997</v>
      </c>
      <c r="AE1018" s="7">
        <v>45.615544999999997</v>
      </c>
      <c r="AF1018" s="7">
        <v>50</v>
      </c>
      <c r="AG1018" s="7">
        <v>56.501550999999999</v>
      </c>
      <c r="AH1018" s="7">
        <v>75</v>
      </c>
      <c r="AI1018" s="7">
        <v>37.667701000000001</v>
      </c>
      <c r="AJ1018" s="7">
        <v>50</v>
      </c>
      <c r="AK1018" s="7">
        <v>14.31</v>
      </c>
      <c r="AL1018" s="7">
        <v>21.87</v>
      </c>
      <c r="AM1018" s="7">
        <v>18.489999999999998</v>
      </c>
      <c r="AN1018" s="7">
        <v>0.65893699999999999</v>
      </c>
      <c r="AO1018" s="7">
        <v>65.893707000000006</v>
      </c>
      <c r="AP1018" s="7">
        <v>100</v>
      </c>
      <c r="AQ1018" s="7">
        <v>0.5635</v>
      </c>
      <c r="AR1018" s="7">
        <v>56.350048999999999</v>
      </c>
      <c r="AS1018" s="7">
        <v>100</v>
      </c>
      <c r="AT1018" s="7">
        <v>0.60608600000000001</v>
      </c>
      <c r="AU1018" s="7">
        <v>0.68762199999999996</v>
      </c>
      <c r="AV1018" s="7">
        <v>60.608604</v>
      </c>
      <c r="AW1018" s="7">
        <v>100</v>
      </c>
      <c r="AX1018" s="7">
        <v>0.51936899999999997</v>
      </c>
      <c r="AY1018" s="7">
        <v>0.58713000000000004</v>
      </c>
      <c r="AZ1018" s="7">
        <v>51.936929999999997</v>
      </c>
      <c r="BA1018" s="7">
        <v>100</v>
      </c>
      <c r="BB1018" s="7">
        <v>0.420074</v>
      </c>
      <c r="BC1018" s="7">
        <v>21.003699000000001</v>
      </c>
      <c r="BD1018" s="7">
        <v>50</v>
      </c>
      <c r="BE1018" s="7">
        <v>0.57174100000000005</v>
      </c>
      <c r="BF1018" s="7">
        <v>28.587025000000001</v>
      </c>
      <c r="BG1018" s="7">
        <v>50</v>
      </c>
      <c r="BH1018" s="7">
        <v>0</v>
      </c>
      <c r="BI1018" s="7">
        <v>0.987599</v>
      </c>
      <c r="BJ1018" s="7">
        <v>0.98005699999999996</v>
      </c>
      <c r="BK1018" s="7">
        <v>0.992537</v>
      </c>
      <c r="BL1018" s="7">
        <v>0.98194099999999995</v>
      </c>
      <c r="BM1018" s="7">
        <v>0.96857099999999996</v>
      </c>
      <c r="BN1018" s="7">
        <v>0.990672</v>
      </c>
      <c r="BO1018" s="7">
        <v>0.99288299999999996</v>
      </c>
      <c r="BP1018" s="7">
        <v>0.980769</v>
      </c>
      <c r="BQ1018" s="7">
        <v>1</v>
      </c>
      <c r="BR1018" s="7">
        <v>6.2147000000000001E-2</v>
      </c>
      <c r="BS1018" s="7">
        <v>47.570621000000003</v>
      </c>
      <c r="BT1018" s="7">
        <v>50</v>
      </c>
      <c r="BU1018" s="7">
        <v>0.119266</v>
      </c>
      <c r="BV1018" s="7">
        <v>36.146788999999998</v>
      </c>
      <c r="BW1018" s="7">
        <v>50</v>
      </c>
      <c r="BX1018" s="4" t="s">
        <v>124</v>
      </c>
      <c r="BY1018" s="4" t="s">
        <v>124</v>
      </c>
      <c r="BZ1018" s="4" t="s">
        <v>124</v>
      </c>
      <c r="CA1018" s="4" t="s">
        <v>124</v>
      </c>
      <c r="CB1018" s="4" t="s">
        <v>124</v>
      </c>
      <c r="CC1018" s="4" t="s">
        <v>124</v>
      </c>
      <c r="CD1018" s="7">
        <v>0.94078899999999999</v>
      </c>
      <c r="CE1018" s="7">
        <v>50</v>
      </c>
      <c r="CF1018" s="7">
        <v>50</v>
      </c>
      <c r="CG1018" s="4" t="s">
        <v>124</v>
      </c>
      <c r="CH1018" s="4" t="s">
        <v>124</v>
      </c>
      <c r="CI1018" s="4" t="s">
        <v>124</v>
      </c>
      <c r="CJ1018" s="4" t="s">
        <v>124</v>
      </c>
      <c r="CK1018" s="4" t="s">
        <v>124</v>
      </c>
      <c r="CL1018" s="4" t="s">
        <v>124</v>
      </c>
      <c r="CM1018" s="4" t="s">
        <v>124</v>
      </c>
      <c r="CN1018" s="4" t="s">
        <v>124</v>
      </c>
      <c r="CO1018" s="4" t="s">
        <v>124</v>
      </c>
      <c r="CP1018" s="4" t="s">
        <v>124</v>
      </c>
      <c r="CQ1018" s="7">
        <v>0.44384099999999999</v>
      </c>
      <c r="CR1018" s="7">
        <v>0.97526500000000005</v>
      </c>
      <c r="CS1018" s="7">
        <v>29.589372000000001</v>
      </c>
      <c r="CT1018" s="7">
        <v>50</v>
      </c>
      <c r="CU1018" s="4" t="s">
        <v>124</v>
      </c>
      <c r="CV1018" s="4" t="s">
        <v>124</v>
      </c>
      <c r="CW1018" s="4" t="s">
        <v>124</v>
      </c>
      <c r="CX1018" s="4" t="s">
        <v>124</v>
      </c>
      <c r="CY1018" s="4" t="s">
        <v>124</v>
      </c>
      <c r="CZ1018" s="4" t="s">
        <v>124</v>
      </c>
      <c r="DA1018" s="7">
        <v>15.314097</v>
      </c>
      <c r="DB1018" s="7">
        <v>17.400950000000002</v>
      </c>
      <c r="DC1018" s="7">
        <v>16.332519999999999</v>
      </c>
      <c r="DD1018" s="4" t="s">
        <v>124</v>
      </c>
      <c r="DE1018" s="7">
        <v>1</v>
      </c>
      <c r="DF1018" s="6"/>
      <c r="DG1018" s="6"/>
      <c r="DH1018" s="6"/>
      <c r="DI1018" s="6"/>
      <c r="DJ1018" s="7">
        <v>0</v>
      </c>
      <c r="DK1018" s="7">
        <v>0</v>
      </c>
      <c r="DL1018" s="7">
        <v>0</v>
      </c>
      <c r="DM1018" s="7">
        <v>0</v>
      </c>
      <c r="DN1018" s="7">
        <v>0</v>
      </c>
      <c r="DO1018" s="7">
        <v>0</v>
      </c>
      <c r="DP1018" s="6"/>
      <c r="DQ1018" s="4" t="s">
        <v>125</v>
      </c>
    </row>
    <row r="1019" spans="1:121" ht="20" customHeight="1" x14ac:dyDescent="0.15">
      <c r="A1019" s="5">
        <v>2018</v>
      </c>
      <c r="B1019" s="3" t="s">
        <v>211</v>
      </c>
      <c r="C1019" s="4" t="str">
        <f t="shared" si="267"/>
        <v>1550011</v>
      </c>
      <c r="D1019" s="4" t="s">
        <v>1163</v>
      </c>
      <c r="E1019" s="4" t="str">
        <f>"1551711"</f>
        <v>1551711</v>
      </c>
      <c r="F1019" s="4" t="s">
        <v>327</v>
      </c>
      <c r="G1019" s="4" t="s">
        <v>328</v>
      </c>
      <c r="H1019" s="7">
        <v>5</v>
      </c>
      <c r="I1019" s="4" t="s">
        <v>335</v>
      </c>
      <c r="J1019" s="4" t="s">
        <v>330</v>
      </c>
      <c r="K1019" s="7">
        <v>777.17499099999998</v>
      </c>
      <c r="L1019" s="7">
        <v>950</v>
      </c>
      <c r="M1019" s="7">
        <v>81.807894000000005</v>
      </c>
      <c r="N1019" s="7">
        <v>2</v>
      </c>
      <c r="O1019" s="7">
        <v>0</v>
      </c>
      <c r="P1019" s="7">
        <v>77.456477000000007</v>
      </c>
      <c r="Q1019" s="7">
        <v>50</v>
      </c>
      <c r="R1019" s="7">
        <v>50</v>
      </c>
      <c r="S1019" s="7">
        <v>69.837190000000007</v>
      </c>
      <c r="T1019" s="7">
        <v>75</v>
      </c>
      <c r="U1019" s="7">
        <v>46.558126999999999</v>
      </c>
      <c r="V1019" s="7">
        <v>50</v>
      </c>
      <c r="W1019" s="7">
        <v>75.637545000000003</v>
      </c>
      <c r="X1019" s="7">
        <v>50</v>
      </c>
      <c r="Y1019" s="7">
        <v>50</v>
      </c>
      <c r="Z1019" s="7">
        <v>75</v>
      </c>
      <c r="AA1019" s="7">
        <v>68.362516999999997</v>
      </c>
      <c r="AB1019" s="7">
        <v>45.575011000000003</v>
      </c>
      <c r="AC1019" s="7">
        <v>50</v>
      </c>
      <c r="AD1019" s="7">
        <v>75.179523000000003</v>
      </c>
      <c r="AE1019" s="7">
        <v>50</v>
      </c>
      <c r="AF1019" s="7">
        <v>50</v>
      </c>
      <c r="AG1019" s="7">
        <v>68.927419</v>
      </c>
      <c r="AH1019" s="4" t="s">
        <v>124</v>
      </c>
      <c r="AI1019" s="7">
        <v>45.951613000000002</v>
      </c>
      <c r="AJ1019" s="7">
        <v>50</v>
      </c>
      <c r="AK1019" s="7">
        <v>5.16</v>
      </c>
      <c r="AL1019" s="7">
        <v>6.63</v>
      </c>
      <c r="AM1019" s="4" t="s">
        <v>124</v>
      </c>
      <c r="AN1019" s="7">
        <v>0.72178799999999999</v>
      </c>
      <c r="AO1019" s="7">
        <v>72.178819000000004</v>
      </c>
      <c r="AP1019" s="7">
        <v>100</v>
      </c>
      <c r="AQ1019" s="7">
        <v>0.84640700000000002</v>
      </c>
      <c r="AR1019" s="7">
        <v>84.640726999999998</v>
      </c>
      <c r="AS1019" s="7">
        <v>100</v>
      </c>
      <c r="AT1019" s="7">
        <v>0.66920199999999996</v>
      </c>
      <c r="AU1019" s="7">
        <v>0.80538600000000005</v>
      </c>
      <c r="AV1019" s="7">
        <v>66.920226</v>
      </c>
      <c r="AW1019" s="7">
        <v>100</v>
      </c>
      <c r="AX1019" s="7">
        <v>0.82864899999999997</v>
      </c>
      <c r="AY1019" s="7">
        <v>0.87509300000000001</v>
      </c>
      <c r="AZ1019" s="7">
        <v>82.864939000000007</v>
      </c>
      <c r="BA1019" s="7">
        <v>100</v>
      </c>
      <c r="BB1019" s="7">
        <v>0.89581699999999997</v>
      </c>
      <c r="BC1019" s="7">
        <v>44.790849999999999</v>
      </c>
      <c r="BD1019" s="7">
        <v>50</v>
      </c>
      <c r="BE1019" s="7">
        <v>0.76011700000000004</v>
      </c>
      <c r="BF1019" s="7">
        <v>38.005839999999999</v>
      </c>
      <c r="BG1019" s="7">
        <v>50</v>
      </c>
      <c r="BH1019" s="7">
        <v>0</v>
      </c>
      <c r="BI1019" s="7">
        <v>0.99468100000000004</v>
      </c>
      <c r="BJ1019" s="7">
        <v>0.99137900000000001</v>
      </c>
      <c r="BK1019" s="7">
        <v>1</v>
      </c>
      <c r="BL1019" s="7">
        <v>0.99468100000000004</v>
      </c>
      <c r="BM1019" s="7">
        <v>0.99137900000000001</v>
      </c>
      <c r="BN1019" s="7">
        <v>1</v>
      </c>
      <c r="BO1019" s="7">
        <v>0.98148100000000005</v>
      </c>
      <c r="BP1019" s="7">
        <v>1</v>
      </c>
      <c r="BQ1019" s="4" t="s">
        <v>124</v>
      </c>
      <c r="BR1019" s="7">
        <v>6.5088999999999994E-2</v>
      </c>
      <c r="BS1019" s="7">
        <v>46.982249000000003</v>
      </c>
      <c r="BT1019" s="7">
        <v>50</v>
      </c>
      <c r="BU1019" s="7">
        <v>0.10204100000000001</v>
      </c>
      <c r="BV1019" s="7">
        <v>39.591836999999998</v>
      </c>
      <c r="BW1019" s="7">
        <v>50</v>
      </c>
      <c r="BX1019" s="4" t="s">
        <v>124</v>
      </c>
      <c r="BY1019" s="4" t="s">
        <v>124</v>
      </c>
      <c r="BZ1019" s="4" t="s">
        <v>124</v>
      </c>
      <c r="CA1019" s="4" t="s">
        <v>124</v>
      </c>
      <c r="CB1019" s="4" t="s">
        <v>124</v>
      </c>
      <c r="CC1019" s="4" t="s">
        <v>124</v>
      </c>
      <c r="CD1019" s="4" t="s">
        <v>124</v>
      </c>
      <c r="CE1019" s="4" t="s">
        <v>124</v>
      </c>
      <c r="CF1019" s="4" t="s">
        <v>124</v>
      </c>
      <c r="CG1019" s="4" t="s">
        <v>124</v>
      </c>
      <c r="CH1019" s="4" t="s">
        <v>124</v>
      </c>
      <c r="CI1019" s="4" t="s">
        <v>124</v>
      </c>
      <c r="CJ1019" s="4" t="s">
        <v>124</v>
      </c>
      <c r="CK1019" s="4" t="s">
        <v>124</v>
      </c>
      <c r="CL1019" s="4" t="s">
        <v>124</v>
      </c>
      <c r="CM1019" s="4" t="s">
        <v>124</v>
      </c>
      <c r="CN1019" s="4" t="s">
        <v>124</v>
      </c>
      <c r="CO1019" s="4" t="s">
        <v>124</v>
      </c>
      <c r="CP1019" s="4" t="s">
        <v>124</v>
      </c>
      <c r="CQ1019" s="7">
        <v>0.19672100000000001</v>
      </c>
      <c r="CR1019" s="7">
        <v>1</v>
      </c>
      <c r="CS1019" s="7">
        <v>13.114754</v>
      </c>
      <c r="CT1019" s="7">
        <v>50</v>
      </c>
      <c r="CU1019" s="4" t="s">
        <v>124</v>
      </c>
      <c r="CV1019" s="4" t="s">
        <v>124</v>
      </c>
      <c r="CW1019" s="4" t="s">
        <v>124</v>
      </c>
      <c r="CX1019" s="4" t="s">
        <v>124</v>
      </c>
      <c r="CY1019" s="4" t="s">
        <v>124</v>
      </c>
      <c r="CZ1019" s="4" t="s">
        <v>124</v>
      </c>
      <c r="DA1019" s="7">
        <v>15.314097</v>
      </c>
      <c r="DB1019" s="7">
        <v>17.400950000000002</v>
      </c>
      <c r="DC1019" s="7">
        <v>16.332519999999999</v>
      </c>
      <c r="DD1019" s="4" t="s">
        <v>124</v>
      </c>
      <c r="DE1019" s="7">
        <v>0</v>
      </c>
      <c r="DF1019" s="6"/>
      <c r="DG1019" s="6"/>
      <c r="DH1019" s="4" t="s">
        <v>331</v>
      </c>
      <c r="DI1019" s="4" t="s">
        <v>452</v>
      </c>
      <c r="DJ1019" s="7">
        <v>0</v>
      </c>
      <c r="DK1019" s="7">
        <v>0</v>
      </c>
      <c r="DL1019" s="7">
        <v>1</v>
      </c>
      <c r="DM1019" s="7">
        <v>0</v>
      </c>
      <c r="DN1019" s="7">
        <v>1</v>
      </c>
      <c r="DO1019" s="7">
        <v>0</v>
      </c>
      <c r="DP1019" s="6"/>
      <c r="DQ1019" s="4" t="s">
        <v>125</v>
      </c>
    </row>
    <row r="1020" spans="1:121" ht="20" customHeight="1" x14ac:dyDescent="0.15">
      <c r="A1020" s="5">
        <v>2018</v>
      </c>
      <c r="B1020" s="3" t="s">
        <v>211</v>
      </c>
      <c r="C1020" s="4" t="str">
        <f t="shared" si="267"/>
        <v>1550011</v>
      </c>
      <c r="D1020" s="4" t="s">
        <v>1164</v>
      </c>
      <c r="E1020" s="4" t="str">
        <f>"1551211"</f>
        <v>1551211</v>
      </c>
      <c r="F1020" s="4" t="s">
        <v>327</v>
      </c>
      <c r="G1020" s="4" t="s">
        <v>328</v>
      </c>
      <c r="H1020" s="7">
        <v>5</v>
      </c>
      <c r="I1020" s="4" t="s">
        <v>329</v>
      </c>
      <c r="J1020" s="4" t="s">
        <v>330</v>
      </c>
      <c r="K1020" s="7">
        <v>589.10356300000001</v>
      </c>
      <c r="L1020" s="7">
        <v>950</v>
      </c>
      <c r="M1020" s="7">
        <v>62.010900999999997</v>
      </c>
      <c r="N1020" s="7">
        <v>3</v>
      </c>
      <c r="O1020" s="7">
        <v>0</v>
      </c>
      <c r="P1020" s="7">
        <v>70.645146999999994</v>
      </c>
      <c r="Q1020" s="7">
        <v>47.096764</v>
      </c>
      <c r="R1020" s="7">
        <v>50</v>
      </c>
      <c r="S1020" s="7">
        <v>62.057039000000003</v>
      </c>
      <c r="T1020" s="7">
        <v>75</v>
      </c>
      <c r="U1020" s="7">
        <v>41.371360000000003</v>
      </c>
      <c r="V1020" s="7">
        <v>50</v>
      </c>
      <c r="W1020" s="7">
        <v>68.623185000000007</v>
      </c>
      <c r="X1020" s="7">
        <v>45.74879</v>
      </c>
      <c r="Y1020" s="7">
        <v>50</v>
      </c>
      <c r="Z1020" s="7">
        <v>75</v>
      </c>
      <c r="AA1020" s="7">
        <v>58.815986000000002</v>
      </c>
      <c r="AB1020" s="7">
        <v>39.210658000000002</v>
      </c>
      <c r="AC1020" s="7">
        <v>50</v>
      </c>
      <c r="AD1020" s="7">
        <v>65.315224000000001</v>
      </c>
      <c r="AE1020" s="7">
        <v>43.543481999999997</v>
      </c>
      <c r="AF1020" s="7">
        <v>50</v>
      </c>
      <c r="AG1020" s="7">
        <v>56.833333000000003</v>
      </c>
      <c r="AH1020" s="7">
        <v>71.483870999999994</v>
      </c>
      <c r="AI1020" s="7">
        <v>37.888888999999999</v>
      </c>
      <c r="AJ1020" s="7">
        <v>50</v>
      </c>
      <c r="AK1020" s="7">
        <v>12.94</v>
      </c>
      <c r="AL1020" s="7">
        <v>16.18</v>
      </c>
      <c r="AM1020" s="7">
        <v>14.65</v>
      </c>
      <c r="AN1020" s="7">
        <v>0.409271</v>
      </c>
      <c r="AO1020" s="7">
        <v>40.927146999999998</v>
      </c>
      <c r="AP1020" s="7">
        <v>100</v>
      </c>
      <c r="AQ1020" s="7">
        <v>0.52508500000000002</v>
      </c>
      <c r="AR1020" s="7">
        <v>52.508488</v>
      </c>
      <c r="AS1020" s="7">
        <v>100</v>
      </c>
      <c r="AT1020" s="7">
        <v>0.35275699999999999</v>
      </c>
      <c r="AU1020" s="7">
        <v>0.45286900000000002</v>
      </c>
      <c r="AV1020" s="7">
        <v>35.275672999999998</v>
      </c>
      <c r="AW1020" s="7">
        <v>100</v>
      </c>
      <c r="AX1020" s="7">
        <v>0.45536599999999999</v>
      </c>
      <c r="AY1020" s="7">
        <v>0.57886800000000005</v>
      </c>
      <c r="AZ1020" s="7">
        <v>45.536638000000004</v>
      </c>
      <c r="BA1020" s="7">
        <v>100</v>
      </c>
      <c r="BB1020" s="7">
        <v>0.77096500000000001</v>
      </c>
      <c r="BC1020" s="7">
        <v>38.548226999999997</v>
      </c>
      <c r="BD1020" s="7">
        <v>50</v>
      </c>
      <c r="BE1020" s="7">
        <v>0.52431000000000005</v>
      </c>
      <c r="BF1020" s="7">
        <v>26.215485000000001</v>
      </c>
      <c r="BG1020" s="7">
        <v>50</v>
      </c>
      <c r="BH1020" s="7">
        <v>0</v>
      </c>
      <c r="BI1020" s="7">
        <v>0.99441299999999999</v>
      </c>
      <c r="BJ1020" s="7">
        <v>1</v>
      </c>
      <c r="BK1020" s="7">
        <v>0.98876399999999998</v>
      </c>
      <c r="BL1020" s="7">
        <v>0.99441299999999999</v>
      </c>
      <c r="BM1020" s="7">
        <v>1</v>
      </c>
      <c r="BN1020" s="7">
        <v>0.98876399999999998</v>
      </c>
      <c r="BO1020" s="7">
        <v>0.98275900000000005</v>
      </c>
      <c r="BP1020" s="7">
        <v>1</v>
      </c>
      <c r="BQ1020" s="7">
        <v>0.97058800000000001</v>
      </c>
      <c r="BR1020" s="7">
        <v>0.10975600000000001</v>
      </c>
      <c r="BS1020" s="7">
        <v>38.048780000000001</v>
      </c>
      <c r="BT1020" s="7">
        <v>50</v>
      </c>
      <c r="BU1020" s="7">
        <v>0.20129900000000001</v>
      </c>
      <c r="BV1020" s="7">
        <v>19.740259999999999</v>
      </c>
      <c r="BW1020" s="7">
        <v>50</v>
      </c>
      <c r="BX1020" s="4" t="s">
        <v>124</v>
      </c>
      <c r="BY1020" s="4" t="s">
        <v>124</v>
      </c>
      <c r="BZ1020" s="4" t="s">
        <v>124</v>
      </c>
      <c r="CA1020" s="4" t="s">
        <v>124</v>
      </c>
      <c r="CB1020" s="4" t="s">
        <v>124</v>
      </c>
      <c r="CC1020" s="4" t="s">
        <v>124</v>
      </c>
      <c r="CD1020" s="4" t="s">
        <v>124</v>
      </c>
      <c r="CE1020" s="4" t="s">
        <v>124</v>
      </c>
      <c r="CF1020" s="4" t="s">
        <v>124</v>
      </c>
      <c r="CG1020" s="4" t="s">
        <v>124</v>
      </c>
      <c r="CH1020" s="4" t="s">
        <v>124</v>
      </c>
      <c r="CI1020" s="4" t="s">
        <v>124</v>
      </c>
      <c r="CJ1020" s="4" t="s">
        <v>124</v>
      </c>
      <c r="CK1020" s="4" t="s">
        <v>124</v>
      </c>
      <c r="CL1020" s="4" t="s">
        <v>124</v>
      </c>
      <c r="CM1020" s="4" t="s">
        <v>124</v>
      </c>
      <c r="CN1020" s="4" t="s">
        <v>124</v>
      </c>
      <c r="CO1020" s="4" t="s">
        <v>124</v>
      </c>
      <c r="CP1020" s="4" t="s">
        <v>124</v>
      </c>
      <c r="CQ1020" s="7">
        <v>0.56164400000000003</v>
      </c>
      <c r="CR1020" s="7">
        <v>1.013889</v>
      </c>
      <c r="CS1020" s="7">
        <v>37.442922000000003</v>
      </c>
      <c r="CT1020" s="7">
        <v>50</v>
      </c>
      <c r="CU1020" s="4" t="s">
        <v>124</v>
      </c>
      <c r="CV1020" s="4" t="s">
        <v>124</v>
      </c>
      <c r="CW1020" s="4" t="s">
        <v>124</v>
      </c>
      <c r="CX1020" s="4" t="s">
        <v>124</v>
      </c>
      <c r="CY1020" s="4" t="s">
        <v>124</v>
      </c>
      <c r="CZ1020" s="4" t="s">
        <v>124</v>
      </c>
      <c r="DA1020" s="7">
        <v>15.314097</v>
      </c>
      <c r="DB1020" s="7">
        <v>17.400950000000002</v>
      </c>
      <c r="DC1020" s="7">
        <v>16.332519999999999</v>
      </c>
      <c r="DD1020" s="4" t="s">
        <v>124</v>
      </c>
      <c r="DE1020" s="7">
        <v>0</v>
      </c>
      <c r="DF1020" s="6"/>
      <c r="DG1020" s="6"/>
      <c r="DH1020" s="6"/>
      <c r="DI1020" s="6"/>
      <c r="DJ1020" s="7">
        <v>0</v>
      </c>
      <c r="DK1020" s="7">
        <v>0</v>
      </c>
      <c r="DL1020" s="7">
        <v>0</v>
      </c>
      <c r="DM1020" s="7">
        <v>0</v>
      </c>
      <c r="DN1020" s="7">
        <v>0</v>
      </c>
      <c r="DO1020" s="7">
        <v>0</v>
      </c>
      <c r="DP1020" s="6"/>
      <c r="DQ1020" s="4" t="s">
        <v>125</v>
      </c>
    </row>
    <row r="1021" spans="1:121" ht="20" customHeight="1" x14ac:dyDescent="0.15">
      <c r="A1021" s="5">
        <v>2018</v>
      </c>
      <c r="B1021" s="3" t="s">
        <v>211</v>
      </c>
      <c r="C1021" s="4" t="str">
        <f t="shared" si="267"/>
        <v>1550011</v>
      </c>
      <c r="D1021" s="4" t="s">
        <v>1165</v>
      </c>
      <c r="E1021" s="4" t="str">
        <f>"1551311"</f>
        <v>1551311</v>
      </c>
      <c r="F1021" s="4" t="s">
        <v>327</v>
      </c>
      <c r="G1021" s="4" t="s">
        <v>328</v>
      </c>
      <c r="H1021" s="7">
        <v>5</v>
      </c>
      <c r="I1021" s="4" t="s">
        <v>329</v>
      </c>
      <c r="J1021" s="4" t="s">
        <v>330</v>
      </c>
      <c r="K1021" s="7">
        <v>814.63394700000003</v>
      </c>
      <c r="L1021" s="7">
        <v>950</v>
      </c>
      <c r="M1021" s="7">
        <v>85.750941999999995</v>
      </c>
      <c r="N1021" s="7">
        <v>1</v>
      </c>
      <c r="O1021" s="7">
        <v>0</v>
      </c>
      <c r="P1021" s="7">
        <v>84.473515000000006</v>
      </c>
      <c r="Q1021" s="7">
        <v>50</v>
      </c>
      <c r="R1021" s="7">
        <v>50</v>
      </c>
      <c r="S1021" s="7">
        <v>75.915075999999999</v>
      </c>
      <c r="T1021" s="7">
        <v>75</v>
      </c>
      <c r="U1021" s="7">
        <v>50</v>
      </c>
      <c r="V1021" s="7">
        <v>50</v>
      </c>
      <c r="W1021" s="7">
        <v>77.652973000000003</v>
      </c>
      <c r="X1021" s="7">
        <v>50</v>
      </c>
      <c r="Y1021" s="7">
        <v>50</v>
      </c>
      <c r="Z1021" s="7">
        <v>75</v>
      </c>
      <c r="AA1021" s="7">
        <v>68.852743000000004</v>
      </c>
      <c r="AB1021" s="7">
        <v>45.901828999999999</v>
      </c>
      <c r="AC1021" s="7">
        <v>50</v>
      </c>
      <c r="AD1021" s="7">
        <v>80.541934999999995</v>
      </c>
      <c r="AE1021" s="7">
        <v>50</v>
      </c>
      <c r="AF1021" s="7">
        <v>50</v>
      </c>
      <c r="AG1021" s="7">
        <v>72.973352000000006</v>
      </c>
      <c r="AH1021" s="7">
        <v>75</v>
      </c>
      <c r="AI1021" s="7">
        <v>48.648901000000002</v>
      </c>
      <c r="AJ1021" s="7">
        <v>50</v>
      </c>
      <c r="AK1021" s="7">
        <v>-0.91</v>
      </c>
      <c r="AL1021" s="7">
        <v>6.14</v>
      </c>
      <c r="AM1021" s="7">
        <v>2.02</v>
      </c>
      <c r="AN1021" s="7">
        <v>0.905972</v>
      </c>
      <c r="AO1021" s="7">
        <v>90.597206999999997</v>
      </c>
      <c r="AP1021" s="7">
        <v>100</v>
      </c>
      <c r="AQ1021" s="7">
        <v>0.89824000000000004</v>
      </c>
      <c r="AR1021" s="7">
        <v>89.823999000000001</v>
      </c>
      <c r="AS1021" s="7">
        <v>100</v>
      </c>
      <c r="AT1021" s="7">
        <v>0.88296300000000005</v>
      </c>
      <c r="AU1021" s="7">
        <v>0.921763</v>
      </c>
      <c r="AV1021" s="7">
        <v>88.296294000000003</v>
      </c>
      <c r="AW1021" s="7">
        <v>100</v>
      </c>
      <c r="AX1021" s="7">
        <v>0.90647699999999998</v>
      </c>
      <c r="AY1021" s="7">
        <v>0.89258700000000002</v>
      </c>
      <c r="AZ1021" s="7">
        <v>90.647688000000002</v>
      </c>
      <c r="BA1021" s="7">
        <v>100</v>
      </c>
      <c r="BB1021" s="7">
        <v>0.74254600000000004</v>
      </c>
      <c r="BC1021" s="7">
        <v>37.127310000000001</v>
      </c>
      <c r="BD1021" s="7">
        <v>50</v>
      </c>
      <c r="BE1021" s="7">
        <v>0.62438700000000003</v>
      </c>
      <c r="BF1021" s="7">
        <v>31.219329999999999</v>
      </c>
      <c r="BG1021" s="7">
        <v>50</v>
      </c>
      <c r="BH1021" s="7">
        <v>0</v>
      </c>
      <c r="BI1021" s="7">
        <v>1</v>
      </c>
      <c r="BJ1021" s="7">
        <v>1</v>
      </c>
      <c r="BK1021" s="7">
        <v>1</v>
      </c>
      <c r="BL1021" s="7">
        <v>1</v>
      </c>
      <c r="BM1021" s="7">
        <v>1</v>
      </c>
      <c r="BN1021" s="7">
        <v>1</v>
      </c>
      <c r="BO1021" s="7">
        <v>1</v>
      </c>
      <c r="BP1021" s="7">
        <v>1</v>
      </c>
      <c r="BQ1021" s="7">
        <v>1</v>
      </c>
      <c r="BR1021" s="7">
        <v>0.106061</v>
      </c>
      <c r="BS1021" s="7">
        <v>38.787878999999997</v>
      </c>
      <c r="BT1021" s="7">
        <v>50</v>
      </c>
      <c r="BU1021" s="7">
        <v>0.194245</v>
      </c>
      <c r="BV1021" s="7">
        <v>21.151078999999999</v>
      </c>
      <c r="BW1021" s="7">
        <v>50</v>
      </c>
      <c r="BX1021" s="4" t="s">
        <v>124</v>
      </c>
      <c r="BY1021" s="4" t="s">
        <v>124</v>
      </c>
      <c r="BZ1021" s="4" t="s">
        <v>124</v>
      </c>
      <c r="CA1021" s="4" t="s">
        <v>124</v>
      </c>
      <c r="CB1021" s="4" t="s">
        <v>124</v>
      </c>
      <c r="CC1021" s="4" t="s">
        <v>124</v>
      </c>
      <c r="CD1021" s="4" t="s">
        <v>124</v>
      </c>
      <c r="CE1021" s="4" t="s">
        <v>124</v>
      </c>
      <c r="CF1021" s="4" t="s">
        <v>124</v>
      </c>
      <c r="CG1021" s="4" t="s">
        <v>124</v>
      </c>
      <c r="CH1021" s="4" t="s">
        <v>124</v>
      </c>
      <c r="CI1021" s="4" t="s">
        <v>124</v>
      </c>
      <c r="CJ1021" s="4" t="s">
        <v>124</v>
      </c>
      <c r="CK1021" s="4" t="s">
        <v>124</v>
      </c>
      <c r="CL1021" s="4" t="s">
        <v>124</v>
      </c>
      <c r="CM1021" s="4" t="s">
        <v>124</v>
      </c>
      <c r="CN1021" s="4" t="s">
        <v>124</v>
      </c>
      <c r="CO1021" s="4" t="s">
        <v>124</v>
      </c>
      <c r="CP1021" s="4" t="s">
        <v>124</v>
      </c>
      <c r="CQ1021" s="7">
        <v>0.48648599999999997</v>
      </c>
      <c r="CR1021" s="7">
        <v>1</v>
      </c>
      <c r="CS1021" s="7">
        <v>32.432431999999999</v>
      </c>
      <c r="CT1021" s="7">
        <v>50</v>
      </c>
      <c r="CU1021" s="4" t="s">
        <v>124</v>
      </c>
      <c r="CV1021" s="4" t="s">
        <v>124</v>
      </c>
      <c r="CW1021" s="4" t="s">
        <v>124</v>
      </c>
      <c r="CX1021" s="4" t="s">
        <v>124</v>
      </c>
      <c r="CY1021" s="4" t="s">
        <v>124</v>
      </c>
      <c r="CZ1021" s="4" t="s">
        <v>124</v>
      </c>
      <c r="DA1021" s="7">
        <v>15.314097</v>
      </c>
      <c r="DB1021" s="7">
        <v>17.400950000000002</v>
      </c>
      <c r="DC1021" s="7">
        <v>16.332519999999999</v>
      </c>
      <c r="DD1021" s="4" t="s">
        <v>124</v>
      </c>
      <c r="DE1021" s="7">
        <v>0</v>
      </c>
      <c r="DF1021" s="6"/>
      <c r="DG1021" s="6"/>
      <c r="DH1021" s="4" t="s">
        <v>331</v>
      </c>
      <c r="DI1021" s="4" t="s">
        <v>1166</v>
      </c>
      <c r="DJ1021" s="7">
        <v>0</v>
      </c>
      <c r="DK1021" s="7">
        <v>1</v>
      </c>
      <c r="DL1021" s="7">
        <v>1</v>
      </c>
      <c r="DM1021" s="7">
        <v>1</v>
      </c>
      <c r="DN1021" s="7">
        <v>1</v>
      </c>
      <c r="DO1021" s="7">
        <v>0</v>
      </c>
      <c r="DP1021" s="6"/>
      <c r="DQ1021" s="4" t="s">
        <v>125</v>
      </c>
    </row>
    <row r="1022" spans="1:121" ht="20" customHeight="1" x14ac:dyDescent="0.15">
      <c r="A1022" s="5">
        <v>2018</v>
      </c>
      <c r="B1022" s="3" t="s">
        <v>211</v>
      </c>
      <c r="C1022" s="4" t="str">
        <f t="shared" si="267"/>
        <v>1550011</v>
      </c>
      <c r="D1022" s="4" t="s">
        <v>1167</v>
      </c>
      <c r="E1022" s="4" t="str">
        <f>"1551511"</f>
        <v>1551511</v>
      </c>
      <c r="F1022" s="4" t="s">
        <v>327</v>
      </c>
      <c r="G1022" s="4" t="s">
        <v>338</v>
      </c>
      <c r="H1022" s="7">
        <v>5</v>
      </c>
      <c r="I1022" s="4" t="s">
        <v>329</v>
      </c>
      <c r="J1022" s="4" t="s">
        <v>330</v>
      </c>
      <c r="K1022" s="7">
        <v>727.65759100000002</v>
      </c>
      <c r="L1022" s="7">
        <v>950</v>
      </c>
      <c r="M1022" s="7">
        <v>76.595535999999996</v>
      </c>
      <c r="N1022" s="7">
        <v>2</v>
      </c>
      <c r="O1022" s="7">
        <v>0</v>
      </c>
      <c r="P1022" s="7">
        <v>73.295936999999995</v>
      </c>
      <c r="Q1022" s="7">
        <v>48.863957999999997</v>
      </c>
      <c r="R1022" s="7">
        <v>50</v>
      </c>
      <c r="S1022" s="7">
        <v>67.098961000000003</v>
      </c>
      <c r="T1022" s="7">
        <v>75</v>
      </c>
      <c r="U1022" s="7">
        <v>44.732641000000001</v>
      </c>
      <c r="V1022" s="7">
        <v>50</v>
      </c>
      <c r="W1022" s="7">
        <v>70.691733999999997</v>
      </c>
      <c r="X1022" s="7">
        <v>47.127822999999999</v>
      </c>
      <c r="Y1022" s="7">
        <v>50</v>
      </c>
      <c r="Z1022" s="7">
        <v>75</v>
      </c>
      <c r="AA1022" s="7">
        <v>65.100431999999998</v>
      </c>
      <c r="AB1022" s="7">
        <v>43.400288000000003</v>
      </c>
      <c r="AC1022" s="7">
        <v>50</v>
      </c>
      <c r="AD1022" s="7">
        <v>68.509217000000007</v>
      </c>
      <c r="AE1022" s="7">
        <v>45.672811000000003</v>
      </c>
      <c r="AF1022" s="7">
        <v>50</v>
      </c>
      <c r="AG1022" s="7">
        <v>65.290323000000001</v>
      </c>
      <c r="AH1022" s="7">
        <v>71.043239999999997</v>
      </c>
      <c r="AI1022" s="7">
        <v>43.526882000000001</v>
      </c>
      <c r="AJ1022" s="7">
        <v>50</v>
      </c>
      <c r="AK1022" s="7">
        <v>7.9</v>
      </c>
      <c r="AL1022" s="7">
        <v>9.89</v>
      </c>
      <c r="AM1022" s="7">
        <v>5.75</v>
      </c>
      <c r="AN1022" s="7">
        <v>0.63706499999999999</v>
      </c>
      <c r="AO1022" s="7">
        <v>63.706502</v>
      </c>
      <c r="AP1022" s="7">
        <v>100</v>
      </c>
      <c r="AQ1022" s="7">
        <v>0.69481599999999999</v>
      </c>
      <c r="AR1022" s="7">
        <v>69.481645</v>
      </c>
      <c r="AS1022" s="7">
        <v>100</v>
      </c>
      <c r="AT1022" s="7">
        <v>0.617201</v>
      </c>
      <c r="AU1022" s="7">
        <v>0.65202400000000005</v>
      </c>
      <c r="AV1022" s="7">
        <v>61.720089000000002</v>
      </c>
      <c r="AW1022" s="7">
        <v>100</v>
      </c>
      <c r="AX1022" s="7">
        <v>0.71043900000000004</v>
      </c>
      <c r="AY1022" s="7">
        <v>0.68310000000000004</v>
      </c>
      <c r="AZ1022" s="7">
        <v>71.043897999999999</v>
      </c>
      <c r="BA1022" s="7">
        <v>100</v>
      </c>
      <c r="BB1022" s="7">
        <v>0.75529999999999997</v>
      </c>
      <c r="BC1022" s="7">
        <v>37.765003</v>
      </c>
      <c r="BD1022" s="7">
        <v>50</v>
      </c>
      <c r="BE1022" s="7">
        <v>0.62518700000000005</v>
      </c>
      <c r="BF1022" s="7">
        <v>31.259326000000001</v>
      </c>
      <c r="BG1022" s="7">
        <v>50</v>
      </c>
      <c r="BH1022" s="7">
        <v>0</v>
      </c>
      <c r="BI1022" s="7">
        <v>0.99528300000000003</v>
      </c>
      <c r="BJ1022" s="7">
        <v>0.98969099999999999</v>
      </c>
      <c r="BK1022" s="7">
        <v>1</v>
      </c>
      <c r="BL1022" s="7">
        <v>0.99056599999999995</v>
      </c>
      <c r="BM1022" s="7">
        <v>0.97938099999999995</v>
      </c>
      <c r="BN1022" s="7">
        <v>1</v>
      </c>
      <c r="BO1022" s="7">
        <v>1</v>
      </c>
      <c r="BP1022" s="7">
        <v>1</v>
      </c>
      <c r="BQ1022" s="7">
        <v>1</v>
      </c>
      <c r="BR1022" s="7">
        <v>4.4618999999999999E-2</v>
      </c>
      <c r="BS1022" s="7">
        <v>50</v>
      </c>
      <c r="BT1022" s="7">
        <v>50</v>
      </c>
      <c r="BU1022" s="7">
        <v>6.4326999999999995E-2</v>
      </c>
      <c r="BV1022" s="7">
        <v>47.134503000000002</v>
      </c>
      <c r="BW1022" s="7">
        <v>50</v>
      </c>
      <c r="BX1022" s="4" t="s">
        <v>124</v>
      </c>
      <c r="BY1022" s="4" t="s">
        <v>124</v>
      </c>
      <c r="BZ1022" s="4" t="s">
        <v>124</v>
      </c>
      <c r="CA1022" s="4" t="s">
        <v>124</v>
      </c>
      <c r="CB1022" s="4" t="s">
        <v>124</v>
      </c>
      <c r="CC1022" s="4" t="s">
        <v>124</v>
      </c>
      <c r="CD1022" s="4" t="s">
        <v>124</v>
      </c>
      <c r="CE1022" s="4" t="s">
        <v>124</v>
      </c>
      <c r="CF1022" s="4" t="s">
        <v>124</v>
      </c>
      <c r="CG1022" s="4" t="s">
        <v>124</v>
      </c>
      <c r="CH1022" s="4" t="s">
        <v>124</v>
      </c>
      <c r="CI1022" s="4" t="s">
        <v>124</v>
      </c>
      <c r="CJ1022" s="4" t="s">
        <v>124</v>
      </c>
      <c r="CK1022" s="4" t="s">
        <v>124</v>
      </c>
      <c r="CL1022" s="4" t="s">
        <v>124</v>
      </c>
      <c r="CM1022" s="4" t="s">
        <v>124</v>
      </c>
      <c r="CN1022" s="4" t="s">
        <v>124</v>
      </c>
      <c r="CO1022" s="4" t="s">
        <v>124</v>
      </c>
      <c r="CP1022" s="4" t="s">
        <v>124</v>
      </c>
      <c r="CQ1022" s="7">
        <v>0.33333299999999999</v>
      </c>
      <c r="CR1022" s="7">
        <v>1.0169490000000001</v>
      </c>
      <c r="CS1022" s="7">
        <v>22.222221999999999</v>
      </c>
      <c r="CT1022" s="7">
        <v>50</v>
      </c>
      <c r="CU1022" s="4" t="s">
        <v>124</v>
      </c>
      <c r="CV1022" s="4" t="s">
        <v>124</v>
      </c>
      <c r="CW1022" s="4" t="s">
        <v>124</v>
      </c>
      <c r="CX1022" s="4" t="s">
        <v>124</v>
      </c>
      <c r="CY1022" s="4" t="s">
        <v>124</v>
      </c>
      <c r="CZ1022" s="4" t="s">
        <v>124</v>
      </c>
      <c r="DA1022" s="7">
        <v>15.314097</v>
      </c>
      <c r="DB1022" s="7">
        <v>17.400950000000002</v>
      </c>
      <c r="DC1022" s="7">
        <v>16.332519999999999</v>
      </c>
      <c r="DD1022" s="4" t="s">
        <v>124</v>
      </c>
      <c r="DE1022" s="7">
        <v>0</v>
      </c>
      <c r="DF1022" s="6"/>
      <c r="DG1022" s="6"/>
      <c r="DH1022" s="6"/>
      <c r="DI1022" s="6"/>
      <c r="DJ1022" s="7">
        <v>0</v>
      </c>
      <c r="DK1022" s="7">
        <v>0</v>
      </c>
      <c r="DL1022" s="7">
        <v>0</v>
      </c>
      <c r="DM1022" s="7">
        <v>0</v>
      </c>
      <c r="DN1022" s="7">
        <v>0</v>
      </c>
      <c r="DO1022" s="7">
        <v>0</v>
      </c>
      <c r="DP1022" s="6"/>
      <c r="DQ1022" s="4" t="s">
        <v>125</v>
      </c>
    </row>
    <row r="1023" spans="1:121" ht="20" customHeight="1" x14ac:dyDescent="0.15">
      <c r="A1023" s="5">
        <v>2018</v>
      </c>
      <c r="B1023" s="3" t="s">
        <v>145</v>
      </c>
      <c r="C1023" s="4" t="str">
        <f t="shared" ref="C1023:C1031" si="268">"1560011"</f>
        <v>1560011</v>
      </c>
      <c r="D1023" s="4" t="s">
        <v>1168</v>
      </c>
      <c r="E1023" s="4" t="str">
        <f>"1560811"</f>
        <v>1560811</v>
      </c>
      <c r="F1023" s="4" t="s">
        <v>327</v>
      </c>
      <c r="G1023" s="4" t="s">
        <v>328</v>
      </c>
      <c r="H1023" s="7">
        <v>4</v>
      </c>
      <c r="I1023" s="6"/>
      <c r="J1023" s="4" t="s">
        <v>330</v>
      </c>
      <c r="K1023" s="7">
        <v>685.84724400000005</v>
      </c>
      <c r="L1023" s="7">
        <v>850</v>
      </c>
      <c r="M1023" s="7">
        <v>80.687911</v>
      </c>
      <c r="N1023" s="7">
        <v>2</v>
      </c>
      <c r="O1023" s="7">
        <v>0</v>
      </c>
      <c r="P1023" s="7">
        <v>68.217489999999998</v>
      </c>
      <c r="Q1023" s="7">
        <v>45.478327</v>
      </c>
      <c r="R1023" s="7">
        <v>50</v>
      </c>
      <c r="S1023" s="7">
        <v>62.959766000000002</v>
      </c>
      <c r="T1023" s="7">
        <v>75</v>
      </c>
      <c r="U1023" s="7">
        <v>41.973177</v>
      </c>
      <c r="V1023" s="7">
        <v>50</v>
      </c>
      <c r="W1023" s="7">
        <v>63.380011000000003</v>
      </c>
      <c r="X1023" s="7">
        <v>42.253340999999999</v>
      </c>
      <c r="Y1023" s="7">
        <v>50</v>
      </c>
      <c r="Z1023" s="7">
        <v>71.271355</v>
      </c>
      <c r="AA1023" s="7">
        <v>59.145631000000002</v>
      </c>
      <c r="AB1023" s="7">
        <v>39.430421000000003</v>
      </c>
      <c r="AC1023" s="7">
        <v>50</v>
      </c>
      <c r="AD1023" s="4" t="s">
        <v>124</v>
      </c>
      <c r="AE1023" s="4" t="s">
        <v>124</v>
      </c>
      <c r="AF1023" s="4" t="s">
        <v>124</v>
      </c>
      <c r="AG1023" s="4" t="s">
        <v>124</v>
      </c>
      <c r="AH1023" s="4" t="s">
        <v>124</v>
      </c>
      <c r="AI1023" s="4" t="s">
        <v>124</v>
      </c>
      <c r="AJ1023" s="4" t="s">
        <v>124</v>
      </c>
      <c r="AK1023" s="7">
        <v>12.04</v>
      </c>
      <c r="AL1023" s="7">
        <v>12.12</v>
      </c>
      <c r="AM1023" s="4" t="s">
        <v>124</v>
      </c>
      <c r="AN1023" s="7">
        <v>0.89566599999999996</v>
      </c>
      <c r="AO1023" s="7">
        <v>89.566608000000002</v>
      </c>
      <c r="AP1023" s="7">
        <v>100</v>
      </c>
      <c r="AQ1023" s="7">
        <v>0.84840899999999997</v>
      </c>
      <c r="AR1023" s="7">
        <v>84.840931999999995</v>
      </c>
      <c r="AS1023" s="7">
        <v>100</v>
      </c>
      <c r="AT1023" s="7">
        <v>0.93555600000000005</v>
      </c>
      <c r="AU1023" s="7">
        <v>0.85245199999999999</v>
      </c>
      <c r="AV1023" s="7">
        <v>93.555622999999997</v>
      </c>
      <c r="AW1023" s="7">
        <v>100</v>
      </c>
      <c r="AX1023" s="7">
        <v>0.865008</v>
      </c>
      <c r="AY1023" s="7">
        <v>0.83111900000000005</v>
      </c>
      <c r="AZ1023" s="7">
        <v>86.500826000000004</v>
      </c>
      <c r="BA1023" s="7">
        <v>100</v>
      </c>
      <c r="BB1023" s="7">
        <v>0.90670700000000004</v>
      </c>
      <c r="BC1023" s="7">
        <v>45.335349999999998</v>
      </c>
      <c r="BD1023" s="7">
        <v>50</v>
      </c>
      <c r="BE1023" s="7">
        <v>0.57789400000000002</v>
      </c>
      <c r="BF1023" s="7">
        <v>28.894687999999999</v>
      </c>
      <c r="BG1023" s="7">
        <v>50</v>
      </c>
      <c r="BH1023" s="7">
        <v>0</v>
      </c>
      <c r="BI1023" s="7">
        <v>0.98591499999999999</v>
      </c>
      <c r="BJ1023" s="7">
        <v>0.97938099999999995</v>
      </c>
      <c r="BK1023" s="7">
        <v>1</v>
      </c>
      <c r="BL1023" s="7">
        <v>0.97887299999999999</v>
      </c>
      <c r="BM1023" s="7">
        <v>0.96907200000000004</v>
      </c>
      <c r="BN1023" s="7">
        <v>1</v>
      </c>
      <c r="BO1023" s="4" t="s">
        <v>124</v>
      </c>
      <c r="BP1023" s="4" t="s">
        <v>124</v>
      </c>
      <c r="BQ1023" s="4" t="s">
        <v>124</v>
      </c>
      <c r="BR1023" s="7">
        <v>0.10169499999999999</v>
      </c>
      <c r="BS1023" s="7">
        <v>39.661017000000001</v>
      </c>
      <c r="BT1023" s="7">
        <v>50</v>
      </c>
      <c r="BU1023" s="7">
        <v>0.125523</v>
      </c>
      <c r="BV1023" s="7">
        <v>34.895397000000003</v>
      </c>
      <c r="BW1023" s="7">
        <v>50</v>
      </c>
      <c r="BX1023" s="4" t="s">
        <v>124</v>
      </c>
      <c r="BY1023" s="4" t="s">
        <v>124</v>
      </c>
      <c r="BZ1023" s="4" t="s">
        <v>124</v>
      </c>
      <c r="CA1023" s="4" t="s">
        <v>124</v>
      </c>
      <c r="CB1023" s="4" t="s">
        <v>124</v>
      </c>
      <c r="CC1023" s="4" t="s">
        <v>124</v>
      </c>
      <c r="CD1023" s="4" t="s">
        <v>124</v>
      </c>
      <c r="CE1023" s="4" t="s">
        <v>124</v>
      </c>
      <c r="CF1023" s="4" t="s">
        <v>124</v>
      </c>
      <c r="CG1023" s="4" t="s">
        <v>124</v>
      </c>
      <c r="CH1023" s="4" t="s">
        <v>124</v>
      </c>
      <c r="CI1023" s="4" t="s">
        <v>124</v>
      </c>
      <c r="CJ1023" s="4" t="s">
        <v>124</v>
      </c>
      <c r="CK1023" s="4" t="s">
        <v>124</v>
      </c>
      <c r="CL1023" s="4" t="s">
        <v>124</v>
      </c>
      <c r="CM1023" s="4" t="s">
        <v>124</v>
      </c>
      <c r="CN1023" s="4" t="s">
        <v>124</v>
      </c>
      <c r="CO1023" s="4" t="s">
        <v>124</v>
      </c>
      <c r="CP1023" s="4" t="s">
        <v>124</v>
      </c>
      <c r="CQ1023" s="7">
        <v>0.40384599999999998</v>
      </c>
      <c r="CR1023" s="7">
        <v>0.82539700000000005</v>
      </c>
      <c r="CS1023" s="7">
        <v>13.461537999999999</v>
      </c>
      <c r="CT1023" s="7">
        <v>50</v>
      </c>
      <c r="CU1023" s="4" t="s">
        <v>124</v>
      </c>
      <c r="CV1023" s="4" t="s">
        <v>124</v>
      </c>
      <c r="CW1023" s="4" t="s">
        <v>124</v>
      </c>
      <c r="CX1023" s="4" t="s">
        <v>124</v>
      </c>
      <c r="CY1023" s="4" t="s">
        <v>124</v>
      </c>
      <c r="CZ1023" s="4" t="s">
        <v>124</v>
      </c>
      <c r="DA1023" s="7">
        <v>15.314097</v>
      </c>
      <c r="DB1023" s="7">
        <v>17.400950000000002</v>
      </c>
      <c r="DC1023" s="7">
        <v>16.332519999999999</v>
      </c>
      <c r="DD1023" s="4" t="s">
        <v>124</v>
      </c>
      <c r="DE1023" s="7">
        <v>0</v>
      </c>
      <c r="DF1023" s="6"/>
      <c r="DG1023" s="6"/>
      <c r="DH1023" s="4" t="s">
        <v>331</v>
      </c>
      <c r="DI1023" s="4" t="s">
        <v>1166</v>
      </c>
      <c r="DJ1023" s="7">
        <v>0</v>
      </c>
      <c r="DK1023" s="7">
        <v>1</v>
      </c>
      <c r="DL1023" s="7">
        <v>1</v>
      </c>
      <c r="DM1023" s="7">
        <v>1</v>
      </c>
      <c r="DN1023" s="7">
        <v>1</v>
      </c>
      <c r="DO1023" s="7">
        <v>0</v>
      </c>
      <c r="DP1023" s="6"/>
      <c r="DQ1023" s="4" t="s">
        <v>125</v>
      </c>
    </row>
    <row r="1024" spans="1:121" ht="20" customHeight="1" x14ac:dyDescent="0.15">
      <c r="A1024" s="5">
        <v>2018</v>
      </c>
      <c r="B1024" s="3" t="s">
        <v>145</v>
      </c>
      <c r="C1024" s="4" t="str">
        <f t="shared" si="268"/>
        <v>1560011</v>
      </c>
      <c r="D1024" s="4" t="s">
        <v>1169</v>
      </c>
      <c r="E1024" s="4" t="str">
        <f>"1565311"</f>
        <v>1565311</v>
      </c>
      <c r="F1024" s="4" t="s">
        <v>327</v>
      </c>
      <c r="G1024" s="7">
        <v>5</v>
      </c>
      <c r="H1024" s="7">
        <v>6</v>
      </c>
      <c r="I1024" s="4" t="s">
        <v>329</v>
      </c>
      <c r="J1024" s="4" t="s">
        <v>330</v>
      </c>
      <c r="K1024" s="7">
        <v>669.88555299999996</v>
      </c>
      <c r="L1024" s="7">
        <v>950</v>
      </c>
      <c r="M1024" s="7">
        <v>70.514268999999999</v>
      </c>
      <c r="N1024" s="7">
        <v>2</v>
      </c>
      <c r="O1024" s="7">
        <v>0</v>
      </c>
      <c r="P1024" s="7">
        <v>68.006153999999995</v>
      </c>
      <c r="Q1024" s="7">
        <v>45.337435999999997</v>
      </c>
      <c r="R1024" s="7">
        <v>50</v>
      </c>
      <c r="S1024" s="7">
        <v>64.582138</v>
      </c>
      <c r="T1024" s="7">
        <v>75</v>
      </c>
      <c r="U1024" s="7">
        <v>43.054758</v>
      </c>
      <c r="V1024" s="7">
        <v>50</v>
      </c>
      <c r="W1024" s="7">
        <v>63.086477000000002</v>
      </c>
      <c r="X1024" s="7">
        <v>42.057651</v>
      </c>
      <c r="Y1024" s="7">
        <v>50</v>
      </c>
      <c r="Z1024" s="7">
        <v>72.271736000000004</v>
      </c>
      <c r="AA1024" s="7">
        <v>59.055425</v>
      </c>
      <c r="AB1024" s="7">
        <v>39.370283000000001</v>
      </c>
      <c r="AC1024" s="7">
        <v>50</v>
      </c>
      <c r="AD1024" s="7">
        <v>64.655518999999998</v>
      </c>
      <c r="AE1024" s="7">
        <v>43.103679</v>
      </c>
      <c r="AF1024" s="7">
        <v>50</v>
      </c>
      <c r="AG1024" s="7">
        <v>60.980137999999997</v>
      </c>
      <c r="AH1024" s="7">
        <v>72.835313999999997</v>
      </c>
      <c r="AI1024" s="7">
        <v>40.653426000000003</v>
      </c>
      <c r="AJ1024" s="7">
        <v>50</v>
      </c>
      <c r="AK1024" s="7">
        <v>10.41</v>
      </c>
      <c r="AL1024" s="7">
        <v>13.21</v>
      </c>
      <c r="AM1024" s="7">
        <v>11.85</v>
      </c>
      <c r="AN1024" s="7">
        <v>0.66085899999999997</v>
      </c>
      <c r="AO1024" s="7">
        <v>66.085891000000004</v>
      </c>
      <c r="AP1024" s="7">
        <v>100</v>
      </c>
      <c r="AQ1024" s="7">
        <v>0.65080899999999997</v>
      </c>
      <c r="AR1024" s="7">
        <v>65.080883</v>
      </c>
      <c r="AS1024" s="7">
        <v>100</v>
      </c>
      <c r="AT1024" s="7">
        <v>0.65085199999999999</v>
      </c>
      <c r="AU1024" s="7">
        <v>0.67864899999999995</v>
      </c>
      <c r="AV1024" s="7">
        <v>65.085222000000002</v>
      </c>
      <c r="AW1024" s="7">
        <v>100</v>
      </c>
      <c r="AX1024" s="7">
        <v>0.63197999999999999</v>
      </c>
      <c r="AY1024" s="7">
        <v>0.68428199999999995</v>
      </c>
      <c r="AZ1024" s="7">
        <v>63.19802</v>
      </c>
      <c r="BA1024" s="7">
        <v>100</v>
      </c>
      <c r="BB1024" s="7">
        <v>0.64390099999999995</v>
      </c>
      <c r="BC1024" s="7">
        <v>32.195061000000003</v>
      </c>
      <c r="BD1024" s="7">
        <v>50</v>
      </c>
      <c r="BE1024" s="7">
        <v>0.53245900000000002</v>
      </c>
      <c r="BF1024" s="7">
        <v>26.622968</v>
      </c>
      <c r="BG1024" s="7">
        <v>50</v>
      </c>
      <c r="BH1024" s="7">
        <v>0</v>
      </c>
      <c r="BI1024" s="7">
        <v>0.99560400000000004</v>
      </c>
      <c r="BJ1024" s="7">
        <v>0.99687999999999999</v>
      </c>
      <c r="BK1024" s="7">
        <v>0.99256500000000003</v>
      </c>
      <c r="BL1024" s="7">
        <v>0.99560899999999997</v>
      </c>
      <c r="BM1024" s="7">
        <v>0.99687999999999999</v>
      </c>
      <c r="BN1024" s="7">
        <v>0.99259299999999995</v>
      </c>
      <c r="BO1024" s="7">
        <v>0.997807</v>
      </c>
      <c r="BP1024" s="7">
        <v>0.99687499999999996</v>
      </c>
      <c r="BQ1024" s="7">
        <v>1</v>
      </c>
      <c r="BR1024" s="7">
        <v>0.10989</v>
      </c>
      <c r="BS1024" s="7">
        <v>38.021977999999997</v>
      </c>
      <c r="BT1024" s="7">
        <v>50</v>
      </c>
      <c r="BU1024" s="7">
        <v>0.13689499999999999</v>
      </c>
      <c r="BV1024" s="7">
        <v>32.621034999999999</v>
      </c>
      <c r="BW1024" s="7">
        <v>50</v>
      </c>
      <c r="BX1024" s="4" t="s">
        <v>124</v>
      </c>
      <c r="BY1024" s="4" t="s">
        <v>124</v>
      </c>
      <c r="BZ1024" s="4" t="s">
        <v>124</v>
      </c>
      <c r="CA1024" s="4" t="s">
        <v>124</v>
      </c>
      <c r="CB1024" s="4" t="s">
        <v>124</v>
      </c>
      <c r="CC1024" s="4" t="s">
        <v>124</v>
      </c>
      <c r="CD1024" s="4" t="s">
        <v>124</v>
      </c>
      <c r="CE1024" s="4" t="s">
        <v>124</v>
      </c>
      <c r="CF1024" s="4" t="s">
        <v>124</v>
      </c>
      <c r="CG1024" s="4" t="s">
        <v>124</v>
      </c>
      <c r="CH1024" s="4" t="s">
        <v>124</v>
      </c>
      <c r="CI1024" s="4" t="s">
        <v>124</v>
      </c>
      <c r="CJ1024" s="4" t="s">
        <v>124</v>
      </c>
      <c r="CK1024" s="4" t="s">
        <v>124</v>
      </c>
      <c r="CL1024" s="4" t="s">
        <v>124</v>
      </c>
      <c r="CM1024" s="4" t="s">
        <v>124</v>
      </c>
      <c r="CN1024" s="4" t="s">
        <v>124</v>
      </c>
      <c r="CO1024" s="4" t="s">
        <v>124</v>
      </c>
      <c r="CP1024" s="4" t="s">
        <v>124</v>
      </c>
      <c r="CQ1024" s="7">
        <v>0.41095900000000002</v>
      </c>
      <c r="CR1024" s="7">
        <v>0.964758</v>
      </c>
      <c r="CS1024" s="7">
        <v>27.397259999999999</v>
      </c>
      <c r="CT1024" s="7">
        <v>50</v>
      </c>
      <c r="CU1024" s="4" t="s">
        <v>124</v>
      </c>
      <c r="CV1024" s="4" t="s">
        <v>124</v>
      </c>
      <c r="CW1024" s="4" t="s">
        <v>124</v>
      </c>
      <c r="CX1024" s="4" t="s">
        <v>124</v>
      </c>
      <c r="CY1024" s="4" t="s">
        <v>124</v>
      </c>
      <c r="CZ1024" s="4" t="s">
        <v>124</v>
      </c>
      <c r="DA1024" s="7">
        <v>15.314097</v>
      </c>
      <c r="DB1024" s="7">
        <v>17.400950000000002</v>
      </c>
      <c r="DC1024" s="7">
        <v>16.332519999999999</v>
      </c>
      <c r="DD1024" s="4" t="s">
        <v>124</v>
      </c>
      <c r="DE1024" s="7">
        <v>0</v>
      </c>
      <c r="DF1024" s="6"/>
      <c r="DG1024" s="6"/>
      <c r="DH1024" s="6"/>
      <c r="DI1024" s="6"/>
      <c r="DJ1024" s="7">
        <v>0</v>
      </c>
      <c r="DK1024" s="7">
        <v>0</v>
      </c>
      <c r="DL1024" s="7">
        <v>0</v>
      </c>
      <c r="DM1024" s="7">
        <v>0</v>
      </c>
      <c r="DN1024" s="7">
        <v>0</v>
      </c>
      <c r="DO1024" s="7">
        <v>0</v>
      </c>
      <c r="DP1024" s="6"/>
      <c r="DQ1024" s="4" t="s">
        <v>125</v>
      </c>
    </row>
    <row r="1025" spans="1:121" ht="20" customHeight="1" x14ac:dyDescent="0.15">
      <c r="A1025" s="5">
        <v>2018</v>
      </c>
      <c r="B1025" s="3" t="s">
        <v>145</v>
      </c>
      <c r="C1025" s="4" t="str">
        <f t="shared" si="268"/>
        <v>1560011</v>
      </c>
      <c r="D1025" s="4" t="s">
        <v>1170</v>
      </c>
      <c r="E1025" s="4" t="str">
        <f>"1560611"</f>
        <v>1560611</v>
      </c>
      <c r="F1025" s="4" t="s">
        <v>327</v>
      </c>
      <c r="G1025" s="4" t="s">
        <v>328</v>
      </c>
      <c r="H1025" s="7">
        <v>4</v>
      </c>
      <c r="I1025" s="6"/>
      <c r="J1025" s="4" t="s">
        <v>330</v>
      </c>
      <c r="K1025" s="7">
        <v>632.25193000000002</v>
      </c>
      <c r="L1025" s="7">
        <v>850</v>
      </c>
      <c r="M1025" s="7">
        <v>74.382580000000004</v>
      </c>
      <c r="N1025" s="7">
        <v>3</v>
      </c>
      <c r="O1025" s="7">
        <v>0</v>
      </c>
      <c r="P1025" s="7">
        <v>84.627465000000001</v>
      </c>
      <c r="Q1025" s="7">
        <v>50</v>
      </c>
      <c r="R1025" s="7">
        <v>50</v>
      </c>
      <c r="S1025" s="7">
        <v>81.984453999999999</v>
      </c>
      <c r="T1025" s="7">
        <v>75</v>
      </c>
      <c r="U1025" s="7">
        <v>50</v>
      </c>
      <c r="V1025" s="7">
        <v>50</v>
      </c>
      <c r="W1025" s="7">
        <v>80.663084999999995</v>
      </c>
      <c r="X1025" s="7">
        <v>50</v>
      </c>
      <c r="Y1025" s="7">
        <v>50</v>
      </c>
      <c r="Z1025" s="7">
        <v>75</v>
      </c>
      <c r="AA1025" s="7">
        <v>77.718508</v>
      </c>
      <c r="AB1025" s="7">
        <v>50</v>
      </c>
      <c r="AC1025" s="7">
        <v>50</v>
      </c>
      <c r="AD1025" s="4" t="s">
        <v>124</v>
      </c>
      <c r="AE1025" s="4" t="s">
        <v>124</v>
      </c>
      <c r="AF1025" s="4" t="s">
        <v>124</v>
      </c>
      <c r="AG1025" s="4" t="s">
        <v>124</v>
      </c>
      <c r="AH1025" s="4" t="s">
        <v>124</v>
      </c>
      <c r="AI1025" s="4" t="s">
        <v>124</v>
      </c>
      <c r="AJ1025" s="4" t="s">
        <v>124</v>
      </c>
      <c r="AK1025" s="7">
        <v>-6.98</v>
      </c>
      <c r="AL1025" s="7">
        <v>-2.71</v>
      </c>
      <c r="AM1025" s="4" t="s">
        <v>124</v>
      </c>
      <c r="AN1025" s="7">
        <v>0.52642500000000003</v>
      </c>
      <c r="AO1025" s="7">
        <v>52.642524999999999</v>
      </c>
      <c r="AP1025" s="7">
        <v>100</v>
      </c>
      <c r="AQ1025" s="7">
        <v>0.74010100000000001</v>
      </c>
      <c r="AR1025" s="7">
        <v>74.010064</v>
      </c>
      <c r="AS1025" s="7">
        <v>100</v>
      </c>
      <c r="AT1025" s="7">
        <v>0.50553199999999998</v>
      </c>
      <c r="AU1025" s="7">
        <v>0.55527800000000005</v>
      </c>
      <c r="AV1025" s="7">
        <v>50.553161000000003</v>
      </c>
      <c r="AW1025" s="7">
        <v>100</v>
      </c>
      <c r="AX1025" s="7">
        <v>0.69390499999999999</v>
      </c>
      <c r="AY1025" s="7">
        <v>0.803894</v>
      </c>
      <c r="AZ1025" s="7">
        <v>69.390510000000006</v>
      </c>
      <c r="BA1025" s="7">
        <v>100</v>
      </c>
      <c r="BB1025" s="7">
        <v>0.77394200000000002</v>
      </c>
      <c r="BC1025" s="7">
        <v>38.697105000000001</v>
      </c>
      <c r="BD1025" s="7">
        <v>50</v>
      </c>
      <c r="BE1025" s="7">
        <v>0.60470199999999996</v>
      </c>
      <c r="BF1025" s="7">
        <v>30.235081000000001</v>
      </c>
      <c r="BG1025" s="7">
        <v>50</v>
      </c>
      <c r="BH1025" s="7">
        <v>1</v>
      </c>
      <c r="BI1025" s="7">
        <v>0.94308899999999996</v>
      </c>
      <c r="BJ1025" s="7">
        <v>0.93243200000000004</v>
      </c>
      <c r="BK1025" s="7">
        <v>0.95918400000000004</v>
      </c>
      <c r="BL1025" s="7">
        <v>0.94308899999999996</v>
      </c>
      <c r="BM1025" s="7">
        <v>0.93243200000000004</v>
      </c>
      <c r="BN1025" s="7">
        <v>0.95918400000000004</v>
      </c>
      <c r="BO1025" s="4" t="s">
        <v>124</v>
      </c>
      <c r="BP1025" s="4" t="s">
        <v>124</v>
      </c>
      <c r="BQ1025" s="4" t="s">
        <v>124</v>
      </c>
      <c r="BR1025" s="7">
        <v>4.5161E-2</v>
      </c>
      <c r="BS1025" s="7">
        <v>50</v>
      </c>
      <c r="BT1025" s="7">
        <v>50</v>
      </c>
      <c r="BU1025" s="7">
        <v>5.7292000000000003E-2</v>
      </c>
      <c r="BV1025" s="7">
        <v>48.541666999999997</v>
      </c>
      <c r="BW1025" s="7">
        <v>50</v>
      </c>
      <c r="BX1025" s="4" t="s">
        <v>124</v>
      </c>
      <c r="BY1025" s="4" t="s">
        <v>124</v>
      </c>
      <c r="BZ1025" s="4" t="s">
        <v>124</v>
      </c>
      <c r="CA1025" s="4" t="s">
        <v>124</v>
      </c>
      <c r="CB1025" s="4" t="s">
        <v>124</v>
      </c>
      <c r="CC1025" s="4" t="s">
        <v>124</v>
      </c>
      <c r="CD1025" s="4" t="s">
        <v>124</v>
      </c>
      <c r="CE1025" s="4" t="s">
        <v>124</v>
      </c>
      <c r="CF1025" s="4" t="s">
        <v>124</v>
      </c>
      <c r="CG1025" s="4" t="s">
        <v>124</v>
      </c>
      <c r="CH1025" s="4" t="s">
        <v>124</v>
      </c>
      <c r="CI1025" s="4" t="s">
        <v>124</v>
      </c>
      <c r="CJ1025" s="4" t="s">
        <v>124</v>
      </c>
      <c r="CK1025" s="4" t="s">
        <v>124</v>
      </c>
      <c r="CL1025" s="4" t="s">
        <v>124</v>
      </c>
      <c r="CM1025" s="4" t="s">
        <v>124</v>
      </c>
      <c r="CN1025" s="4" t="s">
        <v>124</v>
      </c>
      <c r="CO1025" s="4" t="s">
        <v>124</v>
      </c>
      <c r="CP1025" s="4" t="s">
        <v>124</v>
      </c>
      <c r="CQ1025" s="7">
        <v>0.272727</v>
      </c>
      <c r="CR1025" s="7">
        <v>0.98214299999999999</v>
      </c>
      <c r="CS1025" s="7">
        <v>18.181818</v>
      </c>
      <c r="CT1025" s="7">
        <v>50</v>
      </c>
      <c r="CU1025" s="4" t="s">
        <v>124</v>
      </c>
      <c r="CV1025" s="4" t="s">
        <v>124</v>
      </c>
      <c r="CW1025" s="4" t="s">
        <v>124</v>
      </c>
      <c r="CX1025" s="4" t="s">
        <v>124</v>
      </c>
      <c r="CY1025" s="4" t="s">
        <v>124</v>
      </c>
      <c r="CZ1025" s="4" t="s">
        <v>124</v>
      </c>
      <c r="DA1025" s="7">
        <v>15.314097</v>
      </c>
      <c r="DB1025" s="7">
        <v>17.400950000000002</v>
      </c>
      <c r="DC1025" s="7">
        <v>16.332519999999999</v>
      </c>
      <c r="DD1025" s="4" t="s">
        <v>124</v>
      </c>
      <c r="DE1025" s="7">
        <v>1</v>
      </c>
      <c r="DF1025" s="6"/>
      <c r="DG1025" s="6"/>
      <c r="DH1025" s="6"/>
      <c r="DI1025" s="6"/>
      <c r="DJ1025" s="7">
        <v>0</v>
      </c>
      <c r="DK1025" s="7">
        <v>0</v>
      </c>
      <c r="DL1025" s="7">
        <v>0</v>
      </c>
      <c r="DM1025" s="7">
        <v>0</v>
      </c>
      <c r="DN1025" s="7">
        <v>0</v>
      </c>
      <c r="DO1025" s="7">
        <v>0</v>
      </c>
      <c r="DP1025" s="6"/>
      <c r="DQ1025" s="4" t="s">
        <v>125</v>
      </c>
    </row>
    <row r="1026" spans="1:121" ht="20" customHeight="1" x14ac:dyDescent="0.15">
      <c r="A1026" s="5">
        <v>2018</v>
      </c>
      <c r="B1026" s="3" t="s">
        <v>145</v>
      </c>
      <c r="C1026" s="4" t="str">
        <f t="shared" si="268"/>
        <v>1560011</v>
      </c>
      <c r="D1026" s="4" t="s">
        <v>1171</v>
      </c>
      <c r="E1026" s="4" t="str">
        <f>"1560311"</f>
        <v>1560311</v>
      </c>
      <c r="F1026" s="4" t="s">
        <v>327</v>
      </c>
      <c r="G1026" s="4" t="s">
        <v>328</v>
      </c>
      <c r="H1026" s="7">
        <v>4</v>
      </c>
      <c r="I1026" s="4" t="s">
        <v>329</v>
      </c>
      <c r="J1026" s="4" t="s">
        <v>330</v>
      </c>
      <c r="K1026" s="7">
        <v>662.20024599999999</v>
      </c>
      <c r="L1026" s="7">
        <v>850</v>
      </c>
      <c r="M1026" s="7">
        <v>77.905911000000003</v>
      </c>
      <c r="N1026" s="7">
        <v>2</v>
      </c>
      <c r="O1026" s="7">
        <v>0</v>
      </c>
      <c r="P1026" s="7">
        <v>64.090475999999995</v>
      </c>
      <c r="Q1026" s="7">
        <v>42.726984000000002</v>
      </c>
      <c r="R1026" s="7">
        <v>50</v>
      </c>
      <c r="S1026" s="7">
        <v>62.546950000000002</v>
      </c>
      <c r="T1026" s="7">
        <v>69.466204000000005</v>
      </c>
      <c r="U1026" s="7">
        <v>41.697966999999998</v>
      </c>
      <c r="V1026" s="7">
        <v>50</v>
      </c>
      <c r="W1026" s="7">
        <v>65.707609000000005</v>
      </c>
      <c r="X1026" s="7">
        <v>43.805072000000003</v>
      </c>
      <c r="Y1026" s="7">
        <v>50</v>
      </c>
      <c r="Z1026" s="7">
        <v>69.991983000000005</v>
      </c>
      <c r="AA1026" s="7">
        <v>64.477441999999996</v>
      </c>
      <c r="AB1026" s="7">
        <v>42.984960999999998</v>
      </c>
      <c r="AC1026" s="7">
        <v>50</v>
      </c>
      <c r="AD1026" s="4" t="s">
        <v>124</v>
      </c>
      <c r="AE1026" s="4" t="s">
        <v>124</v>
      </c>
      <c r="AF1026" s="4" t="s">
        <v>124</v>
      </c>
      <c r="AG1026" s="4" t="s">
        <v>124</v>
      </c>
      <c r="AH1026" s="4" t="s">
        <v>124</v>
      </c>
      <c r="AI1026" s="4" t="s">
        <v>124</v>
      </c>
      <c r="AJ1026" s="4" t="s">
        <v>124</v>
      </c>
      <c r="AK1026" s="7">
        <v>6.91</v>
      </c>
      <c r="AL1026" s="7">
        <v>5.51</v>
      </c>
      <c r="AM1026" s="4" t="s">
        <v>124</v>
      </c>
      <c r="AN1026" s="7">
        <v>0.65802499999999997</v>
      </c>
      <c r="AO1026" s="7">
        <v>65.802457000000004</v>
      </c>
      <c r="AP1026" s="7">
        <v>100</v>
      </c>
      <c r="AQ1026" s="7">
        <v>0.86362700000000003</v>
      </c>
      <c r="AR1026" s="7">
        <v>86.362711000000004</v>
      </c>
      <c r="AS1026" s="7">
        <v>100</v>
      </c>
      <c r="AT1026" s="7">
        <v>0.65992600000000001</v>
      </c>
      <c r="AU1026" s="4" t="s">
        <v>124</v>
      </c>
      <c r="AV1026" s="7">
        <v>65.992579000000006</v>
      </c>
      <c r="AW1026" s="7">
        <v>100</v>
      </c>
      <c r="AX1026" s="7">
        <v>0.87017599999999995</v>
      </c>
      <c r="AY1026" s="4" t="s">
        <v>124</v>
      </c>
      <c r="AZ1026" s="7">
        <v>87.017591999999993</v>
      </c>
      <c r="BA1026" s="7">
        <v>100</v>
      </c>
      <c r="BB1026" s="7">
        <v>0.86492999999999998</v>
      </c>
      <c r="BC1026" s="7">
        <v>43.246485999999997</v>
      </c>
      <c r="BD1026" s="7">
        <v>50</v>
      </c>
      <c r="BE1026" s="7">
        <v>0.62301600000000001</v>
      </c>
      <c r="BF1026" s="7">
        <v>31.150798000000002</v>
      </c>
      <c r="BG1026" s="7">
        <v>50</v>
      </c>
      <c r="BH1026" s="7">
        <v>0</v>
      </c>
      <c r="BI1026" s="7">
        <v>0.99324299999999999</v>
      </c>
      <c r="BJ1026" s="7">
        <v>0.99159699999999995</v>
      </c>
      <c r="BK1026" s="7">
        <v>1</v>
      </c>
      <c r="BL1026" s="7">
        <v>1</v>
      </c>
      <c r="BM1026" s="7">
        <v>1</v>
      </c>
      <c r="BN1026" s="7">
        <v>1</v>
      </c>
      <c r="BO1026" s="4" t="s">
        <v>124</v>
      </c>
      <c r="BP1026" s="4" t="s">
        <v>124</v>
      </c>
      <c r="BQ1026" s="4" t="s">
        <v>124</v>
      </c>
      <c r="BR1026" s="7">
        <v>7.8947000000000003E-2</v>
      </c>
      <c r="BS1026" s="7">
        <v>44.210526000000002</v>
      </c>
      <c r="BT1026" s="7">
        <v>50</v>
      </c>
      <c r="BU1026" s="7">
        <v>8.6538000000000004E-2</v>
      </c>
      <c r="BV1026" s="7">
        <v>42.692307999999997</v>
      </c>
      <c r="BW1026" s="7">
        <v>50</v>
      </c>
      <c r="BX1026" s="4" t="s">
        <v>124</v>
      </c>
      <c r="BY1026" s="4" t="s">
        <v>124</v>
      </c>
      <c r="BZ1026" s="4" t="s">
        <v>124</v>
      </c>
      <c r="CA1026" s="4" t="s">
        <v>124</v>
      </c>
      <c r="CB1026" s="4" t="s">
        <v>124</v>
      </c>
      <c r="CC1026" s="4" t="s">
        <v>124</v>
      </c>
      <c r="CD1026" s="4" t="s">
        <v>124</v>
      </c>
      <c r="CE1026" s="4" t="s">
        <v>124</v>
      </c>
      <c r="CF1026" s="4" t="s">
        <v>124</v>
      </c>
      <c r="CG1026" s="4" t="s">
        <v>124</v>
      </c>
      <c r="CH1026" s="4" t="s">
        <v>124</v>
      </c>
      <c r="CI1026" s="4" t="s">
        <v>124</v>
      </c>
      <c r="CJ1026" s="4" t="s">
        <v>124</v>
      </c>
      <c r="CK1026" s="4" t="s">
        <v>124</v>
      </c>
      <c r="CL1026" s="4" t="s">
        <v>124</v>
      </c>
      <c r="CM1026" s="4" t="s">
        <v>124</v>
      </c>
      <c r="CN1026" s="4" t="s">
        <v>124</v>
      </c>
      <c r="CO1026" s="4" t="s">
        <v>124</v>
      </c>
      <c r="CP1026" s="4" t="s">
        <v>124</v>
      </c>
      <c r="CQ1026" s="7">
        <v>0.367647</v>
      </c>
      <c r="CR1026" s="7">
        <v>0.97142899999999999</v>
      </c>
      <c r="CS1026" s="7">
        <v>24.509803999999999</v>
      </c>
      <c r="CT1026" s="7">
        <v>50</v>
      </c>
      <c r="CU1026" s="4" t="s">
        <v>124</v>
      </c>
      <c r="CV1026" s="4" t="s">
        <v>124</v>
      </c>
      <c r="CW1026" s="4" t="s">
        <v>124</v>
      </c>
      <c r="CX1026" s="4" t="s">
        <v>124</v>
      </c>
      <c r="CY1026" s="4" t="s">
        <v>124</v>
      </c>
      <c r="CZ1026" s="4" t="s">
        <v>124</v>
      </c>
      <c r="DA1026" s="7">
        <v>15.314097</v>
      </c>
      <c r="DB1026" s="7">
        <v>17.400950000000002</v>
      </c>
      <c r="DC1026" s="7">
        <v>16.332519999999999</v>
      </c>
      <c r="DD1026" s="4" t="s">
        <v>124</v>
      </c>
      <c r="DE1026" s="7">
        <v>0</v>
      </c>
      <c r="DF1026" s="6"/>
      <c r="DG1026" s="6"/>
      <c r="DH1026" s="4" t="s">
        <v>331</v>
      </c>
      <c r="DI1026" s="4" t="s">
        <v>452</v>
      </c>
      <c r="DJ1026" s="7">
        <v>0</v>
      </c>
      <c r="DK1026" s="7">
        <v>0</v>
      </c>
      <c r="DL1026" s="7">
        <v>1</v>
      </c>
      <c r="DM1026" s="7">
        <v>0</v>
      </c>
      <c r="DN1026" s="7">
        <v>1</v>
      </c>
      <c r="DO1026" s="7">
        <v>0</v>
      </c>
      <c r="DP1026" s="6"/>
      <c r="DQ1026" s="4" t="s">
        <v>125</v>
      </c>
    </row>
    <row r="1027" spans="1:121" ht="20" customHeight="1" x14ac:dyDescent="0.15">
      <c r="A1027" s="5">
        <v>2018</v>
      </c>
      <c r="B1027" s="3" t="s">
        <v>145</v>
      </c>
      <c r="C1027" s="4" t="str">
        <f t="shared" si="268"/>
        <v>1560011</v>
      </c>
      <c r="D1027" s="4" t="s">
        <v>1172</v>
      </c>
      <c r="E1027" s="4" t="str">
        <f>"1565111"</f>
        <v>1565111</v>
      </c>
      <c r="F1027" s="4" t="s">
        <v>327</v>
      </c>
      <c r="G1027" s="7">
        <v>7</v>
      </c>
      <c r="H1027" s="7">
        <v>8</v>
      </c>
      <c r="I1027" s="6"/>
      <c r="J1027" s="4" t="s">
        <v>330</v>
      </c>
      <c r="K1027" s="7">
        <v>638.23616800000002</v>
      </c>
      <c r="L1027" s="7">
        <v>1000</v>
      </c>
      <c r="M1027" s="7">
        <v>63.823616999999999</v>
      </c>
      <c r="N1027" s="7">
        <v>3</v>
      </c>
      <c r="O1027" s="7">
        <v>0</v>
      </c>
      <c r="P1027" s="7">
        <v>63.221378999999999</v>
      </c>
      <c r="Q1027" s="7">
        <v>42.147585999999997</v>
      </c>
      <c r="R1027" s="7">
        <v>50</v>
      </c>
      <c r="S1027" s="7">
        <v>58.939321</v>
      </c>
      <c r="T1027" s="7">
        <v>71.799722000000003</v>
      </c>
      <c r="U1027" s="7">
        <v>39.292881000000001</v>
      </c>
      <c r="V1027" s="7">
        <v>50</v>
      </c>
      <c r="W1027" s="7">
        <v>59.831451000000001</v>
      </c>
      <c r="X1027" s="7">
        <v>39.887633999999998</v>
      </c>
      <c r="Y1027" s="7">
        <v>50</v>
      </c>
      <c r="Z1027" s="7">
        <v>67.568185</v>
      </c>
      <c r="AA1027" s="7">
        <v>55.891083999999999</v>
      </c>
      <c r="AB1027" s="7">
        <v>37.260722999999999</v>
      </c>
      <c r="AC1027" s="7">
        <v>50</v>
      </c>
      <c r="AD1027" s="7">
        <v>59.105020000000003</v>
      </c>
      <c r="AE1027" s="7">
        <v>39.403345999999999</v>
      </c>
      <c r="AF1027" s="7">
        <v>50</v>
      </c>
      <c r="AG1027" s="7">
        <v>55.229303999999999</v>
      </c>
      <c r="AH1027" s="7">
        <v>66.493103000000005</v>
      </c>
      <c r="AI1027" s="7">
        <v>36.819535999999999</v>
      </c>
      <c r="AJ1027" s="7">
        <v>50</v>
      </c>
      <c r="AK1027" s="7">
        <v>12.86</v>
      </c>
      <c r="AL1027" s="7">
        <v>11.67</v>
      </c>
      <c r="AM1027" s="7">
        <v>11.26</v>
      </c>
      <c r="AN1027" s="7">
        <v>0.503803</v>
      </c>
      <c r="AO1027" s="7">
        <v>50.380293999999999</v>
      </c>
      <c r="AP1027" s="7">
        <v>100</v>
      </c>
      <c r="AQ1027" s="7">
        <v>0.52864299999999997</v>
      </c>
      <c r="AR1027" s="7">
        <v>52.864254000000003</v>
      </c>
      <c r="AS1027" s="7">
        <v>100</v>
      </c>
      <c r="AT1027" s="7">
        <v>0.48164299999999999</v>
      </c>
      <c r="AU1027" s="7">
        <v>0.543848</v>
      </c>
      <c r="AV1027" s="7">
        <v>48.164292000000003</v>
      </c>
      <c r="AW1027" s="7">
        <v>100</v>
      </c>
      <c r="AX1027" s="7">
        <v>0.52706500000000001</v>
      </c>
      <c r="AY1027" s="7">
        <v>0.53145100000000001</v>
      </c>
      <c r="AZ1027" s="7">
        <v>52.706538999999999</v>
      </c>
      <c r="BA1027" s="7">
        <v>100</v>
      </c>
      <c r="BB1027" s="7">
        <v>0.980603</v>
      </c>
      <c r="BC1027" s="7">
        <v>49.030141</v>
      </c>
      <c r="BD1027" s="7">
        <v>50</v>
      </c>
      <c r="BE1027" s="7">
        <v>0.55331300000000005</v>
      </c>
      <c r="BF1027" s="7">
        <v>27.665651</v>
      </c>
      <c r="BG1027" s="7">
        <v>50</v>
      </c>
      <c r="BH1027" s="7">
        <v>0</v>
      </c>
      <c r="BI1027" s="7">
        <v>0.98451999999999995</v>
      </c>
      <c r="BJ1027" s="7">
        <v>0.981846</v>
      </c>
      <c r="BK1027" s="7">
        <v>0.99026000000000003</v>
      </c>
      <c r="BL1027" s="7">
        <v>0.97316800000000003</v>
      </c>
      <c r="BM1027" s="7">
        <v>0.96369099999999996</v>
      </c>
      <c r="BN1027" s="7">
        <v>0.993506</v>
      </c>
      <c r="BO1027" s="7">
        <v>0.982213</v>
      </c>
      <c r="BP1027" s="7">
        <v>0.97660800000000003</v>
      </c>
      <c r="BQ1027" s="7">
        <v>0.99390199999999995</v>
      </c>
      <c r="BR1027" s="7">
        <v>0.16546</v>
      </c>
      <c r="BS1027" s="7">
        <v>26.907962999999999</v>
      </c>
      <c r="BT1027" s="7">
        <v>50</v>
      </c>
      <c r="BU1027" s="7">
        <v>0.21102399999999999</v>
      </c>
      <c r="BV1027" s="7">
        <v>17.795276000000001</v>
      </c>
      <c r="BW1027" s="7">
        <v>50</v>
      </c>
      <c r="BX1027" s="4" t="s">
        <v>124</v>
      </c>
      <c r="BY1027" s="4" t="s">
        <v>124</v>
      </c>
      <c r="BZ1027" s="4" t="s">
        <v>124</v>
      </c>
      <c r="CA1027" s="4" t="s">
        <v>124</v>
      </c>
      <c r="CB1027" s="4" t="s">
        <v>124</v>
      </c>
      <c r="CC1027" s="4" t="s">
        <v>124</v>
      </c>
      <c r="CD1027" s="7">
        <v>0.95652199999999998</v>
      </c>
      <c r="CE1027" s="7">
        <v>50</v>
      </c>
      <c r="CF1027" s="7">
        <v>50</v>
      </c>
      <c r="CG1027" s="4" t="s">
        <v>124</v>
      </c>
      <c r="CH1027" s="4" t="s">
        <v>124</v>
      </c>
      <c r="CI1027" s="4" t="s">
        <v>124</v>
      </c>
      <c r="CJ1027" s="4" t="s">
        <v>124</v>
      </c>
      <c r="CK1027" s="4" t="s">
        <v>124</v>
      </c>
      <c r="CL1027" s="4" t="s">
        <v>124</v>
      </c>
      <c r="CM1027" s="4" t="s">
        <v>124</v>
      </c>
      <c r="CN1027" s="4" t="s">
        <v>124</v>
      </c>
      <c r="CO1027" s="4" t="s">
        <v>124</v>
      </c>
      <c r="CP1027" s="4" t="s">
        <v>124</v>
      </c>
      <c r="CQ1027" s="7">
        <v>0.418651</v>
      </c>
      <c r="CR1027" s="7">
        <v>0.99604700000000002</v>
      </c>
      <c r="CS1027" s="7">
        <v>27.910053000000001</v>
      </c>
      <c r="CT1027" s="7">
        <v>50</v>
      </c>
      <c r="CU1027" s="4" t="s">
        <v>124</v>
      </c>
      <c r="CV1027" s="4" t="s">
        <v>124</v>
      </c>
      <c r="CW1027" s="4" t="s">
        <v>124</v>
      </c>
      <c r="CX1027" s="4" t="s">
        <v>124</v>
      </c>
      <c r="CY1027" s="4" t="s">
        <v>124</v>
      </c>
      <c r="CZ1027" s="4" t="s">
        <v>124</v>
      </c>
      <c r="DA1027" s="7">
        <v>15.314097</v>
      </c>
      <c r="DB1027" s="7">
        <v>17.400950000000002</v>
      </c>
      <c r="DC1027" s="7">
        <v>16.332519999999999</v>
      </c>
      <c r="DD1027" s="4" t="s">
        <v>124</v>
      </c>
      <c r="DE1027" s="7">
        <v>0</v>
      </c>
      <c r="DF1027" s="6"/>
      <c r="DG1027" s="6"/>
      <c r="DH1027" s="6"/>
      <c r="DI1027" s="6"/>
      <c r="DJ1027" s="7">
        <v>0</v>
      </c>
      <c r="DK1027" s="7">
        <v>0</v>
      </c>
      <c r="DL1027" s="7">
        <v>0</v>
      </c>
      <c r="DM1027" s="7">
        <v>0</v>
      </c>
      <c r="DN1027" s="7">
        <v>0</v>
      </c>
      <c r="DO1027" s="7">
        <v>0</v>
      </c>
      <c r="DP1027" s="6"/>
      <c r="DQ1027" s="4" t="s">
        <v>125</v>
      </c>
    </row>
    <row r="1028" spans="1:121" ht="20" customHeight="1" x14ac:dyDescent="0.15">
      <c r="A1028" s="5">
        <v>2018</v>
      </c>
      <c r="B1028" s="3" t="s">
        <v>145</v>
      </c>
      <c r="C1028" s="4" t="str">
        <f t="shared" si="268"/>
        <v>1560011</v>
      </c>
      <c r="D1028" s="4" t="s">
        <v>1173</v>
      </c>
      <c r="E1028" s="4" t="str">
        <f>"1561411"</f>
        <v>1561411</v>
      </c>
      <c r="F1028" s="4" t="s">
        <v>327</v>
      </c>
      <c r="G1028" s="4" t="s">
        <v>328</v>
      </c>
      <c r="H1028" s="7">
        <v>4</v>
      </c>
      <c r="I1028" s="4" t="s">
        <v>329</v>
      </c>
      <c r="J1028" s="4" t="s">
        <v>330</v>
      </c>
      <c r="K1028" s="7">
        <v>667.33454099999994</v>
      </c>
      <c r="L1028" s="7">
        <v>850</v>
      </c>
      <c r="M1028" s="7">
        <v>78.509945999999999</v>
      </c>
      <c r="N1028" s="7">
        <v>2</v>
      </c>
      <c r="O1028" s="7">
        <v>0</v>
      </c>
      <c r="P1028" s="7">
        <v>68.259801999999993</v>
      </c>
      <c r="Q1028" s="7">
        <v>45.506535</v>
      </c>
      <c r="R1028" s="7">
        <v>50</v>
      </c>
      <c r="S1028" s="7">
        <v>67.050786000000002</v>
      </c>
      <c r="T1028" s="7">
        <v>74.676885999999996</v>
      </c>
      <c r="U1028" s="7">
        <v>44.700524000000001</v>
      </c>
      <c r="V1028" s="7">
        <v>50</v>
      </c>
      <c r="W1028" s="7">
        <v>62.323853999999997</v>
      </c>
      <c r="X1028" s="7">
        <v>41.549236000000001</v>
      </c>
      <c r="Y1028" s="7">
        <v>50</v>
      </c>
      <c r="Z1028" s="7">
        <v>67.385289</v>
      </c>
      <c r="AA1028" s="7">
        <v>61.370249999999999</v>
      </c>
      <c r="AB1028" s="7">
        <v>40.913499999999999</v>
      </c>
      <c r="AC1028" s="7">
        <v>50</v>
      </c>
      <c r="AD1028" s="4" t="s">
        <v>124</v>
      </c>
      <c r="AE1028" s="4" t="s">
        <v>124</v>
      </c>
      <c r="AF1028" s="4" t="s">
        <v>124</v>
      </c>
      <c r="AG1028" s="4" t="s">
        <v>124</v>
      </c>
      <c r="AH1028" s="4" t="s">
        <v>124</v>
      </c>
      <c r="AI1028" s="4" t="s">
        <v>124</v>
      </c>
      <c r="AJ1028" s="4" t="s">
        <v>124</v>
      </c>
      <c r="AK1028" s="7">
        <v>7.62</v>
      </c>
      <c r="AL1028" s="7">
        <v>6.01</v>
      </c>
      <c r="AM1028" s="4" t="s">
        <v>124</v>
      </c>
      <c r="AN1028" s="7">
        <v>0.72165900000000005</v>
      </c>
      <c r="AO1028" s="7">
        <v>72.165919000000002</v>
      </c>
      <c r="AP1028" s="7">
        <v>100</v>
      </c>
      <c r="AQ1028" s="7">
        <v>0.87403399999999998</v>
      </c>
      <c r="AR1028" s="7">
        <v>87.403368999999998</v>
      </c>
      <c r="AS1028" s="7">
        <v>100</v>
      </c>
      <c r="AT1028" s="7">
        <v>0.69820300000000002</v>
      </c>
      <c r="AU1028" s="4" t="s">
        <v>124</v>
      </c>
      <c r="AV1028" s="7">
        <v>69.820255000000003</v>
      </c>
      <c r="AW1028" s="7">
        <v>100</v>
      </c>
      <c r="AX1028" s="7">
        <v>0.83529399999999998</v>
      </c>
      <c r="AY1028" s="4" t="s">
        <v>124</v>
      </c>
      <c r="AZ1028" s="7">
        <v>83.529420999999999</v>
      </c>
      <c r="BA1028" s="7">
        <v>100</v>
      </c>
      <c r="BB1028" s="7">
        <v>0.69797299999999995</v>
      </c>
      <c r="BC1028" s="7">
        <v>34.89866</v>
      </c>
      <c r="BD1028" s="7">
        <v>50</v>
      </c>
      <c r="BE1028" s="7">
        <v>0.52446599999999999</v>
      </c>
      <c r="BF1028" s="7">
        <v>26.223293000000002</v>
      </c>
      <c r="BG1028" s="7">
        <v>50</v>
      </c>
      <c r="BH1028" s="7">
        <v>0</v>
      </c>
      <c r="BI1028" s="7">
        <v>0.994475</v>
      </c>
      <c r="BJ1028" s="7">
        <v>0.99337699999999995</v>
      </c>
      <c r="BK1028" s="7">
        <v>1</v>
      </c>
      <c r="BL1028" s="7">
        <v>0.994475</v>
      </c>
      <c r="BM1028" s="7">
        <v>0.99337699999999995</v>
      </c>
      <c r="BN1028" s="7">
        <v>1</v>
      </c>
      <c r="BO1028" s="4" t="s">
        <v>124</v>
      </c>
      <c r="BP1028" s="4" t="s">
        <v>124</v>
      </c>
      <c r="BQ1028" s="4" t="s">
        <v>124</v>
      </c>
      <c r="BR1028" s="7">
        <v>0.113208</v>
      </c>
      <c r="BS1028" s="7">
        <v>37.358491000000001</v>
      </c>
      <c r="BT1028" s="7">
        <v>50</v>
      </c>
      <c r="BU1028" s="7">
        <v>0.113111</v>
      </c>
      <c r="BV1028" s="7">
        <v>37.377892000000003</v>
      </c>
      <c r="BW1028" s="7">
        <v>50</v>
      </c>
      <c r="BX1028" s="4" t="s">
        <v>124</v>
      </c>
      <c r="BY1028" s="4" t="s">
        <v>124</v>
      </c>
      <c r="BZ1028" s="4" t="s">
        <v>124</v>
      </c>
      <c r="CA1028" s="4" t="s">
        <v>124</v>
      </c>
      <c r="CB1028" s="4" t="s">
        <v>124</v>
      </c>
      <c r="CC1028" s="4" t="s">
        <v>124</v>
      </c>
      <c r="CD1028" s="4" t="s">
        <v>124</v>
      </c>
      <c r="CE1028" s="4" t="s">
        <v>124</v>
      </c>
      <c r="CF1028" s="4" t="s">
        <v>124</v>
      </c>
      <c r="CG1028" s="4" t="s">
        <v>124</v>
      </c>
      <c r="CH1028" s="4" t="s">
        <v>124</v>
      </c>
      <c r="CI1028" s="4" t="s">
        <v>124</v>
      </c>
      <c r="CJ1028" s="4" t="s">
        <v>124</v>
      </c>
      <c r="CK1028" s="4" t="s">
        <v>124</v>
      </c>
      <c r="CL1028" s="4" t="s">
        <v>124</v>
      </c>
      <c r="CM1028" s="4" t="s">
        <v>124</v>
      </c>
      <c r="CN1028" s="4" t="s">
        <v>124</v>
      </c>
      <c r="CO1028" s="4" t="s">
        <v>124</v>
      </c>
      <c r="CP1028" s="4" t="s">
        <v>124</v>
      </c>
      <c r="CQ1028" s="7">
        <v>0.68831200000000003</v>
      </c>
      <c r="CR1028" s="7">
        <v>1</v>
      </c>
      <c r="CS1028" s="7">
        <v>45.887445999999997</v>
      </c>
      <c r="CT1028" s="7">
        <v>50</v>
      </c>
      <c r="CU1028" s="4" t="s">
        <v>124</v>
      </c>
      <c r="CV1028" s="4" t="s">
        <v>124</v>
      </c>
      <c r="CW1028" s="4" t="s">
        <v>124</v>
      </c>
      <c r="CX1028" s="4" t="s">
        <v>124</v>
      </c>
      <c r="CY1028" s="4" t="s">
        <v>124</v>
      </c>
      <c r="CZ1028" s="4" t="s">
        <v>124</v>
      </c>
      <c r="DA1028" s="7">
        <v>15.314097</v>
      </c>
      <c r="DB1028" s="7">
        <v>17.400950000000002</v>
      </c>
      <c r="DC1028" s="7">
        <v>16.332519999999999</v>
      </c>
      <c r="DD1028" s="4" t="s">
        <v>124</v>
      </c>
      <c r="DE1028" s="7">
        <v>0</v>
      </c>
      <c r="DF1028" s="6"/>
      <c r="DG1028" s="6"/>
      <c r="DH1028" s="4" t="s">
        <v>331</v>
      </c>
      <c r="DI1028" s="4" t="s">
        <v>452</v>
      </c>
      <c r="DJ1028" s="7">
        <v>0</v>
      </c>
      <c r="DK1028" s="7">
        <v>0</v>
      </c>
      <c r="DL1028" s="7">
        <v>1</v>
      </c>
      <c r="DM1028" s="7">
        <v>0</v>
      </c>
      <c r="DN1028" s="7">
        <v>1</v>
      </c>
      <c r="DO1028" s="7">
        <v>0</v>
      </c>
      <c r="DP1028" s="6"/>
      <c r="DQ1028" s="4" t="s">
        <v>125</v>
      </c>
    </row>
    <row r="1029" spans="1:121" ht="20" customHeight="1" x14ac:dyDescent="0.15">
      <c r="A1029" s="5">
        <v>2018</v>
      </c>
      <c r="B1029" s="3" t="s">
        <v>145</v>
      </c>
      <c r="C1029" s="4" t="str">
        <f t="shared" si="268"/>
        <v>1560011</v>
      </c>
      <c r="D1029" s="4" t="s">
        <v>1174</v>
      </c>
      <c r="E1029" s="4" t="str">
        <f>"1560411"</f>
        <v>1560411</v>
      </c>
      <c r="F1029" s="4" t="s">
        <v>327</v>
      </c>
      <c r="G1029" s="4" t="s">
        <v>328</v>
      </c>
      <c r="H1029" s="7">
        <v>4</v>
      </c>
      <c r="I1029" s="6"/>
      <c r="J1029" s="4" t="s">
        <v>330</v>
      </c>
      <c r="K1029" s="7">
        <v>664.18233299999997</v>
      </c>
      <c r="L1029" s="7">
        <v>850</v>
      </c>
      <c r="M1029" s="7">
        <v>78.139098000000004</v>
      </c>
      <c r="N1029" s="7">
        <v>2</v>
      </c>
      <c r="O1029" s="7">
        <v>0</v>
      </c>
      <c r="P1029" s="7">
        <v>67.389797999999999</v>
      </c>
      <c r="Q1029" s="7">
        <v>44.926532000000002</v>
      </c>
      <c r="R1029" s="7">
        <v>50</v>
      </c>
      <c r="S1029" s="7">
        <v>65.488603999999995</v>
      </c>
      <c r="T1029" s="7">
        <v>70.044296000000003</v>
      </c>
      <c r="U1029" s="7">
        <v>43.659069000000002</v>
      </c>
      <c r="V1029" s="7">
        <v>50</v>
      </c>
      <c r="W1029" s="7">
        <v>66.514691999999997</v>
      </c>
      <c r="X1029" s="7">
        <v>44.343128</v>
      </c>
      <c r="Y1029" s="7">
        <v>50</v>
      </c>
      <c r="Z1029" s="7">
        <v>72.236552000000003</v>
      </c>
      <c r="AA1029" s="7">
        <v>62.416604</v>
      </c>
      <c r="AB1029" s="7">
        <v>41.611069000000001</v>
      </c>
      <c r="AC1029" s="7">
        <v>50</v>
      </c>
      <c r="AD1029" s="4" t="s">
        <v>124</v>
      </c>
      <c r="AE1029" s="4" t="s">
        <v>124</v>
      </c>
      <c r="AF1029" s="4" t="s">
        <v>124</v>
      </c>
      <c r="AG1029" s="4" t="s">
        <v>124</v>
      </c>
      <c r="AH1029" s="4" t="s">
        <v>124</v>
      </c>
      <c r="AI1029" s="4" t="s">
        <v>124</v>
      </c>
      <c r="AJ1029" s="4" t="s">
        <v>124</v>
      </c>
      <c r="AK1029" s="7">
        <v>4.55</v>
      </c>
      <c r="AL1029" s="7">
        <v>9.81</v>
      </c>
      <c r="AM1029" s="4" t="s">
        <v>124</v>
      </c>
      <c r="AN1029" s="7">
        <v>0.66255600000000003</v>
      </c>
      <c r="AO1029" s="7">
        <v>66.255633000000003</v>
      </c>
      <c r="AP1029" s="7">
        <v>100</v>
      </c>
      <c r="AQ1029" s="7">
        <v>0.80476599999999998</v>
      </c>
      <c r="AR1029" s="7">
        <v>80.476624999999999</v>
      </c>
      <c r="AS1029" s="7">
        <v>100</v>
      </c>
      <c r="AT1029" s="7">
        <v>0.74724000000000002</v>
      </c>
      <c r="AU1029" s="7">
        <v>0.54530199999999995</v>
      </c>
      <c r="AV1029" s="7">
        <v>74.723992999999993</v>
      </c>
      <c r="AW1029" s="7">
        <v>100</v>
      </c>
      <c r="AX1029" s="7">
        <v>0.84202900000000003</v>
      </c>
      <c r="AY1029" s="7">
        <v>0.75317199999999995</v>
      </c>
      <c r="AZ1029" s="7">
        <v>84.202871999999999</v>
      </c>
      <c r="BA1029" s="7">
        <v>100</v>
      </c>
      <c r="BB1029" s="7">
        <v>0.80269999999999997</v>
      </c>
      <c r="BC1029" s="7">
        <v>40.134976000000002</v>
      </c>
      <c r="BD1029" s="7">
        <v>50</v>
      </c>
      <c r="BE1029" s="7">
        <v>0.60992900000000005</v>
      </c>
      <c r="BF1029" s="7">
        <v>30.496466000000002</v>
      </c>
      <c r="BG1029" s="7">
        <v>50</v>
      </c>
      <c r="BH1029" s="7">
        <v>0</v>
      </c>
      <c r="BI1029" s="7">
        <v>1</v>
      </c>
      <c r="BJ1029" s="7">
        <v>1</v>
      </c>
      <c r="BK1029" s="7">
        <v>1</v>
      </c>
      <c r="BL1029" s="7">
        <v>1</v>
      </c>
      <c r="BM1029" s="7">
        <v>1</v>
      </c>
      <c r="BN1029" s="7">
        <v>1</v>
      </c>
      <c r="BO1029" s="4" t="s">
        <v>124</v>
      </c>
      <c r="BP1029" s="4" t="s">
        <v>124</v>
      </c>
      <c r="BQ1029" s="4" t="s">
        <v>124</v>
      </c>
      <c r="BR1029" s="7">
        <v>8.4698999999999997E-2</v>
      </c>
      <c r="BS1029" s="7">
        <v>43.060108999999997</v>
      </c>
      <c r="BT1029" s="7">
        <v>50</v>
      </c>
      <c r="BU1029" s="7">
        <v>0.115207</v>
      </c>
      <c r="BV1029" s="7">
        <v>36.958525000000002</v>
      </c>
      <c r="BW1029" s="7">
        <v>50</v>
      </c>
      <c r="BX1029" s="4" t="s">
        <v>124</v>
      </c>
      <c r="BY1029" s="4" t="s">
        <v>124</v>
      </c>
      <c r="BZ1029" s="4" t="s">
        <v>124</v>
      </c>
      <c r="CA1029" s="4" t="s">
        <v>124</v>
      </c>
      <c r="CB1029" s="4" t="s">
        <v>124</v>
      </c>
      <c r="CC1029" s="4" t="s">
        <v>124</v>
      </c>
      <c r="CD1029" s="4" t="s">
        <v>124</v>
      </c>
      <c r="CE1029" s="4" t="s">
        <v>124</v>
      </c>
      <c r="CF1029" s="4" t="s">
        <v>124</v>
      </c>
      <c r="CG1029" s="4" t="s">
        <v>124</v>
      </c>
      <c r="CH1029" s="4" t="s">
        <v>124</v>
      </c>
      <c r="CI1029" s="4" t="s">
        <v>124</v>
      </c>
      <c r="CJ1029" s="4" t="s">
        <v>124</v>
      </c>
      <c r="CK1029" s="4" t="s">
        <v>124</v>
      </c>
      <c r="CL1029" s="4" t="s">
        <v>124</v>
      </c>
      <c r="CM1029" s="4" t="s">
        <v>124</v>
      </c>
      <c r="CN1029" s="4" t="s">
        <v>124</v>
      </c>
      <c r="CO1029" s="4" t="s">
        <v>124</v>
      </c>
      <c r="CP1029" s="4" t="s">
        <v>124</v>
      </c>
      <c r="CQ1029" s="7">
        <v>0.5</v>
      </c>
      <c r="CR1029" s="7">
        <v>0.95384599999999997</v>
      </c>
      <c r="CS1029" s="7">
        <v>33.333333000000003</v>
      </c>
      <c r="CT1029" s="7">
        <v>50</v>
      </c>
      <c r="CU1029" s="4" t="s">
        <v>124</v>
      </c>
      <c r="CV1029" s="4" t="s">
        <v>124</v>
      </c>
      <c r="CW1029" s="4" t="s">
        <v>124</v>
      </c>
      <c r="CX1029" s="4" t="s">
        <v>124</v>
      </c>
      <c r="CY1029" s="4" t="s">
        <v>124</v>
      </c>
      <c r="CZ1029" s="4" t="s">
        <v>124</v>
      </c>
      <c r="DA1029" s="7">
        <v>15.314097</v>
      </c>
      <c r="DB1029" s="7">
        <v>17.400950000000002</v>
      </c>
      <c r="DC1029" s="7">
        <v>16.332519999999999</v>
      </c>
      <c r="DD1029" s="4" t="s">
        <v>124</v>
      </c>
      <c r="DE1029" s="7">
        <v>0</v>
      </c>
      <c r="DF1029" s="6"/>
      <c r="DG1029" s="6"/>
      <c r="DH1029" s="4" t="s">
        <v>331</v>
      </c>
      <c r="DI1029" s="4" t="s">
        <v>596</v>
      </c>
      <c r="DJ1029" s="7">
        <v>0</v>
      </c>
      <c r="DK1029" s="7">
        <v>0</v>
      </c>
      <c r="DL1029" s="7">
        <v>0</v>
      </c>
      <c r="DM1029" s="7">
        <v>1</v>
      </c>
      <c r="DN1029" s="7">
        <v>1</v>
      </c>
      <c r="DO1029" s="7">
        <v>0</v>
      </c>
      <c r="DP1029" s="6"/>
      <c r="DQ1029" s="4" t="s">
        <v>125</v>
      </c>
    </row>
    <row r="1030" spans="1:121" ht="20" customHeight="1" x14ac:dyDescent="0.15">
      <c r="A1030" s="5">
        <v>2018</v>
      </c>
      <c r="B1030" s="3" t="s">
        <v>145</v>
      </c>
      <c r="C1030" s="4" t="str">
        <f t="shared" si="268"/>
        <v>1560011</v>
      </c>
      <c r="D1030" s="4" t="s">
        <v>735</v>
      </c>
      <c r="E1030" s="4" t="str">
        <f>"1561211"</f>
        <v>1561211</v>
      </c>
      <c r="F1030" s="4" t="s">
        <v>327</v>
      </c>
      <c r="G1030" s="4" t="s">
        <v>328</v>
      </c>
      <c r="H1030" s="7">
        <v>4</v>
      </c>
      <c r="I1030" s="4" t="s">
        <v>329</v>
      </c>
      <c r="J1030" s="4" t="s">
        <v>330</v>
      </c>
      <c r="K1030" s="7">
        <v>592.45513200000005</v>
      </c>
      <c r="L1030" s="7">
        <v>850</v>
      </c>
      <c r="M1030" s="7">
        <v>69.700603999999998</v>
      </c>
      <c r="N1030" s="7">
        <v>3</v>
      </c>
      <c r="O1030" s="7">
        <v>0</v>
      </c>
      <c r="P1030" s="7">
        <v>64.573096000000007</v>
      </c>
      <c r="Q1030" s="7">
        <v>43.048729999999999</v>
      </c>
      <c r="R1030" s="7">
        <v>50</v>
      </c>
      <c r="S1030" s="7">
        <v>63.7502</v>
      </c>
      <c r="T1030" s="7">
        <v>68.364292000000006</v>
      </c>
      <c r="U1030" s="7">
        <v>42.500134000000003</v>
      </c>
      <c r="V1030" s="7">
        <v>50</v>
      </c>
      <c r="W1030" s="7">
        <v>59.732317999999999</v>
      </c>
      <c r="X1030" s="7">
        <v>39.821545999999998</v>
      </c>
      <c r="Y1030" s="7">
        <v>50</v>
      </c>
      <c r="Z1030" s="7">
        <v>66.013591000000005</v>
      </c>
      <c r="AA1030" s="7">
        <v>58.368941999999997</v>
      </c>
      <c r="AB1030" s="7">
        <v>38.912627999999998</v>
      </c>
      <c r="AC1030" s="7">
        <v>50</v>
      </c>
      <c r="AD1030" s="4" t="s">
        <v>124</v>
      </c>
      <c r="AE1030" s="4" t="s">
        <v>124</v>
      </c>
      <c r="AF1030" s="4" t="s">
        <v>124</v>
      </c>
      <c r="AG1030" s="4" t="s">
        <v>124</v>
      </c>
      <c r="AH1030" s="4" t="s">
        <v>124</v>
      </c>
      <c r="AI1030" s="4" t="s">
        <v>124</v>
      </c>
      <c r="AJ1030" s="4" t="s">
        <v>124</v>
      </c>
      <c r="AK1030" s="7">
        <v>4.6100000000000003</v>
      </c>
      <c r="AL1030" s="7">
        <v>7.64</v>
      </c>
      <c r="AM1030" s="4" t="s">
        <v>124</v>
      </c>
      <c r="AN1030" s="7">
        <v>0.66497600000000001</v>
      </c>
      <c r="AO1030" s="7">
        <v>66.497590000000002</v>
      </c>
      <c r="AP1030" s="7">
        <v>100</v>
      </c>
      <c r="AQ1030" s="7">
        <v>0.57320800000000005</v>
      </c>
      <c r="AR1030" s="7">
        <v>57.320821000000002</v>
      </c>
      <c r="AS1030" s="7">
        <v>100</v>
      </c>
      <c r="AT1030" s="7">
        <v>0.65624300000000002</v>
      </c>
      <c r="AU1030" s="4" t="s">
        <v>124</v>
      </c>
      <c r="AV1030" s="7">
        <v>65.624252999999996</v>
      </c>
      <c r="AW1030" s="7">
        <v>100</v>
      </c>
      <c r="AX1030" s="7">
        <v>0.60807999999999995</v>
      </c>
      <c r="AY1030" s="4" t="s">
        <v>124</v>
      </c>
      <c r="AZ1030" s="7">
        <v>60.807980999999998</v>
      </c>
      <c r="BA1030" s="7">
        <v>100</v>
      </c>
      <c r="BB1030" s="7">
        <v>0.88221899999999998</v>
      </c>
      <c r="BC1030" s="7">
        <v>44.110965</v>
      </c>
      <c r="BD1030" s="7">
        <v>50</v>
      </c>
      <c r="BE1030" s="7">
        <v>0.57440400000000003</v>
      </c>
      <c r="BF1030" s="7">
        <v>28.720219</v>
      </c>
      <c r="BG1030" s="7">
        <v>50</v>
      </c>
      <c r="BH1030" s="7">
        <v>0</v>
      </c>
      <c r="BI1030" s="7">
        <v>0.99408300000000005</v>
      </c>
      <c r="BJ1030" s="7">
        <v>0.99290800000000001</v>
      </c>
      <c r="BK1030" s="7">
        <v>1</v>
      </c>
      <c r="BL1030" s="7">
        <v>0.99408300000000005</v>
      </c>
      <c r="BM1030" s="7">
        <v>0.99290800000000001</v>
      </c>
      <c r="BN1030" s="7">
        <v>1</v>
      </c>
      <c r="BO1030" s="4" t="s">
        <v>124</v>
      </c>
      <c r="BP1030" s="4" t="s">
        <v>124</v>
      </c>
      <c r="BQ1030" s="4" t="s">
        <v>124</v>
      </c>
      <c r="BR1030" s="7">
        <v>0.154028</v>
      </c>
      <c r="BS1030" s="7">
        <v>29.194313000000001</v>
      </c>
      <c r="BT1030" s="7">
        <v>50</v>
      </c>
      <c r="BU1030" s="7">
        <v>0.17052</v>
      </c>
      <c r="BV1030" s="7">
        <v>25.895954</v>
      </c>
      <c r="BW1030" s="7">
        <v>50</v>
      </c>
      <c r="BX1030" s="4" t="s">
        <v>124</v>
      </c>
      <c r="BY1030" s="4" t="s">
        <v>124</v>
      </c>
      <c r="BZ1030" s="4" t="s">
        <v>124</v>
      </c>
      <c r="CA1030" s="4" t="s">
        <v>124</v>
      </c>
      <c r="CB1030" s="4" t="s">
        <v>124</v>
      </c>
      <c r="CC1030" s="4" t="s">
        <v>124</v>
      </c>
      <c r="CD1030" s="4" t="s">
        <v>124</v>
      </c>
      <c r="CE1030" s="4" t="s">
        <v>124</v>
      </c>
      <c r="CF1030" s="4" t="s">
        <v>124</v>
      </c>
      <c r="CG1030" s="4" t="s">
        <v>124</v>
      </c>
      <c r="CH1030" s="4" t="s">
        <v>124</v>
      </c>
      <c r="CI1030" s="4" t="s">
        <v>124</v>
      </c>
      <c r="CJ1030" s="4" t="s">
        <v>124</v>
      </c>
      <c r="CK1030" s="4" t="s">
        <v>124</v>
      </c>
      <c r="CL1030" s="4" t="s">
        <v>124</v>
      </c>
      <c r="CM1030" s="4" t="s">
        <v>124</v>
      </c>
      <c r="CN1030" s="4" t="s">
        <v>124</v>
      </c>
      <c r="CO1030" s="4" t="s">
        <v>124</v>
      </c>
      <c r="CP1030" s="4" t="s">
        <v>124</v>
      </c>
      <c r="CQ1030" s="7">
        <v>0.75675700000000001</v>
      </c>
      <c r="CR1030" s="7">
        <v>1.0136989999999999</v>
      </c>
      <c r="CS1030" s="7">
        <v>50</v>
      </c>
      <c r="CT1030" s="7">
        <v>50</v>
      </c>
      <c r="CU1030" s="4" t="s">
        <v>124</v>
      </c>
      <c r="CV1030" s="4" t="s">
        <v>124</v>
      </c>
      <c r="CW1030" s="4" t="s">
        <v>124</v>
      </c>
      <c r="CX1030" s="4" t="s">
        <v>124</v>
      </c>
      <c r="CY1030" s="4" t="s">
        <v>124</v>
      </c>
      <c r="CZ1030" s="4" t="s">
        <v>124</v>
      </c>
      <c r="DA1030" s="7">
        <v>15.314097</v>
      </c>
      <c r="DB1030" s="7">
        <v>17.400950000000002</v>
      </c>
      <c r="DC1030" s="7">
        <v>16.332519999999999</v>
      </c>
      <c r="DD1030" s="4" t="s">
        <v>124</v>
      </c>
      <c r="DE1030" s="7">
        <v>0</v>
      </c>
      <c r="DF1030" s="6"/>
      <c r="DG1030" s="6"/>
      <c r="DH1030" s="6"/>
      <c r="DI1030" s="6"/>
      <c r="DJ1030" s="7">
        <v>0</v>
      </c>
      <c r="DK1030" s="7">
        <v>0</v>
      </c>
      <c r="DL1030" s="7">
        <v>0</v>
      </c>
      <c r="DM1030" s="7">
        <v>0</v>
      </c>
      <c r="DN1030" s="7">
        <v>0</v>
      </c>
      <c r="DO1030" s="7">
        <v>0</v>
      </c>
      <c r="DP1030" s="6"/>
      <c r="DQ1030" s="4" t="s">
        <v>125</v>
      </c>
    </row>
    <row r="1031" spans="1:121" ht="20" customHeight="1" x14ac:dyDescent="0.15">
      <c r="A1031" s="5">
        <v>2018</v>
      </c>
      <c r="B1031" s="3" t="s">
        <v>145</v>
      </c>
      <c r="C1031" s="4" t="str">
        <f t="shared" si="268"/>
        <v>1560011</v>
      </c>
      <c r="D1031" s="4" t="s">
        <v>1175</v>
      </c>
      <c r="E1031" s="4" t="str">
        <f>"1566111"</f>
        <v>1566111</v>
      </c>
      <c r="F1031" s="4" t="s">
        <v>327</v>
      </c>
      <c r="G1031" s="7">
        <v>9</v>
      </c>
      <c r="H1031" s="7">
        <v>12</v>
      </c>
      <c r="I1031" s="6"/>
      <c r="J1031" s="4" t="s">
        <v>330</v>
      </c>
      <c r="K1031" s="7">
        <v>1072.1144959999999</v>
      </c>
      <c r="L1031" s="7">
        <v>1550</v>
      </c>
      <c r="M1031" s="7">
        <v>69.168677000000002</v>
      </c>
      <c r="N1031" s="7">
        <v>3</v>
      </c>
      <c r="O1031" s="7">
        <v>0</v>
      </c>
      <c r="P1031" s="7">
        <v>50.382716000000002</v>
      </c>
      <c r="Q1031" s="7">
        <v>100.765432</v>
      </c>
      <c r="R1031" s="7">
        <v>150</v>
      </c>
      <c r="S1031" s="7">
        <v>46.400793999999998</v>
      </c>
      <c r="T1031" s="7">
        <v>56.941175999999999</v>
      </c>
      <c r="U1031" s="7">
        <v>92.801586999999998</v>
      </c>
      <c r="V1031" s="7">
        <v>150</v>
      </c>
      <c r="W1031" s="7">
        <v>43.926279000000001</v>
      </c>
      <c r="X1031" s="7">
        <v>87.852557000000004</v>
      </c>
      <c r="Y1031" s="7">
        <v>150</v>
      </c>
      <c r="Z1031" s="7">
        <v>47.697479000000001</v>
      </c>
      <c r="AA1031" s="7">
        <v>41.636620999999998</v>
      </c>
      <c r="AB1031" s="7">
        <v>83.273242999999994</v>
      </c>
      <c r="AC1031" s="7">
        <v>150</v>
      </c>
      <c r="AD1031" s="7">
        <v>54.170065999999998</v>
      </c>
      <c r="AE1031" s="7">
        <v>72.226754999999997</v>
      </c>
      <c r="AF1031" s="7">
        <v>100</v>
      </c>
      <c r="AG1031" s="7">
        <v>51.803905999999998</v>
      </c>
      <c r="AH1031" s="7">
        <v>57.975641000000003</v>
      </c>
      <c r="AI1031" s="7">
        <v>69.071875000000006</v>
      </c>
      <c r="AJ1031" s="7">
        <v>100</v>
      </c>
      <c r="AK1031" s="7">
        <v>10.54</v>
      </c>
      <c r="AL1031" s="7">
        <v>6.06</v>
      </c>
      <c r="AM1031" s="7">
        <v>6.17</v>
      </c>
      <c r="AN1031" s="4" t="s">
        <v>124</v>
      </c>
      <c r="AO1031" s="4" t="s">
        <v>124</v>
      </c>
      <c r="AP1031" s="4" t="s">
        <v>124</v>
      </c>
      <c r="AQ1031" s="4" t="s">
        <v>124</v>
      </c>
      <c r="AR1031" s="4" t="s">
        <v>124</v>
      </c>
      <c r="AS1031" s="4" t="s">
        <v>124</v>
      </c>
      <c r="AT1031" s="4" t="s">
        <v>124</v>
      </c>
      <c r="AU1031" s="4" t="s">
        <v>124</v>
      </c>
      <c r="AV1031" s="4" t="s">
        <v>124</v>
      </c>
      <c r="AW1031" s="4" t="s">
        <v>124</v>
      </c>
      <c r="AX1031" s="4" t="s">
        <v>124</v>
      </c>
      <c r="AY1031" s="4" t="s">
        <v>124</v>
      </c>
      <c r="AZ1031" s="4" t="s">
        <v>124</v>
      </c>
      <c r="BA1031" s="4" t="s">
        <v>124</v>
      </c>
      <c r="BB1031" s="7">
        <v>0.52758099999999997</v>
      </c>
      <c r="BC1031" s="7">
        <v>26.379072000000001</v>
      </c>
      <c r="BD1031" s="7">
        <v>50</v>
      </c>
      <c r="BE1031" s="7">
        <v>0.61585699999999999</v>
      </c>
      <c r="BF1031" s="7">
        <v>30.792838</v>
      </c>
      <c r="BG1031" s="7">
        <v>50</v>
      </c>
      <c r="BH1031" s="7">
        <v>0</v>
      </c>
      <c r="BI1031" s="7">
        <v>0.97075999999999996</v>
      </c>
      <c r="BJ1031" s="7">
        <v>0.96774199999999999</v>
      </c>
      <c r="BK1031" s="7">
        <v>0.97599999999999998</v>
      </c>
      <c r="BL1031" s="7">
        <v>0.97075999999999996</v>
      </c>
      <c r="BM1031" s="7">
        <v>0.96774199999999999</v>
      </c>
      <c r="BN1031" s="7">
        <v>0.97599999999999998</v>
      </c>
      <c r="BO1031" s="7">
        <v>0.973607</v>
      </c>
      <c r="BP1031" s="7">
        <v>0.96296300000000001</v>
      </c>
      <c r="BQ1031" s="7">
        <v>0.99199999999999999</v>
      </c>
      <c r="BR1031" s="7">
        <v>0.135546</v>
      </c>
      <c r="BS1031" s="7">
        <v>32.890732999999997</v>
      </c>
      <c r="BT1031" s="7">
        <v>50</v>
      </c>
      <c r="BU1031" s="7">
        <v>0.170569</v>
      </c>
      <c r="BV1031" s="7">
        <v>25.886288</v>
      </c>
      <c r="BW1031" s="7">
        <v>50</v>
      </c>
      <c r="BX1031" s="7">
        <v>0.66666700000000001</v>
      </c>
      <c r="BY1031" s="7">
        <v>44.444443999999997</v>
      </c>
      <c r="BZ1031" s="7">
        <v>50</v>
      </c>
      <c r="CA1031" s="7">
        <v>0.21568599999999999</v>
      </c>
      <c r="CB1031" s="7">
        <v>14.379085</v>
      </c>
      <c r="CC1031" s="7">
        <v>50</v>
      </c>
      <c r="CD1031" s="7">
        <v>0.92009700000000005</v>
      </c>
      <c r="CE1031" s="7">
        <v>48.941322</v>
      </c>
      <c r="CF1031" s="7">
        <v>50</v>
      </c>
      <c r="CG1031" s="7">
        <v>0.884409</v>
      </c>
      <c r="CH1031" s="7">
        <v>94.086022</v>
      </c>
      <c r="CI1031" s="7">
        <v>100</v>
      </c>
      <c r="CJ1031" s="7">
        <v>0</v>
      </c>
      <c r="CK1031" s="7">
        <v>0.84587800000000002</v>
      </c>
      <c r="CL1031" s="7">
        <v>89.987036000000003</v>
      </c>
      <c r="CM1031" s="7">
        <v>100</v>
      </c>
      <c r="CN1031" s="7">
        <v>0.67352900000000004</v>
      </c>
      <c r="CO1031" s="7">
        <v>89.803922</v>
      </c>
      <c r="CP1031" s="7">
        <v>100</v>
      </c>
      <c r="CQ1031" s="7">
        <v>0.51104099999999997</v>
      </c>
      <c r="CR1031" s="7">
        <v>0.949102</v>
      </c>
      <c r="CS1031" s="7">
        <v>34.069400999999999</v>
      </c>
      <c r="CT1031" s="7">
        <v>50</v>
      </c>
      <c r="CU1031" s="7">
        <v>0.41355500000000001</v>
      </c>
      <c r="CV1031" s="7">
        <v>34.462885999999997</v>
      </c>
      <c r="CW1031" s="7">
        <v>50</v>
      </c>
      <c r="CX1031" s="7">
        <v>0.84587800000000002</v>
      </c>
      <c r="CY1031" s="7">
        <v>0.915385</v>
      </c>
      <c r="CZ1031" s="7">
        <v>6.9505999999999998E-2</v>
      </c>
      <c r="DA1031" s="7">
        <v>15.314097</v>
      </c>
      <c r="DB1031" s="7">
        <v>17.400950000000002</v>
      </c>
      <c r="DC1031" s="7">
        <v>16.332519999999999</v>
      </c>
      <c r="DD1031" s="7">
        <v>7.9891730000000001</v>
      </c>
      <c r="DE1031" s="7">
        <v>0</v>
      </c>
      <c r="DF1031" s="6"/>
      <c r="DG1031" s="6"/>
      <c r="DH1031" s="6"/>
      <c r="DI1031" s="6"/>
      <c r="DJ1031" s="7">
        <v>0</v>
      </c>
      <c r="DK1031" s="7">
        <v>0</v>
      </c>
      <c r="DL1031" s="7">
        <v>0</v>
      </c>
      <c r="DM1031" s="7">
        <v>0</v>
      </c>
      <c r="DN1031" s="7">
        <v>0</v>
      </c>
      <c r="DO1031" s="7">
        <v>0</v>
      </c>
      <c r="DP1031" s="6"/>
      <c r="DQ1031" s="4" t="s">
        <v>125</v>
      </c>
    </row>
    <row r="1032" spans="1:121" ht="20" customHeight="1" x14ac:dyDescent="0.15">
      <c r="A1032" s="5">
        <v>2018</v>
      </c>
      <c r="B1032" s="3" t="s">
        <v>179</v>
      </c>
      <c r="C1032" s="4" t="str">
        <f t="shared" si="54"/>
        <v>1570011</v>
      </c>
      <c r="D1032" s="4" t="s">
        <v>1176</v>
      </c>
      <c r="E1032" s="4" t="str">
        <f>"1570111"</f>
        <v>1570111</v>
      </c>
      <c r="F1032" s="4" t="s">
        <v>327</v>
      </c>
      <c r="G1032" s="4" t="s">
        <v>328</v>
      </c>
      <c r="H1032" s="7">
        <v>2</v>
      </c>
      <c r="I1032" s="4" t="s">
        <v>329</v>
      </c>
      <c r="J1032" s="4" t="s">
        <v>330</v>
      </c>
      <c r="K1032" s="7">
        <v>29.808416999999999</v>
      </c>
      <c r="L1032" s="7">
        <v>100</v>
      </c>
      <c r="M1032" s="7">
        <v>29.808416999999999</v>
      </c>
      <c r="N1032" s="4" t="s">
        <v>124</v>
      </c>
      <c r="O1032" s="4" t="s">
        <v>124</v>
      </c>
      <c r="P1032" s="4" t="s">
        <v>124</v>
      </c>
      <c r="Q1032" s="4" t="s">
        <v>124</v>
      </c>
      <c r="R1032" s="4" t="s">
        <v>124</v>
      </c>
      <c r="S1032" s="4" t="s">
        <v>124</v>
      </c>
      <c r="T1032" s="4" t="s">
        <v>124</v>
      </c>
      <c r="U1032" s="4" t="s">
        <v>124</v>
      </c>
      <c r="V1032" s="4" t="s">
        <v>124</v>
      </c>
      <c r="W1032" s="4" t="s">
        <v>124</v>
      </c>
      <c r="X1032" s="4" t="s">
        <v>124</v>
      </c>
      <c r="Y1032" s="4" t="s">
        <v>124</v>
      </c>
      <c r="Z1032" s="4" t="s">
        <v>124</v>
      </c>
      <c r="AA1032" s="4" t="s">
        <v>124</v>
      </c>
      <c r="AB1032" s="4" t="s">
        <v>124</v>
      </c>
      <c r="AC1032" s="4" t="s">
        <v>124</v>
      </c>
      <c r="AD1032" s="4" t="s">
        <v>124</v>
      </c>
      <c r="AE1032" s="4" t="s">
        <v>124</v>
      </c>
      <c r="AF1032" s="4" t="s">
        <v>124</v>
      </c>
      <c r="AG1032" s="4" t="s">
        <v>124</v>
      </c>
      <c r="AH1032" s="4" t="s">
        <v>124</v>
      </c>
      <c r="AI1032" s="4" t="s">
        <v>124</v>
      </c>
      <c r="AJ1032" s="4" t="s">
        <v>124</v>
      </c>
      <c r="AK1032" s="4" t="s">
        <v>124</v>
      </c>
      <c r="AL1032" s="4" t="s">
        <v>124</v>
      </c>
      <c r="AM1032" s="4" t="s">
        <v>124</v>
      </c>
      <c r="AN1032" s="4" t="s">
        <v>124</v>
      </c>
      <c r="AO1032" s="4" t="s">
        <v>124</v>
      </c>
      <c r="AP1032" s="4" t="s">
        <v>124</v>
      </c>
      <c r="AQ1032" s="4" t="s">
        <v>124</v>
      </c>
      <c r="AR1032" s="4" t="s">
        <v>124</v>
      </c>
      <c r="AS1032" s="4" t="s">
        <v>124</v>
      </c>
      <c r="AT1032" s="4" t="s">
        <v>124</v>
      </c>
      <c r="AU1032" s="4" t="s">
        <v>124</v>
      </c>
      <c r="AV1032" s="4" t="s">
        <v>124</v>
      </c>
      <c r="AW1032" s="4" t="s">
        <v>124</v>
      </c>
      <c r="AX1032" s="4" t="s">
        <v>124</v>
      </c>
      <c r="AY1032" s="4" t="s">
        <v>124</v>
      </c>
      <c r="AZ1032" s="4" t="s">
        <v>124</v>
      </c>
      <c r="BA1032" s="4" t="s">
        <v>124</v>
      </c>
      <c r="BB1032" s="4" t="s">
        <v>124</v>
      </c>
      <c r="BC1032" s="4" t="s">
        <v>124</v>
      </c>
      <c r="BD1032" s="4" t="s">
        <v>124</v>
      </c>
      <c r="BE1032" s="4" t="s">
        <v>124</v>
      </c>
      <c r="BF1032" s="4" t="s">
        <v>124</v>
      </c>
      <c r="BG1032" s="4" t="s">
        <v>124</v>
      </c>
      <c r="BH1032" s="4" t="s">
        <v>124</v>
      </c>
      <c r="BI1032" s="4" t="s">
        <v>124</v>
      </c>
      <c r="BJ1032" s="4" t="s">
        <v>124</v>
      </c>
      <c r="BK1032" s="4" t="s">
        <v>124</v>
      </c>
      <c r="BL1032" s="4" t="s">
        <v>124</v>
      </c>
      <c r="BM1032" s="4" t="s">
        <v>124</v>
      </c>
      <c r="BN1032" s="4" t="s">
        <v>124</v>
      </c>
      <c r="BO1032" s="4" t="s">
        <v>124</v>
      </c>
      <c r="BP1032" s="4" t="s">
        <v>124</v>
      </c>
      <c r="BQ1032" s="4" t="s">
        <v>124</v>
      </c>
      <c r="BR1032" s="7">
        <v>0.19289300000000001</v>
      </c>
      <c r="BS1032" s="7">
        <v>21.421320000000001</v>
      </c>
      <c r="BT1032" s="7">
        <v>50</v>
      </c>
      <c r="BU1032" s="7">
        <v>0.25806499999999999</v>
      </c>
      <c r="BV1032" s="7">
        <v>8.3870970000000007</v>
      </c>
      <c r="BW1032" s="7">
        <v>50</v>
      </c>
      <c r="BX1032" s="4" t="s">
        <v>124</v>
      </c>
      <c r="BY1032" s="4" t="s">
        <v>124</v>
      </c>
      <c r="BZ1032" s="4" t="s">
        <v>124</v>
      </c>
      <c r="CA1032" s="4" t="s">
        <v>124</v>
      </c>
      <c r="CB1032" s="4" t="s">
        <v>124</v>
      </c>
      <c r="CC1032" s="4" t="s">
        <v>124</v>
      </c>
      <c r="CD1032" s="4" t="s">
        <v>124</v>
      </c>
      <c r="CE1032" s="4" t="s">
        <v>124</v>
      </c>
      <c r="CF1032" s="4" t="s">
        <v>124</v>
      </c>
      <c r="CG1032" s="4" t="s">
        <v>124</v>
      </c>
      <c r="CH1032" s="4" t="s">
        <v>124</v>
      </c>
      <c r="CI1032" s="4" t="s">
        <v>124</v>
      </c>
      <c r="CJ1032" s="4" t="s">
        <v>124</v>
      </c>
      <c r="CK1032" s="4" t="s">
        <v>124</v>
      </c>
      <c r="CL1032" s="4" t="s">
        <v>124</v>
      </c>
      <c r="CM1032" s="4" t="s">
        <v>124</v>
      </c>
      <c r="CN1032" s="4" t="s">
        <v>124</v>
      </c>
      <c r="CO1032" s="4" t="s">
        <v>124</v>
      </c>
      <c r="CP1032" s="4" t="s">
        <v>124</v>
      </c>
      <c r="CQ1032" s="4" t="s">
        <v>124</v>
      </c>
      <c r="CR1032" s="4" t="s">
        <v>124</v>
      </c>
      <c r="CS1032" s="4" t="s">
        <v>124</v>
      </c>
      <c r="CT1032" s="4" t="s">
        <v>124</v>
      </c>
      <c r="CU1032" s="4" t="s">
        <v>124</v>
      </c>
      <c r="CV1032" s="4" t="s">
        <v>124</v>
      </c>
      <c r="CW1032" s="4" t="s">
        <v>124</v>
      </c>
      <c r="CX1032" s="4" t="s">
        <v>124</v>
      </c>
      <c r="CY1032" s="4" t="s">
        <v>124</v>
      </c>
      <c r="CZ1032" s="4" t="s">
        <v>124</v>
      </c>
      <c r="DA1032" s="4" t="s">
        <v>124</v>
      </c>
      <c r="DB1032" s="4" t="s">
        <v>124</v>
      </c>
      <c r="DC1032" s="4" t="s">
        <v>124</v>
      </c>
      <c r="DD1032" s="4" t="s">
        <v>124</v>
      </c>
      <c r="DE1032" s="4" t="s">
        <v>124</v>
      </c>
      <c r="DF1032" s="6"/>
      <c r="DG1032" s="6"/>
      <c r="DH1032" s="6"/>
      <c r="DI1032" s="6"/>
      <c r="DJ1032" s="4" t="s">
        <v>124</v>
      </c>
      <c r="DK1032" s="4" t="s">
        <v>124</v>
      </c>
      <c r="DL1032" s="4" t="s">
        <v>124</v>
      </c>
      <c r="DM1032" s="4" t="s">
        <v>124</v>
      </c>
      <c r="DN1032" s="4" t="s">
        <v>124</v>
      </c>
      <c r="DO1032" s="4" t="s">
        <v>124</v>
      </c>
      <c r="DP1032" s="6"/>
      <c r="DQ1032" s="4" t="s">
        <v>125</v>
      </c>
    </row>
    <row r="1033" spans="1:121" ht="20" customHeight="1" x14ac:dyDescent="0.15">
      <c r="A1033" s="5">
        <v>2018</v>
      </c>
      <c r="B1033" s="3" t="s">
        <v>179</v>
      </c>
      <c r="C1033" s="4" t="str">
        <f>"1570011"</f>
        <v>1570011</v>
      </c>
      <c r="D1033" s="4" t="s">
        <v>1177</v>
      </c>
      <c r="E1033" s="4" t="str">
        <f>"1576111"</f>
        <v>1576111</v>
      </c>
      <c r="F1033" s="4" t="s">
        <v>327</v>
      </c>
      <c r="G1033" s="7">
        <v>9</v>
      </c>
      <c r="H1033" s="7">
        <v>12</v>
      </c>
      <c r="I1033" s="6"/>
      <c r="J1033" s="4" t="s">
        <v>330</v>
      </c>
      <c r="K1033" s="7">
        <v>1029.949206</v>
      </c>
      <c r="L1033" s="7">
        <v>1050</v>
      </c>
      <c r="M1033" s="7">
        <v>98.090401</v>
      </c>
      <c r="N1033" s="7">
        <v>1</v>
      </c>
      <c r="O1033" s="7">
        <v>0</v>
      </c>
      <c r="P1033" s="7">
        <v>74.097222000000002</v>
      </c>
      <c r="Q1033" s="7">
        <v>148.194444</v>
      </c>
      <c r="R1033" s="7">
        <v>150</v>
      </c>
      <c r="S1033" s="4" t="s">
        <v>124</v>
      </c>
      <c r="T1033" s="7">
        <v>75</v>
      </c>
      <c r="U1033" s="4" t="s">
        <v>124</v>
      </c>
      <c r="V1033" s="4" t="s">
        <v>124</v>
      </c>
      <c r="W1033" s="7">
        <v>71.591667000000001</v>
      </c>
      <c r="X1033" s="7">
        <v>143.183333</v>
      </c>
      <c r="Y1033" s="7">
        <v>150</v>
      </c>
      <c r="Z1033" s="7">
        <v>73.058881999999997</v>
      </c>
      <c r="AA1033" s="4" t="s">
        <v>124</v>
      </c>
      <c r="AB1033" s="4" t="s">
        <v>124</v>
      </c>
      <c r="AC1033" s="4" t="s">
        <v>124</v>
      </c>
      <c r="AD1033" s="7">
        <v>79.062211000000005</v>
      </c>
      <c r="AE1033" s="7">
        <v>100</v>
      </c>
      <c r="AF1033" s="7">
        <v>100</v>
      </c>
      <c r="AG1033" s="4" t="s">
        <v>124</v>
      </c>
      <c r="AH1033" s="7">
        <v>75</v>
      </c>
      <c r="AI1033" s="4" t="s">
        <v>124</v>
      </c>
      <c r="AJ1033" s="4" t="s">
        <v>124</v>
      </c>
      <c r="AK1033" s="4" t="s">
        <v>124</v>
      </c>
      <c r="AL1033" s="4" t="s">
        <v>124</v>
      </c>
      <c r="AM1033" s="4" t="s">
        <v>124</v>
      </c>
      <c r="AN1033" s="4" t="s">
        <v>124</v>
      </c>
      <c r="AO1033" s="4" t="s">
        <v>124</v>
      </c>
      <c r="AP1033" s="4" t="s">
        <v>124</v>
      </c>
      <c r="AQ1033" s="4" t="s">
        <v>124</v>
      </c>
      <c r="AR1033" s="4" t="s">
        <v>124</v>
      </c>
      <c r="AS1033" s="4" t="s">
        <v>124</v>
      </c>
      <c r="AT1033" s="4" t="s">
        <v>124</v>
      </c>
      <c r="AU1033" s="4" t="s">
        <v>124</v>
      </c>
      <c r="AV1033" s="4" t="s">
        <v>124</v>
      </c>
      <c r="AW1033" s="4" t="s">
        <v>124</v>
      </c>
      <c r="AX1033" s="4" t="s">
        <v>124</v>
      </c>
      <c r="AY1033" s="4" t="s">
        <v>124</v>
      </c>
      <c r="AZ1033" s="4" t="s">
        <v>124</v>
      </c>
      <c r="BA1033" s="4" t="s">
        <v>124</v>
      </c>
      <c r="BB1033" s="4" t="s">
        <v>124</v>
      </c>
      <c r="BC1033" s="4" t="s">
        <v>124</v>
      </c>
      <c r="BD1033" s="4" t="s">
        <v>124</v>
      </c>
      <c r="BE1033" s="4" t="s">
        <v>124</v>
      </c>
      <c r="BF1033" s="4" t="s">
        <v>124</v>
      </c>
      <c r="BG1033" s="4" t="s">
        <v>124</v>
      </c>
      <c r="BH1033" s="7">
        <v>0</v>
      </c>
      <c r="BI1033" s="7">
        <v>0.98378399999999999</v>
      </c>
      <c r="BJ1033" s="4" t="s">
        <v>124</v>
      </c>
      <c r="BK1033" s="7">
        <v>0.99411799999999995</v>
      </c>
      <c r="BL1033" s="7">
        <v>0.98378399999999999</v>
      </c>
      <c r="BM1033" s="4" t="s">
        <v>124</v>
      </c>
      <c r="BN1033" s="7">
        <v>0.99411799999999995</v>
      </c>
      <c r="BO1033" s="7">
        <v>0.99459500000000001</v>
      </c>
      <c r="BP1033" s="4" t="s">
        <v>124</v>
      </c>
      <c r="BQ1033" s="7">
        <v>1</v>
      </c>
      <c r="BR1033" s="7">
        <v>4.3640999999999999E-2</v>
      </c>
      <c r="BS1033" s="7">
        <v>50</v>
      </c>
      <c r="BT1033" s="7">
        <v>50</v>
      </c>
      <c r="BU1033" s="7">
        <v>0.107143</v>
      </c>
      <c r="BV1033" s="7">
        <v>38.571429000000002</v>
      </c>
      <c r="BW1033" s="7">
        <v>50</v>
      </c>
      <c r="BX1033" s="7">
        <v>0.98977000000000004</v>
      </c>
      <c r="BY1033" s="7">
        <v>50</v>
      </c>
      <c r="BZ1033" s="7">
        <v>50</v>
      </c>
      <c r="CA1033" s="7">
        <v>0.86189300000000002</v>
      </c>
      <c r="CB1033" s="7">
        <v>50</v>
      </c>
      <c r="CC1033" s="7">
        <v>50</v>
      </c>
      <c r="CD1033" s="7">
        <v>0.98058299999999998</v>
      </c>
      <c r="CE1033" s="7">
        <v>50</v>
      </c>
      <c r="CF1033" s="7">
        <v>50</v>
      </c>
      <c r="CG1033" s="7">
        <v>0.985294</v>
      </c>
      <c r="CH1033" s="7">
        <v>100</v>
      </c>
      <c r="CI1033" s="7">
        <v>100</v>
      </c>
      <c r="CJ1033" s="7">
        <v>0</v>
      </c>
      <c r="CK1033" s="7">
        <v>0.96666700000000005</v>
      </c>
      <c r="CL1033" s="7">
        <v>100</v>
      </c>
      <c r="CM1033" s="7">
        <v>100</v>
      </c>
      <c r="CN1033" s="7">
        <v>0.93103400000000003</v>
      </c>
      <c r="CO1033" s="7">
        <v>100</v>
      </c>
      <c r="CP1033" s="7">
        <v>100</v>
      </c>
      <c r="CQ1033" s="7">
        <v>0.83084599999999997</v>
      </c>
      <c r="CR1033" s="7">
        <v>0.98048800000000003</v>
      </c>
      <c r="CS1033" s="7">
        <v>50</v>
      </c>
      <c r="CT1033" s="7">
        <v>50</v>
      </c>
      <c r="CU1033" s="7">
        <v>0.70324200000000003</v>
      </c>
      <c r="CV1033" s="7">
        <v>50</v>
      </c>
      <c r="CW1033" s="7">
        <v>50</v>
      </c>
      <c r="CX1033" s="7">
        <v>0.96666700000000005</v>
      </c>
      <c r="CY1033" s="7">
        <v>0.94</v>
      </c>
      <c r="CZ1033" s="7">
        <v>-2.6667E-2</v>
      </c>
      <c r="DA1033" s="7">
        <v>15.314097</v>
      </c>
      <c r="DB1033" s="7">
        <v>17.400950000000002</v>
      </c>
      <c r="DC1033" s="7">
        <v>16.332519999999999</v>
      </c>
      <c r="DD1033" s="7">
        <v>7.9891730000000001</v>
      </c>
      <c r="DE1033" s="7">
        <v>0</v>
      </c>
      <c r="DF1033" s="6"/>
      <c r="DG1033" s="6"/>
      <c r="DH1033" s="4" t="s">
        <v>331</v>
      </c>
      <c r="DI1033" s="4" t="s">
        <v>332</v>
      </c>
      <c r="DJ1033" s="7">
        <v>1</v>
      </c>
      <c r="DK1033" s="7">
        <v>0</v>
      </c>
      <c r="DL1033" s="7">
        <v>0</v>
      </c>
      <c r="DM1033" s="7">
        <v>0</v>
      </c>
      <c r="DN1033" s="7">
        <v>0</v>
      </c>
      <c r="DO1033" s="7">
        <v>0</v>
      </c>
      <c r="DP1033" s="6"/>
      <c r="DQ1033" s="4" t="s">
        <v>125</v>
      </c>
    </row>
    <row r="1034" spans="1:121" ht="20" customHeight="1" x14ac:dyDescent="0.15">
      <c r="A1034" s="5">
        <v>2018</v>
      </c>
      <c r="B1034" s="3" t="s">
        <v>179</v>
      </c>
      <c r="C1034" s="4" t="str">
        <f t="shared" ref="C1034:C1035" si="269">"1570011"</f>
        <v>1570011</v>
      </c>
      <c r="D1034" s="4" t="s">
        <v>1178</v>
      </c>
      <c r="E1034" s="4" t="str">
        <f>"1570211"</f>
        <v>1570211</v>
      </c>
      <c r="F1034" s="4" t="s">
        <v>327</v>
      </c>
      <c r="G1034" s="7">
        <v>3</v>
      </c>
      <c r="H1034" s="7">
        <v>5</v>
      </c>
      <c r="I1034" s="6"/>
      <c r="J1034" s="4" t="s">
        <v>330</v>
      </c>
      <c r="K1034" s="7">
        <v>722.20878000000005</v>
      </c>
      <c r="L1034" s="7">
        <v>850</v>
      </c>
      <c r="M1034" s="7">
        <v>84.965738999999999</v>
      </c>
      <c r="N1034" s="7">
        <v>3</v>
      </c>
      <c r="O1034" s="7">
        <v>1</v>
      </c>
      <c r="P1034" s="7">
        <v>81.784513000000004</v>
      </c>
      <c r="Q1034" s="7">
        <v>50</v>
      </c>
      <c r="R1034" s="7">
        <v>50</v>
      </c>
      <c r="S1034" s="7">
        <v>68.042798000000005</v>
      </c>
      <c r="T1034" s="7">
        <v>75</v>
      </c>
      <c r="U1034" s="7">
        <v>45.361865999999999</v>
      </c>
      <c r="V1034" s="7">
        <v>50</v>
      </c>
      <c r="W1034" s="7">
        <v>79.641605999999996</v>
      </c>
      <c r="X1034" s="7">
        <v>50</v>
      </c>
      <c r="Y1034" s="7">
        <v>50</v>
      </c>
      <c r="Z1034" s="7">
        <v>75</v>
      </c>
      <c r="AA1034" s="7">
        <v>66.893558999999996</v>
      </c>
      <c r="AB1034" s="7">
        <v>44.595706</v>
      </c>
      <c r="AC1034" s="7">
        <v>50</v>
      </c>
      <c r="AD1034" s="7">
        <v>84.111855000000006</v>
      </c>
      <c r="AE1034" s="7">
        <v>50</v>
      </c>
      <c r="AF1034" s="7">
        <v>50</v>
      </c>
      <c r="AG1034" s="7">
        <v>57.707923999999998</v>
      </c>
      <c r="AH1034" s="7">
        <v>75</v>
      </c>
      <c r="AI1034" s="7">
        <v>38.47195</v>
      </c>
      <c r="AJ1034" s="7">
        <v>50</v>
      </c>
      <c r="AK1034" s="7">
        <v>6.95</v>
      </c>
      <c r="AL1034" s="7">
        <v>8.1</v>
      </c>
      <c r="AM1034" s="7">
        <v>17.29</v>
      </c>
      <c r="AN1034" s="7">
        <v>0.758436</v>
      </c>
      <c r="AO1034" s="7">
        <v>75.843557000000004</v>
      </c>
      <c r="AP1034" s="7">
        <v>100</v>
      </c>
      <c r="AQ1034" s="7">
        <v>0.83853999999999995</v>
      </c>
      <c r="AR1034" s="7">
        <v>83.854023999999995</v>
      </c>
      <c r="AS1034" s="7">
        <v>100</v>
      </c>
      <c r="AT1034" s="7">
        <v>0.62065400000000004</v>
      </c>
      <c r="AU1034" s="7">
        <v>0.77583899999999995</v>
      </c>
      <c r="AV1034" s="7">
        <v>62.065449000000001</v>
      </c>
      <c r="AW1034" s="7">
        <v>100</v>
      </c>
      <c r="AX1034" s="7">
        <v>0.76484600000000003</v>
      </c>
      <c r="AY1034" s="7">
        <v>0.84791499999999997</v>
      </c>
      <c r="AZ1034" s="7">
        <v>76.484633000000002</v>
      </c>
      <c r="BA1034" s="7">
        <v>100</v>
      </c>
      <c r="BB1034" s="4" t="s">
        <v>124</v>
      </c>
      <c r="BC1034" s="4" t="s">
        <v>124</v>
      </c>
      <c r="BD1034" s="4" t="s">
        <v>124</v>
      </c>
      <c r="BE1034" s="4" t="s">
        <v>124</v>
      </c>
      <c r="BF1034" s="4" t="s">
        <v>124</v>
      </c>
      <c r="BG1034" s="4" t="s">
        <v>124</v>
      </c>
      <c r="BH1034" s="7">
        <v>0</v>
      </c>
      <c r="BI1034" s="7">
        <v>0.99804300000000001</v>
      </c>
      <c r="BJ1034" s="7">
        <v>1</v>
      </c>
      <c r="BK1034" s="7">
        <v>0.99767399999999995</v>
      </c>
      <c r="BL1034" s="7">
        <v>0.99412900000000004</v>
      </c>
      <c r="BM1034" s="7">
        <v>1</v>
      </c>
      <c r="BN1034" s="7">
        <v>0.99302299999999999</v>
      </c>
      <c r="BO1034" s="7">
        <v>0.99444399999999999</v>
      </c>
      <c r="BP1034" s="7">
        <v>1</v>
      </c>
      <c r="BQ1034" s="7">
        <v>0.99358999999999997</v>
      </c>
      <c r="BR1034" s="7">
        <v>3.7255000000000003E-2</v>
      </c>
      <c r="BS1034" s="7">
        <v>50</v>
      </c>
      <c r="BT1034" s="7">
        <v>50</v>
      </c>
      <c r="BU1034" s="7">
        <v>5.7142999999999999E-2</v>
      </c>
      <c r="BV1034" s="7">
        <v>48.571429000000002</v>
      </c>
      <c r="BW1034" s="7">
        <v>50</v>
      </c>
      <c r="BX1034" s="4" t="s">
        <v>124</v>
      </c>
      <c r="BY1034" s="4" t="s">
        <v>124</v>
      </c>
      <c r="BZ1034" s="4" t="s">
        <v>124</v>
      </c>
      <c r="CA1034" s="4" t="s">
        <v>124</v>
      </c>
      <c r="CB1034" s="4" t="s">
        <v>124</v>
      </c>
      <c r="CC1034" s="4" t="s">
        <v>124</v>
      </c>
      <c r="CD1034" s="4" t="s">
        <v>124</v>
      </c>
      <c r="CE1034" s="4" t="s">
        <v>124</v>
      </c>
      <c r="CF1034" s="4" t="s">
        <v>124</v>
      </c>
      <c r="CG1034" s="4" t="s">
        <v>124</v>
      </c>
      <c r="CH1034" s="4" t="s">
        <v>124</v>
      </c>
      <c r="CI1034" s="4" t="s">
        <v>124</v>
      </c>
      <c r="CJ1034" s="4" t="s">
        <v>124</v>
      </c>
      <c r="CK1034" s="4" t="s">
        <v>124</v>
      </c>
      <c r="CL1034" s="4" t="s">
        <v>124</v>
      </c>
      <c r="CM1034" s="4" t="s">
        <v>124</v>
      </c>
      <c r="CN1034" s="4" t="s">
        <v>124</v>
      </c>
      <c r="CO1034" s="4" t="s">
        <v>124</v>
      </c>
      <c r="CP1034" s="4" t="s">
        <v>124</v>
      </c>
      <c r="CQ1034" s="7">
        <v>0.704403</v>
      </c>
      <c r="CR1034" s="7">
        <v>0.95783099999999999</v>
      </c>
      <c r="CS1034" s="7">
        <v>46.960168000000003</v>
      </c>
      <c r="CT1034" s="7">
        <v>50</v>
      </c>
      <c r="CU1034" s="4" t="s">
        <v>124</v>
      </c>
      <c r="CV1034" s="4" t="s">
        <v>124</v>
      </c>
      <c r="CW1034" s="4" t="s">
        <v>124</v>
      </c>
      <c r="CX1034" s="4" t="s">
        <v>124</v>
      </c>
      <c r="CY1034" s="4" t="s">
        <v>124</v>
      </c>
      <c r="CZ1034" s="4" t="s">
        <v>124</v>
      </c>
      <c r="DA1034" s="7">
        <v>15.314097</v>
      </c>
      <c r="DB1034" s="7">
        <v>17.400950000000002</v>
      </c>
      <c r="DC1034" s="7">
        <v>16.332519999999999</v>
      </c>
      <c r="DD1034" s="4" t="s">
        <v>124</v>
      </c>
      <c r="DE1034" s="7">
        <v>1</v>
      </c>
      <c r="DF1034" s="6"/>
      <c r="DG1034" s="6"/>
      <c r="DH1034" s="6"/>
      <c r="DI1034" s="6"/>
      <c r="DJ1034" s="7">
        <v>0</v>
      </c>
      <c r="DK1034" s="7">
        <v>0</v>
      </c>
      <c r="DL1034" s="7">
        <v>0</v>
      </c>
      <c r="DM1034" s="7">
        <v>0</v>
      </c>
      <c r="DN1034" s="7">
        <v>0</v>
      </c>
      <c r="DO1034" s="7">
        <v>0</v>
      </c>
      <c r="DP1034" s="6"/>
      <c r="DQ1034" s="4" t="s">
        <v>125</v>
      </c>
    </row>
    <row r="1035" spans="1:121" ht="20" customHeight="1" x14ac:dyDescent="0.15">
      <c r="A1035" s="5">
        <v>2018</v>
      </c>
      <c r="B1035" s="3" t="s">
        <v>179</v>
      </c>
      <c r="C1035" s="4" t="str">
        <f t="shared" si="269"/>
        <v>1570011</v>
      </c>
      <c r="D1035" s="4" t="s">
        <v>1179</v>
      </c>
      <c r="E1035" s="4" t="str">
        <f>"1575111"</f>
        <v>1575111</v>
      </c>
      <c r="F1035" s="4" t="s">
        <v>327</v>
      </c>
      <c r="G1035" s="7">
        <v>6</v>
      </c>
      <c r="H1035" s="7">
        <v>8</v>
      </c>
      <c r="I1035" s="6"/>
      <c r="J1035" s="4" t="s">
        <v>330</v>
      </c>
      <c r="K1035" s="7">
        <v>684.80236000000002</v>
      </c>
      <c r="L1035" s="7">
        <v>900</v>
      </c>
      <c r="M1035" s="7">
        <v>76.089151000000001</v>
      </c>
      <c r="N1035" s="7">
        <v>3</v>
      </c>
      <c r="O1035" s="7">
        <v>1</v>
      </c>
      <c r="P1035" s="7">
        <v>78.217055999999999</v>
      </c>
      <c r="Q1035" s="7">
        <v>50</v>
      </c>
      <c r="R1035" s="7">
        <v>50</v>
      </c>
      <c r="S1035" s="7">
        <v>57.791696999999999</v>
      </c>
      <c r="T1035" s="7">
        <v>75</v>
      </c>
      <c r="U1035" s="7">
        <v>38.527797999999997</v>
      </c>
      <c r="V1035" s="7">
        <v>50</v>
      </c>
      <c r="W1035" s="7">
        <v>75.500684000000007</v>
      </c>
      <c r="X1035" s="7">
        <v>50</v>
      </c>
      <c r="Y1035" s="7">
        <v>50</v>
      </c>
      <c r="Z1035" s="7">
        <v>75</v>
      </c>
      <c r="AA1035" s="7">
        <v>54.712654000000001</v>
      </c>
      <c r="AB1035" s="7">
        <v>36.475102</v>
      </c>
      <c r="AC1035" s="7">
        <v>50</v>
      </c>
      <c r="AD1035" s="7">
        <v>78.766541000000004</v>
      </c>
      <c r="AE1035" s="7">
        <v>50</v>
      </c>
      <c r="AF1035" s="7">
        <v>50</v>
      </c>
      <c r="AG1035" s="7">
        <v>60.396489000000003</v>
      </c>
      <c r="AH1035" s="7">
        <v>75</v>
      </c>
      <c r="AI1035" s="7">
        <v>40.264325999999997</v>
      </c>
      <c r="AJ1035" s="7">
        <v>50</v>
      </c>
      <c r="AK1035" s="7">
        <v>17.2</v>
      </c>
      <c r="AL1035" s="7">
        <v>20.28</v>
      </c>
      <c r="AM1035" s="7">
        <v>14.6</v>
      </c>
      <c r="AN1035" s="7">
        <v>0.58064800000000005</v>
      </c>
      <c r="AO1035" s="7">
        <v>58.064802999999998</v>
      </c>
      <c r="AP1035" s="7">
        <v>100</v>
      </c>
      <c r="AQ1035" s="7">
        <v>0.70198199999999999</v>
      </c>
      <c r="AR1035" s="7">
        <v>70.198248000000007</v>
      </c>
      <c r="AS1035" s="7">
        <v>100</v>
      </c>
      <c r="AT1035" s="7">
        <v>0.47521000000000002</v>
      </c>
      <c r="AU1035" s="7">
        <v>0.59438199999999997</v>
      </c>
      <c r="AV1035" s="7">
        <v>47.520991000000002</v>
      </c>
      <c r="AW1035" s="7">
        <v>100</v>
      </c>
      <c r="AX1035" s="7">
        <v>0.59097299999999997</v>
      </c>
      <c r="AY1035" s="7">
        <v>0.71653299999999998</v>
      </c>
      <c r="AZ1035" s="7">
        <v>59.097333999999996</v>
      </c>
      <c r="BA1035" s="7">
        <v>100</v>
      </c>
      <c r="BB1035" s="4" t="s">
        <v>124</v>
      </c>
      <c r="BC1035" s="4" t="s">
        <v>124</v>
      </c>
      <c r="BD1035" s="4" t="s">
        <v>124</v>
      </c>
      <c r="BE1035" s="4" t="s">
        <v>124</v>
      </c>
      <c r="BF1035" s="4" t="s">
        <v>124</v>
      </c>
      <c r="BG1035" s="4" t="s">
        <v>124</v>
      </c>
      <c r="BH1035" s="7">
        <v>0</v>
      </c>
      <c r="BI1035" s="7">
        <v>0.984402</v>
      </c>
      <c r="BJ1035" s="7">
        <v>0.95945899999999995</v>
      </c>
      <c r="BK1035" s="7">
        <v>0.98807199999999995</v>
      </c>
      <c r="BL1035" s="7">
        <v>0.98093600000000003</v>
      </c>
      <c r="BM1035" s="7">
        <v>0.95945899999999995</v>
      </c>
      <c r="BN1035" s="7">
        <v>0.98409500000000005</v>
      </c>
      <c r="BO1035" s="7">
        <v>0.98429299999999997</v>
      </c>
      <c r="BP1035" s="7">
        <v>1</v>
      </c>
      <c r="BQ1035" s="7">
        <v>0.98181799999999997</v>
      </c>
      <c r="BR1035" s="7">
        <v>6.6087000000000007E-2</v>
      </c>
      <c r="BS1035" s="7">
        <v>46.782609000000001</v>
      </c>
      <c r="BT1035" s="7">
        <v>50</v>
      </c>
      <c r="BU1035" s="7">
        <v>7.1429000000000006E-2</v>
      </c>
      <c r="BV1035" s="7">
        <v>45.714286000000001</v>
      </c>
      <c r="BW1035" s="7">
        <v>50</v>
      </c>
      <c r="BX1035" s="4" t="s">
        <v>124</v>
      </c>
      <c r="BY1035" s="4" t="s">
        <v>124</v>
      </c>
      <c r="BZ1035" s="4" t="s">
        <v>124</v>
      </c>
      <c r="CA1035" s="4" t="s">
        <v>124</v>
      </c>
      <c r="CB1035" s="4" t="s">
        <v>124</v>
      </c>
      <c r="CC1035" s="4" t="s">
        <v>124</v>
      </c>
      <c r="CD1035" s="7">
        <v>0.99481900000000001</v>
      </c>
      <c r="CE1035" s="7">
        <v>50</v>
      </c>
      <c r="CF1035" s="7">
        <v>50</v>
      </c>
      <c r="CG1035" s="4" t="s">
        <v>124</v>
      </c>
      <c r="CH1035" s="4" t="s">
        <v>124</v>
      </c>
      <c r="CI1035" s="4" t="s">
        <v>124</v>
      </c>
      <c r="CJ1035" s="4" t="s">
        <v>124</v>
      </c>
      <c r="CK1035" s="4" t="s">
        <v>124</v>
      </c>
      <c r="CL1035" s="4" t="s">
        <v>124</v>
      </c>
      <c r="CM1035" s="4" t="s">
        <v>124</v>
      </c>
      <c r="CN1035" s="4" t="s">
        <v>124</v>
      </c>
      <c r="CO1035" s="4" t="s">
        <v>124</v>
      </c>
      <c r="CP1035" s="4" t="s">
        <v>124</v>
      </c>
      <c r="CQ1035" s="7">
        <v>0.63235300000000005</v>
      </c>
      <c r="CR1035" s="7">
        <v>0.906667</v>
      </c>
      <c r="CS1035" s="7">
        <v>42.156863000000001</v>
      </c>
      <c r="CT1035" s="7">
        <v>50</v>
      </c>
      <c r="CU1035" s="4" t="s">
        <v>124</v>
      </c>
      <c r="CV1035" s="4" t="s">
        <v>124</v>
      </c>
      <c r="CW1035" s="4" t="s">
        <v>124</v>
      </c>
      <c r="CX1035" s="4" t="s">
        <v>124</v>
      </c>
      <c r="CY1035" s="4" t="s">
        <v>124</v>
      </c>
      <c r="CZ1035" s="4" t="s">
        <v>124</v>
      </c>
      <c r="DA1035" s="7">
        <v>15.314097</v>
      </c>
      <c r="DB1035" s="7">
        <v>17.400950000000002</v>
      </c>
      <c r="DC1035" s="7">
        <v>16.332519999999999</v>
      </c>
      <c r="DD1035" s="4" t="s">
        <v>124</v>
      </c>
      <c r="DE1035" s="7">
        <v>1</v>
      </c>
      <c r="DF1035" s="6"/>
      <c r="DG1035" s="6"/>
      <c r="DH1035" s="6"/>
      <c r="DI1035" s="6"/>
      <c r="DJ1035" s="7">
        <v>0</v>
      </c>
      <c r="DK1035" s="7">
        <v>0</v>
      </c>
      <c r="DL1035" s="7">
        <v>0</v>
      </c>
      <c r="DM1035" s="7">
        <v>0</v>
      </c>
      <c r="DN1035" s="7">
        <v>0</v>
      </c>
      <c r="DO1035" s="7">
        <v>0</v>
      </c>
      <c r="DP1035" s="6"/>
      <c r="DQ1035" s="4" t="s">
        <v>125</v>
      </c>
    </row>
    <row r="1036" spans="1:121" ht="20" customHeight="1" x14ac:dyDescent="0.15">
      <c r="A1036" s="5">
        <v>2018</v>
      </c>
      <c r="B1036" s="3" t="s">
        <v>237</v>
      </c>
      <c r="C1036" s="4" t="str">
        <f t="shared" si="112"/>
        <v>1580011</v>
      </c>
      <c r="D1036" s="4" t="s">
        <v>1180</v>
      </c>
      <c r="E1036" s="4" t="str">
        <f>"1585111"</f>
        <v>1585111</v>
      </c>
      <c r="F1036" s="4" t="s">
        <v>327</v>
      </c>
      <c r="G1036" s="7">
        <v>6</v>
      </c>
      <c r="H1036" s="7">
        <v>8</v>
      </c>
      <c r="I1036" s="6"/>
      <c r="J1036" s="4" t="s">
        <v>330</v>
      </c>
      <c r="K1036" s="7">
        <v>701.67428299999995</v>
      </c>
      <c r="L1036" s="7">
        <v>900</v>
      </c>
      <c r="M1036" s="7">
        <v>77.963808999999998</v>
      </c>
      <c r="N1036" s="7">
        <v>3</v>
      </c>
      <c r="O1036" s="7">
        <v>0</v>
      </c>
      <c r="P1036" s="7">
        <v>82.422020000000003</v>
      </c>
      <c r="Q1036" s="7">
        <v>50</v>
      </c>
      <c r="R1036" s="7">
        <v>50</v>
      </c>
      <c r="S1036" s="7">
        <v>64.055156999999994</v>
      </c>
      <c r="T1036" s="7">
        <v>75</v>
      </c>
      <c r="U1036" s="7">
        <v>42.703437999999998</v>
      </c>
      <c r="V1036" s="7">
        <v>50</v>
      </c>
      <c r="W1036" s="7">
        <v>83.952557999999996</v>
      </c>
      <c r="X1036" s="7">
        <v>50</v>
      </c>
      <c r="Y1036" s="7">
        <v>50</v>
      </c>
      <c r="Z1036" s="7">
        <v>75</v>
      </c>
      <c r="AA1036" s="7">
        <v>62.752319</v>
      </c>
      <c r="AB1036" s="7">
        <v>41.834879000000001</v>
      </c>
      <c r="AC1036" s="7">
        <v>50</v>
      </c>
      <c r="AD1036" s="7">
        <v>79.230130000000003</v>
      </c>
      <c r="AE1036" s="7">
        <v>50</v>
      </c>
      <c r="AF1036" s="7">
        <v>50</v>
      </c>
      <c r="AG1036" s="7">
        <v>59.252268999999998</v>
      </c>
      <c r="AH1036" s="7">
        <v>75</v>
      </c>
      <c r="AI1036" s="7">
        <v>39.501511999999998</v>
      </c>
      <c r="AJ1036" s="7">
        <v>50</v>
      </c>
      <c r="AK1036" s="7">
        <v>10.94</v>
      </c>
      <c r="AL1036" s="7">
        <v>12.24</v>
      </c>
      <c r="AM1036" s="7">
        <v>15.74</v>
      </c>
      <c r="AN1036" s="7">
        <v>0.58340700000000001</v>
      </c>
      <c r="AO1036" s="7">
        <v>58.340665000000001</v>
      </c>
      <c r="AP1036" s="7">
        <v>100</v>
      </c>
      <c r="AQ1036" s="7">
        <v>0.80336300000000005</v>
      </c>
      <c r="AR1036" s="7">
        <v>80.336260999999993</v>
      </c>
      <c r="AS1036" s="7">
        <v>100</v>
      </c>
      <c r="AT1036" s="7">
        <v>0.53756000000000004</v>
      </c>
      <c r="AU1036" s="7">
        <v>0.59173600000000004</v>
      </c>
      <c r="AV1036" s="7">
        <v>53.755972999999997</v>
      </c>
      <c r="AW1036" s="7">
        <v>100</v>
      </c>
      <c r="AX1036" s="7">
        <v>0.60236999999999996</v>
      </c>
      <c r="AY1036" s="7">
        <v>0.84012600000000004</v>
      </c>
      <c r="AZ1036" s="7">
        <v>60.236969999999999</v>
      </c>
      <c r="BA1036" s="7">
        <v>100</v>
      </c>
      <c r="BB1036" s="4" t="s">
        <v>124</v>
      </c>
      <c r="BC1036" s="4" t="s">
        <v>124</v>
      </c>
      <c r="BD1036" s="4" t="s">
        <v>124</v>
      </c>
      <c r="BE1036" s="4" t="s">
        <v>124</v>
      </c>
      <c r="BF1036" s="4" t="s">
        <v>124</v>
      </c>
      <c r="BG1036" s="4" t="s">
        <v>124</v>
      </c>
      <c r="BH1036" s="7">
        <v>1</v>
      </c>
      <c r="BI1036" s="7">
        <v>0.97192999999999996</v>
      </c>
      <c r="BJ1036" s="7">
        <v>0.94078899999999999</v>
      </c>
      <c r="BK1036" s="7">
        <v>0.97866299999999995</v>
      </c>
      <c r="BL1036" s="7">
        <v>0.97426900000000005</v>
      </c>
      <c r="BM1036" s="7">
        <v>0.94736799999999999</v>
      </c>
      <c r="BN1036" s="7">
        <v>0.98008499999999998</v>
      </c>
      <c r="BO1036" s="7">
        <v>0.96917799999999998</v>
      </c>
      <c r="BP1036" s="7">
        <v>0.92682900000000001</v>
      </c>
      <c r="BQ1036" s="7">
        <v>0.97609599999999996</v>
      </c>
      <c r="BR1036" s="7">
        <v>4.6783999999999999E-2</v>
      </c>
      <c r="BS1036" s="7">
        <v>50</v>
      </c>
      <c r="BT1036" s="7">
        <v>50</v>
      </c>
      <c r="BU1036" s="7">
        <v>0.119718</v>
      </c>
      <c r="BV1036" s="7">
        <v>36.056337999999997</v>
      </c>
      <c r="BW1036" s="7">
        <v>50</v>
      </c>
      <c r="BX1036" s="4" t="s">
        <v>124</v>
      </c>
      <c r="BY1036" s="4" t="s">
        <v>124</v>
      </c>
      <c r="BZ1036" s="4" t="s">
        <v>124</v>
      </c>
      <c r="CA1036" s="4" t="s">
        <v>124</v>
      </c>
      <c r="CB1036" s="4" t="s">
        <v>124</v>
      </c>
      <c r="CC1036" s="4" t="s">
        <v>124</v>
      </c>
      <c r="CD1036" s="7">
        <v>0.985348</v>
      </c>
      <c r="CE1036" s="7">
        <v>50</v>
      </c>
      <c r="CF1036" s="7">
        <v>50</v>
      </c>
      <c r="CG1036" s="4" t="s">
        <v>124</v>
      </c>
      <c r="CH1036" s="4" t="s">
        <v>124</v>
      </c>
      <c r="CI1036" s="4" t="s">
        <v>124</v>
      </c>
      <c r="CJ1036" s="4" t="s">
        <v>124</v>
      </c>
      <c r="CK1036" s="4" t="s">
        <v>124</v>
      </c>
      <c r="CL1036" s="4" t="s">
        <v>124</v>
      </c>
      <c r="CM1036" s="4" t="s">
        <v>124</v>
      </c>
      <c r="CN1036" s="4" t="s">
        <v>124</v>
      </c>
      <c r="CO1036" s="4" t="s">
        <v>124</v>
      </c>
      <c r="CP1036" s="4" t="s">
        <v>124</v>
      </c>
      <c r="CQ1036" s="7">
        <v>0.58362400000000003</v>
      </c>
      <c r="CR1036" s="7">
        <v>1.0017450000000001</v>
      </c>
      <c r="CS1036" s="7">
        <v>38.908245999999998</v>
      </c>
      <c r="CT1036" s="7">
        <v>50</v>
      </c>
      <c r="CU1036" s="4" t="s">
        <v>124</v>
      </c>
      <c r="CV1036" s="4" t="s">
        <v>124</v>
      </c>
      <c r="CW1036" s="4" t="s">
        <v>124</v>
      </c>
      <c r="CX1036" s="4" t="s">
        <v>124</v>
      </c>
      <c r="CY1036" s="4" t="s">
        <v>124</v>
      </c>
      <c r="CZ1036" s="4" t="s">
        <v>124</v>
      </c>
      <c r="DA1036" s="7">
        <v>15.314097</v>
      </c>
      <c r="DB1036" s="7">
        <v>17.400950000000002</v>
      </c>
      <c r="DC1036" s="7">
        <v>16.332519999999999</v>
      </c>
      <c r="DD1036" s="4" t="s">
        <v>124</v>
      </c>
      <c r="DE1036" s="7">
        <v>1</v>
      </c>
      <c r="DF1036" s="6"/>
      <c r="DG1036" s="6"/>
      <c r="DH1036" s="6"/>
      <c r="DI1036" s="6"/>
      <c r="DJ1036" s="7">
        <v>0</v>
      </c>
      <c r="DK1036" s="7">
        <v>0</v>
      </c>
      <c r="DL1036" s="7">
        <v>0</v>
      </c>
      <c r="DM1036" s="7">
        <v>0</v>
      </c>
      <c r="DN1036" s="7">
        <v>0</v>
      </c>
      <c r="DO1036" s="7">
        <v>0</v>
      </c>
      <c r="DP1036" s="6"/>
      <c r="DQ1036" s="4" t="s">
        <v>125</v>
      </c>
    </row>
    <row r="1037" spans="1:121" ht="20" customHeight="1" x14ac:dyDescent="0.15">
      <c r="A1037" s="5">
        <v>2018</v>
      </c>
      <c r="B1037" s="3" t="s">
        <v>237</v>
      </c>
      <c r="C1037" s="4" t="str">
        <f t="shared" ref="C1037:C1043" si="270">"1580011"</f>
        <v>1580011</v>
      </c>
      <c r="D1037" s="4" t="s">
        <v>1181</v>
      </c>
      <c r="E1037" s="4" t="str">
        <f>"1580311"</f>
        <v>1580311</v>
      </c>
      <c r="F1037" s="4" t="s">
        <v>327</v>
      </c>
      <c r="G1037" s="4" t="s">
        <v>338</v>
      </c>
      <c r="H1037" s="7">
        <v>5</v>
      </c>
      <c r="I1037" s="6"/>
      <c r="J1037" s="4" t="s">
        <v>330</v>
      </c>
      <c r="K1037" s="7">
        <v>543.75208599999996</v>
      </c>
      <c r="L1037" s="7">
        <v>600</v>
      </c>
      <c r="M1037" s="7">
        <v>90.625348000000002</v>
      </c>
      <c r="N1037" s="7">
        <v>1</v>
      </c>
      <c r="O1037" s="7">
        <v>0</v>
      </c>
      <c r="P1037" s="7">
        <v>86.893356999999995</v>
      </c>
      <c r="Q1037" s="7">
        <v>50</v>
      </c>
      <c r="R1037" s="7">
        <v>50</v>
      </c>
      <c r="S1037" s="7">
        <v>65.996401000000006</v>
      </c>
      <c r="T1037" s="7">
        <v>75</v>
      </c>
      <c r="U1037" s="7">
        <v>43.997601000000003</v>
      </c>
      <c r="V1037" s="7">
        <v>50</v>
      </c>
      <c r="W1037" s="7">
        <v>84.429809000000006</v>
      </c>
      <c r="X1037" s="7">
        <v>50</v>
      </c>
      <c r="Y1037" s="7">
        <v>50</v>
      </c>
      <c r="Z1037" s="7">
        <v>75</v>
      </c>
      <c r="AA1037" s="7">
        <v>68.031126999999998</v>
      </c>
      <c r="AB1037" s="7">
        <v>45.354084</v>
      </c>
      <c r="AC1037" s="7">
        <v>50</v>
      </c>
      <c r="AD1037" s="7">
        <v>77.457690999999997</v>
      </c>
      <c r="AE1037" s="7">
        <v>50</v>
      </c>
      <c r="AF1037" s="7">
        <v>50</v>
      </c>
      <c r="AG1037" s="4" t="s">
        <v>124</v>
      </c>
      <c r="AH1037" s="7">
        <v>75</v>
      </c>
      <c r="AI1037" s="4" t="s">
        <v>124</v>
      </c>
      <c r="AJ1037" s="4" t="s">
        <v>124</v>
      </c>
      <c r="AK1037" s="7">
        <v>9</v>
      </c>
      <c r="AL1037" s="7">
        <v>6.96</v>
      </c>
      <c r="AM1037" s="4" t="s">
        <v>124</v>
      </c>
      <c r="AN1037" s="7">
        <v>0.89412499999999995</v>
      </c>
      <c r="AO1037" s="7">
        <v>89.412469999999999</v>
      </c>
      <c r="AP1037" s="7">
        <v>100</v>
      </c>
      <c r="AQ1037" s="7">
        <v>0.83247300000000002</v>
      </c>
      <c r="AR1037" s="7">
        <v>83.247305999999995</v>
      </c>
      <c r="AS1037" s="7">
        <v>100</v>
      </c>
      <c r="AT1037" s="4" t="s">
        <v>124</v>
      </c>
      <c r="AU1037" s="7">
        <v>0.91951799999999995</v>
      </c>
      <c r="AV1037" s="4" t="s">
        <v>124</v>
      </c>
      <c r="AW1037" s="4" t="s">
        <v>124</v>
      </c>
      <c r="AX1037" s="4" t="s">
        <v>124</v>
      </c>
      <c r="AY1037" s="7">
        <v>0.84981799999999996</v>
      </c>
      <c r="AZ1037" s="4" t="s">
        <v>124</v>
      </c>
      <c r="BA1037" s="4" t="s">
        <v>124</v>
      </c>
      <c r="BB1037" s="4" t="s">
        <v>124</v>
      </c>
      <c r="BC1037" s="4" t="s">
        <v>124</v>
      </c>
      <c r="BD1037" s="4" t="s">
        <v>124</v>
      </c>
      <c r="BE1037" s="4" t="s">
        <v>124</v>
      </c>
      <c r="BF1037" s="4" t="s">
        <v>124</v>
      </c>
      <c r="BG1037" s="4" t="s">
        <v>124</v>
      </c>
      <c r="BH1037" s="7">
        <v>0</v>
      </c>
      <c r="BI1037" s="7">
        <v>0.99489799999999995</v>
      </c>
      <c r="BJ1037" s="7">
        <v>0.96296300000000001</v>
      </c>
      <c r="BK1037" s="7">
        <v>1</v>
      </c>
      <c r="BL1037" s="7">
        <v>0.99489799999999995</v>
      </c>
      <c r="BM1037" s="7">
        <v>0.96296300000000001</v>
      </c>
      <c r="BN1037" s="7">
        <v>1</v>
      </c>
      <c r="BO1037" s="7">
        <v>0.98571399999999998</v>
      </c>
      <c r="BP1037" s="4" t="s">
        <v>124</v>
      </c>
      <c r="BQ1037" s="7">
        <v>1</v>
      </c>
      <c r="BR1037" s="7">
        <v>4.3928000000000002E-2</v>
      </c>
      <c r="BS1037" s="7">
        <v>50</v>
      </c>
      <c r="BT1037" s="7">
        <v>50</v>
      </c>
      <c r="BU1037" s="7">
        <v>7.8431000000000001E-2</v>
      </c>
      <c r="BV1037" s="7">
        <v>44.313724999999998</v>
      </c>
      <c r="BW1037" s="7">
        <v>50</v>
      </c>
      <c r="BX1037" s="4" t="s">
        <v>124</v>
      </c>
      <c r="BY1037" s="4" t="s">
        <v>124</v>
      </c>
      <c r="BZ1037" s="4" t="s">
        <v>124</v>
      </c>
      <c r="CA1037" s="4" t="s">
        <v>124</v>
      </c>
      <c r="CB1037" s="4" t="s">
        <v>124</v>
      </c>
      <c r="CC1037" s="4" t="s">
        <v>124</v>
      </c>
      <c r="CD1037" s="4" t="s">
        <v>124</v>
      </c>
      <c r="CE1037" s="4" t="s">
        <v>124</v>
      </c>
      <c r="CF1037" s="4" t="s">
        <v>124</v>
      </c>
      <c r="CG1037" s="4" t="s">
        <v>124</v>
      </c>
      <c r="CH1037" s="4" t="s">
        <v>124</v>
      </c>
      <c r="CI1037" s="4" t="s">
        <v>124</v>
      </c>
      <c r="CJ1037" s="4" t="s">
        <v>124</v>
      </c>
      <c r="CK1037" s="4" t="s">
        <v>124</v>
      </c>
      <c r="CL1037" s="4" t="s">
        <v>124</v>
      </c>
      <c r="CM1037" s="4" t="s">
        <v>124</v>
      </c>
      <c r="CN1037" s="4" t="s">
        <v>124</v>
      </c>
      <c r="CO1037" s="4" t="s">
        <v>124</v>
      </c>
      <c r="CP1037" s="4" t="s">
        <v>124</v>
      </c>
      <c r="CQ1037" s="7">
        <v>0.56140400000000001</v>
      </c>
      <c r="CR1037" s="7">
        <v>1</v>
      </c>
      <c r="CS1037" s="7">
        <v>37.426901000000001</v>
      </c>
      <c r="CT1037" s="7">
        <v>50</v>
      </c>
      <c r="CU1037" s="4" t="s">
        <v>124</v>
      </c>
      <c r="CV1037" s="4" t="s">
        <v>124</v>
      </c>
      <c r="CW1037" s="4" t="s">
        <v>124</v>
      </c>
      <c r="CX1037" s="4" t="s">
        <v>124</v>
      </c>
      <c r="CY1037" s="4" t="s">
        <v>124</v>
      </c>
      <c r="CZ1037" s="4" t="s">
        <v>124</v>
      </c>
      <c r="DA1037" s="7">
        <v>15.314097</v>
      </c>
      <c r="DB1037" s="7">
        <v>17.400950000000002</v>
      </c>
      <c r="DC1037" s="7">
        <v>16.332519999999999</v>
      </c>
      <c r="DD1037" s="4" t="s">
        <v>124</v>
      </c>
      <c r="DE1037" s="7">
        <v>0</v>
      </c>
      <c r="DF1037" s="6"/>
      <c r="DG1037" s="6"/>
      <c r="DH1037" s="4" t="s">
        <v>331</v>
      </c>
      <c r="DI1037" s="4" t="s">
        <v>332</v>
      </c>
      <c r="DJ1037" s="7">
        <v>1</v>
      </c>
      <c r="DK1037" s="7">
        <v>0</v>
      </c>
      <c r="DL1037" s="7">
        <v>0</v>
      </c>
      <c r="DM1037" s="7">
        <v>0</v>
      </c>
      <c r="DN1037" s="7">
        <v>0</v>
      </c>
      <c r="DO1037" s="7">
        <v>0</v>
      </c>
      <c r="DP1037" s="6"/>
      <c r="DQ1037" s="4" t="s">
        <v>125</v>
      </c>
    </row>
    <row r="1038" spans="1:121" ht="20" customHeight="1" x14ac:dyDescent="0.15">
      <c r="A1038" s="5">
        <v>2018</v>
      </c>
      <c r="B1038" s="3" t="s">
        <v>237</v>
      </c>
      <c r="C1038" s="4" t="str">
        <f t="shared" si="270"/>
        <v>1580011</v>
      </c>
      <c r="D1038" s="4" t="s">
        <v>1182</v>
      </c>
      <c r="E1038" s="4" t="str">
        <f>"1585311"</f>
        <v>1585311</v>
      </c>
      <c r="F1038" s="4" t="s">
        <v>327</v>
      </c>
      <c r="G1038" s="7">
        <v>6</v>
      </c>
      <c r="H1038" s="7">
        <v>8</v>
      </c>
      <c r="I1038" s="6"/>
      <c r="J1038" s="4" t="s">
        <v>330</v>
      </c>
      <c r="K1038" s="7">
        <v>659.09699599999999</v>
      </c>
      <c r="L1038" s="7">
        <v>900</v>
      </c>
      <c r="M1038" s="7">
        <v>73.233000000000004</v>
      </c>
      <c r="N1038" s="7">
        <v>3</v>
      </c>
      <c r="O1038" s="7">
        <v>1</v>
      </c>
      <c r="P1038" s="7">
        <v>81.324499000000003</v>
      </c>
      <c r="Q1038" s="7">
        <v>50</v>
      </c>
      <c r="R1038" s="7">
        <v>50</v>
      </c>
      <c r="S1038" s="7">
        <v>60.832439999999998</v>
      </c>
      <c r="T1038" s="7">
        <v>75</v>
      </c>
      <c r="U1038" s="7">
        <v>40.554960000000001</v>
      </c>
      <c r="V1038" s="7">
        <v>50</v>
      </c>
      <c r="W1038" s="7">
        <v>81.308897999999999</v>
      </c>
      <c r="X1038" s="7">
        <v>50</v>
      </c>
      <c r="Y1038" s="7">
        <v>50</v>
      </c>
      <c r="Z1038" s="7">
        <v>75</v>
      </c>
      <c r="AA1038" s="7">
        <v>56.038038</v>
      </c>
      <c r="AB1038" s="7">
        <v>37.358691999999998</v>
      </c>
      <c r="AC1038" s="7">
        <v>50</v>
      </c>
      <c r="AD1038" s="7">
        <v>76.880088999999998</v>
      </c>
      <c r="AE1038" s="7">
        <v>50</v>
      </c>
      <c r="AF1038" s="7">
        <v>50</v>
      </c>
      <c r="AG1038" s="7">
        <v>54.863447999999998</v>
      </c>
      <c r="AH1038" s="7">
        <v>75</v>
      </c>
      <c r="AI1038" s="7">
        <v>36.575631999999999</v>
      </c>
      <c r="AJ1038" s="7">
        <v>50</v>
      </c>
      <c r="AK1038" s="7">
        <v>14.16</v>
      </c>
      <c r="AL1038" s="7">
        <v>18.96</v>
      </c>
      <c r="AM1038" s="7">
        <v>20.13</v>
      </c>
      <c r="AN1038" s="7">
        <v>0.58643800000000001</v>
      </c>
      <c r="AO1038" s="7">
        <v>58.643836</v>
      </c>
      <c r="AP1038" s="7">
        <v>100</v>
      </c>
      <c r="AQ1038" s="7">
        <v>0.773312</v>
      </c>
      <c r="AR1038" s="7">
        <v>77.331211999999994</v>
      </c>
      <c r="AS1038" s="7">
        <v>100</v>
      </c>
      <c r="AT1038" s="7">
        <v>0.53356599999999998</v>
      </c>
      <c r="AU1038" s="7">
        <v>0.59593600000000002</v>
      </c>
      <c r="AV1038" s="7">
        <v>53.356577000000001</v>
      </c>
      <c r="AW1038" s="7">
        <v>100</v>
      </c>
      <c r="AX1038" s="7">
        <v>0.59986099999999998</v>
      </c>
      <c r="AY1038" s="7">
        <v>0.80447100000000005</v>
      </c>
      <c r="AZ1038" s="7">
        <v>59.986103</v>
      </c>
      <c r="BA1038" s="7">
        <v>100</v>
      </c>
      <c r="BB1038" s="4" t="s">
        <v>124</v>
      </c>
      <c r="BC1038" s="4" t="s">
        <v>124</v>
      </c>
      <c r="BD1038" s="4" t="s">
        <v>124</v>
      </c>
      <c r="BE1038" s="4" t="s">
        <v>124</v>
      </c>
      <c r="BF1038" s="4" t="s">
        <v>124</v>
      </c>
      <c r="BG1038" s="4" t="s">
        <v>124</v>
      </c>
      <c r="BH1038" s="7">
        <v>1</v>
      </c>
      <c r="BI1038" s="7">
        <v>0.90088100000000004</v>
      </c>
      <c r="BJ1038" s="7">
        <v>0.83333299999999999</v>
      </c>
      <c r="BK1038" s="7">
        <v>0.91489399999999999</v>
      </c>
      <c r="BL1038" s="7">
        <v>0.90528600000000004</v>
      </c>
      <c r="BM1038" s="7">
        <v>0.85897400000000002</v>
      </c>
      <c r="BN1038" s="7">
        <v>0.91489399999999999</v>
      </c>
      <c r="BO1038" s="7">
        <v>0.96318999999999999</v>
      </c>
      <c r="BP1038" s="7">
        <v>0.92592600000000003</v>
      </c>
      <c r="BQ1038" s="7">
        <v>0.97058800000000001</v>
      </c>
      <c r="BR1038" s="7">
        <v>7.0485000000000006E-2</v>
      </c>
      <c r="BS1038" s="7">
        <v>45.903084</v>
      </c>
      <c r="BT1038" s="7">
        <v>50</v>
      </c>
      <c r="BU1038" s="7">
        <v>0.17283999999999999</v>
      </c>
      <c r="BV1038" s="7">
        <v>25.432099000000001</v>
      </c>
      <c r="BW1038" s="7">
        <v>50</v>
      </c>
      <c r="BX1038" s="4" t="s">
        <v>124</v>
      </c>
      <c r="BY1038" s="4" t="s">
        <v>124</v>
      </c>
      <c r="BZ1038" s="4" t="s">
        <v>124</v>
      </c>
      <c r="CA1038" s="4" t="s">
        <v>124</v>
      </c>
      <c r="CB1038" s="4" t="s">
        <v>124</v>
      </c>
      <c r="CC1038" s="4" t="s">
        <v>124</v>
      </c>
      <c r="CD1038" s="7">
        <v>1</v>
      </c>
      <c r="CE1038" s="7">
        <v>50</v>
      </c>
      <c r="CF1038" s="7">
        <v>50</v>
      </c>
      <c r="CG1038" s="4" t="s">
        <v>124</v>
      </c>
      <c r="CH1038" s="4" t="s">
        <v>124</v>
      </c>
      <c r="CI1038" s="4" t="s">
        <v>124</v>
      </c>
      <c r="CJ1038" s="4" t="s">
        <v>124</v>
      </c>
      <c r="CK1038" s="4" t="s">
        <v>124</v>
      </c>
      <c r="CL1038" s="4" t="s">
        <v>124</v>
      </c>
      <c r="CM1038" s="4" t="s">
        <v>124</v>
      </c>
      <c r="CN1038" s="4" t="s">
        <v>124</v>
      </c>
      <c r="CO1038" s="4" t="s">
        <v>124</v>
      </c>
      <c r="CP1038" s="4" t="s">
        <v>124</v>
      </c>
      <c r="CQ1038" s="7">
        <v>0.35932199999999997</v>
      </c>
      <c r="CR1038" s="7">
        <v>0.96091199999999999</v>
      </c>
      <c r="CS1038" s="7">
        <v>23.954802000000001</v>
      </c>
      <c r="CT1038" s="7">
        <v>50</v>
      </c>
      <c r="CU1038" s="4" t="s">
        <v>124</v>
      </c>
      <c r="CV1038" s="4" t="s">
        <v>124</v>
      </c>
      <c r="CW1038" s="4" t="s">
        <v>124</v>
      </c>
      <c r="CX1038" s="4" t="s">
        <v>124</v>
      </c>
      <c r="CY1038" s="4" t="s">
        <v>124</v>
      </c>
      <c r="CZ1038" s="4" t="s">
        <v>124</v>
      </c>
      <c r="DA1038" s="7">
        <v>15.314097</v>
      </c>
      <c r="DB1038" s="7">
        <v>17.400950000000002</v>
      </c>
      <c r="DC1038" s="7">
        <v>16.332519999999999</v>
      </c>
      <c r="DD1038" s="4" t="s">
        <v>124</v>
      </c>
      <c r="DE1038" s="7">
        <v>1</v>
      </c>
      <c r="DF1038" s="6"/>
      <c r="DG1038" s="6"/>
      <c r="DH1038" s="6"/>
      <c r="DI1038" s="6"/>
      <c r="DJ1038" s="7">
        <v>0</v>
      </c>
      <c r="DK1038" s="7">
        <v>0</v>
      </c>
      <c r="DL1038" s="7">
        <v>0</v>
      </c>
      <c r="DM1038" s="7">
        <v>0</v>
      </c>
      <c r="DN1038" s="7">
        <v>0</v>
      </c>
      <c r="DO1038" s="7">
        <v>0</v>
      </c>
      <c r="DP1038" s="6"/>
      <c r="DQ1038" s="4" t="s">
        <v>125</v>
      </c>
    </row>
    <row r="1039" spans="1:121" ht="20" customHeight="1" x14ac:dyDescent="0.15">
      <c r="A1039" s="5">
        <v>2018</v>
      </c>
      <c r="B1039" s="3" t="s">
        <v>237</v>
      </c>
      <c r="C1039" s="4" t="str">
        <f t="shared" si="270"/>
        <v>1580011</v>
      </c>
      <c r="D1039" s="4" t="s">
        <v>1183</v>
      </c>
      <c r="E1039" s="4" t="str">
        <f>"1580411"</f>
        <v>1580411</v>
      </c>
      <c r="F1039" s="4" t="s">
        <v>327</v>
      </c>
      <c r="G1039" s="4" t="s">
        <v>338</v>
      </c>
      <c r="H1039" s="7">
        <v>5</v>
      </c>
      <c r="I1039" s="6"/>
      <c r="J1039" s="4" t="s">
        <v>330</v>
      </c>
      <c r="K1039" s="7">
        <v>537.349559</v>
      </c>
      <c r="L1039" s="7">
        <v>600</v>
      </c>
      <c r="M1039" s="7">
        <v>89.558260000000004</v>
      </c>
      <c r="N1039" s="7">
        <v>1</v>
      </c>
      <c r="O1039" s="7">
        <v>0</v>
      </c>
      <c r="P1039" s="7">
        <v>88.535722000000007</v>
      </c>
      <c r="Q1039" s="7">
        <v>50</v>
      </c>
      <c r="R1039" s="7">
        <v>50</v>
      </c>
      <c r="S1039" s="7">
        <v>71.498317999999998</v>
      </c>
      <c r="T1039" s="7">
        <v>75</v>
      </c>
      <c r="U1039" s="7">
        <v>47.665545999999999</v>
      </c>
      <c r="V1039" s="7">
        <v>50</v>
      </c>
      <c r="W1039" s="7">
        <v>86.660274999999999</v>
      </c>
      <c r="X1039" s="7">
        <v>50</v>
      </c>
      <c r="Y1039" s="7">
        <v>50</v>
      </c>
      <c r="Z1039" s="7">
        <v>75</v>
      </c>
      <c r="AA1039" s="7">
        <v>66.265876000000006</v>
      </c>
      <c r="AB1039" s="7">
        <v>44.177250000000001</v>
      </c>
      <c r="AC1039" s="7">
        <v>50</v>
      </c>
      <c r="AD1039" s="7">
        <v>77.902816999999999</v>
      </c>
      <c r="AE1039" s="7">
        <v>50</v>
      </c>
      <c r="AF1039" s="7">
        <v>50</v>
      </c>
      <c r="AG1039" s="4" t="s">
        <v>124</v>
      </c>
      <c r="AH1039" s="7">
        <v>75</v>
      </c>
      <c r="AI1039" s="4" t="s">
        <v>124</v>
      </c>
      <c r="AJ1039" s="4" t="s">
        <v>124</v>
      </c>
      <c r="AK1039" s="7">
        <v>3.5</v>
      </c>
      <c r="AL1039" s="7">
        <v>8.73</v>
      </c>
      <c r="AM1039" s="4" t="s">
        <v>124</v>
      </c>
      <c r="AN1039" s="7">
        <v>0.80050299999999996</v>
      </c>
      <c r="AO1039" s="7">
        <v>80.050336999999999</v>
      </c>
      <c r="AP1039" s="7">
        <v>100</v>
      </c>
      <c r="AQ1039" s="7">
        <v>0.87484899999999999</v>
      </c>
      <c r="AR1039" s="7">
        <v>87.484943999999999</v>
      </c>
      <c r="AS1039" s="7">
        <v>100</v>
      </c>
      <c r="AT1039" s="4" t="s">
        <v>124</v>
      </c>
      <c r="AU1039" s="7">
        <v>0.83686700000000003</v>
      </c>
      <c r="AV1039" s="4" t="s">
        <v>124</v>
      </c>
      <c r="AW1039" s="4" t="s">
        <v>124</v>
      </c>
      <c r="AX1039" s="4" t="s">
        <v>124</v>
      </c>
      <c r="AY1039" s="7">
        <v>0.902783</v>
      </c>
      <c r="AZ1039" s="4" t="s">
        <v>124</v>
      </c>
      <c r="BA1039" s="4" t="s">
        <v>124</v>
      </c>
      <c r="BB1039" s="4" t="s">
        <v>124</v>
      </c>
      <c r="BC1039" s="4" t="s">
        <v>124</v>
      </c>
      <c r="BD1039" s="4" t="s">
        <v>124</v>
      </c>
      <c r="BE1039" s="4" t="s">
        <v>124</v>
      </c>
      <c r="BF1039" s="4" t="s">
        <v>124</v>
      </c>
      <c r="BG1039" s="4" t="s">
        <v>124</v>
      </c>
      <c r="BH1039" s="7">
        <v>0</v>
      </c>
      <c r="BI1039" s="7">
        <v>0.97619</v>
      </c>
      <c r="BJ1039" s="7">
        <v>0.96666700000000005</v>
      </c>
      <c r="BK1039" s="7">
        <v>0.97777800000000004</v>
      </c>
      <c r="BL1039" s="7">
        <v>0.97619</v>
      </c>
      <c r="BM1039" s="7">
        <v>0.96666700000000005</v>
      </c>
      <c r="BN1039" s="7">
        <v>0.97777800000000004</v>
      </c>
      <c r="BO1039" s="7">
        <v>0.97530899999999998</v>
      </c>
      <c r="BP1039" s="4" t="s">
        <v>124</v>
      </c>
      <c r="BQ1039" s="7">
        <v>0.98461500000000002</v>
      </c>
      <c r="BR1039" s="7">
        <v>3.8071000000000001E-2</v>
      </c>
      <c r="BS1039" s="7">
        <v>50</v>
      </c>
      <c r="BT1039" s="7">
        <v>50</v>
      </c>
      <c r="BU1039" s="7">
        <v>8.4746000000000002E-2</v>
      </c>
      <c r="BV1039" s="7">
        <v>43.050846999999997</v>
      </c>
      <c r="BW1039" s="7">
        <v>50</v>
      </c>
      <c r="BX1039" s="4" t="s">
        <v>124</v>
      </c>
      <c r="BY1039" s="4" t="s">
        <v>124</v>
      </c>
      <c r="BZ1039" s="4" t="s">
        <v>124</v>
      </c>
      <c r="CA1039" s="4" t="s">
        <v>124</v>
      </c>
      <c r="CB1039" s="4" t="s">
        <v>124</v>
      </c>
      <c r="CC1039" s="4" t="s">
        <v>124</v>
      </c>
      <c r="CD1039" s="4" t="s">
        <v>124</v>
      </c>
      <c r="CE1039" s="4" t="s">
        <v>124</v>
      </c>
      <c r="CF1039" s="4" t="s">
        <v>124</v>
      </c>
      <c r="CG1039" s="4" t="s">
        <v>124</v>
      </c>
      <c r="CH1039" s="4" t="s">
        <v>124</v>
      </c>
      <c r="CI1039" s="4" t="s">
        <v>124</v>
      </c>
      <c r="CJ1039" s="4" t="s">
        <v>124</v>
      </c>
      <c r="CK1039" s="4" t="s">
        <v>124</v>
      </c>
      <c r="CL1039" s="4" t="s">
        <v>124</v>
      </c>
      <c r="CM1039" s="4" t="s">
        <v>124</v>
      </c>
      <c r="CN1039" s="4" t="s">
        <v>124</v>
      </c>
      <c r="CO1039" s="4" t="s">
        <v>124</v>
      </c>
      <c r="CP1039" s="4" t="s">
        <v>124</v>
      </c>
      <c r="CQ1039" s="7">
        <v>0.52381</v>
      </c>
      <c r="CR1039" s="7">
        <v>0.984375</v>
      </c>
      <c r="CS1039" s="7">
        <v>34.920634999999997</v>
      </c>
      <c r="CT1039" s="7">
        <v>50</v>
      </c>
      <c r="CU1039" s="4" t="s">
        <v>124</v>
      </c>
      <c r="CV1039" s="4" t="s">
        <v>124</v>
      </c>
      <c r="CW1039" s="4" t="s">
        <v>124</v>
      </c>
      <c r="CX1039" s="4" t="s">
        <v>124</v>
      </c>
      <c r="CY1039" s="4" t="s">
        <v>124</v>
      </c>
      <c r="CZ1039" s="4" t="s">
        <v>124</v>
      </c>
      <c r="DA1039" s="7">
        <v>15.314097</v>
      </c>
      <c r="DB1039" s="7">
        <v>17.400950000000002</v>
      </c>
      <c r="DC1039" s="7">
        <v>16.332519999999999</v>
      </c>
      <c r="DD1039" s="4" t="s">
        <v>124</v>
      </c>
      <c r="DE1039" s="7">
        <v>0</v>
      </c>
      <c r="DF1039" s="6"/>
      <c r="DG1039" s="6"/>
      <c r="DH1039" s="4" t="s">
        <v>331</v>
      </c>
      <c r="DI1039" s="4" t="s">
        <v>497</v>
      </c>
      <c r="DJ1039" s="7">
        <v>1</v>
      </c>
      <c r="DK1039" s="7">
        <v>1</v>
      </c>
      <c r="DL1039" s="7">
        <v>1</v>
      </c>
      <c r="DM1039" s="7">
        <v>0</v>
      </c>
      <c r="DN1039" s="7">
        <v>0</v>
      </c>
      <c r="DO1039" s="7">
        <v>0</v>
      </c>
      <c r="DP1039" s="6"/>
      <c r="DQ1039" s="4" t="s">
        <v>125</v>
      </c>
    </row>
    <row r="1040" spans="1:121" ht="20" customHeight="1" x14ac:dyDescent="0.15">
      <c r="A1040" s="5">
        <v>2018</v>
      </c>
      <c r="B1040" s="3" t="s">
        <v>237</v>
      </c>
      <c r="C1040" s="4" t="str">
        <f t="shared" si="270"/>
        <v>1580011</v>
      </c>
      <c r="D1040" s="4" t="s">
        <v>1184</v>
      </c>
      <c r="E1040" s="4" t="str">
        <f>"1580511"</f>
        <v>1580511</v>
      </c>
      <c r="F1040" s="4" t="s">
        <v>327</v>
      </c>
      <c r="G1040" s="4" t="s">
        <v>338</v>
      </c>
      <c r="H1040" s="7">
        <v>5</v>
      </c>
      <c r="I1040" s="6"/>
      <c r="J1040" s="4" t="s">
        <v>330</v>
      </c>
      <c r="K1040" s="7">
        <v>640.84862299999998</v>
      </c>
      <c r="L1040" s="7">
        <v>800</v>
      </c>
      <c r="M1040" s="7">
        <v>80.106077999999997</v>
      </c>
      <c r="N1040" s="7">
        <v>2</v>
      </c>
      <c r="O1040" s="7">
        <v>0</v>
      </c>
      <c r="P1040" s="7">
        <v>85.296459999999996</v>
      </c>
      <c r="Q1040" s="7">
        <v>50</v>
      </c>
      <c r="R1040" s="7">
        <v>50</v>
      </c>
      <c r="S1040" s="7">
        <v>63.079087999999999</v>
      </c>
      <c r="T1040" s="7">
        <v>75</v>
      </c>
      <c r="U1040" s="7">
        <v>42.052725000000002</v>
      </c>
      <c r="V1040" s="7">
        <v>50</v>
      </c>
      <c r="W1040" s="7">
        <v>83.469279999999998</v>
      </c>
      <c r="X1040" s="7">
        <v>50</v>
      </c>
      <c r="Y1040" s="7">
        <v>50</v>
      </c>
      <c r="Z1040" s="7">
        <v>75</v>
      </c>
      <c r="AA1040" s="7">
        <v>65.754579000000007</v>
      </c>
      <c r="AB1040" s="7">
        <v>43.836385999999997</v>
      </c>
      <c r="AC1040" s="7">
        <v>50</v>
      </c>
      <c r="AD1040" s="7">
        <v>78.846981</v>
      </c>
      <c r="AE1040" s="7">
        <v>50</v>
      </c>
      <c r="AF1040" s="7">
        <v>50</v>
      </c>
      <c r="AG1040" s="4" t="s">
        <v>124</v>
      </c>
      <c r="AH1040" s="7">
        <v>75</v>
      </c>
      <c r="AI1040" s="4" t="s">
        <v>124</v>
      </c>
      <c r="AJ1040" s="4" t="s">
        <v>124</v>
      </c>
      <c r="AK1040" s="7">
        <v>11.92</v>
      </c>
      <c r="AL1040" s="7">
        <v>9.24</v>
      </c>
      <c r="AM1040" s="4" t="s">
        <v>124</v>
      </c>
      <c r="AN1040" s="7">
        <v>0.78724899999999998</v>
      </c>
      <c r="AO1040" s="7">
        <v>78.724926999999994</v>
      </c>
      <c r="AP1040" s="7">
        <v>100</v>
      </c>
      <c r="AQ1040" s="7">
        <v>0.83711000000000002</v>
      </c>
      <c r="AR1040" s="7">
        <v>83.711000999999996</v>
      </c>
      <c r="AS1040" s="7">
        <v>100</v>
      </c>
      <c r="AT1040" s="7">
        <v>0.46516999999999997</v>
      </c>
      <c r="AU1040" s="7">
        <v>0.84918800000000005</v>
      </c>
      <c r="AV1040" s="7">
        <v>46.516956</v>
      </c>
      <c r="AW1040" s="7">
        <v>100</v>
      </c>
      <c r="AX1040" s="7">
        <v>0.65054199999999995</v>
      </c>
      <c r="AY1040" s="7">
        <v>0.87155300000000002</v>
      </c>
      <c r="AZ1040" s="7">
        <v>65.054247000000004</v>
      </c>
      <c r="BA1040" s="7">
        <v>100</v>
      </c>
      <c r="BB1040" s="4" t="s">
        <v>124</v>
      </c>
      <c r="BC1040" s="4" t="s">
        <v>124</v>
      </c>
      <c r="BD1040" s="4" t="s">
        <v>124</v>
      </c>
      <c r="BE1040" s="4" t="s">
        <v>124</v>
      </c>
      <c r="BF1040" s="4" t="s">
        <v>124</v>
      </c>
      <c r="BG1040" s="4" t="s">
        <v>124</v>
      </c>
      <c r="BH1040" s="7">
        <v>0</v>
      </c>
      <c r="BI1040" s="7">
        <v>0.99203200000000002</v>
      </c>
      <c r="BJ1040" s="7">
        <v>1</v>
      </c>
      <c r="BK1040" s="7">
        <v>0.99056599999999995</v>
      </c>
      <c r="BL1040" s="7">
        <v>0.98804800000000004</v>
      </c>
      <c r="BM1040" s="7">
        <v>0.97435899999999998</v>
      </c>
      <c r="BN1040" s="7">
        <v>0.99056599999999995</v>
      </c>
      <c r="BO1040" s="7">
        <v>0.95180699999999996</v>
      </c>
      <c r="BP1040" s="4" t="s">
        <v>124</v>
      </c>
      <c r="BQ1040" s="7">
        <v>0.95833299999999999</v>
      </c>
      <c r="BR1040" s="7">
        <v>3.8217000000000001E-2</v>
      </c>
      <c r="BS1040" s="7">
        <v>50</v>
      </c>
      <c r="BT1040" s="7">
        <v>50</v>
      </c>
      <c r="BU1040" s="7">
        <v>4.1096000000000001E-2</v>
      </c>
      <c r="BV1040" s="7">
        <v>50</v>
      </c>
      <c r="BW1040" s="7">
        <v>50</v>
      </c>
      <c r="BX1040" s="4" t="s">
        <v>124</v>
      </c>
      <c r="BY1040" s="4" t="s">
        <v>124</v>
      </c>
      <c r="BZ1040" s="4" t="s">
        <v>124</v>
      </c>
      <c r="CA1040" s="4" t="s">
        <v>124</v>
      </c>
      <c r="CB1040" s="4" t="s">
        <v>124</v>
      </c>
      <c r="CC1040" s="4" t="s">
        <v>124</v>
      </c>
      <c r="CD1040" s="4" t="s">
        <v>124</v>
      </c>
      <c r="CE1040" s="4" t="s">
        <v>124</v>
      </c>
      <c r="CF1040" s="4" t="s">
        <v>124</v>
      </c>
      <c r="CG1040" s="4" t="s">
        <v>124</v>
      </c>
      <c r="CH1040" s="4" t="s">
        <v>124</v>
      </c>
      <c r="CI1040" s="4" t="s">
        <v>124</v>
      </c>
      <c r="CJ1040" s="4" t="s">
        <v>124</v>
      </c>
      <c r="CK1040" s="4" t="s">
        <v>124</v>
      </c>
      <c r="CL1040" s="4" t="s">
        <v>124</v>
      </c>
      <c r="CM1040" s="4" t="s">
        <v>124</v>
      </c>
      <c r="CN1040" s="4" t="s">
        <v>124</v>
      </c>
      <c r="CO1040" s="4" t="s">
        <v>124</v>
      </c>
      <c r="CP1040" s="4" t="s">
        <v>124</v>
      </c>
      <c r="CQ1040" s="7">
        <v>0.46428599999999998</v>
      </c>
      <c r="CR1040" s="7">
        <v>1.0120480000000001</v>
      </c>
      <c r="CS1040" s="7">
        <v>30.952380999999999</v>
      </c>
      <c r="CT1040" s="7">
        <v>50</v>
      </c>
      <c r="CU1040" s="4" t="s">
        <v>124</v>
      </c>
      <c r="CV1040" s="4" t="s">
        <v>124</v>
      </c>
      <c r="CW1040" s="4" t="s">
        <v>124</v>
      </c>
      <c r="CX1040" s="4" t="s">
        <v>124</v>
      </c>
      <c r="CY1040" s="4" t="s">
        <v>124</v>
      </c>
      <c r="CZ1040" s="4" t="s">
        <v>124</v>
      </c>
      <c r="DA1040" s="7">
        <v>15.314097</v>
      </c>
      <c r="DB1040" s="7">
        <v>17.400950000000002</v>
      </c>
      <c r="DC1040" s="7">
        <v>16.332519999999999</v>
      </c>
      <c r="DD1040" s="4" t="s">
        <v>124</v>
      </c>
      <c r="DE1040" s="7">
        <v>0</v>
      </c>
      <c r="DF1040" s="6"/>
      <c r="DG1040" s="6"/>
      <c r="DH1040" s="4" t="s">
        <v>331</v>
      </c>
      <c r="DI1040" s="4" t="s">
        <v>500</v>
      </c>
      <c r="DJ1040" s="7">
        <v>0</v>
      </c>
      <c r="DK1040" s="7">
        <v>1</v>
      </c>
      <c r="DL1040" s="7">
        <v>0</v>
      </c>
      <c r="DM1040" s="7">
        <v>0</v>
      </c>
      <c r="DN1040" s="7">
        <v>0</v>
      </c>
      <c r="DO1040" s="7">
        <v>0</v>
      </c>
      <c r="DP1040" s="6"/>
      <c r="DQ1040" s="4" t="s">
        <v>125</v>
      </c>
    </row>
    <row r="1041" spans="1:121" ht="20" customHeight="1" x14ac:dyDescent="0.15">
      <c r="A1041" s="5">
        <v>2018</v>
      </c>
      <c r="B1041" s="3" t="s">
        <v>237</v>
      </c>
      <c r="C1041" s="4" t="str">
        <f>"1580011"</f>
        <v>1580011</v>
      </c>
      <c r="D1041" s="4" t="s">
        <v>1185</v>
      </c>
      <c r="E1041" s="4" t="str">
        <f>"1580711"</f>
        <v>1580711</v>
      </c>
      <c r="F1041" s="4" t="s">
        <v>327</v>
      </c>
      <c r="G1041" s="4" t="s">
        <v>338</v>
      </c>
      <c r="H1041" s="7">
        <v>5</v>
      </c>
      <c r="I1041" s="6"/>
      <c r="J1041" s="4" t="s">
        <v>330</v>
      </c>
      <c r="K1041" s="7">
        <v>662.14859999999999</v>
      </c>
      <c r="L1041" s="7">
        <v>800</v>
      </c>
      <c r="M1041" s="7">
        <v>82.768574999999998</v>
      </c>
      <c r="N1041" s="7">
        <v>2</v>
      </c>
      <c r="O1041" s="7">
        <v>0</v>
      </c>
      <c r="P1041" s="7">
        <v>85.991341000000006</v>
      </c>
      <c r="Q1041" s="7">
        <v>50</v>
      </c>
      <c r="R1041" s="7">
        <v>50</v>
      </c>
      <c r="S1041" s="7">
        <v>64.584203000000002</v>
      </c>
      <c r="T1041" s="7">
        <v>75</v>
      </c>
      <c r="U1041" s="7">
        <v>43.056134999999998</v>
      </c>
      <c r="V1041" s="7">
        <v>50</v>
      </c>
      <c r="W1041" s="7">
        <v>83.064865999999995</v>
      </c>
      <c r="X1041" s="7">
        <v>50</v>
      </c>
      <c r="Y1041" s="7">
        <v>50</v>
      </c>
      <c r="Z1041" s="7">
        <v>75</v>
      </c>
      <c r="AA1041" s="7">
        <v>62.386132000000003</v>
      </c>
      <c r="AB1041" s="7">
        <v>41.590753999999997</v>
      </c>
      <c r="AC1041" s="7">
        <v>50</v>
      </c>
      <c r="AD1041" s="7">
        <v>76.826059000000001</v>
      </c>
      <c r="AE1041" s="7">
        <v>50</v>
      </c>
      <c r="AF1041" s="7">
        <v>50</v>
      </c>
      <c r="AG1041" s="4" t="s">
        <v>124</v>
      </c>
      <c r="AH1041" s="7">
        <v>75</v>
      </c>
      <c r="AI1041" s="4" t="s">
        <v>124</v>
      </c>
      <c r="AJ1041" s="4" t="s">
        <v>124</v>
      </c>
      <c r="AK1041" s="7">
        <v>10.41</v>
      </c>
      <c r="AL1041" s="7">
        <v>12.61</v>
      </c>
      <c r="AM1041" s="4" t="s">
        <v>124</v>
      </c>
      <c r="AN1041" s="7">
        <v>0.78175700000000004</v>
      </c>
      <c r="AO1041" s="7">
        <v>78.175687999999994</v>
      </c>
      <c r="AP1041" s="7">
        <v>100</v>
      </c>
      <c r="AQ1041" s="7">
        <v>0.80990099999999998</v>
      </c>
      <c r="AR1041" s="7">
        <v>80.990133</v>
      </c>
      <c r="AS1041" s="7">
        <v>100</v>
      </c>
      <c r="AT1041" s="7">
        <v>0.62747299999999995</v>
      </c>
      <c r="AU1041" s="7">
        <v>0.80293300000000001</v>
      </c>
      <c r="AV1041" s="7">
        <v>62.747267000000001</v>
      </c>
      <c r="AW1041" s="7">
        <v>100</v>
      </c>
      <c r="AX1041" s="7">
        <v>0.72620600000000002</v>
      </c>
      <c r="AY1041" s="7">
        <v>0.821465</v>
      </c>
      <c r="AZ1041" s="7">
        <v>72.620586000000003</v>
      </c>
      <c r="BA1041" s="7">
        <v>100</v>
      </c>
      <c r="BB1041" s="4" t="s">
        <v>124</v>
      </c>
      <c r="BC1041" s="4" t="s">
        <v>124</v>
      </c>
      <c r="BD1041" s="4" t="s">
        <v>124</v>
      </c>
      <c r="BE1041" s="4" t="s">
        <v>124</v>
      </c>
      <c r="BF1041" s="4" t="s">
        <v>124</v>
      </c>
      <c r="BG1041" s="4" t="s">
        <v>124</v>
      </c>
      <c r="BH1041" s="7">
        <v>0</v>
      </c>
      <c r="BI1041" s="7">
        <v>0.99295800000000001</v>
      </c>
      <c r="BJ1041" s="7">
        <v>0.97222200000000003</v>
      </c>
      <c r="BK1041" s="7">
        <v>0.99596799999999996</v>
      </c>
      <c r="BL1041" s="7">
        <v>0.98943700000000001</v>
      </c>
      <c r="BM1041" s="7">
        <v>0.97222200000000003</v>
      </c>
      <c r="BN1041" s="7">
        <v>0.99193500000000001</v>
      </c>
      <c r="BO1041" s="7">
        <v>0.980769</v>
      </c>
      <c r="BP1041" s="4" t="s">
        <v>124</v>
      </c>
      <c r="BQ1041" s="7">
        <v>0.98888900000000002</v>
      </c>
      <c r="BR1041" s="7">
        <v>3.7453E-2</v>
      </c>
      <c r="BS1041" s="7">
        <v>50</v>
      </c>
      <c r="BT1041" s="7">
        <v>50</v>
      </c>
      <c r="BU1041" s="7">
        <v>6.8492999999999998E-2</v>
      </c>
      <c r="BV1041" s="7">
        <v>46.301369999999999</v>
      </c>
      <c r="BW1041" s="7">
        <v>50</v>
      </c>
      <c r="BX1041" s="4" t="s">
        <v>124</v>
      </c>
      <c r="BY1041" s="4" t="s">
        <v>124</v>
      </c>
      <c r="BZ1041" s="4" t="s">
        <v>124</v>
      </c>
      <c r="CA1041" s="4" t="s">
        <v>124</v>
      </c>
      <c r="CB1041" s="4" t="s">
        <v>124</v>
      </c>
      <c r="CC1041" s="4" t="s">
        <v>124</v>
      </c>
      <c r="CD1041" s="4" t="s">
        <v>124</v>
      </c>
      <c r="CE1041" s="4" t="s">
        <v>124</v>
      </c>
      <c r="CF1041" s="4" t="s">
        <v>124</v>
      </c>
      <c r="CG1041" s="4" t="s">
        <v>124</v>
      </c>
      <c r="CH1041" s="4" t="s">
        <v>124</v>
      </c>
      <c r="CI1041" s="4" t="s">
        <v>124</v>
      </c>
      <c r="CJ1041" s="4" t="s">
        <v>124</v>
      </c>
      <c r="CK1041" s="4" t="s">
        <v>124</v>
      </c>
      <c r="CL1041" s="4" t="s">
        <v>124</v>
      </c>
      <c r="CM1041" s="4" t="s">
        <v>124</v>
      </c>
      <c r="CN1041" s="4" t="s">
        <v>124</v>
      </c>
      <c r="CO1041" s="4" t="s">
        <v>124</v>
      </c>
      <c r="CP1041" s="4" t="s">
        <v>124</v>
      </c>
      <c r="CQ1041" s="7">
        <v>0.55000000000000004</v>
      </c>
      <c r="CR1041" s="7">
        <v>0.98765400000000003</v>
      </c>
      <c r="CS1041" s="7">
        <v>36.666666999999997</v>
      </c>
      <c r="CT1041" s="7">
        <v>50</v>
      </c>
      <c r="CU1041" s="4" t="s">
        <v>124</v>
      </c>
      <c r="CV1041" s="4" t="s">
        <v>124</v>
      </c>
      <c r="CW1041" s="4" t="s">
        <v>124</v>
      </c>
      <c r="CX1041" s="4" t="s">
        <v>124</v>
      </c>
      <c r="CY1041" s="4" t="s">
        <v>124</v>
      </c>
      <c r="CZ1041" s="4" t="s">
        <v>124</v>
      </c>
      <c r="DA1041" s="7">
        <v>15.314097</v>
      </c>
      <c r="DB1041" s="7">
        <v>17.400950000000002</v>
      </c>
      <c r="DC1041" s="7">
        <v>16.332519999999999</v>
      </c>
      <c r="DD1041" s="4" t="s">
        <v>124</v>
      </c>
      <c r="DE1041" s="7">
        <v>0</v>
      </c>
      <c r="DF1041" s="6"/>
      <c r="DG1041" s="6"/>
      <c r="DH1041" s="4" t="s">
        <v>331</v>
      </c>
      <c r="DI1041" s="4" t="s">
        <v>500</v>
      </c>
      <c r="DJ1041" s="7">
        <v>0</v>
      </c>
      <c r="DK1041" s="7">
        <v>1</v>
      </c>
      <c r="DL1041" s="7">
        <v>0</v>
      </c>
      <c r="DM1041" s="7">
        <v>0</v>
      </c>
      <c r="DN1041" s="7">
        <v>0</v>
      </c>
      <c r="DO1041" s="7">
        <v>0</v>
      </c>
      <c r="DP1041" s="6"/>
      <c r="DQ1041" s="4" t="s">
        <v>125</v>
      </c>
    </row>
    <row r="1042" spans="1:121" ht="20" customHeight="1" x14ac:dyDescent="0.15">
      <c r="A1042" s="5">
        <v>2018</v>
      </c>
      <c r="B1042" s="3" t="s">
        <v>237</v>
      </c>
      <c r="C1042" s="4" t="str">
        <f t="shared" si="270"/>
        <v>1580011</v>
      </c>
      <c r="D1042" s="4" t="s">
        <v>1186</v>
      </c>
      <c r="E1042" s="4" t="str">
        <f>"1580811"</f>
        <v>1580811</v>
      </c>
      <c r="F1042" s="4" t="s">
        <v>327</v>
      </c>
      <c r="G1042" s="4" t="s">
        <v>338</v>
      </c>
      <c r="H1042" s="7">
        <v>5</v>
      </c>
      <c r="I1042" s="6"/>
      <c r="J1042" s="4" t="s">
        <v>330</v>
      </c>
      <c r="K1042" s="7">
        <v>707.50822800000003</v>
      </c>
      <c r="L1042" s="7">
        <v>850</v>
      </c>
      <c r="M1042" s="7">
        <v>83.236261999999996</v>
      </c>
      <c r="N1042" s="7">
        <v>2</v>
      </c>
      <c r="O1042" s="7">
        <v>0</v>
      </c>
      <c r="P1042" s="7">
        <v>85.429920999999993</v>
      </c>
      <c r="Q1042" s="7">
        <v>50</v>
      </c>
      <c r="R1042" s="7">
        <v>50</v>
      </c>
      <c r="S1042" s="7">
        <v>69.192098000000001</v>
      </c>
      <c r="T1042" s="7">
        <v>75</v>
      </c>
      <c r="U1042" s="7">
        <v>46.128064999999999</v>
      </c>
      <c r="V1042" s="7">
        <v>50</v>
      </c>
      <c r="W1042" s="7">
        <v>81.795413999999994</v>
      </c>
      <c r="X1042" s="7">
        <v>50</v>
      </c>
      <c r="Y1042" s="7">
        <v>50</v>
      </c>
      <c r="Z1042" s="7">
        <v>75</v>
      </c>
      <c r="AA1042" s="7">
        <v>65.329537000000002</v>
      </c>
      <c r="AB1042" s="7">
        <v>43.553024000000001</v>
      </c>
      <c r="AC1042" s="7">
        <v>50</v>
      </c>
      <c r="AD1042" s="7">
        <v>74.665535000000006</v>
      </c>
      <c r="AE1042" s="7">
        <v>49.777023</v>
      </c>
      <c r="AF1042" s="7">
        <v>50</v>
      </c>
      <c r="AG1042" s="7">
        <v>61.464236</v>
      </c>
      <c r="AH1042" s="7">
        <v>75</v>
      </c>
      <c r="AI1042" s="7">
        <v>40.976157000000001</v>
      </c>
      <c r="AJ1042" s="7">
        <v>50</v>
      </c>
      <c r="AK1042" s="7">
        <v>5.8</v>
      </c>
      <c r="AL1042" s="7">
        <v>9.67</v>
      </c>
      <c r="AM1042" s="7">
        <v>13.53</v>
      </c>
      <c r="AN1042" s="7">
        <v>0.765544</v>
      </c>
      <c r="AO1042" s="7">
        <v>76.554373999999996</v>
      </c>
      <c r="AP1042" s="7">
        <v>100</v>
      </c>
      <c r="AQ1042" s="7">
        <v>0.87507800000000002</v>
      </c>
      <c r="AR1042" s="7">
        <v>87.507824999999997</v>
      </c>
      <c r="AS1042" s="7">
        <v>100</v>
      </c>
      <c r="AT1042" s="7">
        <v>0.68269999999999997</v>
      </c>
      <c r="AU1042" s="7">
        <v>0.78461599999999998</v>
      </c>
      <c r="AV1042" s="7">
        <v>68.269958000000003</v>
      </c>
      <c r="AW1042" s="7">
        <v>100</v>
      </c>
      <c r="AX1042" s="7">
        <v>0.74739299999999997</v>
      </c>
      <c r="AY1042" s="7">
        <v>0.904474</v>
      </c>
      <c r="AZ1042" s="7">
        <v>74.739255</v>
      </c>
      <c r="BA1042" s="7">
        <v>100</v>
      </c>
      <c r="BB1042" s="4" t="s">
        <v>124</v>
      </c>
      <c r="BC1042" s="4" t="s">
        <v>124</v>
      </c>
      <c r="BD1042" s="4" t="s">
        <v>124</v>
      </c>
      <c r="BE1042" s="4" t="s">
        <v>124</v>
      </c>
      <c r="BF1042" s="4" t="s">
        <v>124</v>
      </c>
      <c r="BG1042" s="4" t="s">
        <v>124</v>
      </c>
      <c r="BH1042" s="7">
        <v>0</v>
      </c>
      <c r="BI1042" s="7">
        <v>0.99616899999999997</v>
      </c>
      <c r="BJ1042" s="7">
        <v>1</v>
      </c>
      <c r="BK1042" s="7">
        <v>0.99519199999999997</v>
      </c>
      <c r="BL1042" s="7">
        <v>0.99616899999999997</v>
      </c>
      <c r="BM1042" s="7">
        <v>1</v>
      </c>
      <c r="BN1042" s="7">
        <v>0.99519199999999997</v>
      </c>
      <c r="BO1042" s="7">
        <v>0.97959200000000002</v>
      </c>
      <c r="BP1042" s="7">
        <v>1</v>
      </c>
      <c r="BQ1042" s="7">
        <v>0.97297299999999998</v>
      </c>
      <c r="BR1042" s="7">
        <v>2.9724E-2</v>
      </c>
      <c r="BS1042" s="7">
        <v>50</v>
      </c>
      <c r="BT1042" s="7">
        <v>50</v>
      </c>
      <c r="BU1042" s="7">
        <v>5.1948000000000001E-2</v>
      </c>
      <c r="BV1042" s="7">
        <v>49.610390000000002</v>
      </c>
      <c r="BW1042" s="7">
        <v>50</v>
      </c>
      <c r="BX1042" s="4" t="s">
        <v>124</v>
      </c>
      <c r="BY1042" s="4" t="s">
        <v>124</v>
      </c>
      <c r="BZ1042" s="4" t="s">
        <v>124</v>
      </c>
      <c r="CA1042" s="4" t="s">
        <v>124</v>
      </c>
      <c r="CB1042" s="4" t="s">
        <v>124</v>
      </c>
      <c r="CC1042" s="4" t="s">
        <v>124</v>
      </c>
      <c r="CD1042" s="4" t="s">
        <v>124</v>
      </c>
      <c r="CE1042" s="4" t="s">
        <v>124</v>
      </c>
      <c r="CF1042" s="4" t="s">
        <v>124</v>
      </c>
      <c r="CG1042" s="4" t="s">
        <v>124</v>
      </c>
      <c r="CH1042" s="4" t="s">
        <v>124</v>
      </c>
      <c r="CI1042" s="4" t="s">
        <v>124</v>
      </c>
      <c r="CJ1042" s="4" t="s">
        <v>124</v>
      </c>
      <c r="CK1042" s="4" t="s">
        <v>124</v>
      </c>
      <c r="CL1042" s="4" t="s">
        <v>124</v>
      </c>
      <c r="CM1042" s="4" t="s">
        <v>124</v>
      </c>
      <c r="CN1042" s="4" t="s">
        <v>124</v>
      </c>
      <c r="CO1042" s="4" t="s">
        <v>124</v>
      </c>
      <c r="CP1042" s="4" t="s">
        <v>124</v>
      </c>
      <c r="CQ1042" s="7">
        <v>0.30588199999999999</v>
      </c>
      <c r="CR1042" s="7">
        <v>1</v>
      </c>
      <c r="CS1042" s="7">
        <v>20.392157000000001</v>
      </c>
      <c r="CT1042" s="7">
        <v>50</v>
      </c>
      <c r="CU1042" s="4" t="s">
        <v>124</v>
      </c>
      <c r="CV1042" s="4" t="s">
        <v>124</v>
      </c>
      <c r="CW1042" s="4" t="s">
        <v>124</v>
      </c>
      <c r="CX1042" s="4" t="s">
        <v>124</v>
      </c>
      <c r="CY1042" s="4" t="s">
        <v>124</v>
      </c>
      <c r="CZ1042" s="4" t="s">
        <v>124</v>
      </c>
      <c r="DA1042" s="7">
        <v>15.314097</v>
      </c>
      <c r="DB1042" s="7">
        <v>17.400950000000002</v>
      </c>
      <c r="DC1042" s="7">
        <v>16.332519999999999</v>
      </c>
      <c r="DD1042" s="4" t="s">
        <v>124</v>
      </c>
      <c r="DE1042" s="7">
        <v>0</v>
      </c>
      <c r="DF1042" s="6"/>
      <c r="DG1042" s="6"/>
      <c r="DH1042" s="4" t="s">
        <v>331</v>
      </c>
      <c r="DI1042" s="4" t="s">
        <v>590</v>
      </c>
      <c r="DJ1042" s="7">
        <v>0</v>
      </c>
      <c r="DK1042" s="7">
        <v>0</v>
      </c>
      <c r="DL1042" s="7">
        <v>1</v>
      </c>
      <c r="DM1042" s="7">
        <v>0</v>
      </c>
      <c r="DN1042" s="7">
        <v>0</v>
      </c>
      <c r="DO1042" s="7">
        <v>0</v>
      </c>
      <c r="DP1042" s="6"/>
      <c r="DQ1042" s="4" t="s">
        <v>125</v>
      </c>
    </row>
    <row r="1043" spans="1:121" ht="20" customHeight="1" x14ac:dyDescent="0.15">
      <c r="A1043" s="5">
        <v>2018</v>
      </c>
      <c r="B1043" s="3" t="s">
        <v>237</v>
      </c>
      <c r="C1043" s="4" t="str">
        <f t="shared" si="270"/>
        <v>1580011</v>
      </c>
      <c r="D1043" s="4" t="s">
        <v>1187</v>
      </c>
      <c r="E1043" s="4" t="str">
        <f>"1586111"</f>
        <v>1586111</v>
      </c>
      <c r="F1043" s="4" t="s">
        <v>327</v>
      </c>
      <c r="G1043" s="7">
        <v>9</v>
      </c>
      <c r="H1043" s="7">
        <v>12</v>
      </c>
      <c r="I1043" s="4" t="s">
        <v>329</v>
      </c>
      <c r="J1043" s="4" t="s">
        <v>330</v>
      </c>
      <c r="K1043" s="7">
        <v>1317.029194</v>
      </c>
      <c r="L1043" s="7">
        <v>1450</v>
      </c>
      <c r="M1043" s="7">
        <v>90.829599999999999</v>
      </c>
      <c r="N1043" s="7">
        <v>2</v>
      </c>
      <c r="O1043" s="7">
        <v>1</v>
      </c>
      <c r="P1043" s="7">
        <v>75.662047999999999</v>
      </c>
      <c r="Q1043" s="7">
        <v>150</v>
      </c>
      <c r="R1043" s="7">
        <v>150</v>
      </c>
      <c r="S1043" s="7">
        <v>58.449153000000003</v>
      </c>
      <c r="T1043" s="7">
        <v>75</v>
      </c>
      <c r="U1043" s="7">
        <v>116.89830499999999</v>
      </c>
      <c r="V1043" s="7">
        <v>150</v>
      </c>
      <c r="W1043" s="7">
        <v>75.242879000000002</v>
      </c>
      <c r="X1043" s="7">
        <v>150</v>
      </c>
      <c r="Y1043" s="7">
        <v>150</v>
      </c>
      <c r="Z1043" s="7">
        <v>75</v>
      </c>
      <c r="AA1043" s="7">
        <v>51.550846999999997</v>
      </c>
      <c r="AB1043" s="7">
        <v>103.10169500000001</v>
      </c>
      <c r="AC1043" s="7">
        <v>150</v>
      </c>
      <c r="AD1043" s="7">
        <v>79.665931999999998</v>
      </c>
      <c r="AE1043" s="7">
        <v>100</v>
      </c>
      <c r="AF1043" s="7">
        <v>100</v>
      </c>
      <c r="AG1043" s="7">
        <v>60.985906999999997</v>
      </c>
      <c r="AH1043" s="7">
        <v>75</v>
      </c>
      <c r="AI1043" s="7">
        <v>81.314542000000003</v>
      </c>
      <c r="AJ1043" s="7">
        <v>100</v>
      </c>
      <c r="AK1043" s="7">
        <v>16.55</v>
      </c>
      <c r="AL1043" s="7">
        <v>23.44</v>
      </c>
      <c r="AM1043" s="7">
        <v>14.01</v>
      </c>
      <c r="AN1043" s="4" t="s">
        <v>124</v>
      </c>
      <c r="AO1043" s="4" t="s">
        <v>124</v>
      </c>
      <c r="AP1043" s="4" t="s">
        <v>124</v>
      </c>
      <c r="AQ1043" s="4" t="s">
        <v>124</v>
      </c>
      <c r="AR1043" s="4" t="s">
        <v>124</v>
      </c>
      <c r="AS1043" s="4" t="s">
        <v>124</v>
      </c>
      <c r="AT1043" s="4" t="s">
        <v>124</v>
      </c>
      <c r="AU1043" s="4" t="s">
        <v>124</v>
      </c>
      <c r="AV1043" s="4" t="s">
        <v>124</v>
      </c>
      <c r="AW1043" s="4" t="s">
        <v>124</v>
      </c>
      <c r="AX1043" s="4" t="s">
        <v>124</v>
      </c>
      <c r="AY1043" s="4" t="s">
        <v>124</v>
      </c>
      <c r="AZ1043" s="4" t="s">
        <v>124</v>
      </c>
      <c r="BA1043" s="4" t="s">
        <v>124</v>
      </c>
      <c r="BB1043" s="4" t="s">
        <v>124</v>
      </c>
      <c r="BC1043" s="4" t="s">
        <v>124</v>
      </c>
      <c r="BD1043" s="4" t="s">
        <v>124</v>
      </c>
      <c r="BE1043" s="4" t="s">
        <v>124</v>
      </c>
      <c r="BF1043" s="4" t="s">
        <v>124</v>
      </c>
      <c r="BG1043" s="4" t="s">
        <v>124</v>
      </c>
      <c r="BH1043" s="7">
        <v>0</v>
      </c>
      <c r="BI1043" s="7">
        <v>0.99315100000000001</v>
      </c>
      <c r="BJ1043" s="7">
        <v>0.98333300000000001</v>
      </c>
      <c r="BK1043" s="7">
        <v>0.99470899999999995</v>
      </c>
      <c r="BL1043" s="7">
        <v>0.99315100000000001</v>
      </c>
      <c r="BM1043" s="7">
        <v>0.98333300000000001</v>
      </c>
      <c r="BN1043" s="7">
        <v>0.99470899999999995</v>
      </c>
      <c r="BO1043" s="7">
        <v>0.99543400000000004</v>
      </c>
      <c r="BP1043" s="7">
        <v>0.98333300000000001</v>
      </c>
      <c r="BQ1043" s="7">
        <v>0.99735399999999996</v>
      </c>
      <c r="BR1043" s="7">
        <v>4.3666000000000003E-2</v>
      </c>
      <c r="BS1043" s="7">
        <v>50</v>
      </c>
      <c r="BT1043" s="7">
        <v>50</v>
      </c>
      <c r="BU1043" s="7">
        <v>0.13026799999999999</v>
      </c>
      <c r="BV1043" s="7">
        <v>33.946359999999999</v>
      </c>
      <c r="BW1043" s="7">
        <v>50</v>
      </c>
      <c r="BX1043" s="7">
        <v>0.88061299999999998</v>
      </c>
      <c r="BY1043" s="7">
        <v>50</v>
      </c>
      <c r="BZ1043" s="7">
        <v>50</v>
      </c>
      <c r="CA1043" s="7">
        <v>0.84665900000000005</v>
      </c>
      <c r="CB1043" s="7">
        <v>50</v>
      </c>
      <c r="CC1043" s="7">
        <v>50</v>
      </c>
      <c r="CD1043" s="7">
        <v>0.98931599999999997</v>
      </c>
      <c r="CE1043" s="7">
        <v>50</v>
      </c>
      <c r="CF1043" s="7">
        <v>50</v>
      </c>
      <c r="CG1043" s="7">
        <v>0.99339200000000005</v>
      </c>
      <c r="CH1043" s="7">
        <v>100</v>
      </c>
      <c r="CI1043" s="7">
        <v>100</v>
      </c>
      <c r="CJ1043" s="7">
        <v>0</v>
      </c>
      <c r="CK1043" s="7">
        <v>0.98863599999999996</v>
      </c>
      <c r="CL1043" s="7">
        <v>100</v>
      </c>
      <c r="CM1043" s="7">
        <v>100</v>
      </c>
      <c r="CN1043" s="7">
        <v>0.87991299999999995</v>
      </c>
      <c r="CO1043" s="7">
        <v>100</v>
      </c>
      <c r="CP1043" s="7">
        <v>100</v>
      </c>
      <c r="CQ1043" s="7">
        <v>0.54054100000000005</v>
      </c>
      <c r="CR1043" s="7">
        <v>0.93670900000000001</v>
      </c>
      <c r="CS1043" s="7">
        <v>36.036036000000003</v>
      </c>
      <c r="CT1043" s="7">
        <v>50</v>
      </c>
      <c r="CU1043" s="7">
        <v>0.54878700000000002</v>
      </c>
      <c r="CV1043" s="7">
        <v>45.732255000000002</v>
      </c>
      <c r="CW1043" s="7">
        <v>50</v>
      </c>
      <c r="CX1043" s="7">
        <v>0.98863599999999996</v>
      </c>
      <c r="CY1043" s="7">
        <v>0.94</v>
      </c>
      <c r="CZ1043" s="7">
        <v>-4.8635999999999999E-2</v>
      </c>
      <c r="DA1043" s="7">
        <v>15.314097</v>
      </c>
      <c r="DB1043" s="7">
        <v>17.400950000000002</v>
      </c>
      <c r="DC1043" s="7">
        <v>16.332519999999999</v>
      </c>
      <c r="DD1043" s="7">
        <v>7.9891730000000001</v>
      </c>
      <c r="DE1043" s="7">
        <v>1</v>
      </c>
      <c r="DF1043" s="6"/>
      <c r="DG1043" s="6"/>
      <c r="DH1043" s="6"/>
      <c r="DI1043" s="6"/>
      <c r="DJ1043" s="7">
        <v>0</v>
      </c>
      <c r="DK1043" s="7">
        <v>0</v>
      </c>
      <c r="DL1043" s="7">
        <v>0</v>
      </c>
      <c r="DM1043" s="7">
        <v>0</v>
      </c>
      <c r="DN1043" s="7">
        <v>0</v>
      </c>
      <c r="DO1043" s="7">
        <v>0</v>
      </c>
      <c r="DP1043" s="6"/>
      <c r="DQ1043" s="4" t="s">
        <v>125</v>
      </c>
    </row>
    <row r="1044" spans="1:121" ht="20" customHeight="1" x14ac:dyDescent="0.15">
      <c r="A1044" s="5">
        <v>2018</v>
      </c>
      <c r="B1044" s="3" t="s">
        <v>208</v>
      </c>
      <c r="C1044" s="4" t="str">
        <f t="shared" si="83"/>
        <v>1590011</v>
      </c>
      <c r="D1044" s="4" t="s">
        <v>1188</v>
      </c>
      <c r="E1044" s="4" t="str">
        <f>"1590811"</f>
        <v>1590811</v>
      </c>
      <c r="F1044" s="4" t="s">
        <v>327</v>
      </c>
      <c r="G1044" s="4" t="s">
        <v>338</v>
      </c>
      <c r="H1044" s="7">
        <v>6</v>
      </c>
      <c r="I1044" s="4" t="s">
        <v>329</v>
      </c>
      <c r="J1044" s="4" t="s">
        <v>330</v>
      </c>
      <c r="K1044" s="7">
        <v>760.76805200000001</v>
      </c>
      <c r="L1044" s="7">
        <v>950</v>
      </c>
      <c r="M1044" s="7">
        <v>80.080848000000003</v>
      </c>
      <c r="N1044" s="7">
        <v>2</v>
      </c>
      <c r="O1044" s="7">
        <v>0</v>
      </c>
      <c r="P1044" s="7">
        <v>78.728848999999997</v>
      </c>
      <c r="Q1044" s="7">
        <v>50</v>
      </c>
      <c r="R1044" s="7">
        <v>50</v>
      </c>
      <c r="S1044" s="7">
        <v>71.566952000000001</v>
      </c>
      <c r="T1044" s="7">
        <v>75</v>
      </c>
      <c r="U1044" s="7">
        <v>47.711300999999999</v>
      </c>
      <c r="V1044" s="7">
        <v>50</v>
      </c>
      <c r="W1044" s="7">
        <v>76.938259000000002</v>
      </c>
      <c r="X1044" s="7">
        <v>50</v>
      </c>
      <c r="Y1044" s="7">
        <v>50</v>
      </c>
      <c r="Z1044" s="7">
        <v>75</v>
      </c>
      <c r="AA1044" s="7">
        <v>68.487364999999997</v>
      </c>
      <c r="AB1044" s="7">
        <v>45.658242999999999</v>
      </c>
      <c r="AC1044" s="7">
        <v>50</v>
      </c>
      <c r="AD1044" s="7">
        <v>73.915249000000003</v>
      </c>
      <c r="AE1044" s="7">
        <v>49.276833000000003</v>
      </c>
      <c r="AF1044" s="7">
        <v>50</v>
      </c>
      <c r="AG1044" s="7">
        <v>65.196534999999997</v>
      </c>
      <c r="AH1044" s="7">
        <v>75</v>
      </c>
      <c r="AI1044" s="7">
        <v>43.464357</v>
      </c>
      <c r="AJ1044" s="7">
        <v>50</v>
      </c>
      <c r="AK1044" s="7">
        <v>3.43</v>
      </c>
      <c r="AL1044" s="7">
        <v>6.51</v>
      </c>
      <c r="AM1044" s="7">
        <v>9.8000000000000007</v>
      </c>
      <c r="AN1044" s="7">
        <v>0.73601899999999998</v>
      </c>
      <c r="AO1044" s="7">
        <v>73.601872</v>
      </c>
      <c r="AP1044" s="7">
        <v>100</v>
      </c>
      <c r="AQ1044" s="7">
        <v>0.77522100000000005</v>
      </c>
      <c r="AR1044" s="7">
        <v>77.522084000000007</v>
      </c>
      <c r="AS1044" s="7">
        <v>100</v>
      </c>
      <c r="AT1044" s="7">
        <v>0.75859100000000002</v>
      </c>
      <c r="AU1044" s="7">
        <v>0.72333700000000001</v>
      </c>
      <c r="AV1044" s="7">
        <v>75.859144000000001</v>
      </c>
      <c r="AW1044" s="7">
        <v>100</v>
      </c>
      <c r="AX1044" s="7">
        <v>0.67818900000000004</v>
      </c>
      <c r="AY1044" s="7">
        <v>0.82973300000000005</v>
      </c>
      <c r="AZ1044" s="7">
        <v>67.818878999999995</v>
      </c>
      <c r="BA1044" s="7">
        <v>100</v>
      </c>
      <c r="BB1044" s="7">
        <v>0.64357799999999998</v>
      </c>
      <c r="BC1044" s="7">
        <v>32.178899999999999</v>
      </c>
      <c r="BD1044" s="7">
        <v>50</v>
      </c>
      <c r="BE1044" s="7">
        <v>0.57876899999999998</v>
      </c>
      <c r="BF1044" s="7">
        <v>28.938464</v>
      </c>
      <c r="BG1044" s="7">
        <v>50</v>
      </c>
      <c r="BH1044" s="7">
        <v>0</v>
      </c>
      <c r="BI1044" s="7">
        <v>1</v>
      </c>
      <c r="BJ1044" s="7">
        <v>1</v>
      </c>
      <c r="BK1044" s="7">
        <v>1</v>
      </c>
      <c r="BL1044" s="7">
        <v>1</v>
      </c>
      <c r="BM1044" s="7">
        <v>1</v>
      </c>
      <c r="BN1044" s="7">
        <v>1</v>
      </c>
      <c r="BO1044" s="7">
        <v>0.98214299999999999</v>
      </c>
      <c r="BP1044" s="7">
        <v>1</v>
      </c>
      <c r="BQ1044" s="7">
        <v>0.96551699999999996</v>
      </c>
      <c r="BR1044" s="7">
        <v>3.6415000000000003E-2</v>
      </c>
      <c r="BS1044" s="7">
        <v>50</v>
      </c>
      <c r="BT1044" s="7">
        <v>50</v>
      </c>
      <c r="BU1044" s="7">
        <v>5.8064999999999999E-2</v>
      </c>
      <c r="BV1044" s="7">
        <v>48.387096999999997</v>
      </c>
      <c r="BW1044" s="7">
        <v>50</v>
      </c>
      <c r="BX1044" s="4" t="s">
        <v>124</v>
      </c>
      <c r="BY1044" s="4" t="s">
        <v>124</v>
      </c>
      <c r="BZ1044" s="4" t="s">
        <v>124</v>
      </c>
      <c r="CA1044" s="4" t="s">
        <v>124</v>
      </c>
      <c r="CB1044" s="4" t="s">
        <v>124</v>
      </c>
      <c r="CC1044" s="4" t="s">
        <v>124</v>
      </c>
      <c r="CD1044" s="4" t="s">
        <v>124</v>
      </c>
      <c r="CE1044" s="4" t="s">
        <v>124</v>
      </c>
      <c r="CF1044" s="4" t="s">
        <v>124</v>
      </c>
      <c r="CG1044" s="4" t="s">
        <v>124</v>
      </c>
      <c r="CH1044" s="4" t="s">
        <v>124</v>
      </c>
      <c r="CI1044" s="4" t="s">
        <v>124</v>
      </c>
      <c r="CJ1044" s="4" t="s">
        <v>124</v>
      </c>
      <c r="CK1044" s="4" t="s">
        <v>124</v>
      </c>
      <c r="CL1044" s="4" t="s">
        <v>124</v>
      </c>
      <c r="CM1044" s="4" t="s">
        <v>124</v>
      </c>
      <c r="CN1044" s="4" t="s">
        <v>124</v>
      </c>
      <c r="CO1044" s="4" t="s">
        <v>124</v>
      </c>
      <c r="CP1044" s="4" t="s">
        <v>124</v>
      </c>
      <c r="CQ1044" s="7">
        <v>0.30526300000000001</v>
      </c>
      <c r="CR1044" s="7">
        <v>1.0106379999999999</v>
      </c>
      <c r="CS1044" s="7">
        <v>20.350877000000001</v>
      </c>
      <c r="CT1044" s="7">
        <v>50</v>
      </c>
      <c r="CU1044" s="4" t="s">
        <v>124</v>
      </c>
      <c r="CV1044" s="4" t="s">
        <v>124</v>
      </c>
      <c r="CW1044" s="4" t="s">
        <v>124</v>
      </c>
      <c r="CX1044" s="4" t="s">
        <v>124</v>
      </c>
      <c r="CY1044" s="4" t="s">
        <v>124</v>
      </c>
      <c r="CZ1044" s="4" t="s">
        <v>124</v>
      </c>
      <c r="DA1044" s="7">
        <v>15.314097</v>
      </c>
      <c r="DB1044" s="7">
        <v>17.400950000000002</v>
      </c>
      <c r="DC1044" s="7">
        <v>16.332519999999999</v>
      </c>
      <c r="DD1044" s="4" t="s">
        <v>124</v>
      </c>
      <c r="DE1044" s="7">
        <v>0</v>
      </c>
      <c r="DF1044" s="6"/>
      <c r="DG1044" s="6"/>
      <c r="DH1044" s="4" t="s">
        <v>331</v>
      </c>
      <c r="DI1044" s="4" t="s">
        <v>523</v>
      </c>
      <c r="DJ1044" s="7">
        <v>0</v>
      </c>
      <c r="DK1044" s="7">
        <v>0</v>
      </c>
      <c r="DL1044" s="7">
        <v>0</v>
      </c>
      <c r="DM1044" s="7">
        <v>1</v>
      </c>
      <c r="DN1044" s="7">
        <v>0</v>
      </c>
      <c r="DO1044" s="7">
        <v>0</v>
      </c>
      <c r="DP1044" s="6"/>
      <c r="DQ1044" s="4" t="s">
        <v>125</v>
      </c>
    </row>
    <row r="1045" spans="1:121" ht="20" customHeight="1" x14ac:dyDescent="0.15">
      <c r="A1045" s="5">
        <v>2018</v>
      </c>
      <c r="B1045" s="3" t="s">
        <v>208</v>
      </c>
      <c r="C1045" s="4" t="str">
        <f t="shared" ref="C1045:C1050" si="271">"1590011"</f>
        <v>1590011</v>
      </c>
      <c r="D1045" s="4" t="s">
        <v>1189</v>
      </c>
      <c r="E1045" s="4" t="str">
        <f>"1591011"</f>
        <v>1591011</v>
      </c>
      <c r="F1045" s="4" t="s">
        <v>327</v>
      </c>
      <c r="G1045" s="4" t="s">
        <v>338</v>
      </c>
      <c r="H1045" s="7">
        <v>6</v>
      </c>
      <c r="I1045" s="4" t="s">
        <v>329</v>
      </c>
      <c r="J1045" s="4" t="s">
        <v>330</v>
      </c>
      <c r="K1045" s="7">
        <v>650.06376599999999</v>
      </c>
      <c r="L1045" s="7">
        <v>950</v>
      </c>
      <c r="M1045" s="7">
        <v>68.427764999999994</v>
      </c>
      <c r="N1045" s="7">
        <v>3</v>
      </c>
      <c r="O1045" s="7">
        <v>1</v>
      </c>
      <c r="P1045" s="7">
        <v>72.292983000000007</v>
      </c>
      <c r="Q1045" s="7">
        <v>48.195321999999997</v>
      </c>
      <c r="R1045" s="7">
        <v>50</v>
      </c>
      <c r="S1045" s="7">
        <v>61.742378000000002</v>
      </c>
      <c r="T1045" s="7">
        <v>75</v>
      </c>
      <c r="U1045" s="7">
        <v>41.161586</v>
      </c>
      <c r="V1045" s="7">
        <v>50</v>
      </c>
      <c r="W1045" s="7">
        <v>65.133460999999997</v>
      </c>
      <c r="X1045" s="7">
        <v>43.422308000000001</v>
      </c>
      <c r="Y1045" s="7">
        <v>50</v>
      </c>
      <c r="Z1045" s="7">
        <v>75</v>
      </c>
      <c r="AA1045" s="7">
        <v>54.134808999999997</v>
      </c>
      <c r="AB1045" s="7">
        <v>36.089872999999997</v>
      </c>
      <c r="AC1045" s="7">
        <v>50</v>
      </c>
      <c r="AD1045" s="7">
        <v>66.573781999999994</v>
      </c>
      <c r="AE1045" s="7">
        <v>44.382520999999997</v>
      </c>
      <c r="AF1045" s="7">
        <v>50</v>
      </c>
      <c r="AG1045" s="7">
        <v>60.776774000000003</v>
      </c>
      <c r="AH1045" s="7">
        <v>73.161289999999994</v>
      </c>
      <c r="AI1045" s="7">
        <v>40.517848999999998</v>
      </c>
      <c r="AJ1045" s="7">
        <v>50</v>
      </c>
      <c r="AK1045" s="7">
        <v>13.25</v>
      </c>
      <c r="AL1045" s="7">
        <v>20.86</v>
      </c>
      <c r="AM1045" s="7">
        <v>12.38</v>
      </c>
      <c r="AN1045" s="7">
        <v>0.66959400000000002</v>
      </c>
      <c r="AO1045" s="7">
        <v>66.959417000000002</v>
      </c>
      <c r="AP1045" s="7">
        <v>100</v>
      </c>
      <c r="AQ1045" s="7">
        <v>0.65408900000000003</v>
      </c>
      <c r="AR1045" s="7">
        <v>65.408878999999999</v>
      </c>
      <c r="AS1045" s="7">
        <v>100</v>
      </c>
      <c r="AT1045" s="7">
        <v>0.60084099999999996</v>
      </c>
      <c r="AU1045" s="7">
        <v>0.73643700000000001</v>
      </c>
      <c r="AV1045" s="7">
        <v>60.084130999999999</v>
      </c>
      <c r="AW1045" s="7">
        <v>100</v>
      </c>
      <c r="AX1045" s="7">
        <v>0.55552500000000005</v>
      </c>
      <c r="AY1045" s="7">
        <v>0.74854500000000002</v>
      </c>
      <c r="AZ1045" s="7">
        <v>55.552534000000001</v>
      </c>
      <c r="BA1045" s="7">
        <v>100</v>
      </c>
      <c r="BB1045" s="7">
        <v>0.63413299999999995</v>
      </c>
      <c r="BC1045" s="7">
        <v>31.706644000000001</v>
      </c>
      <c r="BD1045" s="7">
        <v>50</v>
      </c>
      <c r="BE1045" s="7">
        <v>0.465783</v>
      </c>
      <c r="BF1045" s="7">
        <v>23.289159999999999</v>
      </c>
      <c r="BG1045" s="7">
        <v>50</v>
      </c>
      <c r="BH1045" s="7">
        <v>0</v>
      </c>
      <c r="BI1045" s="7">
        <v>0.984375</v>
      </c>
      <c r="BJ1045" s="7">
        <v>0.99009899999999995</v>
      </c>
      <c r="BK1045" s="7">
        <v>0.97802199999999995</v>
      </c>
      <c r="BL1045" s="7">
        <v>0.97916700000000001</v>
      </c>
      <c r="BM1045" s="7">
        <v>0.98019800000000001</v>
      </c>
      <c r="BN1045" s="7">
        <v>0.97802199999999995</v>
      </c>
      <c r="BO1045" s="7">
        <v>0.97959200000000002</v>
      </c>
      <c r="BP1045" s="7">
        <v>1</v>
      </c>
      <c r="BQ1045" s="7">
        <v>0.95652199999999998</v>
      </c>
      <c r="BR1045" s="7">
        <v>9.4044000000000003E-2</v>
      </c>
      <c r="BS1045" s="7">
        <v>41.191223000000001</v>
      </c>
      <c r="BT1045" s="7">
        <v>50</v>
      </c>
      <c r="BU1045" s="7">
        <v>0.15976299999999999</v>
      </c>
      <c r="BV1045" s="7">
        <v>28.047336999999999</v>
      </c>
      <c r="BW1045" s="7">
        <v>50</v>
      </c>
      <c r="BX1045" s="4" t="s">
        <v>124</v>
      </c>
      <c r="BY1045" s="4" t="s">
        <v>124</v>
      </c>
      <c r="BZ1045" s="4" t="s">
        <v>124</v>
      </c>
      <c r="CA1045" s="4" t="s">
        <v>124</v>
      </c>
      <c r="CB1045" s="4" t="s">
        <v>124</v>
      </c>
      <c r="CC1045" s="4" t="s">
        <v>124</v>
      </c>
      <c r="CD1045" s="4" t="s">
        <v>124</v>
      </c>
      <c r="CE1045" s="4" t="s">
        <v>124</v>
      </c>
      <c r="CF1045" s="4" t="s">
        <v>124</v>
      </c>
      <c r="CG1045" s="4" t="s">
        <v>124</v>
      </c>
      <c r="CH1045" s="4" t="s">
        <v>124</v>
      </c>
      <c r="CI1045" s="4" t="s">
        <v>124</v>
      </c>
      <c r="CJ1045" s="4" t="s">
        <v>124</v>
      </c>
      <c r="CK1045" s="4" t="s">
        <v>124</v>
      </c>
      <c r="CL1045" s="4" t="s">
        <v>124</v>
      </c>
      <c r="CM1045" s="4" t="s">
        <v>124</v>
      </c>
      <c r="CN1045" s="4" t="s">
        <v>124</v>
      </c>
      <c r="CO1045" s="4" t="s">
        <v>124</v>
      </c>
      <c r="CP1045" s="4" t="s">
        <v>124</v>
      </c>
      <c r="CQ1045" s="7">
        <v>0.36082500000000001</v>
      </c>
      <c r="CR1045" s="7">
        <v>0.97979799999999995</v>
      </c>
      <c r="CS1045" s="7">
        <v>24.054983</v>
      </c>
      <c r="CT1045" s="7">
        <v>50</v>
      </c>
      <c r="CU1045" s="4" t="s">
        <v>124</v>
      </c>
      <c r="CV1045" s="4" t="s">
        <v>124</v>
      </c>
      <c r="CW1045" s="4" t="s">
        <v>124</v>
      </c>
      <c r="CX1045" s="4" t="s">
        <v>124</v>
      </c>
      <c r="CY1045" s="4" t="s">
        <v>124</v>
      </c>
      <c r="CZ1045" s="4" t="s">
        <v>124</v>
      </c>
      <c r="DA1045" s="7">
        <v>15.314097</v>
      </c>
      <c r="DB1045" s="7">
        <v>17.400950000000002</v>
      </c>
      <c r="DC1045" s="7">
        <v>16.332519999999999</v>
      </c>
      <c r="DD1045" s="4" t="s">
        <v>124</v>
      </c>
      <c r="DE1045" s="7">
        <v>1</v>
      </c>
      <c r="DF1045" s="6"/>
      <c r="DG1045" s="6"/>
      <c r="DH1045" s="6"/>
      <c r="DI1045" s="6"/>
      <c r="DJ1045" s="7">
        <v>0</v>
      </c>
      <c r="DK1045" s="7">
        <v>0</v>
      </c>
      <c r="DL1045" s="7">
        <v>0</v>
      </c>
      <c r="DM1045" s="7">
        <v>0</v>
      </c>
      <c r="DN1045" s="7">
        <v>0</v>
      </c>
      <c r="DO1045" s="7">
        <v>0</v>
      </c>
      <c r="DP1045" s="6"/>
      <c r="DQ1045" s="4" t="s">
        <v>125</v>
      </c>
    </row>
    <row r="1046" spans="1:121" ht="20" customHeight="1" x14ac:dyDescent="0.15">
      <c r="A1046" s="5">
        <v>2018</v>
      </c>
      <c r="B1046" s="3" t="s">
        <v>208</v>
      </c>
      <c r="C1046" s="4" t="str">
        <f t="shared" si="271"/>
        <v>1590011</v>
      </c>
      <c r="D1046" s="4" t="s">
        <v>1190</v>
      </c>
      <c r="E1046" s="4" t="str">
        <f>"1590211"</f>
        <v>1590211</v>
      </c>
      <c r="F1046" s="4" t="s">
        <v>327</v>
      </c>
      <c r="G1046" s="4" t="s">
        <v>338</v>
      </c>
      <c r="H1046" s="7">
        <v>6</v>
      </c>
      <c r="I1046" s="4" t="s">
        <v>329</v>
      </c>
      <c r="J1046" s="4" t="s">
        <v>330</v>
      </c>
      <c r="K1046" s="7">
        <v>727.02086699999995</v>
      </c>
      <c r="L1046" s="7">
        <v>950</v>
      </c>
      <c r="M1046" s="7">
        <v>76.528512000000006</v>
      </c>
      <c r="N1046" s="7">
        <v>2</v>
      </c>
      <c r="O1046" s="7">
        <v>0</v>
      </c>
      <c r="P1046" s="7">
        <v>73.236419999999995</v>
      </c>
      <c r="Q1046" s="7">
        <v>48.824280000000002</v>
      </c>
      <c r="R1046" s="7">
        <v>50</v>
      </c>
      <c r="S1046" s="7">
        <v>65.774241000000004</v>
      </c>
      <c r="T1046" s="7">
        <v>75</v>
      </c>
      <c r="U1046" s="7">
        <v>43.849494</v>
      </c>
      <c r="V1046" s="7">
        <v>50</v>
      </c>
      <c r="W1046" s="7">
        <v>67.954577999999998</v>
      </c>
      <c r="X1046" s="7">
        <v>45.303052000000001</v>
      </c>
      <c r="Y1046" s="7">
        <v>50</v>
      </c>
      <c r="Z1046" s="7">
        <v>73.905085999999997</v>
      </c>
      <c r="AA1046" s="7">
        <v>60.941479999999999</v>
      </c>
      <c r="AB1046" s="7">
        <v>40.627653000000002</v>
      </c>
      <c r="AC1046" s="7">
        <v>50</v>
      </c>
      <c r="AD1046" s="7">
        <v>70.106821999999994</v>
      </c>
      <c r="AE1046" s="7">
        <v>46.737881000000002</v>
      </c>
      <c r="AF1046" s="7">
        <v>50</v>
      </c>
      <c r="AG1046" s="7">
        <v>65.862643000000006</v>
      </c>
      <c r="AH1046" s="7">
        <v>74.492473000000004</v>
      </c>
      <c r="AI1046" s="7">
        <v>43.908428999999998</v>
      </c>
      <c r="AJ1046" s="7">
        <v>50</v>
      </c>
      <c r="AK1046" s="7">
        <v>9.2200000000000006</v>
      </c>
      <c r="AL1046" s="7">
        <v>12.96</v>
      </c>
      <c r="AM1046" s="7">
        <v>8.6199999999999992</v>
      </c>
      <c r="AN1046" s="7">
        <v>0.65237800000000001</v>
      </c>
      <c r="AO1046" s="7">
        <v>65.237823000000006</v>
      </c>
      <c r="AP1046" s="7">
        <v>100</v>
      </c>
      <c r="AQ1046" s="7">
        <v>0.73102999999999996</v>
      </c>
      <c r="AR1046" s="7">
        <v>73.103018000000006</v>
      </c>
      <c r="AS1046" s="7">
        <v>100</v>
      </c>
      <c r="AT1046" s="7">
        <v>0.55647999999999997</v>
      </c>
      <c r="AU1046" s="7">
        <v>0.71458200000000005</v>
      </c>
      <c r="AV1046" s="7">
        <v>55.648026000000002</v>
      </c>
      <c r="AW1046" s="7">
        <v>100</v>
      </c>
      <c r="AX1046" s="7">
        <v>0.63242100000000001</v>
      </c>
      <c r="AY1046" s="7">
        <v>0.79499299999999995</v>
      </c>
      <c r="AZ1046" s="7">
        <v>63.242148</v>
      </c>
      <c r="BA1046" s="7">
        <v>100</v>
      </c>
      <c r="BB1046" s="7">
        <v>0.81606299999999998</v>
      </c>
      <c r="BC1046" s="7">
        <v>40.803162</v>
      </c>
      <c r="BD1046" s="7">
        <v>50</v>
      </c>
      <c r="BE1046" s="7">
        <v>0.56785200000000002</v>
      </c>
      <c r="BF1046" s="7">
        <v>28.392617999999999</v>
      </c>
      <c r="BG1046" s="7">
        <v>50</v>
      </c>
      <c r="BH1046" s="7">
        <v>0</v>
      </c>
      <c r="BI1046" s="7">
        <v>0.97674399999999995</v>
      </c>
      <c r="BJ1046" s="7">
        <v>0.98333300000000001</v>
      </c>
      <c r="BK1046" s="7">
        <v>0.97101400000000004</v>
      </c>
      <c r="BL1046" s="7">
        <v>0.97674399999999995</v>
      </c>
      <c r="BM1046" s="7">
        <v>0.98333300000000001</v>
      </c>
      <c r="BN1046" s="7">
        <v>0.97101400000000004</v>
      </c>
      <c r="BO1046" s="7">
        <v>1</v>
      </c>
      <c r="BP1046" s="7">
        <v>1</v>
      </c>
      <c r="BQ1046" s="7">
        <v>1</v>
      </c>
      <c r="BR1046" s="7">
        <v>2.3147999999999998E-2</v>
      </c>
      <c r="BS1046" s="7">
        <v>50</v>
      </c>
      <c r="BT1046" s="7">
        <v>50</v>
      </c>
      <c r="BU1046" s="7">
        <v>3.6269000000000003E-2</v>
      </c>
      <c r="BV1046" s="7">
        <v>50</v>
      </c>
      <c r="BW1046" s="7">
        <v>50</v>
      </c>
      <c r="BX1046" s="4" t="s">
        <v>124</v>
      </c>
      <c r="BY1046" s="4" t="s">
        <v>124</v>
      </c>
      <c r="BZ1046" s="4" t="s">
        <v>124</v>
      </c>
      <c r="CA1046" s="4" t="s">
        <v>124</v>
      </c>
      <c r="CB1046" s="4" t="s">
        <v>124</v>
      </c>
      <c r="CC1046" s="4" t="s">
        <v>124</v>
      </c>
      <c r="CD1046" s="4" t="s">
        <v>124</v>
      </c>
      <c r="CE1046" s="4" t="s">
        <v>124</v>
      </c>
      <c r="CF1046" s="4" t="s">
        <v>124</v>
      </c>
      <c r="CG1046" s="4" t="s">
        <v>124</v>
      </c>
      <c r="CH1046" s="4" t="s">
        <v>124</v>
      </c>
      <c r="CI1046" s="4" t="s">
        <v>124</v>
      </c>
      <c r="CJ1046" s="4" t="s">
        <v>124</v>
      </c>
      <c r="CK1046" s="4" t="s">
        <v>124</v>
      </c>
      <c r="CL1046" s="4" t="s">
        <v>124</v>
      </c>
      <c r="CM1046" s="4" t="s">
        <v>124</v>
      </c>
      <c r="CN1046" s="4" t="s">
        <v>124</v>
      </c>
      <c r="CO1046" s="4" t="s">
        <v>124</v>
      </c>
      <c r="CP1046" s="4" t="s">
        <v>124</v>
      </c>
      <c r="CQ1046" s="7">
        <v>0.47014899999999998</v>
      </c>
      <c r="CR1046" s="7">
        <v>0.96402900000000002</v>
      </c>
      <c r="CS1046" s="7">
        <v>31.343284000000001</v>
      </c>
      <c r="CT1046" s="7">
        <v>50</v>
      </c>
      <c r="CU1046" s="4" t="s">
        <v>124</v>
      </c>
      <c r="CV1046" s="4" t="s">
        <v>124</v>
      </c>
      <c r="CW1046" s="4" t="s">
        <v>124</v>
      </c>
      <c r="CX1046" s="4" t="s">
        <v>124</v>
      </c>
      <c r="CY1046" s="4" t="s">
        <v>124</v>
      </c>
      <c r="CZ1046" s="4" t="s">
        <v>124</v>
      </c>
      <c r="DA1046" s="7">
        <v>15.314097</v>
      </c>
      <c r="DB1046" s="7">
        <v>17.400950000000002</v>
      </c>
      <c r="DC1046" s="7">
        <v>16.332519999999999</v>
      </c>
      <c r="DD1046" s="4" t="s">
        <v>124</v>
      </c>
      <c r="DE1046" s="7">
        <v>0</v>
      </c>
      <c r="DF1046" s="6"/>
      <c r="DG1046" s="6"/>
      <c r="DH1046" s="6"/>
      <c r="DI1046" s="6"/>
      <c r="DJ1046" s="7">
        <v>0</v>
      </c>
      <c r="DK1046" s="7">
        <v>0</v>
      </c>
      <c r="DL1046" s="7">
        <v>0</v>
      </c>
      <c r="DM1046" s="7">
        <v>0</v>
      </c>
      <c r="DN1046" s="7">
        <v>0</v>
      </c>
      <c r="DO1046" s="7">
        <v>0</v>
      </c>
      <c r="DP1046" s="6"/>
      <c r="DQ1046" s="4" t="s">
        <v>125</v>
      </c>
    </row>
    <row r="1047" spans="1:121" ht="20" customHeight="1" x14ac:dyDescent="0.15">
      <c r="A1047" s="5">
        <v>2018</v>
      </c>
      <c r="B1047" s="3" t="s">
        <v>208</v>
      </c>
      <c r="C1047" s="4" t="str">
        <f t="shared" si="271"/>
        <v>1590011</v>
      </c>
      <c r="D1047" s="4" t="s">
        <v>1191</v>
      </c>
      <c r="E1047" s="4" t="str">
        <f>"1591111"</f>
        <v>1591111</v>
      </c>
      <c r="F1047" s="4" t="s">
        <v>327</v>
      </c>
      <c r="G1047" s="4" t="s">
        <v>338</v>
      </c>
      <c r="H1047" s="7">
        <v>6</v>
      </c>
      <c r="I1047" s="6"/>
      <c r="J1047" s="4" t="s">
        <v>330</v>
      </c>
      <c r="K1047" s="7">
        <v>694.36024099999997</v>
      </c>
      <c r="L1047" s="7">
        <v>950</v>
      </c>
      <c r="M1047" s="7">
        <v>73.090552000000002</v>
      </c>
      <c r="N1047" s="7">
        <v>3</v>
      </c>
      <c r="O1047" s="7">
        <v>1</v>
      </c>
      <c r="P1047" s="7">
        <v>79.127812000000006</v>
      </c>
      <c r="Q1047" s="7">
        <v>50</v>
      </c>
      <c r="R1047" s="7">
        <v>50</v>
      </c>
      <c r="S1047" s="7">
        <v>67.508083999999997</v>
      </c>
      <c r="T1047" s="7">
        <v>75</v>
      </c>
      <c r="U1047" s="7">
        <v>45.005389000000001</v>
      </c>
      <c r="V1047" s="7">
        <v>50</v>
      </c>
      <c r="W1047" s="7">
        <v>73.217174</v>
      </c>
      <c r="X1047" s="7">
        <v>48.811450000000001</v>
      </c>
      <c r="Y1047" s="7">
        <v>50</v>
      </c>
      <c r="Z1047" s="7">
        <v>75</v>
      </c>
      <c r="AA1047" s="7">
        <v>61.281348000000001</v>
      </c>
      <c r="AB1047" s="7">
        <v>40.854232000000003</v>
      </c>
      <c r="AC1047" s="7">
        <v>50</v>
      </c>
      <c r="AD1047" s="7">
        <v>69.292899000000006</v>
      </c>
      <c r="AE1047" s="7">
        <v>46.195265999999997</v>
      </c>
      <c r="AF1047" s="7">
        <v>50</v>
      </c>
      <c r="AG1047" s="7">
        <v>56.986559</v>
      </c>
      <c r="AH1047" s="7">
        <v>75</v>
      </c>
      <c r="AI1047" s="7">
        <v>37.991039000000001</v>
      </c>
      <c r="AJ1047" s="7">
        <v>50</v>
      </c>
      <c r="AK1047" s="7">
        <v>7.49</v>
      </c>
      <c r="AL1047" s="7">
        <v>13.71</v>
      </c>
      <c r="AM1047" s="7">
        <v>18.010000000000002</v>
      </c>
      <c r="AN1047" s="7">
        <v>0.660667</v>
      </c>
      <c r="AO1047" s="7">
        <v>66.066714000000005</v>
      </c>
      <c r="AP1047" s="7">
        <v>100</v>
      </c>
      <c r="AQ1047" s="7">
        <v>0.60385800000000001</v>
      </c>
      <c r="AR1047" s="7">
        <v>60.385846000000001</v>
      </c>
      <c r="AS1047" s="7">
        <v>100</v>
      </c>
      <c r="AT1047" s="7">
        <v>0.561469</v>
      </c>
      <c r="AU1047" s="7">
        <v>0.70235899999999996</v>
      </c>
      <c r="AV1047" s="7">
        <v>56.146920000000001</v>
      </c>
      <c r="AW1047" s="7">
        <v>100</v>
      </c>
      <c r="AX1047" s="7">
        <v>0.49610799999999999</v>
      </c>
      <c r="AY1047" s="7">
        <v>0.64914499999999997</v>
      </c>
      <c r="AZ1047" s="7">
        <v>49.610767000000003</v>
      </c>
      <c r="BA1047" s="7">
        <v>100</v>
      </c>
      <c r="BB1047" s="7">
        <v>0.73661799999999999</v>
      </c>
      <c r="BC1047" s="7">
        <v>36.830919999999999</v>
      </c>
      <c r="BD1047" s="7">
        <v>50</v>
      </c>
      <c r="BE1047" s="7">
        <v>0.53276900000000005</v>
      </c>
      <c r="BF1047" s="7">
        <v>26.638465</v>
      </c>
      <c r="BG1047" s="7">
        <v>50</v>
      </c>
      <c r="BH1047" s="7">
        <v>0</v>
      </c>
      <c r="BI1047" s="7">
        <v>0.99632399999999999</v>
      </c>
      <c r="BJ1047" s="7">
        <v>1</v>
      </c>
      <c r="BK1047" s="7">
        <v>0.99453599999999998</v>
      </c>
      <c r="BL1047" s="7">
        <v>0.99632399999999999</v>
      </c>
      <c r="BM1047" s="7">
        <v>1</v>
      </c>
      <c r="BN1047" s="7">
        <v>0.99453599999999998</v>
      </c>
      <c r="BO1047" s="7">
        <v>1</v>
      </c>
      <c r="BP1047" s="7">
        <v>1</v>
      </c>
      <c r="BQ1047" s="7">
        <v>1</v>
      </c>
      <c r="BR1047" s="7">
        <v>2.6667E-2</v>
      </c>
      <c r="BS1047" s="7">
        <v>50</v>
      </c>
      <c r="BT1047" s="7">
        <v>50</v>
      </c>
      <c r="BU1047" s="7">
        <v>6.25E-2</v>
      </c>
      <c r="BV1047" s="7">
        <v>47.5</v>
      </c>
      <c r="BW1047" s="7">
        <v>50</v>
      </c>
      <c r="BX1047" s="4" t="s">
        <v>124</v>
      </c>
      <c r="BY1047" s="4" t="s">
        <v>124</v>
      </c>
      <c r="BZ1047" s="4" t="s">
        <v>124</v>
      </c>
      <c r="CA1047" s="4" t="s">
        <v>124</v>
      </c>
      <c r="CB1047" s="4" t="s">
        <v>124</v>
      </c>
      <c r="CC1047" s="4" t="s">
        <v>124</v>
      </c>
      <c r="CD1047" s="4" t="s">
        <v>124</v>
      </c>
      <c r="CE1047" s="4" t="s">
        <v>124</v>
      </c>
      <c r="CF1047" s="4" t="s">
        <v>124</v>
      </c>
      <c r="CG1047" s="4" t="s">
        <v>124</v>
      </c>
      <c r="CH1047" s="4" t="s">
        <v>124</v>
      </c>
      <c r="CI1047" s="4" t="s">
        <v>124</v>
      </c>
      <c r="CJ1047" s="4" t="s">
        <v>124</v>
      </c>
      <c r="CK1047" s="4" t="s">
        <v>124</v>
      </c>
      <c r="CL1047" s="4" t="s">
        <v>124</v>
      </c>
      <c r="CM1047" s="4" t="s">
        <v>124</v>
      </c>
      <c r="CN1047" s="4" t="s">
        <v>124</v>
      </c>
      <c r="CO1047" s="4" t="s">
        <v>124</v>
      </c>
      <c r="CP1047" s="4" t="s">
        <v>124</v>
      </c>
      <c r="CQ1047" s="7">
        <v>0.484848</v>
      </c>
      <c r="CR1047" s="7">
        <v>1.0076339999999999</v>
      </c>
      <c r="CS1047" s="7">
        <v>32.323231999999997</v>
      </c>
      <c r="CT1047" s="7">
        <v>50</v>
      </c>
      <c r="CU1047" s="4" t="s">
        <v>124</v>
      </c>
      <c r="CV1047" s="4" t="s">
        <v>124</v>
      </c>
      <c r="CW1047" s="4" t="s">
        <v>124</v>
      </c>
      <c r="CX1047" s="4" t="s">
        <v>124</v>
      </c>
      <c r="CY1047" s="4" t="s">
        <v>124</v>
      </c>
      <c r="CZ1047" s="4" t="s">
        <v>124</v>
      </c>
      <c r="DA1047" s="7">
        <v>15.314097</v>
      </c>
      <c r="DB1047" s="7">
        <v>17.400950000000002</v>
      </c>
      <c r="DC1047" s="7">
        <v>16.332519999999999</v>
      </c>
      <c r="DD1047" s="4" t="s">
        <v>124</v>
      </c>
      <c r="DE1047" s="7">
        <v>1</v>
      </c>
      <c r="DF1047" s="6"/>
      <c r="DG1047" s="6"/>
      <c r="DH1047" s="6"/>
      <c r="DI1047" s="6"/>
      <c r="DJ1047" s="7">
        <v>0</v>
      </c>
      <c r="DK1047" s="7">
        <v>0</v>
      </c>
      <c r="DL1047" s="7">
        <v>0</v>
      </c>
      <c r="DM1047" s="7">
        <v>0</v>
      </c>
      <c r="DN1047" s="7">
        <v>0</v>
      </c>
      <c r="DO1047" s="7">
        <v>0</v>
      </c>
      <c r="DP1047" s="6"/>
      <c r="DQ1047" s="4" t="s">
        <v>125</v>
      </c>
    </row>
    <row r="1048" spans="1:121" ht="20" customHeight="1" x14ac:dyDescent="0.15">
      <c r="A1048" s="5">
        <v>2018</v>
      </c>
      <c r="B1048" s="3" t="s">
        <v>208</v>
      </c>
      <c r="C1048" s="4" t="str">
        <f t="shared" si="271"/>
        <v>1590011</v>
      </c>
      <c r="D1048" s="4" t="s">
        <v>1192</v>
      </c>
      <c r="E1048" s="4" t="str">
        <f>"1591211"</f>
        <v>1591211</v>
      </c>
      <c r="F1048" s="4" t="s">
        <v>327</v>
      </c>
      <c r="G1048" s="4" t="s">
        <v>328</v>
      </c>
      <c r="H1048" s="7">
        <v>6</v>
      </c>
      <c r="I1048" s="4" t="s">
        <v>329</v>
      </c>
      <c r="J1048" s="4" t="s">
        <v>330</v>
      </c>
      <c r="K1048" s="7">
        <v>573.33406500000001</v>
      </c>
      <c r="L1048" s="7">
        <v>800</v>
      </c>
      <c r="M1048" s="7">
        <v>71.666758000000002</v>
      </c>
      <c r="N1048" s="7">
        <v>3</v>
      </c>
      <c r="O1048" s="7">
        <v>1</v>
      </c>
      <c r="P1048" s="7">
        <v>76.761374000000004</v>
      </c>
      <c r="Q1048" s="7">
        <v>50</v>
      </c>
      <c r="R1048" s="7">
        <v>50</v>
      </c>
      <c r="S1048" s="7">
        <v>62.655593000000003</v>
      </c>
      <c r="T1048" s="7">
        <v>75</v>
      </c>
      <c r="U1048" s="7">
        <v>41.770395000000001</v>
      </c>
      <c r="V1048" s="7">
        <v>50</v>
      </c>
      <c r="W1048" s="7">
        <v>70.498739</v>
      </c>
      <c r="X1048" s="7">
        <v>46.999158999999999</v>
      </c>
      <c r="Y1048" s="7">
        <v>50</v>
      </c>
      <c r="Z1048" s="7">
        <v>75</v>
      </c>
      <c r="AA1048" s="7">
        <v>56.632568999999997</v>
      </c>
      <c r="AB1048" s="7">
        <v>37.755046</v>
      </c>
      <c r="AC1048" s="7">
        <v>50</v>
      </c>
      <c r="AD1048" s="7">
        <v>80.418799000000007</v>
      </c>
      <c r="AE1048" s="7">
        <v>50</v>
      </c>
      <c r="AF1048" s="7">
        <v>50</v>
      </c>
      <c r="AG1048" s="4" t="s">
        <v>124</v>
      </c>
      <c r="AH1048" s="4" t="s">
        <v>124</v>
      </c>
      <c r="AI1048" s="4" t="s">
        <v>124</v>
      </c>
      <c r="AJ1048" s="4" t="s">
        <v>124</v>
      </c>
      <c r="AK1048" s="7">
        <v>12.34</v>
      </c>
      <c r="AL1048" s="7">
        <v>18.36</v>
      </c>
      <c r="AM1048" s="4" t="s">
        <v>124</v>
      </c>
      <c r="AN1048" s="7">
        <v>0.61036699999999999</v>
      </c>
      <c r="AO1048" s="7">
        <v>61.036650000000002</v>
      </c>
      <c r="AP1048" s="7">
        <v>100</v>
      </c>
      <c r="AQ1048" s="7">
        <v>0.68000400000000005</v>
      </c>
      <c r="AR1048" s="7">
        <v>68.000405999999998</v>
      </c>
      <c r="AS1048" s="7">
        <v>100</v>
      </c>
      <c r="AT1048" s="7">
        <v>0.382185</v>
      </c>
      <c r="AU1048" s="7">
        <v>0.68924399999999997</v>
      </c>
      <c r="AV1048" s="7">
        <v>38.218539</v>
      </c>
      <c r="AW1048" s="7">
        <v>100</v>
      </c>
      <c r="AX1048" s="7">
        <v>0.53572500000000001</v>
      </c>
      <c r="AY1048" s="7">
        <v>0.73114100000000004</v>
      </c>
      <c r="AZ1048" s="7">
        <v>53.572513999999998</v>
      </c>
      <c r="BA1048" s="7">
        <v>100</v>
      </c>
      <c r="BB1048" s="4" t="s">
        <v>124</v>
      </c>
      <c r="BC1048" s="4" t="s">
        <v>124</v>
      </c>
      <c r="BD1048" s="4" t="s">
        <v>124</v>
      </c>
      <c r="BE1048" s="4" t="s">
        <v>124</v>
      </c>
      <c r="BF1048" s="4" t="s">
        <v>124</v>
      </c>
      <c r="BG1048" s="4" t="s">
        <v>124</v>
      </c>
      <c r="BH1048" s="7">
        <v>0</v>
      </c>
      <c r="BI1048" s="7">
        <v>0.99371100000000001</v>
      </c>
      <c r="BJ1048" s="7">
        <v>0.981132</v>
      </c>
      <c r="BK1048" s="7">
        <v>1</v>
      </c>
      <c r="BL1048" s="7">
        <v>0.98742099999999999</v>
      </c>
      <c r="BM1048" s="7">
        <v>0.981132</v>
      </c>
      <c r="BN1048" s="7">
        <v>0.99056599999999995</v>
      </c>
      <c r="BO1048" s="7">
        <v>1</v>
      </c>
      <c r="BP1048" s="4" t="s">
        <v>124</v>
      </c>
      <c r="BQ1048" s="4" t="s">
        <v>124</v>
      </c>
      <c r="BR1048" s="7">
        <v>2.2814000000000001E-2</v>
      </c>
      <c r="BS1048" s="7">
        <v>50</v>
      </c>
      <c r="BT1048" s="7">
        <v>50</v>
      </c>
      <c r="BU1048" s="7">
        <v>6.1856000000000001E-2</v>
      </c>
      <c r="BV1048" s="7">
        <v>47.628866000000002</v>
      </c>
      <c r="BW1048" s="7">
        <v>50</v>
      </c>
      <c r="BX1048" s="4" t="s">
        <v>124</v>
      </c>
      <c r="BY1048" s="4" t="s">
        <v>124</v>
      </c>
      <c r="BZ1048" s="4" t="s">
        <v>124</v>
      </c>
      <c r="CA1048" s="4" t="s">
        <v>124</v>
      </c>
      <c r="CB1048" s="4" t="s">
        <v>124</v>
      </c>
      <c r="CC1048" s="4" t="s">
        <v>124</v>
      </c>
      <c r="CD1048" s="4" t="s">
        <v>124</v>
      </c>
      <c r="CE1048" s="4" t="s">
        <v>124</v>
      </c>
      <c r="CF1048" s="4" t="s">
        <v>124</v>
      </c>
      <c r="CG1048" s="4" t="s">
        <v>124</v>
      </c>
      <c r="CH1048" s="4" t="s">
        <v>124</v>
      </c>
      <c r="CI1048" s="4" t="s">
        <v>124</v>
      </c>
      <c r="CJ1048" s="4" t="s">
        <v>124</v>
      </c>
      <c r="CK1048" s="4" t="s">
        <v>124</v>
      </c>
      <c r="CL1048" s="4" t="s">
        <v>124</v>
      </c>
      <c r="CM1048" s="4" t="s">
        <v>124</v>
      </c>
      <c r="CN1048" s="4" t="s">
        <v>124</v>
      </c>
      <c r="CO1048" s="4" t="s">
        <v>124</v>
      </c>
      <c r="CP1048" s="4" t="s">
        <v>124</v>
      </c>
      <c r="CQ1048" s="7">
        <v>0.42528700000000003</v>
      </c>
      <c r="CR1048" s="7">
        <v>1</v>
      </c>
      <c r="CS1048" s="7">
        <v>28.35249</v>
      </c>
      <c r="CT1048" s="7">
        <v>50</v>
      </c>
      <c r="CU1048" s="4" t="s">
        <v>124</v>
      </c>
      <c r="CV1048" s="4" t="s">
        <v>124</v>
      </c>
      <c r="CW1048" s="4" t="s">
        <v>124</v>
      </c>
      <c r="CX1048" s="4" t="s">
        <v>124</v>
      </c>
      <c r="CY1048" s="4" t="s">
        <v>124</v>
      </c>
      <c r="CZ1048" s="4" t="s">
        <v>124</v>
      </c>
      <c r="DA1048" s="7">
        <v>15.314097</v>
      </c>
      <c r="DB1048" s="7">
        <v>17.400950000000002</v>
      </c>
      <c r="DC1048" s="7">
        <v>16.332519999999999</v>
      </c>
      <c r="DD1048" s="4" t="s">
        <v>124</v>
      </c>
      <c r="DE1048" s="7">
        <v>1</v>
      </c>
      <c r="DF1048" s="6"/>
      <c r="DG1048" s="6"/>
      <c r="DH1048" s="6"/>
      <c r="DI1048" s="6"/>
      <c r="DJ1048" s="7">
        <v>0</v>
      </c>
      <c r="DK1048" s="7">
        <v>0</v>
      </c>
      <c r="DL1048" s="7">
        <v>0</v>
      </c>
      <c r="DM1048" s="7">
        <v>0</v>
      </c>
      <c r="DN1048" s="7">
        <v>0</v>
      </c>
      <c r="DO1048" s="7">
        <v>0</v>
      </c>
      <c r="DP1048" s="6"/>
      <c r="DQ1048" s="4" t="s">
        <v>125</v>
      </c>
    </row>
    <row r="1049" spans="1:121" ht="20" customHeight="1" x14ac:dyDescent="0.15">
      <c r="A1049" s="5">
        <v>2018</v>
      </c>
      <c r="B1049" s="3" t="s">
        <v>208</v>
      </c>
      <c r="C1049" s="4" t="str">
        <f t="shared" si="271"/>
        <v>1590011</v>
      </c>
      <c r="D1049" s="4" t="s">
        <v>1193</v>
      </c>
      <c r="E1049" s="4" t="str">
        <f>"1595211"</f>
        <v>1595211</v>
      </c>
      <c r="F1049" s="4" t="s">
        <v>327</v>
      </c>
      <c r="G1049" s="7">
        <v>7</v>
      </c>
      <c r="H1049" s="7">
        <v>8</v>
      </c>
      <c r="I1049" s="6"/>
      <c r="J1049" s="4" t="s">
        <v>330</v>
      </c>
      <c r="K1049" s="7">
        <v>662.63052200000004</v>
      </c>
      <c r="L1049" s="7">
        <v>900</v>
      </c>
      <c r="M1049" s="7">
        <v>73.625613999999999</v>
      </c>
      <c r="N1049" s="7">
        <v>3</v>
      </c>
      <c r="O1049" s="7">
        <v>1</v>
      </c>
      <c r="P1049" s="7">
        <v>71.582762000000002</v>
      </c>
      <c r="Q1049" s="7">
        <v>47.721840999999998</v>
      </c>
      <c r="R1049" s="7">
        <v>50</v>
      </c>
      <c r="S1049" s="7">
        <v>58.439135999999998</v>
      </c>
      <c r="T1049" s="7">
        <v>75</v>
      </c>
      <c r="U1049" s="7">
        <v>38.959423999999999</v>
      </c>
      <c r="V1049" s="7">
        <v>50</v>
      </c>
      <c r="W1049" s="7">
        <v>69.535928999999996</v>
      </c>
      <c r="X1049" s="7">
        <v>46.357286000000002</v>
      </c>
      <c r="Y1049" s="7">
        <v>50</v>
      </c>
      <c r="Z1049" s="7">
        <v>75</v>
      </c>
      <c r="AA1049" s="7">
        <v>56.844755999999997</v>
      </c>
      <c r="AB1049" s="7">
        <v>37.896504</v>
      </c>
      <c r="AC1049" s="7">
        <v>50</v>
      </c>
      <c r="AD1049" s="7">
        <v>68.859278000000003</v>
      </c>
      <c r="AE1049" s="7">
        <v>45.906185000000001</v>
      </c>
      <c r="AF1049" s="7">
        <v>50</v>
      </c>
      <c r="AG1049" s="7">
        <v>60.614139000000002</v>
      </c>
      <c r="AH1049" s="7">
        <v>73.262930999999995</v>
      </c>
      <c r="AI1049" s="7">
        <v>40.409426000000003</v>
      </c>
      <c r="AJ1049" s="7">
        <v>50</v>
      </c>
      <c r="AK1049" s="7">
        <v>16.559999999999999</v>
      </c>
      <c r="AL1049" s="7">
        <v>18.149999999999999</v>
      </c>
      <c r="AM1049" s="7">
        <v>12.64</v>
      </c>
      <c r="AN1049" s="7">
        <v>0.54433600000000004</v>
      </c>
      <c r="AO1049" s="7">
        <v>54.433602999999998</v>
      </c>
      <c r="AP1049" s="7">
        <v>100</v>
      </c>
      <c r="AQ1049" s="7">
        <v>0.65916699999999995</v>
      </c>
      <c r="AR1049" s="7">
        <v>65.916651000000002</v>
      </c>
      <c r="AS1049" s="7">
        <v>100</v>
      </c>
      <c r="AT1049" s="7">
        <v>0.42668099999999998</v>
      </c>
      <c r="AU1049" s="7">
        <v>0.60629599999999995</v>
      </c>
      <c r="AV1049" s="7">
        <v>42.668095000000001</v>
      </c>
      <c r="AW1049" s="7">
        <v>100</v>
      </c>
      <c r="AX1049" s="7">
        <v>0.63798500000000002</v>
      </c>
      <c r="AY1049" s="7">
        <v>0.67035500000000003</v>
      </c>
      <c r="AZ1049" s="7">
        <v>63.798473999999999</v>
      </c>
      <c r="BA1049" s="7">
        <v>100</v>
      </c>
      <c r="BB1049" s="4" t="s">
        <v>124</v>
      </c>
      <c r="BC1049" s="4" t="s">
        <v>124</v>
      </c>
      <c r="BD1049" s="4" t="s">
        <v>124</v>
      </c>
      <c r="BE1049" s="4" t="s">
        <v>124</v>
      </c>
      <c r="BF1049" s="4" t="s">
        <v>124</v>
      </c>
      <c r="BG1049" s="4" t="s">
        <v>124</v>
      </c>
      <c r="BH1049" s="7">
        <v>0</v>
      </c>
      <c r="BI1049" s="7">
        <v>0.99814099999999994</v>
      </c>
      <c r="BJ1049" s="7">
        <v>0.99509800000000004</v>
      </c>
      <c r="BK1049" s="7">
        <v>1</v>
      </c>
      <c r="BL1049" s="7">
        <v>0.99628300000000003</v>
      </c>
      <c r="BM1049" s="7">
        <v>0.99509800000000004</v>
      </c>
      <c r="BN1049" s="7">
        <v>0.99700599999999995</v>
      </c>
      <c r="BO1049" s="7">
        <v>1</v>
      </c>
      <c r="BP1049" s="7">
        <v>1</v>
      </c>
      <c r="BQ1049" s="7">
        <v>1</v>
      </c>
      <c r="BR1049" s="7">
        <v>4.4609999999999997E-2</v>
      </c>
      <c r="BS1049" s="7">
        <v>50</v>
      </c>
      <c r="BT1049" s="7">
        <v>50</v>
      </c>
      <c r="BU1049" s="7">
        <v>7.8125E-2</v>
      </c>
      <c r="BV1049" s="7">
        <v>44.375</v>
      </c>
      <c r="BW1049" s="7">
        <v>50</v>
      </c>
      <c r="BX1049" s="4" t="s">
        <v>124</v>
      </c>
      <c r="BY1049" s="4" t="s">
        <v>124</v>
      </c>
      <c r="BZ1049" s="4" t="s">
        <v>124</v>
      </c>
      <c r="CA1049" s="4" t="s">
        <v>124</v>
      </c>
      <c r="CB1049" s="4" t="s">
        <v>124</v>
      </c>
      <c r="CC1049" s="4" t="s">
        <v>124</v>
      </c>
      <c r="CD1049" s="7">
        <v>0.94202900000000001</v>
      </c>
      <c r="CE1049" s="7">
        <v>50</v>
      </c>
      <c r="CF1049" s="7">
        <v>50</v>
      </c>
      <c r="CG1049" s="4" t="s">
        <v>124</v>
      </c>
      <c r="CH1049" s="4" t="s">
        <v>124</v>
      </c>
      <c r="CI1049" s="4" t="s">
        <v>124</v>
      </c>
      <c r="CJ1049" s="4" t="s">
        <v>124</v>
      </c>
      <c r="CK1049" s="4" t="s">
        <v>124</v>
      </c>
      <c r="CL1049" s="4" t="s">
        <v>124</v>
      </c>
      <c r="CM1049" s="4" t="s">
        <v>124</v>
      </c>
      <c r="CN1049" s="4" t="s">
        <v>124</v>
      </c>
      <c r="CO1049" s="4" t="s">
        <v>124</v>
      </c>
      <c r="CP1049" s="4" t="s">
        <v>124</v>
      </c>
      <c r="CQ1049" s="7">
        <v>0.51282099999999997</v>
      </c>
      <c r="CR1049" s="7">
        <v>0.98201400000000005</v>
      </c>
      <c r="CS1049" s="7">
        <v>34.188034000000002</v>
      </c>
      <c r="CT1049" s="7">
        <v>50</v>
      </c>
      <c r="CU1049" s="4" t="s">
        <v>124</v>
      </c>
      <c r="CV1049" s="4" t="s">
        <v>124</v>
      </c>
      <c r="CW1049" s="4" t="s">
        <v>124</v>
      </c>
      <c r="CX1049" s="4" t="s">
        <v>124</v>
      </c>
      <c r="CY1049" s="4" t="s">
        <v>124</v>
      </c>
      <c r="CZ1049" s="4" t="s">
        <v>124</v>
      </c>
      <c r="DA1049" s="7">
        <v>15.314097</v>
      </c>
      <c r="DB1049" s="7">
        <v>17.400950000000002</v>
      </c>
      <c r="DC1049" s="7">
        <v>16.332519999999999</v>
      </c>
      <c r="DD1049" s="4" t="s">
        <v>124</v>
      </c>
      <c r="DE1049" s="7">
        <v>1</v>
      </c>
      <c r="DF1049" s="6"/>
      <c r="DG1049" s="6"/>
      <c r="DH1049" s="6"/>
      <c r="DI1049" s="6"/>
      <c r="DJ1049" s="7">
        <v>0</v>
      </c>
      <c r="DK1049" s="7">
        <v>0</v>
      </c>
      <c r="DL1049" s="7">
        <v>0</v>
      </c>
      <c r="DM1049" s="7">
        <v>0</v>
      </c>
      <c r="DN1049" s="7">
        <v>0</v>
      </c>
      <c r="DO1049" s="7">
        <v>0</v>
      </c>
      <c r="DP1049" s="6"/>
      <c r="DQ1049" s="4" t="s">
        <v>125</v>
      </c>
    </row>
    <row r="1050" spans="1:121" ht="20" customHeight="1" x14ac:dyDescent="0.15">
      <c r="A1050" s="5">
        <v>2018</v>
      </c>
      <c r="B1050" s="3" t="s">
        <v>208</v>
      </c>
      <c r="C1050" s="4" t="str">
        <f t="shared" si="271"/>
        <v>1590011</v>
      </c>
      <c r="D1050" s="4" t="s">
        <v>1194</v>
      </c>
      <c r="E1050" s="4" t="str">
        <f>"1596111"</f>
        <v>1596111</v>
      </c>
      <c r="F1050" s="4" t="s">
        <v>327</v>
      </c>
      <c r="G1050" s="7">
        <v>9</v>
      </c>
      <c r="H1050" s="7">
        <v>12</v>
      </c>
      <c r="I1050" s="6"/>
      <c r="J1050" s="4" t="s">
        <v>330</v>
      </c>
      <c r="K1050" s="7">
        <v>1213.35888</v>
      </c>
      <c r="L1050" s="7">
        <v>1550</v>
      </c>
      <c r="M1050" s="7">
        <v>78.281217999999996</v>
      </c>
      <c r="N1050" s="7">
        <v>3</v>
      </c>
      <c r="O1050" s="7">
        <v>1</v>
      </c>
      <c r="P1050" s="7">
        <v>60.294007000000001</v>
      </c>
      <c r="Q1050" s="7">
        <v>120.588015</v>
      </c>
      <c r="R1050" s="7">
        <v>150</v>
      </c>
      <c r="S1050" s="7">
        <v>48.339661999999997</v>
      </c>
      <c r="T1050" s="7">
        <v>65.317375999999996</v>
      </c>
      <c r="U1050" s="7">
        <v>96.679325000000006</v>
      </c>
      <c r="V1050" s="7">
        <v>150</v>
      </c>
      <c r="W1050" s="7">
        <v>57.503953000000003</v>
      </c>
      <c r="X1050" s="7">
        <v>115.007907</v>
      </c>
      <c r="Y1050" s="7">
        <v>150</v>
      </c>
      <c r="Z1050" s="7">
        <v>62.674644999999998</v>
      </c>
      <c r="AA1050" s="7">
        <v>45.199015000000003</v>
      </c>
      <c r="AB1050" s="7">
        <v>90.398031000000003</v>
      </c>
      <c r="AC1050" s="7">
        <v>150</v>
      </c>
      <c r="AD1050" s="7">
        <v>60.818345000000001</v>
      </c>
      <c r="AE1050" s="7">
        <v>81.091127</v>
      </c>
      <c r="AF1050" s="7">
        <v>100</v>
      </c>
      <c r="AG1050" s="7">
        <v>49.033569999999997</v>
      </c>
      <c r="AH1050" s="7">
        <v>65.770458000000005</v>
      </c>
      <c r="AI1050" s="7">
        <v>65.378093000000007</v>
      </c>
      <c r="AJ1050" s="7">
        <v>100</v>
      </c>
      <c r="AK1050" s="7">
        <v>16.97</v>
      </c>
      <c r="AL1050" s="7">
        <v>17.47</v>
      </c>
      <c r="AM1050" s="7">
        <v>16.73</v>
      </c>
      <c r="AN1050" s="4" t="s">
        <v>124</v>
      </c>
      <c r="AO1050" s="4" t="s">
        <v>124</v>
      </c>
      <c r="AP1050" s="4" t="s">
        <v>124</v>
      </c>
      <c r="AQ1050" s="4" t="s">
        <v>124</v>
      </c>
      <c r="AR1050" s="4" t="s">
        <v>124</v>
      </c>
      <c r="AS1050" s="4" t="s">
        <v>124</v>
      </c>
      <c r="AT1050" s="4" t="s">
        <v>124</v>
      </c>
      <c r="AU1050" s="4" t="s">
        <v>124</v>
      </c>
      <c r="AV1050" s="4" t="s">
        <v>124</v>
      </c>
      <c r="AW1050" s="4" t="s">
        <v>124</v>
      </c>
      <c r="AX1050" s="4" t="s">
        <v>124</v>
      </c>
      <c r="AY1050" s="4" t="s">
        <v>124</v>
      </c>
      <c r="AZ1050" s="4" t="s">
        <v>124</v>
      </c>
      <c r="BA1050" s="4" t="s">
        <v>124</v>
      </c>
      <c r="BB1050" s="7">
        <v>0.46273399999999998</v>
      </c>
      <c r="BC1050" s="7">
        <v>23.136714999999999</v>
      </c>
      <c r="BD1050" s="7">
        <v>50</v>
      </c>
      <c r="BE1050" s="7">
        <v>0.46742400000000001</v>
      </c>
      <c r="BF1050" s="7">
        <v>23.371212</v>
      </c>
      <c r="BG1050" s="7">
        <v>50</v>
      </c>
      <c r="BH1050" s="7">
        <v>0</v>
      </c>
      <c r="BI1050" s="7">
        <v>1</v>
      </c>
      <c r="BJ1050" s="7">
        <v>1</v>
      </c>
      <c r="BK1050" s="7">
        <v>1</v>
      </c>
      <c r="BL1050" s="7">
        <v>1</v>
      </c>
      <c r="BM1050" s="7">
        <v>1</v>
      </c>
      <c r="BN1050" s="7">
        <v>1</v>
      </c>
      <c r="BO1050" s="7">
        <v>0.99631000000000003</v>
      </c>
      <c r="BP1050" s="7">
        <v>1</v>
      </c>
      <c r="BQ1050" s="7">
        <v>0.99473699999999998</v>
      </c>
      <c r="BR1050" s="7">
        <v>4.8300999999999997E-2</v>
      </c>
      <c r="BS1050" s="7">
        <v>50</v>
      </c>
      <c r="BT1050" s="7">
        <v>50</v>
      </c>
      <c r="BU1050" s="7">
        <v>0.110429</v>
      </c>
      <c r="BV1050" s="7">
        <v>37.914110000000001</v>
      </c>
      <c r="BW1050" s="7">
        <v>50</v>
      </c>
      <c r="BX1050" s="7">
        <v>0.81651399999999996</v>
      </c>
      <c r="BY1050" s="7">
        <v>50</v>
      </c>
      <c r="BZ1050" s="7">
        <v>50</v>
      </c>
      <c r="CA1050" s="7">
        <v>0.48807299999999998</v>
      </c>
      <c r="CB1050" s="7">
        <v>32.538226000000002</v>
      </c>
      <c r="CC1050" s="7">
        <v>50</v>
      </c>
      <c r="CD1050" s="7">
        <v>0.94217700000000004</v>
      </c>
      <c r="CE1050" s="7">
        <v>50</v>
      </c>
      <c r="CF1050" s="7">
        <v>50</v>
      </c>
      <c r="CG1050" s="7">
        <v>0.95751600000000003</v>
      </c>
      <c r="CH1050" s="7">
        <v>100</v>
      </c>
      <c r="CI1050" s="7">
        <v>100</v>
      </c>
      <c r="CJ1050" s="7">
        <v>0</v>
      </c>
      <c r="CK1050" s="7">
        <v>0.90697700000000003</v>
      </c>
      <c r="CL1050" s="7">
        <v>96.486887999999993</v>
      </c>
      <c r="CM1050" s="7">
        <v>100</v>
      </c>
      <c r="CN1050" s="7">
        <v>0.80808100000000005</v>
      </c>
      <c r="CO1050" s="7">
        <v>100</v>
      </c>
      <c r="CP1050" s="7">
        <v>100</v>
      </c>
      <c r="CQ1050" s="7">
        <v>0.51162799999999997</v>
      </c>
      <c r="CR1050" s="7">
        <v>0.92473099999999997</v>
      </c>
      <c r="CS1050" s="7">
        <v>34.108527000000002</v>
      </c>
      <c r="CT1050" s="7">
        <v>50</v>
      </c>
      <c r="CU1050" s="7">
        <v>0.55992799999999998</v>
      </c>
      <c r="CV1050" s="7">
        <v>46.660704000000003</v>
      </c>
      <c r="CW1050" s="7">
        <v>50</v>
      </c>
      <c r="CX1050" s="7">
        <v>0.90697700000000003</v>
      </c>
      <c r="CY1050" s="7">
        <v>0.94</v>
      </c>
      <c r="CZ1050" s="7">
        <v>3.3022999999999997E-2</v>
      </c>
      <c r="DA1050" s="7">
        <v>15.314097</v>
      </c>
      <c r="DB1050" s="7">
        <v>17.400950000000002</v>
      </c>
      <c r="DC1050" s="7">
        <v>16.332519999999999</v>
      </c>
      <c r="DD1050" s="7">
        <v>7.9891730000000001</v>
      </c>
      <c r="DE1050" s="7">
        <v>1</v>
      </c>
      <c r="DF1050" s="6"/>
      <c r="DG1050" s="6"/>
      <c r="DH1050" s="6"/>
      <c r="DI1050" s="6"/>
      <c r="DJ1050" s="7">
        <v>0</v>
      </c>
      <c r="DK1050" s="7">
        <v>0</v>
      </c>
      <c r="DL1050" s="7">
        <v>0</v>
      </c>
      <c r="DM1050" s="7">
        <v>0</v>
      </c>
      <c r="DN1050" s="7">
        <v>0</v>
      </c>
      <c r="DO1050" s="7">
        <v>0</v>
      </c>
      <c r="DP1050" s="6"/>
      <c r="DQ1050" s="4" t="s">
        <v>125</v>
      </c>
    </row>
    <row r="1051" spans="1:121" ht="20" customHeight="1" x14ac:dyDescent="0.15">
      <c r="A1051" s="5">
        <v>2018</v>
      </c>
      <c r="B1051" s="3" t="s">
        <v>238</v>
      </c>
      <c r="C1051" s="4" t="str">
        <f t="shared" si="113"/>
        <v>1600011</v>
      </c>
      <c r="D1051" s="4" t="s">
        <v>515</v>
      </c>
      <c r="E1051" s="4" t="str">
        <f>"1600111"</f>
        <v>1600111</v>
      </c>
      <c r="F1051" s="4" t="s">
        <v>327</v>
      </c>
      <c r="G1051" s="4" t="s">
        <v>328</v>
      </c>
      <c r="H1051" s="7">
        <v>4</v>
      </c>
      <c r="I1051" s="4" t="s">
        <v>329</v>
      </c>
      <c r="J1051" s="4" t="s">
        <v>330</v>
      </c>
      <c r="K1051" s="7">
        <v>474.33204599999999</v>
      </c>
      <c r="L1051" s="7">
        <v>750</v>
      </c>
      <c r="M1051" s="7">
        <v>63.244273</v>
      </c>
      <c r="N1051" s="7">
        <v>3</v>
      </c>
      <c r="O1051" s="7">
        <v>0</v>
      </c>
      <c r="P1051" s="7">
        <v>70.174743000000007</v>
      </c>
      <c r="Q1051" s="7">
        <v>46.783161999999997</v>
      </c>
      <c r="R1051" s="7">
        <v>50</v>
      </c>
      <c r="S1051" s="7">
        <v>63.710343999999999</v>
      </c>
      <c r="T1051" s="7">
        <v>74.405985000000001</v>
      </c>
      <c r="U1051" s="7">
        <v>42.473562999999999</v>
      </c>
      <c r="V1051" s="7">
        <v>50</v>
      </c>
      <c r="W1051" s="7">
        <v>66.594931000000003</v>
      </c>
      <c r="X1051" s="7">
        <v>44.396621000000003</v>
      </c>
      <c r="Y1051" s="7">
        <v>50</v>
      </c>
      <c r="Z1051" s="7">
        <v>69.533688999999995</v>
      </c>
      <c r="AA1051" s="7">
        <v>62.105162</v>
      </c>
      <c r="AB1051" s="7">
        <v>41.403441000000001</v>
      </c>
      <c r="AC1051" s="7">
        <v>50</v>
      </c>
      <c r="AD1051" s="4" t="s">
        <v>124</v>
      </c>
      <c r="AE1051" s="4" t="s">
        <v>124</v>
      </c>
      <c r="AF1051" s="4" t="s">
        <v>124</v>
      </c>
      <c r="AG1051" s="4" t="s">
        <v>124</v>
      </c>
      <c r="AH1051" s="4" t="s">
        <v>124</v>
      </c>
      <c r="AI1051" s="4" t="s">
        <v>124</v>
      </c>
      <c r="AJ1051" s="4" t="s">
        <v>124</v>
      </c>
      <c r="AK1051" s="7">
        <v>10.69</v>
      </c>
      <c r="AL1051" s="7">
        <v>7.42</v>
      </c>
      <c r="AM1051" s="4" t="s">
        <v>124</v>
      </c>
      <c r="AN1051" s="7">
        <v>0.47649799999999998</v>
      </c>
      <c r="AO1051" s="7">
        <v>47.649835000000003</v>
      </c>
      <c r="AP1051" s="7">
        <v>100</v>
      </c>
      <c r="AQ1051" s="7">
        <v>0.46327499999999999</v>
      </c>
      <c r="AR1051" s="7">
        <v>46.327477000000002</v>
      </c>
      <c r="AS1051" s="7">
        <v>100</v>
      </c>
      <c r="AT1051" s="7">
        <v>0.31986500000000001</v>
      </c>
      <c r="AU1051" s="7">
        <v>0.59698499999999999</v>
      </c>
      <c r="AV1051" s="7">
        <v>31.986522000000001</v>
      </c>
      <c r="AW1051" s="7">
        <v>100</v>
      </c>
      <c r="AX1051" s="7">
        <v>0.50855300000000003</v>
      </c>
      <c r="AY1051" s="7">
        <v>0.42844599999999999</v>
      </c>
      <c r="AZ1051" s="7">
        <v>50.855266999999998</v>
      </c>
      <c r="BA1051" s="7">
        <v>100</v>
      </c>
      <c r="BB1051" s="4" t="s">
        <v>124</v>
      </c>
      <c r="BC1051" s="4" t="s">
        <v>124</v>
      </c>
      <c r="BD1051" s="4" t="s">
        <v>124</v>
      </c>
      <c r="BE1051" s="4" t="s">
        <v>124</v>
      </c>
      <c r="BF1051" s="4" t="s">
        <v>124</v>
      </c>
      <c r="BG1051" s="4" t="s">
        <v>124</v>
      </c>
      <c r="BH1051" s="7">
        <v>1</v>
      </c>
      <c r="BI1051" s="7">
        <v>0.96842099999999998</v>
      </c>
      <c r="BJ1051" s="7">
        <v>0.94736799999999999</v>
      </c>
      <c r="BK1051" s="7">
        <v>0.982456</v>
      </c>
      <c r="BL1051" s="7">
        <v>0.96842099999999998</v>
      </c>
      <c r="BM1051" s="7">
        <v>0.94736799999999999</v>
      </c>
      <c r="BN1051" s="7">
        <v>0.982456</v>
      </c>
      <c r="BO1051" s="4" t="s">
        <v>124</v>
      </c>
      <c r="BP1051" s="4" t="s">
        <v>124</v>
      </c>
      <c r="BQ1051" s="4" t="s">
        <v>124</v>
      </c>
      <c r="BR1051" s="7">
        <v>6.2200999999999999E-2</v>
      </c>
      <c r="BS1051" s="7">
        <v>47.559809000000001</v>
      </c>
      <c r="BT1051" s="7">
        <v>50</v>
      </c>
      <c r="BU1051" s="7">
        <v>0.113924</v>
      </c>
      <c r="BV1051" s="7">
        <v>37.21519</v>
      </c>
      <c r="BW1051" s="7">
        <v>50</v>
      </c>
      <c r="BX1051" s="4" t="s">
        <v>124</v>
      </c>
      <c r="BY1051" s="4" t="s">
        <v>124</v>
      </c>
      <c r="BZ1051" s="4" t="s">
        <v>124</v>
      </c>
      <c r="CA1051" s="4" t="s">
        <v>124</v>
      </c>
      <c r="CB1051" s="4" t="s">
        <v>124</v>
      </c>
      <c r="CC1051" s="4" t="s">
        <v>124</v>
      </c>
      <c r="CD1051" s="4" t="s">
        <v>124</v>
      </c>
      <c r="CE1051" s="4" t="s">
        <v>124</v>
      </c>
      <c r="CF1051" s="4" t="s">
        <v>124</v>
      </c>
      <c r="CG1051" s="4" t="s">
        <v>124</v>
      </c>
      <c r="CH1051" s="4" t="s">
        <v>124</v>
      </c>
      <c r="CI1051" s="4" t="s">
        <v>124</v>
      </c>
      <c r="CJ1051" s="4" t="s">
        <v>124</v>
      </c>
      <c r="CK1051" s="4" t="s">
        <v>124</v>
      </c>
      <c r="CL1051" s="4" t="s">
        <v>124</v>
      </c>
      <c r="CM1051" s="4" t="s">
        <v>124</v>
      </c>
      <c r="CN1051" s="4" t="s">
        <v>124</v>
      </c>
      <c r="CO1051" s="4" t="s">
        <v>124</v>
      </c>
      <c r="CP1051" s="4" t="s">
        <v>124</v>
      </c>
      <c r="CQ1051" s="7">
        <v>0.56521699999999997</v>
      </c>
      <c r="CR1051" s="7">
        <v>0.97872300000000001</v>
      </c>
      <c r="CS1051" s="7">
        <v>37.681159000000001</v>
      </c>
      <c r="CT1051" s="7">
        <v>50</v>
      </c>
      <c r="CU1051" s="4" t="s">
        <v>124</v>
      </c>
      <c r="CV1051" s="4" t="s">
        <v>124</v>
      </c>
      <c r="CW1051" s="4" t="s">
        <v>124</v>
      </c>
      <c r="CX1051" s="4" t="s">
        <v>124</v>
      </c>
      <c r="CY1051" s="4" t="s">
        <v>124</v>
      </c>
      <c r="CZ1051" s="4" t="s">
        <v>124</v>
      </c>
      <c r="DA1051" s="7">
        <v>15.314097</v>
      </c>
      <c r="DB1051" s="7">
        <v>17.400950000000002</v>
      </c>
      <c r="DC1051" s="7">
        <v>16.332519999999999</v>
      </c>
      <c r="DD1051" s="4" t="s">
        <v>124</v>
      </c>
      <c r="DE1051" s="7">
        <v>1</v>
      </c>
      <c r="DF1051" s="6"/>
      <c r="DG1051" s="6"/>
      <c r="DH1051" s="6"/>
      <c r="DI1051" s="6"/>
      <c r="DJ1051" s="7">
        <v>0</v>
      </c>
      <c r="DK1051" s="7">
        <v>0</v>
      </c>
      <c r="DL1051" s="7">
        <v>0</v>
      </c>
      <c r="DM1051" s="7">
        <v>0</v>
      </c>
      <c r="DN1051" s="7">
        <v>0</v>
      </c>
      <c r="DO1051" s="7">
        <v>0</v>
      </c>
      <c r="DP1051" s="6"/>
      <c r="DQ1051" s="4" t="s">
        <v>125</v>
      </c>
    </row>
    <row r="1052" spans="1:121" ht="20" customHeight="1" x14ac:dyDescent="0.15">
      <c r="A1052" s="5">
        <v>2018</v>
      </c>
      <c r="B1052" s="3" t="s">
        <v>238</v>
      </c>
      <c r="C1052" s="4" t="str">
        <f>"1600011"</f>
        <v>1600011</v>
      </c>
      <c r="D1052" s="4" t="s">
        <v>1195</v>
      </c>
      <c r="E1052" s="4" t="str">
        <f>"1605111"</f>
        <v>1605111</v>
      </c>
      <c r="F1052" s="4" t="s">
        <v>327</v>
      </c>
      <c r="G1052" s="7">
        <v>5</v>
      </c>
      <c r="H1052" s="7">
        <v>8</v>
      </c>
      <c r="I1052" s="4" t="s">
        <v>329</v>
      </c>
      <c r="J1052" s="4" t="s">
        <v>330</v>
      </c>
      <c r="K1052" s="7">
        <v>652.71110699999997</v>
      </c>
      <c r="L1052" s="7">
        <v>900</v>
      </c>
      <c r="M1052" s="7">
        <v>72.523455999999996</v>
      </c>
      <c r="N1052" s="7">
        <v>3</v>
      </c>
      <c r="O1052" s="7">
        <v>0</v>
      </c>
      <c r="P1052" s="7">
        <v>70.212084000000004</v>
      </c>
      <c r="Q1052" s="7">
        <v>46.808056000000001</v>
      </c>
      <c r="R1052" s="7">
        <v>50</v>
      </c>
      <c r="S1052" s="7">
        <v>64.125482000000005</v>
      </c>
      <c r="T1052" s="7">
        <v>73.982545999999999</v>
      </c>
      <c r="U1052" s="7">
        <v>42.750321999999997</v>
      </c>
      <c r="V1052" s="7">
        <v>50</v>
      </c>
      <c r="W1052" s="7">
        <v>68.084462000000002</v>
      </c>
      <c r="X1052" s="7">
        <v>45.389640999999997</v>
      </c>
      <c r="Y1052" s="7">
        <v>50</v>
      </c>
      <c r="Z1052" s="7">
        <v>73.494529</v>
      </c>
      <c r="AA1052" s="7">
        <v>59.351067</v>
      </c>
      <c r="AB1052" s="7">
        <v>39.567377999999998</v>
      </c>
      <c r="AC1052" s="7">
        <v>50</v>
      </c>
      <c r="AD1052" s="7">
        <v>66.577776999999998</v>
      </c>
      <c r="AE1052" s="7">
        <v>44.385185</v>
      </c>
      <c r="AF1052" s="7">
        <v>50</v>
      </c>
      <c r="AG1052" s="7">
        <v>58.1601</v>
      </c>
      <c r="AH1052" s="7">
        <v>71.989141000000004</v>
      </c>
      <c r="AI1052" s="7">
        <v>38.773400000000002</v>
      </c>
      <c r="AJ1052" s="7">
        <v>50</v>
      </c>
      <c r="AK1052" s="7">
        <v>9.85</v>
      </c>
      <c r="AL1052" s="7">
        <v>14.14</v>
      </c>
      <c r="AM1052" s="7">
        <v>13.82</v>
      </c>
      <c r="AN1052" s="7">
        <v>0.46778399999999998</v>
      </c>
      <c r="AO1052" s="7">
        <v>46.778412000000003</v>
      </c>
      <c r="AP1052" s="7">
        <v>100</v>
      </c>
      <c r="AQ1052" s="7">
        <v>0.66875200000000001</v>
      </c>
      <c r="AR1052" s="7">
        <v>66.875203999999997</v>
      </c>
      <c r="AS1052" s="7">
        <v>100</v>
      </c>
      <c r="AT1052" s="7">
        <v>0.42923699999999998</v>
      </c>
      <c r="AU1052" s="7">
        <v>0.49029899999999998</v>
      </c>
      <c r="AV1052" s="7">
        <v>42.923673999999998</v>
      </c>
      <c r="AW1052" s="7">
        <v>100</v>
      </c>
      <c r="AX1052" s="7">
        <v>0.61756299999999997</v>
      </c>
      <c r="AY1052" s="7">
        <v>0.69864999999999999</v>
      </c>
      <c r="AZ1052" s="7">
        <v>61.756321999999997</v>
      </c>
      <c r="BA1052" s="7">
        <v>100</v>
      </c>
      <c r="BB1052" s="4" t="s">
        <v>124</v>
      </c>
      <c r="BC1052" s="4" t="s">
        <v>124</v>
      </c>
      <c r="BD1052" s="4" t="s">
        <v>124</v>
      </c>
      <c r="BE1052" s="4" t="s">
        <v>124</v>
      </c>
      <c r="BF1052" s="4" t="s">
        <v>124</v>
      </c>
      <c r="BG1052" s="4" t="s">
        <v>124</v>
      </c>
      <c r="BH1052" s="7">
        <v>1</v>
      </c>
      <c r="BI1052" s="7">
        <v>0.97395799999999999</v>
      </c>
      <c r="BJ1052" s="7">
        <v>0.94594599999999995</v>
      </c>
      <c r="BK1052" s="7">
        <v>0.99152499999999999</v>
      </c>
      <c r="BL1052" s="7">
        <v>0.97395799999999999</v>
      </c>
      <c r="BM1052" s="7">
        <v>0.94594599999999995</v>
      </c>
      <c r="BN1052" s="7">
        <v>0.99152499999999999</v>
      </c>
      <c r="BO1052" s="7">
        <v>0.97297299999999998</v>
      </c>
      <c r="BP1052" s="7">
        <v>0.93103400000000003</v>
      </c>
      <c r="BQ1052" s="7">
        <v>1</v>
      </c>
      <c r="BR1052" s="7">
        <v>9.375E-2</v>
      </c>
      <c r="BS1052" s="7">
        <v>41.25</v>
      </c>
      <c r="BT1052" s="7">
        <v>50</v>
      </c>
      <c r="BU1052" s="7">
        <v>9.7222000000000003E-2</v>
      </c>
      <c r="BV1052" s="7">
        <v>40.555556000000003</v>
      </c>
      <c r="BW1052" s="7">
        <v>50</v>
      </c>
      <c r="BX1052" s="4" t="s">
        <v>124</v>
      </c>
      <c r="BY1052" s="4" t="s">
        <v>124</v>
      </c>
      <c r="BZ1052" s="4" t="s">
        <v>124</v>
      </c>
      <c r="CA1052" s="4" t="s">
        <v>124</v>
      </c>
      <c r="CB1052" s="4" t="s">
        <v>124</v>
      </c>
      <c r="CC1052" s="4" t="s">
        <v>124</v>
      </c>
      <c r="CD1052" s="7">
        <v>0.95652199999999998</v>
      </c>
      <c r="CE1052" s="7">
        <v>50</v>
      </c>
      <c r="CF1052" s="7">
        <v>50</v>
      </c>
      <c r="CG1052" s="4" t="s">
        <v>124</v>
      </c>
      <c r="CH1052" s="4" t="s">
        <v>124</v>
      </c>
      <c r="CI1052" s="4" t="s">
        <v>124</v>
      </c>
      <c r="CJ1052" s="4" t="s">
        <v>124</v>
      </c>
      <c r="CK1052" s="4" t="s">
        <v>124</v>
      </c>
      <c r="CL1052" s="4" t="s">
        <v>124</v>
      </c>
      <c r="CM1052" s="4" t="s">
        <v>124</v>
      </c>
      <c r="CN1052" s="4" t="s">
        <v>124</v>
      </c>
      <c r="CO1052" s="4" t="s">
        <v>124</v>
      </c>
      <c r="CP1052" s="4" t="s">
        <v>124</v>
      </c>
      <c r="CQ1052" s="7">
        <v>0.67346899999999998</v>
      </c>
      <c r="CR1052" s="7">
        <v>1</v>
      </c>
      <c r="CS1052" s="7">
        <v>44.897959</v>
      </c>
      <c r="CT1052" s="7">
        <v>50</v>
      </c>
      <c r="CU1052" s="4" t="s">
        <v>124</v>
      </c>
      <c r="CV1052" s="4" t="s">
        <v>124</v>
      </c>
      <c r="CW1052" s="4" t="s">
        <v>124</v>
      </c>
      <c r="CX1052" s="4" t="s">
        <v>124</v>
      </c>
      <c r="CY1052" s="4" t="s">
        <v>124</v>
      </c>
      <c r="CZ1052" s="4" t="s">
        <v>124</v>
      </c>
      <c r="DA1052" s="7">
        <v>15.314097</v>
      </c>
      <c r="DB1052" s="7">
        <v>17.400950000000002</v>
      </c>
      <c r="DC1052" s="7">
        <v>16.332519999999999</v>
      </c>
      <c r="DD1052" s="4" t="s">
        <v>124</v>
      </c>
      <c r="DE1052" s="7">
        <v>1</v>
      </c>
      <c r="DF1052" s="6"/>
      <c r="DG1052" s="6"/>
      <c r="DH1052" s="6"/>
      <c r="DI1052" s="6"/>
      <c r="DJ1052" s="7">
        <v>0</v>
      </c>
      <c r="DK1052" s="7">
        <v>0</v>
      </c>
      <c r="DL1052" s="7">
        <v>0</v>
      </c>
      <c r="DM1052" s="7">
        <v>0</v>
      </c>
      <c r="DN1052" s="7">
        <v>0</v>
      </c>
      <c r="DO1052" s="7">
        <v>0</v>
      </c>
      <c r="DP1052" s="6"/>
      <c r="DQ1052" s="4" t="s">
        <v>125</v>
      </c>
    </row>
    <row r="1053" spans="1:121" ht="20" customHeight="1" x14ac:dyDescent="0.15">
      <c r="A1053" s="5">
        <v>2018</v>
      </c>
      <c r="B1053" s="3" t="s">
        <v>191</v>
      </c>
      <c r="C1053" s="4" t="str">
        <f t="shared" si="66"/>
        <v>1610011</v>
      </c>
      <c r="D1053" s="4" t="s">
        <v>1196</v>
      </c>
      <c r="E1053" s="4" t="str">
        <f>"1610711"</f>
        <v>1610711</v>
      </c>
      <c r="F1053" s="4" t="s">
        <v>327</v>
      </c>
      <c r="G1053" s="7">
        <v>3</v>
      </c>
      <c r="H1053" s="7">
        <v>5</v>
      </c>
      <c r="I1053" s="4" t="s">
        <v>329</v>
      </c>
      <c r="J1053" s="4" t="s">
        <v>330</v>
      </c>
      <c r="K1053" s="7">
        <v>683.77446499999996</v>
      </c>
      <c r="L1053" s="7">
        <v>850</v>
      </c>
      <c r="M1053" s="7">
        <v>80.444055000000006</v>
      </c>
      <c r="N1053" s="7">
        <v>3</v>
      </c>
      <c r="O1053" s="7">
        <v>0</v>
      </c>
      <c r="P1053" s="7">
        <v>82.393354000000002</v>
      </c>
      <c r="Q1053" s="7">
        <v>50</v>
      </c>
      <c r="R1053" s="7">
        <v>50</v>
      </c>
      <c r="S1053" s="7">
        <v>68.498531</v>
      </c>
      <c r="T1053" s="7">
        <v>75</v>
      </c>
      <c r="U1053" s="7">
        <v>45.665686999999998</v>
      </c>
      <c r="V1053" s="7">
        <v>50</v>
      </c>
      <c r="W1053" s="7">
        <v>76.355609000000001</v>
      </c>
      <c r="X1053" s="7">
        <v>50</v>
      </c>
      <c r="Y1053" s="7">
        <v>50</v>
      </c>
      <c r="Z1053" s="7">
        <v>75</v>
      </c>
      <c r="AA1053" s="7">
        <v>62.223909999999997</v>
      </c>
      <c r="AB1053" s="7">
        <v>41.482607000000002</v>
      </c>
      <c r="AC1053" s="7">
        <v>50</v>
      </c>
      <c r="AD1053" s="7">
        <v>76.010005000000007</v>
      </c>
      <c r="AE1053" s="7">
        <v>50</v>
      </c>
      <c r="AF1053" s="7">
        <v>50</v>
      </c>
      <c r="AG1053" s="7">
        <v>61.697519</v>
      </c>
      <c r="AH1053" s="7">
        <v>75</v>
      </c>
      <c r="AI1053" s="7">
        <v>41.131678999999998</v>
      </c>
      <c r="AJ1053" s="7">
        <v>50</v>
      </c>
      <c r="AK1053" s="7">
        <v>6.5</v>
      </c>
      <c r="AL1053" s="7">
        <v>12.77</v>
      </c>
      <c r="AM1053" s="7">
        <v>13.3</v>
      </c>
      <c r="AN1053" s="7">
        <v>0.71904199999999996</v>
      </c>
      <c r="AO1053" s="7">
        <v>71.904230999999996</v>
      </c>
      <c r="AP1053" s="7">
        <v>100</v>
      </c>
      <c r="AQ1053" s="7">
        <v>0.75772700000000004</v>
      </c>
      <c r="AR1053" s="7">
        <v>75.772698000000005</v>
      </c>
      <c r="AS1053" s="7">
        <v>100</v>
      </c>
      <c r="AT1053" s="7">
        <v>0.57391499999999995</v>
      </c>
      <c r="AU1053" s="7">
        <v>0.75523899999999999</v>
      </c>
      <c r="AV1053" s="7">
        <v>57.391466000000001</v>
      </c>
      <c r="AW1053" s="7">
        <v>100</v>
      </c>
      <c r="AX1053" s="7">
        <v>0.57803099999999996</v>
      </c>
      <c r="AY1053" s="7">
        <v>0.802122</v>
      </c>
      <c r="AZ1053" s="7">
        <v>57.803147000000003</v>
      </c>
      <c r="BA1053" s="7">
        <v>100</v>
      </c>
      <c r="BB1053" s="4" t="s">
        <v>124</v>
      </c>
      <c r="BC1053" s="4" t="s">
        <v>124</v>
      </c>
      <c r="BD1053" s="4" t="s">
        <v>124</v>
      </c>
      <c r="BE1053" s="4" t="s">
        <v>124</v>
      </c>
      <c r="BF1053" s="4" t="s">
        <v>124</v>
      </c>
      <c r="BG1053" s="4" t="s">
        <v>124</v>
      </c>
      <c r="BH1053" s="7">
        <v>1</v>
      </c>
      <c r="BI1053" s="7">
        <v>0.97429900000000003</v>
      </c>
      <c r="BJ1053" s="7">
        <v>0.95108700000000002</v>
      </c>
      <c r="BK1053" s="7">
        <v>0.98065500000000005</v>
      </c>
      <c r="BL1053" s="7">
        <v>0.97313099999999997</v>
      </c>
      <c r="BM1053" s="7">
        <v>0.95108700000000002</v>
      </c>
      <c r="BN1053" s="7">
        <v>0.97916700000000001</v>
      </c>
      <c r="BO1053" s="7">
        <v>0.95052999999999999</v>
      </c>
      <c r="BP1053" s="7">
        <v>0.94202900000000001</v>
      </c>
      <c r="BQ1053" s="7">
        <v>0.95327099999999998</v>
      </c>
      <c r="BR1053" s="7">
        <v>2.5731E-2</v>
      </c>
      <c r="BS1053" s="7">
        <v>50</v>
      </c>
      <c r="BT1053" s="7">
        <v>50</v>
      </c>
      <c r="BU1053" s="7">
        <v>3.4285999999999997E-2</v>
      </c>
      <c r="BV1053" s="7">
        <v>50</v>
      </c>
      <c r="BW1053" s="7">
        <v>50</v>
      </c>
      <c r="BX1053" s="4" t="s">
        <v>124</v>
      </c>
      <c r="BY1053" s="4" t="s">
        <v>124</v>
      </c>
      <c r="BZ1053" s="4" t="s">
        <v>124</v>
      </c>
      <c r="CA1053" s="4" t="s">
        <v>124</v>
      </c>
      <c r="CB1053" s="4" t="s">
        <v>124</v>
      </c>
      <c r="CC1053" s="4" t="s">
        <v>124</v>
      </c>
      <c r="CD1053" s="4" t="s">
        <v>124</v>
      </c>
      <c r="CE1053" s="4" t="s">
        <v>124</v>
      </c>
      <c r="CF1053" s="4" t="s">
        <v>124</v>
      </c>
      <c r="CG1053" s="4" t="s">
        <v>124</v>
      </c>
      <c r="CH1053" s="4" t="s">
        <v>124</v>
      </c>
      <c r="CI1053" s="4" t="s">
        <v>124</v>
      </c>
      <c r="CJ1053" s="4" t="s">
        <v>124</v>
      </c>
      <c r="CK1053" s="4" t="s">
        <v>124</v>
      </c>
      <c r="CL1053" s="4" t="s">
        <v>124</v>
      </c>
      <c r="CM1053" s="4" t="s">
        <v>124</v>
      </c>
      <c r="CN1053" s="4" t="s">
        <v>124</v>
      </c>
      <c r="CO1053" s="4" t="s">
        <v>124</v>
      </c>
      <c r="CP1053" s="4" t="s">
        <v>124</v>
      </c>
      <c r="CQ1053" s="7">
        <v>0.63934400000000002</v>
      </c>
      <c r="CR1053" s="7">
        <v>0.98387100000000005</v>
      </c>
      <c r="CS1053" s="7">
        <v>42.622951</v>
      </c>
      <c r="CT1053" s="7">
        <v>50</v>
      </c>
      <c r="CU1053" s="4" t="s">
        <v>124</v>
      </c>
      <c r="CV1053" s="4" t="s">
        <v>124</v>
      </c>
      <c r="CW1053" s="4" t="s">
        <v>124</v>
      </c>
      <c r="CX1053" s="4" t="s">
        <v>124</v>
      </c>
      <c r="CY1053" s="4" t="s">
        <v>124</v>
      </c>
      <c r="CZ1053" s="4" t="s">
        <v>124</v>
      </c>
      <c r="DA1053" s="7">
        <v>15.314097</v>
      </c>
      <c r="DB1053" s="7">
        <v>17.400950000000002</v>
      </c>
      <c r="DC1053" s="7">
        <v>16.332519999999999</v>
      </c>
      <c r="DD1053" s="4" t="s">
        <v>124</v>
      </c>
      <c r="DE1053" s="7">
        <v>1</v>
      </c>
      <c r="DF1053" s="6"/>
      <c r="DG1053" s="6"/>
      <c r="DH1053" s="6"/>
      <c r="DI1053" s="6"/>
      <c r="DJ1053" s="7">
        <v>0</v>
      </c>
      <c r="DK1053" s="7">
        <v>0</v>
      </c>
      <c r="DL1053" s="7">
        <v>0</v>
      </c>
      <c r="DM1053" s="7">
        <v>0</v>
      </c>
      <c r="DN1053" s="7">
        <v>0</v>
      </c>
      <c r="DO1053" s="7">
        <v>0</v>
      </c>
      <c r="DP1053" s="6"/>
      <c r="DQ1053" s="4" t="s">
        <v>125</v>
      </c>
    </row>
    <row r="1054" spans="1:121" ht="20" customHeight="1" x14ac:dyDescent="0.15">
      <c r="A1054" s="5">
        <v>2018</v>
      </c>
      <c r="B1054" s="3" t="s">
        <v>191</v>
      </c>
      <c r="C1054" s="4" t="str">
        <f t="shared" ref="C1054:C1056" si="272">"1610011"</f>
        <v>1610011</v>
      </c>
      <c r="D1054" s="4" t="s">
        <v>1090</v>
      </c>
      <c r="E1054" s="4" t="str">
        <f>"1615211"</f>
        <v>1615211</v>
      </c>
      <c r="F1054" s="4" t="s">
        <v>327</v>
      </c>
      <c r="G1054" s="7">
        <v>6</v>
      </c>
      <c r="H1054" s="7">
        <v>8</v>
      </c>
      <c r="I1054" s="6"/>
      <c r="J1054" s="4" t="s">
        <v>330</v>
      </c>
      <c r="K1054" s="7">
        <v>695.62336400000004</v>
      </c>
      <c r="L1054" s="7">
        <v>900</v>
      </c>
      <c r="M1054" s="7">
        <v>77.291484999999994</v>
      </c>
      <c r="N1054" s="7">
        <v>3</v>
      </c>
      <c r="O1054" s="7">
        <v>1</v>
      </c>
      <c r="P1054" s="7">
        <v>80.853123999999994</v>
      </c>
      <c r="Q1054" s="7">
        <v>50</v>
      </c>
      <c r="R1054" s="7">
        <v>50</v>
      </c>
      <c r="S1054" s="7">
        <v>63.343628000000002</v>
      </c>
      <c r="T1054" s="7">
        <v>75</v>
      </c>
      <c r="U1054" s="7">
        <v>42.229086000000002</v>
      </c>
      <c r="V1054" s="7">
        <v>50</v>
      </c>
      <c r="W1054" s="7">
        <v>78.183706999999998</v>
      </c>
      <c r="X1054" s="7">
        <v>50</v>
      </c>
      <c r="Y1054" s="7">
        <v>50</v>
      </c>
      <c r="Z1054" s="7">
        <v>75</v>
      </c>
      <c r="AA1054" s="7">
        <v>59.039327</v>
      </c>
      <c r="AB1054" s="7">
        <v>39.359552000000001</v>
      </c>
      <c r="AC1054" s="7">
        <v>50</v>
      </c>
      <c r="AD1054" s="7">
        <v>73.868388999999993</v>
      </c>
      <c r="AE1054" s="7">
        <v>49.245592000000002</v>
      </c>
      <c r="AF1054" s="7">
        <v>50</v>
      </c>
      <c r="AG1054" s="7">
        <v>54.563491999999997</v>
      </c>
      <c r="AH1054" s="7">
        <v>75</v>
      </c>
      <c r="AI1054" s="7">
        <v>36.375661000000001</v>
      </c>
      <c r="AJ1054" s="7">
        <v>50</v>
      </c>
      <c r="AK1054" s="7">
        <v>11.65</v>
      </c>
      <c r="AL1054" s="7">
        <v>15.96</v>
      </c>
      <c r="AM1054" s="7">
        <v>20.43</v>
      </c>
      <c r="AN1054" s="7">
        <v>0.63109700000000002</v>
      </c>
      <c r="AO1054" s="7">
        <v>63.109701000000001</v>
      </c>
      <c r="AP1054" s="7">
        <v>100</v>
      </c>
      <c r="AQ1054" s="7">
        <v>0.72092000000000001</v>
      </c>
      <c r="AR1054" s="7">
        <v>72.091950999999995</v>
      </c>
      <c r="AS1054" s="7">
        <v>100</v>
      </c>
      <c r="AT1054" s="7">
        <v>0.521617</v>
      </c>
      <c r="AU1054" s="7">
        <v>0.655555</v>
      </c>
      <c r="AV1054" s="7">
        <v>52.161656000000001</v>
      </c>
      <c r="AW1054" s="7">
        <v>100</v>
      </c>
      <c r="AX1054" s="7">
        <v>0.54053099999999998</v>
      </c>
      <c r="AY1054" s="7">
        <v>0.76092599999999999</v>
      </c>
      <c r="AZ1054" s="7">
        <v>54.053111999999999</v>
      </c>
      <c r="BA1054" s="7">
        <v>100</v>
      </c>
      <c r="BB1054" s="4" t="s">
        <v>124</v>
      </c>
      <c r="BC1054" s="4" t="s">
        <v>124</v>
      </c>
      <c r="BD1054" s="4" t="s">
        <v>124</v>
      </c>
      <c r="BE1054" s="4" t="s">
        <v>124</v>
      </c>
      <c r="BF1054" s="4" t="s">
        <v>124</v>
      </c>
      <c r="BG1054" s="4" t="s">
        <v>124</v>
      </c>
      <c r="BH1054" s="7">
        <v>1</v>
      </c>
      <c r="BI1054" s="7">
        <v>0.95295300000000005</v>
      </c>
      <c r="BJ1054" s="7">
        <v>0.91</v>
      </c>
      <c r="BK1054" s="7">
        <v>0.96370500000000003</v>
      </c>
      <c r="BL1054" s="7">
        <v>0.95591199999999998</v>
      </c>
      <c r="BM1054" s="7">
        <v>0.91457299999999997</v>
      </c>
      <c r="BN1054" s="7">
        <v>0.96620799999999996</v>
      </c>
      <c r="BO1054" s="7">
        <v>0.90571400000000002</v>
      </c>
      <c r="BP1054" s="7">
        <v>0.81609200000000004</v>
      </c>
      <c r="BQ1054" s="7">
        <v>0.935361</v>
      </c>
      <c r="BR1054" s="7">
        <v>3.5999999999999997E-2</v>
      </c>
      <c r="BS1054" s="7">
        <v>50</v>
      </c>
      <c r="BT1054" s="7">
        <v>50</v>
      </c>
      <c r="BU1054" s="7">
        <v>0.107143</v>
      </c>
      <c r="BV1054" s="7">
        <v>38.571429000000002</v>
      </c>
      <c r="BW1054" s="7">
        <v>50</v>
      </c>
      <c r="BX1054" s="4" t="s">
        <v>124</v>
      </c>
      <c r="BY1054" s="4" t="s">
        <v>124</v>
      </c>
      <c r="BZ1054" s="4" t="s">
        <v>124</v>
      </c>
      <c r="CA1054" s="4" t="s">
        <v>124</v>
      </c>
      <c r="CB1054" s="4" t="s">
        <v>124</v>
      </c>
      <c r="CC1054" s="4" t="s">
        <v>124</v>
      </c>
      <c r="CD1054" s="7">
        <v>0.95289900000000005</v>
      </c>
      <c r="CE1054" s="7">
        <v>50</v>
      </c>
      <c r="CF1054" s="7">
        <v>50</v>
      </c>
      <c r="CG1054" s="4" t="s">
        <v>124</v>
      </c>
      <c r="CH1054" s="4" t="s">
        <v>124</v>
      </c>
      <c r="CI1054" s="4" t="s">
        <v>124</v>
      </c>
      <c r="CJ1054" s="4" t="s">
        <v>124</v>
      </c>
      <c r="CK1054" s="4" t="s">
        <v>124</v>
      </c>
      <c r="CL1054" s="4" t="s">
        <v>124</v>
      </c>
      <c r="CM1054" s="4" t="s">
        <v>124</v>
      </c>
      <c r="CN1054" s="4" t="s">
        <v>124</v>
      </c>
      <c r="CO1054" s="4" t="s">
        <v>124</v>
      </c>
      <c r="CP1054" s="4" t="s">
        <v>124</v>
      </c>
      <c r="CQ1054" s="7">
        <v>0.72638400000000003</v>
      </c>
      <c r="CR1054" s="7">
        <v>0.93597600000000003</v>
      </c>
      <c r="CS1054" s="7">
        <v>48.425623999999999</v>
      </c>
      <c r="CT1054" s="7">
        <v>50</v>
      </c>
      <c r="CU1054" s="4" t="s">
        <v>124</v>
      </c>
      <c r="CV1054" s="4" t="s">
        <v>124</v>
      </c>
      <c r="CW1054" s="4" t="s">
        <v>124</v>
      </c>
      <c r="CX1054" s="4" t="s">
        <v>124</v>
      </c>
      <c r="CY1054" s="4" t="s">
        <v>124</v>
      </c>
      <c r="CZ1054" s="4" t="s">
        <v>124</v>
      </c>
      <c r="DA1054" s="7">
        <v>15.314097</v>
      </c>
      <c r="DB1054" s="7">
        <v>17.400950000000002</v>
      </c>
      <c r="DC1054" s="7">
        <v>16.332519999999999</v>
      </c>
      <c r="DD1054" s="4" t="s">
        <v>124</v>
      </c>
      <c r="DE1054" s="7">
        <v>1</v>
      </c>
      <c r="DF1054" s="6"/>
      <c r="DG1054" s="6"/>
      <c r="DH1054" s="6"/>
      <c r="DI1054" s="6"/>
      <c r="DJ1054" s="7">
        <v>0</v>
      </c>
      <c r="DK1054" s="7">
        <v>0</v>
      </c>
      <c r="DL1054" s="7">
        <v>0</v>
      </c>
      <c r="DM1054" s="7">
        <v>0</v>
      </c>
      <c r="DN1054" s="7">
        <v>0</v>
      </c>
      <c r="DO1054" s="7">
        <v>0</v>
      </c>
      <c r="DP1054" s="6"/>
      <c r="DQ1054" s="4" t="s">
        <v>125</v>
      </c>
    </row>
    <row r="1055" spans="1:121" ht="20" customHeight="1" x14ac:dyDescent="0.15">
      <c r="A1055" s="5">
        <v>2018</v>
      </c>
      <c r="B1055" s="3" t="s">
        <v>191</v>
      </c>
      <c r="C1055" s="4" t="str">
        <f t="shared" si="272"/>
        <v>1610011</v>
      </c>
      <c r="D1055" s="4" t="s">
        <v>1197</v>
      </c>
      <c r="E1055" s="4" t="str">
        <f>"1610511"</f>
        <v>1610511</v>
      </c>
      <c r="F1055" s="4" t="s">
        <v>327</v>
      </c>
      <c r="G1055" s="4" t="s">
        <v>328</v>
      </c>
      <c r="H1055" s="7">
        <v>2</v>
      </c>
      <c r="I1055" s="6"/>
      <c r="J1055" s="4" t="s">
        <v>330</v>
      </c>
      <c r="K1055" s="7">
        <v>98.990825999999998</v>
      </c>
      <c r="L1055" s="7">
        <v>100</v>
      </c>
      <c r="M1055" s="7">
        <v>98.990825999999998</v>
      </c>
      <c r="N1055" s="4" t="s">
        <v>124</v>
      </c>
      <c r="O1055" s="4" t="s">
        <v>124</v>
      </c>
      <c r="P1055" s="4" t="s">
        <v>124</v>
      </c>
      <c r="Q1055" s="4" t="s">
        <v>124</v>
      </c>
      <c r="R1055" s="4" t="s">
        <v>124</v>
      </c>
      <c r="S1055" s="4" t="s">
        <v>124</v>
      </c>
      <c r="T1055" s="4" t="s">
        <v>124</v>
      </c>
      <c r="U1055" s="4" t="s">
        <v>124</v>
      </c>
      <c r="V1055" s="4" t="s">
        <v>124</v>
      </c>
      <c r="W1055" s="4" t="s">
        <v>124</v>
      </c>
      <c r="X1055" s="4" t="s">
        <v>124</v>
      </c>
      <c r="Y1055" s="4" t="s">
        <v>124</v>
      </c>
      <c r="Z1055" s="4" t="s">
        <v>124</v>
      </c>
      <c r="AA1055" s="4" t="s">
        <v>124</v>
      </c>
      <c r="AB1055" s="4" t="s">
        <v>124</v>
      </c>
      <c r="AC1055" s="4" t="s">
        <v>124</v>
      </c>
      <c r="AD1055" s="4" t="s">
        <v>124</v>
      </c>
      <c r="AE1055" s="4" t="s">
        <v>124</v>
      </c>
      <c r="AF1055" s="4" t="s">
        <v>124</v>
      </c>
      <c r="AG1055" s="4" t="s">
        <v>124</v>
      </c>
      <c r="AH1055" s="4" t="s">
        <v>124</v>
      </c>
      <c r="AI1055" s="4" t="s">
        <v>124</v>
      </c>
      <c r="AJ1055" s="4" t="s">
        <v>124</v>
      </c>
      <c r="AK1055" s="4" t="s">
        <v>124</v>
      </c>
      <c r="AL1055" s="4" t="s">
        <v>124</v>
      </c>
      <c r="AM1055" s="4" t="s">
        <v>124</v>
      </c>
      <c r="AN1055" s="4" t="s">
        <v>124</v>
      </c>
      <c r="AO1055" s="4" t="s">
        <v>124</v>
      </c>
      <c r="AP1055" s="4" t="s">
        <v>124</v>
      </c>
      <c r="AQ1055" s="4" t="s">
        <v>124</v>
      </c>
      <c r="AR1055" s="4" t="s">
        <v>124</v>
      </c>
      <c r="AS1055" s="4" t="s">
        <v>124</v>
      </c>
      <c r="AT1055" s="4" t="s">
        <v>124</v>
      </c>
      <c r="AU1055" s="4" t="s">
        <v>124</v>
      </c>
      <c r="AV1055" s="4" t="s">
        <v>124</v>
      </c>
      <c r="AW1055" s="4" t="s">
        <v>124</v>
      </c>
      <c r="AX1055" s="4" t="s">
        <v>124</v>
      </c>
      <c r="AY1055" s="4" t="s">
        <v>124</v>
      </c>
      <c r="AZ1055" s="4" t="s">
        <v>124</v>
      </c>
      <c r="BA1055" s="4" t="s">
        <v>124</v>
      </c>
      <c r="BB1055" s="4" t="s">
        <v>124</v>
      </c>
      <c r="BC1055" s="4" t="s">
        <v>124</v>
      </c>
      <c r="BD1055" s="4" t="s">
        <v>124</v>
      </c>
      <c r="BE1055" s="4" t="s">
        <v>124</v>
      </c>
      <c r="BF1055" s="4" t="s">
        <v>124</v>
      </c>
      <c r="BG1055" s="4" t="s">
        <v>124</v>
      </c>
      <c r="BH1055" s="4" t="s">
        <v>124</v>
      </c>
      <c r="BI1055" s="4" t="s">
        <v>124</v>
      </c>
      <c r="BJ1055" s="4" t="s">
        <v>124</v>
      </c>
      <c r="BK1055" s="4" t="s">
        <v>124</v>
      </c>
      <c r="BL1055" s="4" t="s">
        <v>124</v>
      </c>
      <c r="BM1055" s="4" t="s">
        <v>124</v>
      </c>
      <c r="BN1055" s="4" t="s">
        <v>124</v>
      </c>
      <c r="BO1055" s="4" t="s">
        <v>124</v>
      </c>
      <c r="BP1055" s="4" t="s">
        <v>124</v>
      </c>
      <c r="BQ1055" s="4" t="s">
        <v>124</v>
      </c>
      <c r="BR1055" s="7">
        <v>3.022E-2</v>
      </c>
      <c r="BS1055" s="7">
        <v>50</v>
      </c>
      <c r="BT1055" s="7">
        <v>50</v>
      </c>
      <c r="BU1055" s="7">
        <v>5.5045999999999998E-2</v>
      </c>
      <c r="BV1055" s="7">
        <v>48.990825999999998</v>
      </c>
      <c r="BW1055" s="7">
        <v>50</v>
      </c>
      <c r="BX1055" s="4" t="s">
        <v>124</v>
      </c>
      <c r="BY1055" s="4" t="s">
        <v>124</v>
      </c>
      <c r="BZ1055" s="4" t="s">
        <v>124</v>
      </c>
      <c r="CA1055" s="4" t="s">
        <v>124</v>
      </c>
      <c r="CB1055" s="4" t="s">
        <v>124</v>
      </c>
      <c r="CC1055" s="4" t="s">
        <v>124</v>
      </c>
      <c r="CD1055" s="4" t="s">
        <v>124</v>
      </c>
      <c r="CE1055" s="4" t="s">
        <v>124</v>
      </c>
      <c r="CF1055" s="4" t="s">
        <v>124</v>
      </c>
      <c r="CG1055" s="4" t="s">
        <v>124</v>
      </c>
      <c r="CH1055" s="4" t="s">
        <v>124</v>
      </c>
      <c r="CI1055" s="4" t="s">
        <v>124</v>
      </c>
      <c r="CJ1055" s="4" t="s">
        <v>124</v>
      </c>
      <c r="CK1055" s="4" t="s">
        <v>124</v>
      </c>
      <c r="CL1055" s="4" t="s">
        <v>124</v>
      </c>
      <c r="CM1055" s="4" t="s">
        <v>124</v>
      </c>
      <c r="CN1055" s="4" t="s">
        <v>124</v>
      </c>
      <c r="CO1055" s="4" t="s">
        <v>124</v>
      </c>
      <c r="CP1055" s="4" t="s">
        <v>124</v>
      </c>
      <c r="CQ1055" s="4" t="s">
        <v>124</v>
      </c>
      <c r="CR1055" s="4" t="s">
        <v>124</v>
      </c>
      <c r="CS1055" s="4" t="s">
        <v>124</v>
      </c>
      <c r="CT1055" s="4" t="s">
        <v>124</v>
      </c>
      <c r="CU1055" s="4" t="s">
        <v>124</v>
      </c>
      <c r="CV1055" s="4" t="s">
        <v>124</v>
      </c>
      <c r="CW1055" s="4" t="s">
        <v>124</v>
      </c>
      <c r="CX1055" s="4" t="s">
        <v>124</v>
      </c>
      <c r="CY1055" s="4" t="s">
        <v>124</v>
      </c>
      <c r="CZ1055" s="4" t="s">
        <v>124</v>
      </c>
      <c r="DA1055" s="4" t="s">
        <v>124</v>
      </c>
      <c r="DB1055" s="4" t="s">
        <v>124</v>
      </c>
      <c r="DC1055" s="4" t="s">
        <v>124</v>
      </c>
      <c r="DD1055" s="4" t="s">
        <v>124</v>
      </c>
      <c r="DE1055" s="4" t="s">
        <v>124</v>
      </c>
      <c r="DF1055" s="6"/>
      <c r="DG1055" s="6"/>
      <c r="DH1055" s="6"/>
      <c r="DI1055" s="6"/>
      <c r="DJ1055" s="4" t="s">
        <v>124</v>
      </c>
      <c r="DK1055" s="4" t="s">
        <v>124</v>
      </c>
      <c r="DL1055" s="4" t="s">
        <v>124</v>
      </c>
      <c r="DM1055" s="4" t="s">
        <v>124</v>
      </c>
      <c r="DN1055" s="4" t="s">
        <v>124</v>
      </c>
      <c r="DO1055" s="4" t="s">
        <v>124</v>
      </c>
      <c r="DP1055" s="6"/>
      <c r="DQ1055" s="4" t="s">
        <v>125</v>
      </c>
    </row>
    <row r="1056" spans="1:121" ht="20" customHeight="1" x14ac:dyDescent="0.15">
      <c r="A1056" s="5">
        <v>2018</v>
      </c>
      <c r="B1056" s="3" t="s">
        <v>191</v>
      </c>
      <c r="C1056" s="4" t="str">
        <f t="shared" si="272"/>
        <v>1610011</v>
      </c>
      <c r="D1056" s="4" t="s">
        <v>1198</v>
      </c>
      <c r="E1056" s="4" t="str">
        <f>"1616111"</f>
        <v>1616111</v>
      </c>
      <c r="F1056" s="4" t="s">
        <v>327</v>
      </c>
      <c r="G1056" s="7">
        <v>9</v>
      </c>
      <c r="H1056" s="7">
        <v>12</v>
      </c>
      <c r="I1056" s="6"/>
      <c r="J1056" s="4" t="s">
        <v>330</v>
      </c>
      <c r="K1056" s="7">
        <v>1341.3488870000001</v>
      </c>
      <c r="L1056" s="7">
        <v>1450</v>
      </c>
      <c r="M1056" s="7">
        <v>92.506820000000005</v>
      </c>
      <c r="N1056" s="7">
        <v>2</v>
      </c>
      <c r="O1056" s="7">
        <v>0</v>
      </c>
      <c r="P1056" s="7">
        <v>76.002185999999995</v>
      </c>
      <c r="Q1056" s="7">
        <v>150</v>
      </c>
      <c r="R1056" s="7">
        <v>150</v>
      </c>
      <c r="S1056" s="7">
        <v>66.327381000000003</v>
      </c>
      <c r="T1056" s="7">
        <v>75</v>
      </c>
      <c r="U1056" s="7">
        <v>132.65476200000001</v>
      </c>
      <c r="V1056" s="7">
        <v>150</v>
      </c>
      <c r="W1056" s="7">
        <v>72.636066</v>
      </c>
      <c r="X1056" s="7">
        <v>145.272131</v>
      </c>
      <c r="Y1056" s="7">
        <v>150</v>
      </c>
      <c r="Z1056" s="7">
        <v>75</v>
      </c>
      <c r="AA1056" s="7">
        <v>61.351190000000003</v>
      </c>
      <c r="AB1056" s="7">
        <v>122.702381</v>
      </c>
      <c r="AC1056" s="7">
        <v>150</v>
      </c>
      <c r="AD1056" s="7">
        <v>71.678062999999995</v>
      </c>
      <c r="AE1056" s="7">
        <v>95.570750000000004</v>
      </c>
      <c r="AF1056" s="7">
        <v>100</v>
      </c>
      <c r="AG1056" s="7">
        <v>62.218209999999999</v>
      </c>
      <c r="AH1056" s="7">
        <v>73.547145999999998</v>
      </c>
      <c r="AI1056" s="7">
        <v>82.957614000000007</v>
      </c>
      <c r="AJ1056" s="7">
        <v>100</v>
      </c>
      <c r="AK1056" s="7">
        <v>8.67</v>
      </c>
      <c r="AL1056" s="7">
        <v>13.64</v>
      </c>
      <c r="AM1056" s="7">
        <v>11.32</v>
      </c>
      <c r="AN1056" s="4" t="s">
        <v>124</v>
      </c>
      <c r="AO1056" s="4" t="s">
        <v>124</v>
      </c>
      <c r="AP1056" s="4" t="s">
        <v>124</v>
      </c>
      <c r="AQ1056" s="4" t="s">
        <v>124</v>
      </c>
      <c r="AR1056" s="4" t="s">
        <v>124</v>
      </c>
      <c r="AS1056" s="4" t="s">
        <v>124</v>
      </c>
      <c r="AT1056" s="4" t="s">
        <v>124</v>
      </c>
      <c r="AU1056" s="4" t="s">
        <v>124</v>
      </c>
      <c r="AV1056" s="4" t="s">
        <v>124</v>
      </c>
      <c r="AW1056" s="4" t="s">
        <v>124</v>
      </c>
      <c r="AX1056" s="4" t="s">
        <v>124</v>
      </c>
      <c r="AY1056" s="4" t="s">
        <v>124</v>
      </c>
      <c r="AZ1056" s="4" t="s">
        <v>124</v>
      </c>
      <c r="BA1056" s="4" t="s">
        <v>124</v>
      </c>
      <c r="BB1056" s="4" t="s">
        <v>124</v>
      </c>
      <c r="BC1056" s="4" t="s">
        <v>124</v>
      </c>
      <c r="BD1056" s="4" t="s">
        <v>124</v>
      </c>
      <c r="BE1056" s="4" t="s">
        <v>124</v>
      </c>
      <c r="BF1056" s="4" t="s">
        <v>124</v>
      </c>
      <c r="BG1056" s="4" t="s">
        <v>124</v>
      </c>
      <c r="BH1056" s="7">
        <v>1</v>
      </c>
      <c r="BI1056" s="7">
        <v>0.987097</v>
      </c>
      <c r="BJ1056" s="7">
        <v>0.98275900000000005</v>
      </c>
      <c r="BK1056" s="7">
        <v>0.98809499999999995</v>
      </c>
      <c r="BL1056" s="7">
        <v>0.987097</v>
      </c>
      <c r="BM1056" s="7">
        <v>0.98275900000000005</v>
      </c>
      <c r="BN1056" s="7">
        <v>0.98809499999999995</v>
      </c>
      <c r="BO1056" s="7">
        <v>0.95806500000000006</v>
      </c>
      <c r="BP1056" s="7">
        <v>0.84482800000000002</v>
      </c>
      <c r="BQ1056" s="7">
        <v>0.98412699999999997</v>
      </c>
      <c r="BR1056" s="7">
        <v>7.2625999999999996E-2</v>
      </c>
      <c r="BS1056" s="7">
        <v>45.47486</v>
      </c>
      <c r="BT1056" s="7">
        <v>50</v>
      </c>
      <c r="BU1056" s="7">
        <v>0.181452</v>
      </c>
      <c r="BV1056" s="7">
        <v>23.709676999999999</v>
      </c>
      <c r="BW1056" s="7">
        <v>50</v>
      </c>
      <c r="BX1056" s="7">
        <v>0.90483899999999995</v>
      </c>
      <c r="BY1056" s="7">
        <v>50</v>
      </c>
      <c r="BZ1056" s="7">
        <v>50</v>
      </c>
      <c r="CA1056" s="7">
        <v>0.81612899999999999</v>
      </c>
      <c r="CB1056" s="7">
        <v>50</v>
      </c>
      <c r="CC1056" s="7">
        <v>50</v>
      </c>
      <c r="CD1056" s="7">
        <v>0.94845400000000002</v>
      </c>
      <c r="CE1056" s="7">
        <v>50</v>
      </c>
      <c r="CF1056" s="7">
        <v>50</v>
      </c>
      <c r="CG1056" s="7">
        <v>0.99065400000000003</v>
      </c>
      <c r="CH1056" s="7">
        <v>100</v>
      </c>
      <c r="CI1056" s="7">
        <v>100</v>
      </c>
      <c r="CJ1056" s="7">
        <v>0</v>
      </c>
      <c r="CK1056" s="7">
        <v>0.980769</v>
      </c>
      <c r="CL1056" s="7">
        <v>100</v>
      </c>
      <c r="CM1056" s="7">
        <v>100</v>
      </c>
      <c r="CN1056" s="7">
        <v>0.91849499999999995</v>
      </c>
      <c r="CO1056" s="7">
        <v>100</v>
      </c>
      <c r="CP1056" s="7">
        <v>100</v>
      </c>
      <c r="CQ1056" s="7">
        <v>0.71473399999999998</v>
      </c>
      <c r="CR1056" s="7">
        <v>0.93002899999999999</v>
      </c>
      <c r="CS1056" s="7">
        <v>47.648902999999997</v>
      </c>
      <c r="CT1056" s="7">
        <v>50</v>
      </c>
      <c r="CU1056" s="7">
        <v>0.54429399999999994</v>
      </c>
      <c r="CV1056" s="7">
        <v>45.357807999999999</v>
      </c>
      <c r="CW1056" s="7">
        <v>50</v>
      </c>
      <c r="CX1056" s="7">
        <v>0.980769</v>
      </c>
      <c r="CY1056" s="7">
        <v>0.94</v>
      </c>
      <c r="CZ1056" s="7">
        <v>-4.0769E-2</v>
      </c>
      <c r="DA1056" s="7">
        <v>15.314097</v>
      </c>
      <c r="DB1056" s="7">
        <v>17.400950000000002</v>
      </c>
      <c r="DC1056" s="7">
        <v>16.332519999999999</v>
      </c>
      <c r="DD1056" s="7">
        <v>7.9891730000000001</v>
      </c>
      <c r="DE1056" s="7">
        <v>1</v>
      </c>
      <c r="DF1056" s="6"/>
      <c r="DG1056" s="6"/>
      <c r="DH1056" s="6"/>
      <c r="DI1056" s="6"/>
      <c r="DJ1056" s="7">
        <v>0</v>
      </c>
      <c r="DK1056" s="7">
        <v>0</v>
      </c>
      <c r="DL1056" s="7">
        <v>0</v>
      </c>
      <c r="DM1056" s="7">
        <v>0</v>
      </c>
      <c r="DN1056" s="7">
        <v>0</v>
      </c>
      <c r="DO1056" s="7">
        <v>0</v>
      </c>
      <c r="DP1056" s="6"/>
      <c r="DQ1056" s="4" t="s">
        <v>125</v>
      </c>
    </row>
    <row r="1057" spans="1:121" ht="20" customHeight="1" x14ac:dyDescent="0.15">
      <c r="A1057" s="5">
        <v>2018</v>
      </c>
      <c r="B1057" s="3" t="s">
        <v>174</v>
      </c>
      <c r="C1057" s="4" t="str">
        <f t="shared" si="49"/>
        <v>1620011</v>
      </c>
      <c r="D1057" s="4" t="s">
        <v>1199</v>
      </c>
      <c r="E1057" s="4" t="str">
        <f>"1620411"</f>
        <v>1620411</v>
      </c>
      <c r="F1057" s="4" t="s">
        <v>327</v>
      </c>
      <c r="G1057" s="4" t="s">
        <v>328</v>
      </c>
      <c r="H1057" s="7">
        <v>2</v>
      </c>
      <c r="I1057" s="4" t="s">
        <v>335</v>
      </c>
      <c r="J1057" s="4" t="s">
        <v>330</v>
      </c>
      <c r="K1057" s="7">
        <v>91.394122999999993</v>
      </c>
      <c r="L1057" s="7">
        <v>100</v>
      </c>
      <c r="M1057" s="7">
        <v>91.394122999999993</v>
      </c>
      <c r="N1057" s="4" t="s">
        <v>124</v>
      </c>
      <c r="O1057" s="4" t="s">
        <v>124</v>
      </c>
      <c r="P1057" s="4" t="s">
        <v>124</v>
      </c>
      <c r="Q1057" s="4" t="s">
        <v>124</v>
      </c>
      <c r="R1057" s="4" t="s">
        <v>124</v>
      </c>
      <c r="S1057" s="4" t="s">
        <v>124</v>
      </c>
      <c r="T1057" s="4" t="s">
        <v>124</v>
      </c>
      <c r="U1057" s="4" t="s">
        <v>124</v>
      </c>
      <c r="V1057" s="4" t="s">
        <v>124</v>
      </c>
      <c r="W1057" s="4" t="s">
        <v>124</v>
      </c>
      <c r="X1057" s="4" t="s">
        <v>124</v>
      </c>
      <c r="Y1057" s="4" t="s">
        <v>124</v>
      </c>
      <c r="Z1057" s="4" t="s">
        <v>124</v>
      </c>
      <c r="AA1057" s="4" t="s">
        <v>124</v>
      </c>
      <c r="AB1057" s="4" t="s">
        <v>124</v>
      </c>
      <c r="AC1057" s="4" t="s">
        <v>124</v>
      </c>
      <c r="AD1057" s="4" t="s">
        <v>124</v>
      </c>
      <c r="AE1057" s="4" t="s">
        <v>124</v>
      </c>
      <c r="AF1057" s="4" t="s">
        <v>124</v>
      </c>
      <c r="AG1057" s="4" t="s">
        <v>124</v>
      </c>
      <c r="AH1057" s="4" t="s">
        <v>124</v>
      </c>
      <c r="AI1057" s="4" t="s">
        <v>124</v>
      </c>
      <c r="AJ1057" s="4" t="s">
        <v>124</v>
      </c>
      <c r="AK1057" s="4" t="s">
        <v>124</v>
      </c>
      <c r="AL1057" s="4" t="s">
        <v>124</v>
      </c>
      <c r="AM1057" s="4" t="s">
        <v>124</v>
      </c>
      <c r="AN1057" s="4" t="s">
        <v>124</v>
      </c>
      <c r="AO1057" s="4" t="s">
        <v>124</v>
      </c>
      <c r="AP1057" s="4" t="s">
        <v>124</v>
      </c>
      <c r="AQ1057" s="4" t="s">
        <v>124</v>
      </c>
      <c r="AR1057" s="4" t="s">
        <v>124</v>
      </c>
      <c r="AS1057" s="4" t="s">
        <v>124</v>
      </c>
      <c r="AT1057" s="4" t="s">
        <v>124</v>
      </c>
      <c r="AU1057" s="4" t="s">
        <v>124</v>
      </c>
      <c r="AV1057" s="4" t="s">
        <v>124</v>
      </c>
      <c r="AW1057" s="4" t="s">
        <v>124</v>
      </c>
      <c r="AX1057" s="4" t="s">
        <v>124</v>
      </c>
      <c r="AY1057" s="4" t="s">
        <v>124</v>
      </c>
      <c r="AZ1057" s="4" t="s">
        <v>124</v>
      </c>
      <c r="BA1057" s="4" t="s">
        <v>124</v>
      </c>
      <c r="BB1057" s="4" t="s">
        <v>124</v>
      </c>
      <c r="BC1057" s="4" t="s">
        <v>124</v>
      </c>
      <c r="BD1057" s="4" t="s">
        <v>124</v>
      </c>
      <c r="BE1057" s="4" t="s">
        <v>124</v>
      </c>
      <c r="BF1057" s="4" t="s">
        <v>124</v>
      </c>
      <c r="BG1057" s="4" t="s">
        <v>124</v>
      </c>
      <c r="BH1057" s="4" t="s">
        <v>124</v>
      </c>
      <c r="BI1057" s="4" t="s">
        <v>124</v>
      </c>
      <c r="BJ1057" s="4" t="s">
        <v>124</v>
      </c>
      <c r="BK1057" s="4" t="s">
        <v>124</v>
      </c>
      <c r="BL1057" s="4" t="s">
        <v>124</v>
      </c>
      <c r="BM1057" s="4" t="s">
        <v>124</v>
      </c>
      <c r="BN1057" s="4" t="s">
        <v>124</v>
      </c>
      <c r="BO1057" s="4" t="s">
        <v>124</v>
      </c>
      <c r="BP1057" s="4" t="s">
        <v>124</v>
      </c>
      <c r="BQ1057" s="4" t="s">
        <v>124</v>
      </c>
      <c r="BR1057" s="7">
        <v>5.9112999999999999E-2</v>
      </c>
      <c r="BS1057" s="7">
        <v>48.177340000000001</v>
      </c>
      <c r="BT1057" s="7">
        <v>50</v>
      </c>
      <c r="BU1057" s="7">
        <v>8.3916000000000004E-2</v>
      </c>
      <c r="BV1057" s="7">
        <v>43.216783</v>
      </c>
      <c r="BW1057" s="7">
        <v>50</v>
      </c>
      <c r="BX1057" s="4" t="s">
        <v>124</v>
      </c>
      <c r="BY1057" s="4" t="s">
        <v>124</v>
      </c>
      <c r="BZ1057" s="4" t="s">
        <v>124</v>
      </c>
      <c r="CA1057" s="4" t="s">
        <v>124</v>
      </c>
      <c r="CB1057" s="4" t="s">
        <v>124</v>
      </c>
      <c r="CC1057" s="4" t="s">
        <v>124</v>
      </c>
      <c r="CD1057" s="4" t="s">
        <v>124</v>
      </c>
      <c r="CE1057" s="4" t="s">
        <v>124</v>
      </c>
      <c r="CF1057" s="4" t="s">
        <v>124</v>
      </c>
      <c r="CG1057" s="4" t="s">
        <v>124</v>
      </c>
      <c r="CH1057" s="4" t="s">
        <v>124</v>
      </c>
      <c r="CI1057" s="4" t="s">
        <v>124</v>
      </c>
      <c r="CJ1057" s="4" t="s">
        <v>124</v>
      </c>
      <c r="CK1057" s="4" t="s">
        <v>124</v>
      </c>
      <c r="CL1057" s="4" t="s">
        <v>124</v>
      </c>
      <c r="CM1057" s="4" t="s">
        <v>124</v>
      </c>
      <c r="CN1057" s="4" t="s">
        <v>124</v>
      </c>
      <c r="CO1057" s="4" t="s">
        <v>124</v>
      </c>
      <c r="CP1057" s="4" t="s">
        <v>124</v>
      </c>
      <c r="CQ1057" s="4" t="s">
        <v>124</v>
      </c>
      <c r="CR1057" s="4" t="s">
        <v>124</v>
      </c>
      <c r="CS1057" s="4" t="s">
        <v>124</v>
      </c>
      <c r="CT1057" s="4" t="s">
        <v>124</v>
      </c>
      <c r="CU1057" s="4" t="s">
        <v>124</v>
      </c>
      <c r="CV1057" s="4" t="s">
        <v>124</v>
      </c>
      <c r="CW1057" s="4" t="s">
        <v>124</v>
      </c>
      <c r="CX1057" s="4" t="s">
        <v>124</v>
      </c>
      <c r="CY1057" s="4" t="s">
        <v>124</v>
      </c>
      <c r="CZ1057" s="4" t="s">
        <v>124</v>
      </c>
      <c r="DA1057" s="4" t="s">
        <v>124</v>
      </c>
      <c r="DB1057" s="4" t="s">
        <v>124</v>
      </c>
      <c r="DC1057" s="4" t="s">
        <v>124</v>
      </c>
      <c r="DD1057" s="4" t="s">
        <v>124</v>
      </c>
      <c r="DE1057" s="4" t="s">
        <v>124</v>
      </c>
      <c r="DF1057" s="6"/>
      <c r="DG1057" s="6"/>
      <c r="DH1057" s="6"/>
      <c r="DI1057" s="6"/>
      <c r="DJ1057" s="4" t="s">
        <v>124</v>
      </c>
      <c r="DK1057" s="4" t="s">
        <v>124</v>
      </c>
      <c r="DL1057" s="4" t="s">
        <v>124</v>
      </c>
      <c r="DM1057" s="4" t="s">
        <v>124</v>
      </c>
      <c r="DN1057" s="4" t="s">
        <v>124</v>
      </c>
      <c r="DO1057" s="4" t="s">
        <v>124</v>
      </c>
      <c r="DP1057" s="6"/>
      <c r="DQ1057" s="4" t="s">
        <v>125</v>
      </c>
    </row>
    <row r="1058" spans="1:121" ht="20" customHeight="1" x14ac:dyDescent="0.15">
      <c r="A1058" s="5">
        <v>2018</v>
      </c>
      <c r="B1058" s="3" t="s">
        <v>174</v>
      </c>
      <c r="C1058" s="4" t="str">
        <f>"1620011"</f>
        <v>1620011</v>
      </c>
      <c r="D1058" s="4" t="s">
        <v>1200</v>
      </c>
      <c r="E1058" s="4" t="str">
        <f>"1625111"</f>
        <v>1625111</v>
      </c>
      <c r="F1058" s="4" t="s">
        <v>327</v>
      </c>
      <c r="G1058" s="7">
        <v>3</v>
      </c>
      <c r="H1058" s="7">
        <v>6</v>
      </c>
      <c r="I1058" s="4" t="s">
        <v>335</v>
      </c>
      <c r="J1058" s="4" t="s">
        <v>330</v>
      </c>
      <c r="K1058" s="7">
        <v>684.43313899999998</v>
      </c>
      <c r="L1058" s="7">
        <v>850</v>
      </c>
      <c r="M1058" s="7">
        <v>80.521546000000001</v>
      </c>
      <c r="N1058" s="7">
        <v>2</v>
      </c>
      <c r="O1058" s="7">
        <v>0</v>
      </c>
      <c r="P1058" s="7">
        <v>68.395633000000004</v>
      </c>
      <c r="Q1058" s="7">
        <v>45.597088999999997</v>
      </c>
      <c r="R1058" s="7">
        <v>50</v>
      </c>
      <c r="S1058" s="7">
        <v>65.324916000000002</v>
      </c>
      <c r="T1058" s="7">
        <v>75</v>
      </c>
      <c r="U1058" s="7">
        <v>43.549944000000004</v>
      </c>
      <c r="V1058" s="7">
        <v>50</v>
      </c>
      <c r="W1058" s="7">
        <v>69.833668000000003</v>
      </c>
      <c r="X1058" s="7">
        <v>46.555777999999997</v>
      </c>
      <c r="Y1058" s="7">
        <v>50</v>
      </c>
      <c r="Z1058" s="7">
        <v>75</v>
      </c>
      <c r="AA1058" s="7">
        <v>66.737976000000003</v>
      </c>
      <c r="AB1058" s="7">
        <v>44.491984000000002</v>
      </c>
      <c r="AC1058" s="7">
        <v>50</v>
      </c>
      <c r="AD1058" s="7">
        <v>65.888202000000007</v>
      </c>
      <c r="AE1058" s="7">
        <v>43.925468000000002</v>
      </c>
      <c r="AF1058" s="7">
        <v>50</v>
      </c>
      <c r="AG1058" s="7">
        <v>62.604560999999997</v>
      </c>
      <c r="AH1058" s="4" t="s">
        <v>124</v>
      </c>
      <c r="AI1058" s="7">
        <v>41.736373999999998</v>
      </c>
      <c r="AJ1058" s="7">
        <v>50</v>
      </c>
      <c r="AK1058" s="7">
        <v>9.67</v>
      </c>
      <c r="AL1058" s="7">
        <v>8.26</v>
      </c>
      <c r="AM1058" s="4" t="s">
        <v>124</v>
      </c>
      <c r="AN1058" s="7">
        <v>0.621444</v>
      </c>
      <c r="AO1058" s="7">
        <v>62.144353000000002</v>
      </c>
      <c r="AP1058" s="7">
        <v>100</v>
      </c>
      <c r="AQ1058" s="7">
        <v>0.74685599999999996</v>
      </c>
      <c r="AR1058" s="7">
        <v>74.685586999999998</v>
      </c>
      <c r="AS1058" s="7">
        <v>100</v>
      </c>
      <c r="AT1058" s="7">
        <v>0.62402500000000005</v>
      </c>
      <c r="AU1058" s="7">
        <v>0.61499000000000004</v>
      </c>
      <c r="AV1058" s="7">
        <v>62.402507</v>
      </c>
      <c r="AW1058" s="7">
        <v>100</v>
      </c>
      <c r="AX1058" s="7">
        <v>0.72447499999999998</v>
      </c>
      <c r="AY1058" s="7">
        <v>0.80280799999999997</v>
      </c>
      <c r="AZ1058" s="7">
        <v>72.447503999999995</v>
      </c>
      <c r="BA1058" s="7">
        <v>100</v>
      </c>
      <c r="BB1058" s="4" t="s">
        <v>124</v>
      </c>
      <c r="BC1058" s="4" t="s">
        <v>124</v>
      </c>
      <c r="BD1058" s="4" t="s">
        <v>124</v>
      </c>
      <c r="BE1058" s="4" t="s">
        <v>124</v>
      </c>
      <c r="BF1058" s="4" t="s">
        <v>124</v>
      </c>
      <c r="BG1058" s="4" t="s">
        <v>124</v>
      </c>
      <c r="BH1058" s="7">
        <v>0</v>
      </c>
      <c r="BI1058" s="7">
        <v>1</v>
      </c>
      <c r="BJ1058" s="7">
        <v>1</v>
      </c>
      <c r="BK1058" s="7">
        <v>1</v>
      </c>
      <c r="BL1058" s="7">
        <v>1</v>
      </c>
      <c r="BM1058" s="7">
        <v>1</v>
      </c>
      <c r="BN1058" s="7">
        <v>1</v>
      </c>
      <c r="BO1058" s="7">
        <v>1</v>
      </c>
      <c r="BP1058" s="7">
        <v>1</v>
      </c>
      <c r="BQ1058" s="4" t="s">
        <v>124</v>
      </c>
      <c r="BR1058" s="7">
        <v>3.4247E-2</v>
      </c>
      <c r="BS1058" s="7">
        <v>50</v>
      </c>
      <c r="BT1058" s="7">
        <v>50</v>
      </c>
      <c r="BU1058" s="7">
        <v>4.2254E-2</v>
      </c>
      <c r="BV1058" s="7">
        <v>50</v>
      </c>
      <c r="BW1058" s="7">
        <v>50</v>
      </c>
      <c r="BX1058" s="4" t="s">
        <v>124</v>
      </c>
      <c r="BY1058" s="4" t="s">
        <v>124</v>
      </c>
      <c r="BZ1058" s="4" t="s">
        <v>124</v>
      </c>
      <c r="CA1058" s="4" t="s">
        <v>124</v>
      </c>
      <c r="CB1058" s="4" t="s">
        <v>124</v>
      </c>
      <c r="CC1058" s="4" t="s">
        <v>124</v>
      </c>
      <c r="CD1058" s="4" t="s">
        <v>124</v>
      </c>
      <c r="CE1058" s="4" t="s">
        <v>124</v>
      </c>
      <c r="CF1058" s="4" t="s">
        <v>124</v>
      </c>
      <c r="CG1058" s="4" t="s">
        <v>124</v>
      </c>
      <c r="CH1058" s="4" t="s">
        <v>124</v>
      </c>
      <c r="CI1058" s="4" t="s">
        <v>124</v>
      </c>
      <c r="CJ1058" s="4" t="s">
        <v>124</v>
      </c>
      <c r="CK1058" s="4" t="s">
        <v>124</v>
      </c>
      <c r="CL1058" s="4" t="s">
        <v>124</v>
      </c>
      <c r="CM1058" s="4" t="s">
        <v>124</v>
      </c>
      <c r="CN1058" s="4" t="s">
        <v>124</v>
      </c>
      <c r="CO1058" s="4" t="s">
        <v>124</v>
      </c>
      <c r="CP1058" s="4" t="s">
        <v>124</v>
      </c>
      <c r="CQ1058" s="7">
        <v>0.70344799999999996</v>
      </c>
      <c r="CR1058" s="7">
        <v>0.98639500000000002</v>
      </c>
      <c r="CS1058" s="7">
        <v>46.896552</v>
      </c>
      <c r="CT1058" s="7">
        <v>50</v>
      </c>
      <c r="CU1058" s="4" t="s">
        <v>124</v>
      </c>
      <c r="CV1058" s="4" t="s">
        <v>124</v>
      </c>
      <c r="CW1058" s="4" t="s">
        <v>124</v>
      </c>
      <c r="CX1058" s="4" t="s">
        <v>124</v>
      </c>
      <c r="CY1058" s="4" t="s">
        <v>124</v>
      </c>
      <c r="CZ1058" s="4" t="s">
        <v>124</v>
      </c>
      <c r="DA1058" s="7">
        <v>15.314097</v>
      </c>
      <c r="DB1058" s="7">
        <v>17.400950000000002</v>
      </c>
      <c r="DC1058" s="7">
        <v>16.332519999999999</v>
      </c>
      <c r="DD1058" s="4" t="s">
        <v>124</v>
      </c>
      <c r="DE1058" s="7">
        <v>0</v>
      </c>
      <c r="DF1058" s="6"/>
      <c r="DG1058" s="6"/>
      <c r="DH1058" s="6"/>
      <c r="DI1058" s="6"/>
      <c r="DJ1058" s="7">
        <v>0</v>
      </c>
      <c r="DK1058" s="7">
        <v>0</v>
      </c>
      <c r="DL1058" s="7">
        <v>0</v>
      </c>
      <c r="DM1058" s="7">
        <v>0</v>
      </c>
      <c r="DN1058" s="7">
        <v>0</v>
      </c>
      <c r="DO1058" s="7">
        <v>0</v>
      </c>
      <c r="DP1058" s="6"/>
      <c r="DQ1058" s="4" t="s">
        <v>125</v>
      </c>
    </row>
    <row r="1059" spans="1:121" ht="20" customHeight="1" x14ac:dyDescent="0.15">
      <c r="A1059" s="5">
        <v>2018</v>
      </c>
      <c r="B1059" s="3" t="s">
        <v>175</v>
      </c>
      <c r="C1059" s="4" t="str">
        <f t="shared" si="50"/>
        <v>1630011</v>
      </c>
      <c r="D1059" s="4" t="s">
        <v>1201</v>
      </c>
      <c r="E1059" s="4" t="str">
        <f>"1630411"</f>
        <v>1630411</v>
      </c>
      <c r="F1059" s="4" t="s">
        <v>327</v>
      </c>
      <c r="G1059" s="4" t="s">
        <v>338</v>
      </c>
      <c r="H1059" s="7">
        <v>8</v>
      </c>
      <c r="I1059" s="4" t="s">
        <v>335</v>
      </c>
      <c r="J1059" s="4" t="s">
        <v>330</v>
      </c>
      <c r="K1059" s="7">
        <v>770.84808299999997</v>
      </c>
      <c r="L1059" s="7">
        <v>1000</v>
      </c>
      <c r="M1059" s="7">
        <v>77.084807999999995</v>
      </c>
      <c r="N1059" s="7">
        <v>2</v>
      </c>
      <c r="O1059" s="7">
        <v>0</v>
      </c>
      <c r="P1059" s="7">
        <v>71.780518000000001</v>
      </c>
      <c r="Q1059" s="7">
        <v>47.853679</v>
      </c>
      <c r="R1059" s="7">
        <v>50</v>
      </c>
      <c r="S1059" s="7">
        <v>64.759968999999998</v>
      </c>
      <c r="T1059" s="7">
        <v>75</v>
      </c>
      <c r="U1059" s="7">
        <v>43.173312000000003</v>
      </c>
      <c r="V1059" s="7">
        <v>50</v>
      </c>
      <c r="W1059" s="7">
        <v>68.686288000000005</v>
      </c>
      <c r="X1059" s="7">
        <v>45.790858999999998</v>
      </c>
      <c r="Y1059" s="7">
        <v>50</v>
      </c>
      <c r="Z1059" s="7">
        <v>75</v>
      </c>
      <c r="AA1059" s="7">
        <v>60.925609000000001</v>
      </c>
      <c r="AB1059" s="7">
        <v>40.617072</v>
      </c>
      <c r="AC1059" s="7">
        <v>50</v>
      </c>
      <c r="AD1059" s="7">
        <v>74.515364000000005</v>
      </c>
      <c r="AE1059" s="7">
        <v>49.676909999999999</v>
      </c>
      <c r="AF1059" s="7">
        <v>50</v>
      </c>
      <c r="AG1059" s="7">
        <v>67.012146999999999</v>
      </c>
      <c r="AH1059" s="7">
        <v>75</v>
      </c>
      <c r="AI1059" s="7">
        <v>44.674765000000001</v>
      </c>
      <c r="AJ1059" s="7">
        <v>50</v>
      </c>
      <c r="AK1059" s="7">
        <v>10.24</v>
      </c>
      <c r="AL1059" s="7">
        <v>14.07</v>
      </c>
      <c r="AM1059" s="7">
        <v>7.98</v>
      </c>
      <c r="AN1059" s="7">
        <v>0.61617100000000002</v>
      </c>
      <c r="AO1059" s="7">
        <v>61.617086</v>
      </c>
      <c r="AP1059" s="7">
        <v>100</v>
      </c>
      <c r="AQ1059" s="7">
        <v>0.72445300000000001</v>
      </c>
      <c r="AR1059" s="7">
        <v>72.445340999999999</v>
      </c>
      <c r="AS1059" s="7">
        <v>100</v>
      </c>
      <c r="AT1059" s="7">
        <v>0.58282199999999995</v>
      </c>
      <c r="AU1059" s="7">
        <v>0.65434899999999996</v>
      </c>
      <c r="AV1059" s="7">
        <v>58.282221</v>
      </c>
      <c r="AW1059" s="7">
        <v>100</v>
      </c>
      <c r="AX1059" s="7">
        <v>0.63646899999999995</v>
      </c>
      <c r="AY1059" s="7">
        <v>0.82649099999999998</v>
      </c>
      <c r="AZ1059" s="7">
        <v>63.646929999999998</v>
      </c>
      <c r="BA1059" s="7">
        <v>100</v>
      </c>
      <c r="BB1059" s="7">
        <v>0.67561099999999996</v>
      </c>
      <c r="BC1059" s="7">
        <v>33.780541999999997</v>
      </c>
      <c r="BD1059" s="7">
        <v>50</v>
      </c>
      <c r="BE1059" s="7">
        <v>0.41325299999999998</v>
      </c>
      <c r="BF1059" s="7">
        <v>20.662654</v>
      </c>
      <c r="BG1059" s="7">
        <v>50</v>
      </c>
      <c r="BH1059" s="7">
        <v>0</v>
      </c>
      <c r="BI1059" s="7">
        <v>1</v>
      </c>
      <c r="BJ1059" s="7">
        <v>1</v>
      </c>
      <c r="BK1059" s="7">
        <v>1</v>
      </c>
      <c r="BL1059" s="7">
        <v>1</v>
      </c>
      <c r="BM1059" s="7">
        <v>1</v>
      </c>
      <c r="BN1059" s="7">
        <v>1</v>
      </c>
      <c r="BO1059" s="7">
        <v>1</v>
      </c>
      <c r="BP1059" s="7">
        <v>1</v>
      </c>
      <c r="BQ1059" s="7">
        <v>1</v>
      </c>
      <c r="BR1059" s="7">
        <v>3.9076E-2</v>
      </c>
      <c r="BS1059" s="7">
        <v>50</v>
      </c>
      <c r="BT1059" s="7">
        <v>50</v>
      </c>
      <c r="BU1059" s="7">
        <v>4.4304000000000003E-2</v>
      </c>
      <c r="BV1059" s="7">
        <v>50</v>
      </c>
      <c r="BW1059" s="7">
        <v>50</v>
      </c>
      <c r="BX1059" s="4" t="s">
        <v>124</v>
      </c>
      <c r="BY1059" s="4" t="s">
        <v>124</v>
      </c>
      <c r="BZ1059" s="4" t="s">
        <v>124</v>
      </c>
      <c r="CA1059" s="4" t="s">
        <v>124</v>
      </c>
      <c r="CB1059" s="4" t="s">
        <v>124</v>
      </c>
      <c r="CC1059" s="4" t="s">
        <v>124</v>
      </c>
      <c r="CD1059" s="7">
        <v>0.90740699999999996</v>
      </c>
      <c r="CE1059" s="7">
        <v>48.266351</v>
      </c>
      <c r="CF1059" s="7">
        <v>50</v>
      </c>
      <c r="CG1059" s="4" t="s">
        <v>124</v>
      </c>
      <c r="CH1059" s="4" t="s">
        <v>124</v>
      </c>
      <c r="CI1059" s="4" t="s">
        <v>124</v>
      </c>
      <c r="CJ1059" s="4" t="s">
        <v>124</v>
      </c>
      <c r="CK1059" s="4" t="s">
        <v>124</v>
      </c>
      <c r="CL1059" s="4" t="s">
        <v>124</v>
      </c>
      <c r="CM1059" s="4" t="s">
        <v>124</v>
      </c>
      <c r="CN1059" s="4" t="s">
        <v>124</v>
      </c>
      <c r="CO1059" s="4" t="s">
        <v>124</v>
      </c>
      <c r="CP1059" s="4" t="s">
        <v>124</v>
      </c>
      <c r="CQ1059" s="7">
        <v>0.60540499999999997</v>
      </c>
      <c r="CR1059" s="7">
        <v>0.984043</v>
      </c>
      <c r="CS1059" s="7">
        <v>40.36036</v>
      </c>
      <c r="CT1059" s="7">
        <v>50</v>
      </c>
      <c r="CU1059" s="4" t="s">
        <v>124</v>
      </c>
      <c r="CV1059" s="4" t="s">
        <v>124</v>
      </c>
      <c r="CW1059" s="4" t="s">
        <v>124</v>
      </c>
      <c r="CX1059" s="4" t="s">
        <v>124</v>
      </c>
      <c r="CY1059" s="4" t="s">
        <v>124</v>
      </c>
      <c r="CZ1059" s="4" t="s">
        <v>124</v>
      </c>
      <c r="DA1059" s="7">
        <v>15.314097</v>
      </c>
      <c r="DB1059" s="7">
        <v>17.400950000000002</v>
      </c>
      <c r="DC1059" s="7">
        <v>16.332519999999999</v>
      </c>
      <c r="DD1059" s="4" t="s">
        <v>124</v>
      </c>
      <c r="DE1059" s="7">
        <v>0</v>
      </c>
      <c r="DF1059" s="6"/>
      <c r="DG1059" s="6"/>
      <c r="DH1059" s="6"/>
      <c r="DI1059" s="6"/>
      <c r="DJ1059" s="7">
        <v>0</v>
      </c>
      <c r="DK1059" s="7">
        <v>0</v>
      </c>
      <c r="DL1059" s="7">
        <v>0</v>
      </c>
      <c r="DM1059" s="7">
        <v>0</v>
      </c>
      <c r="DN1059" s="7">
        <v>0</v>
      </c>
      <c r="DO1059" s="7">
        <v>0</v>
      </c>
      <c r="DP1059" s="6"/>
      <c r="DQ1059" s="4" t="s">
        <v>125</v>
      </c>
    </row>
    <row r="1060" spans="1:121" ht="20" customHeight="1" x14ac:dyDescent="0.15">
      <c r="A1060" s="5">
        <v>2018</v>
      </c>
      <c r="B1060" s="3" t="s">
        <v>175</v>
      </c>
      <c r="C1060" s="4" t="str">
        <f t="shared" ref="C1060:C1066" si="273">"1630011"</f>
        <v>1630011</v>
      </c>
      <c r="D1060" s="4" t="s">
        <v>1202</v>
      </c>
      <c r="E1060" s="4" t="str">
        <f>"1630111"</f>
        <v>1630111</v>
      </c>
      <c r="F1060" s="4" t="s">
        <v>327</v>
      </c>
      <c r="G1060" s="4" t="s">
        <v>338</v>
      </c>
      <c r="H1060" s="7">
        <v>5</v>
      </c>
      <c r="I1060" s="4" t="s">
        <v>335</v>
      </c>
      <c r="J1060" s="4" t="s">
        <v>330</v>
      </c>
      <c r="K1060" s="7">
        <v>610.40626399999996</v>
      </c>
      <c r="L1060" s="7">
        <v>950</v>
      </c>
      <c r="M1060" s="7">
        <v>64.253291000000004</v>
      </c>
      <c r="N1060" s="7">
        <v>3</v>
      </c>
      <c r="O1060" s="7">
        <v>0</v>
      </c>
      <c r="P1060" s="7">
        <v>60.568371999999997</v>
      </c>
      <c r="Q1060" s="7">
        <v>40.378914000000002</v>
      </c>
      <c r="R1060" s="7">
        <v>50</v>
      </c>
      <c r="S1060" s="7">
        <v>59.965026999999999</v>
      </c>
      <c r="T1060" s="4" t="s">
        <v>124</v>
      </c>
      <c r="U1060" s="7">
        <v>39.976685000000003</v>
      </c>
      <c r="V1060" s="7">
        <v>50</v>
      </c>
      <c r="W1060" s="7">
        <v>58.430446000000003</v>
      </c>
      <c r="X1060" s="7">
        <v>38.953631000000001</v>
      </c>
      <c r="Y1060" s="7">
        <v>50</v>
      </c>
      <c r="Z1060" s="4" t="s">
        <v>124</v>
      </c>
      <c r="AA1060" s="7">
        <v>57.744411999999997</v>
      </c>
      <c r="AB1060" s="7">
        <v>38.496274999999997</v>
      </c>
      <c r="AC1060" s="7">
        <v>50</v>
      </c>
      <c r="AD1060" s="7">
        <v>57.489497</v>
      </c>
      <c r="AE1060" s="7">
        <v>38.326332000000001</v>
      </c>
      <c r="AF1060" s="7">
        <v>50</v>
      </c>
      <c r="AG1060" s="7">
        <v>56.208891000000001</v>
      </c>
      <c r="AH1060" s="4" t="s">
        <v>124</v>
      </c>
      <c r="AI1060" s="7">
        <v>37.472594000000001</v>
      </c>
      <c r="AJ1060" s="7">
        <v>50</v>
      </c>
      <c r="AK1060" s="4" t="s">
        <v>124</v>
      </c>
      <c r="AL1060" s="4" t="s">
        <v>124</v>
      </c>
      <c r="AM1060" s="4" t="s">
        <v>124</v>
      </c>
      <c r="AN1060" s="7">
        <v>0.55886800000000003</v>
      </c>
      <c r="AO1060" s="7">
        <v>55.886809999999997</v>
      </c>
      <c r="AP1060" s="7">
        <v>100</v>
      </c>
      <c r="AQ1060" s="7">
        <v>0.67901400000000001</v>
      </c>
      <c r="AR1060" s="7">
        <v>67.901415</v>
      </c>
      <c r="AS1060" s="7">
        <v>100</v>
      </c>
      <c r="AT1060" s="7">
        <v>0.54835699999999998</v>
      </c>
      <c r="AU1060" s="4" t="s">
        <v>124</v>
      </c>
      <c r="AV1060" s="7">
        <v>54.835728000000003</v>
      </c>
      <c r="AW1060" s="7">
        <v>100</v>
      </c>
      <c r="AX1060" s="7">
        <v>0.66144099999999995</v>
      </c>
      <c r="AY1060" s="4" t="s">
        <v>124</v>
      </c>
      <c r="AZ1060" s="7">
        <v>66.144084000000007</v>
      </c>
      <c r="BA1060" s="7">
        <v>100</v>
      </c>
      <c r="BB1060" s="7">
        <v>0.59492400000000001</v>
      </c>
      <c r="BC1060" s="7">
        <v>29.746202</v>
      </c>
      <c r="BD1060" s="7">
        <v>50</v>
      </c>
      <c r="BE1060" s="7">
        <v>0.40399600000000002</v>
      </c>
      <c r="BF1060" s="7">
        <v>20.199786</v>
      </c>
      <c r="BG1060" s="7">
        <v>50</v>
      </c>
      <c r="BH1060" s="7">
        <v>0</v>
      </c>
      <c r="BI1060" s="7">
        <v>1</v>
      </c>
      <c r="BJ1060" s="7">
        <v>1</v>
      </c>
      <c r="BK1060" s="4" t="s">
        <v>124</v>
      </c>
      <c r="BL1060" s="7">
        <v>1</v>
      </c>
      <c r="BM1060" s="7">
        <v>1</v>
      </c>
      <c r="BN1060" s="4" t="s">
        <v>124</v>
      </c>
      <c r="BO1060" s="7">
        <v>1</v>
      </c>
      <c r="BP1060" s="7">
        <v>1</v>
      </c>
      <c r="BQ1060" s="4" t="s">
        <v>124</v>
      </c>
      <c r="BR1060" s="7">
        <v>0.15737699999999999</v>
      </c>
      <c r="BS1060" s="7">
        <v>28.52459</v>
      </c>
      <c r="BT1060" s="7">
        <v>50</v>
      </c>
      <c r="BU1060" s="7">
        <v>0.165517</v>
      </c>
      <c r="BV1060" s="7">
        <v>26.896552</v>
      </c>
      <c r="BW1060" s="7">
        <v>50</v>
      </c>
      <c r="BX1060" s="4" t="s">
        <v>124</v>
      </c>
      <c r="BY1060" s="4" t="s">
        <v>124</v>
      </c>
      <c r="BZ1060" s="4" t="s">
        <v>124</v>
      </c>
      <c r="CA1060" s="4" t="s">
        <v>124</v>
      </c>
      <c r="CB1060" s="4" t="s">
        <v>124</v>
      </c>
      <c r="CC1060" s="4" t="s">
        <v>124</v>
      </c>
      <c r="CD1060" s="4" t="s">
        <v>124</v>
      </c>
      <c r="CE1060" s="4" t="s">
        <v>124</v>
      </c>
      <c r="CF1060" s="4" t="s">
        <v>124</v>
      </c>
      <c r="CG1060" s="4" t="s">
        <v>124</v>
      </c>
      <c r="CH1060" s="4" t="s">
        <v>124</v>
      </c>
      <c r="CI1060" s="4" t="s">
        <v>124</v>
      </c>
      <c r="CJ1060" s="4" t="s">
        <v>124</v>
      </c>
      <c r="CK1060" s="4" t="s">
        <v>124</v>
      </c>
      <c r="CL1060" s="4" t="s">
        <v>124</v>
      </c>
      <c r="CM1060" s="4" t="s">
        <v>124</v>
      </c>
      <c r="CN1060" s="4" t="s">
        <v>124</v>
      </c>
      <c r="CO1060" s="4" t="s">
        <v>124</v>
      </c>
      <c r="CP1060" s="4" t="s">
        <v>124</v>
      </c>
      <c r="CQ1060" s="7">
        <v>0.4</v>
      </c>
      <c r="CR1060" s="7">
        <v>0.95744700000000005</v>
      </c>
      <c r="CS1060" s="7">
        <v>26.666667</v>
      </c>
      <c r="CT1060" s="7">
        <v>50</v>
      </c>
      <c r="CU1060" s="4" t="s">
        <v>124</v>
      </c>
      <c r="CV1060" s="4" t="s">
        <v>124</v>
      </c>
      <c r="CW1060" s="4" t="s">
        <v>124</v>
      </c>
      <c r="CX1060" s="4" t="s">
        <v>124</v>
      </c>
      <c r="CY1060" s="4" t="s">
        <v>124</v>
      </c>
      <c r="CZ1060" s="4" t="s">
        <v>124</v>
      </c>
      <c r="DA1060" s="7">
        <v>15.314097</v>
      </c>
      <c r="DB1060" s="7">
        <v>17.400950000000002</v>
      </c>
      <c r="DC1060" s="7">
        <v>16.332519999999999</v>
      </c>
      <c r="DD1060" s="4" t="s">
        <v>124</v>
      </c>
      <c r="DE1060" s="7">
        <v>0</v>
      </c>
      <c r="DF1060" s="6"/>
      <c r="DG1060" s="6"/>
      <c r="DH1060" s="6"/>
      <c r="DI1060" s="6"/>
      <c r="DJ1060" s="7">
        <v>0</v>
      </c>
      <c r="DK1060" s="7">
        <v>0</v>
      </c>
      <c r="DL1060" s="7">
        <v>0</v>
      </c>
      <c r="DM1060" s="7">
        <v>0</v>
      </c>
      <c r="DN1060" s="7">
        <v>0</v>
      </c>
      <c r="DO1060" s="7">
        <v>0</v>
      </c>
      <c r="DP1060" s="6"/>
      <c r="DQ1060" s="4" t="s">
        <v>125</v>
      </c>
    </row>
    <row r="1061" spans="1:121" ht="20" customHeight="1" x14ac:dyDescent="0.15">
      <c r="A1061" s="5">
        <v>2018</v>
      </c>
      <c r="B1061" s="3" t="s">
        <v>175</v>
      </c>
      <c r="C1061" s="4" t="str">
        <f t="shared" si="273"/>
        <v>1630011</v>
      </c>
      <c r="D1061" s="4" t="s">
        <v>1203</v>
      </c>
      <c r="E1061" s="4" t="str">
        <f>"1630311"</f>
        <v>1630311</v>
      </c>
      <c r="F1061" s="4" t="s">
        <v>327</v>
      </c>
      <c r="G1061" s="4" t="s">
        <v>338</v>
      </c>
      <c r="H1061" s="7">
        <v>5</v>
      </c>
      <c r="I1061" s="4" t="s">
        <v>335</v>
      </c>
      <c r="J1061" s="4" t="s">
        <v>330</v>
      </c>
      <c r="K1061" s="7">
        <v>646.81021799999996</v>
      </c>
      <c r="L1061" s="7">
        <v>950</v>
      </c>
      <c r="M1061" s="7">
        <v>68.085285999999996</v>
      </c>
      <c r="N1061" s="7">
        <v>3</v>
      </c>
      <c r="O1061" s="7">
        <v>1</v>
      </c>
      <c r="P1061" s="7">
        <v>60.977837999999998</v>
      </c>
      <c r="Q1061" s="7">
        <v>40.651891999999997</v>
      </c>
      <c r="R1061" s="7">
        <v>50</v>
      </c>
      <c r="S1061" s="7">
        <v>58.112245000000001</v>
      </c>
      <c r="T1061" s="7">
        <v>71.80341</v>
      </c>
      <c r="U1061" s="7">
        <v>38.741497000000003</v>
      </c>
      <c r="V1061" s="7">
        <v>50</v>
      </c>
      <c r="W1061" s="7">
        <v>54.615603999999998</v>
      </c>
      <c r="X1061" s="7">
        <v>36.410403000000002</v>
      </c>
      <c r="Y1061" s="7">
        <v>50</v>
      </c>
      <c r="Z1061" s="7">
        <v>69.371922999999995</v>
      </c>
      <c r="AA1061" s="7">
        <v>50.663018999999998</v>
      </c>
      <c r="AB1061" s="7">
        <v>33.775345999999999</v>
      </c>
      <c r="AC1061" s="7">
        <v>50</v>
      </c>
      <c r="AD1061" s="7">
        <v>60.354357</v>
      </c>
      <c r="AE1061" s="7">
        <v>40.236238</v>
      </c>
      <c r="AF1061" s="7">
        <v>50</v>
      </c>
      <c r="AG1061" s="7">
        <v>58.111663</v>
      </c>
      <c r="AH1061" s="4" t="s">
        <v>124</v>
      </c>
      <c r="AI1061" s="7">
        <v>38.741107999999997</v>
      </c>
      <c r="AJ1061" s="7">
        <v>50</v>
      </c>
      <c r="AK1061" s="7">
        <v>13.69</v>
      </c>
      <c r="AL1061" s="7">
        <v>18.7</v>
      </c>
      <c r="AM1061" s="4" t="s">
        <v>124</v>
      </c>
      <c r="AN1061" s="7">
        <v>0.66065300000000005</v>
      </c>
      <c r="AO1061" s="7">
        <v>66.065338999999994</v>
      </c>
      <c r="AP1061" s="7">
        <v>100</v>
      </c>
      <c r="AQ1061" s="7">
        <v>0.66038799999999998</v>
      </c>
      <c r="AR1061" s="7">
        <v>66.038814000000002</v>
      </c>
      <c r="AS1061" s="7">
        <v>100</v>
      </c>
      <c r="AT1061" s="7">
        <v>0.63339900000000005</v>
      </c>
      <c r="AU1061" s="7">
        <v>0.75785999999999998</v>
      </c>
      <c r="AV1061" s="7">
        <v>63.339925000000001</v>
      </c>
      <c r="AW1061" s="7">
        <v>100</v>
      </c>
      <c r="AX1061" s="7">
        <v>0.646366</v>
      </c>
      <c r="AY1061" s="7">
        <v>0.70993200000000001</v>
      </c>
      <c r="AZ1061" s="7">
        <v>64.636627000000004</v>
      </c>
      <c r="BA1061" s="7">
        <v>100</v>
      </c>
      <c r="BB1061" s="7">
        <v>0.65138099999999999</v>
      </c>
      <c r="BC1061" s="7">
        <v>32.569063</v>
      </c>
      <c r="BD1061" s="7">
        <v>50</v>
      </c>
      <c r="BE1061" s="7">
        <v>0.42093900000000001</v>
      </c>
      <c r="BF1061" s="7">
        <v>21.046961</v>
      </c>
      <c r="BG1061" s="7">
        <v>50</v>
      </c>
      <c r="BH1061" s="7">
        <v>1</v>
      </c>
      <c r="BI1061" s="7">
        <v>0.99137900000000001</v>
      </c>
      <c r="BJ1061" s="7">
        <v>0.98924699999999999</v>
      </c>
      <c r="BK1061" s="7">
        <v>1</v>
      </c>
      <c r="BL1061" s="7">
        <v>0.97844799999999998</v>
      </c>
      <c r="BM1061" s="7">
        <v>0.97311800000000004</v>
      </c>
      <c r="BN1061" s="7">
        <v>1</v>
      </c>
      <c r="BO1061" s="7">
        <v>0.95945899999999995</v>
      </c>
      <c r="BP1061" s="7">
        <v>0.94827600000000001</v>
      </c>
      <c r="BQ1061" s="4" t="s">
        <v>124</v>
      </c>
      <c r="BR1061" s="7">
        <v>8.9912000000000006E-2</v>
      </c>
      <c r="BS1061" s="7">
        <v>42.017544000000001</v>
      </c>
      <c r="BT1061" s="7">
        <v>50</v>
      </c>
      <c r="BU1061" s="7">
        <v>9.3583E-2</v>
      </c>
      <c r="BV1061" s="7">
        <v>41.283422000000002</v>
      </c>
      <c r="BW1061" s="7">
        <v>50</v>
      </c>
      <c r="BX1061" s="4" t="s">
        <v>124</v>
      </c>
      <c r="BY1061" s="4" t="s">
        <v>124</v>
      </c>
      <c r="BZ1061" s="4" t="s">
        <v>124</v>
      </c>
      <c r="CA1061" s="4" t="s">
        <v>124</v>
      </c>
      <c r="CB1061" s="4" t="s">
        <v>124</v>
      </c>
      <c r="CC1061" s="4" t="s">
        <v>124</v>
      </c>
      <c r="CD1061" s="4" t="s">
        <v>124</v>
      </c>
      <c r="CE1061" s="4" t="s">
        <v>124</v>
      </c>
      <c r="CF1061" s="4" t="s">
        <v>124</v>
      </c>
      <c r="CG1061" s="4" t="s">
        <v>124</v>
      </c>
      <c r="CH1061" s="4" t="s">
        <v>124</v>
      </c>
      <c r="CI1061" s="4" t="s">
        <v>124</v>
      </c>
      <c r="CJ1061" s="4" t="s">
        <v>124</v>
      </c>
      <c r="CK1061" s="4" t="s">
        <v>124</v>
      </c>
      <c r="CL1061" s="4" t="s">
        <v>124</v>
      </c>
      <c r="CM1061" s="4" t="s">
        <v>124</v>
      </c>
      <c r="CN1061" s="4" t="s">
        <v>124</v>
      </c>
      <c r="CO1061" s="4" t="s">
        <v>124</v>
      </c>
      <c r="CP1061" s="4" t="s">
        <v>124</v>
      </c>
      <c r="CQ1061" s="7">
        <v>0.63768100000000005</v>
      </c>
      <c r="CR1061" s="7">
        <v>0.88461500000000004</v>
      </c>
      <c r="CS1061" s="7">
        <v>21.256039000000001</v>
      </c>
      <c r="CT1061" s="7">
        <v>50</v>
      </c>
      <c r="CU1061" s="4" t="s">
        <v>124</v>
      </c>
      <c r="CV1061" s="4" t="s">
        <v>124</v>
      </c>
      <c r="CW1061" s="4" t="s">
        <v>124</v>
      </c>
      <c r="CX1061" s="4" t="s">
        <v>124</v>
      </c>
      <c r="CY1061" s="4" t="s">
        <v>124</v>
      </c>
      <c r="CZ1061" s="4" t="s">
        <v>124</v>
      </c>
      <c r="DA1061" s="7">
        <v>15.314097</v>
      </c>
      <c r="DB1061" s="7">
        <v>17.400950000000002</v>
      </c>
      <c r="DC1061" s="7">
        <v>16.332519999999999</v>
      </c>
      <c r="DD1061" s="4" t="s">
        <v>124</v>
      </c>
      <c r="DE1061" s="7">
        <v>1</v>
      </c>
      <c r="DF1061" s="6"/>
      <c r="DG1061" s="6"/>
      <c r="DH1061" s="6"/>
      <c r="DI1061" s="6"/>
      <c r="DJ1061" s="7">
        <v>0</v>
      </c>
      <c r="DK1061" s="7">
        <v>0</v>
      </c>
      <c r="DL1061" s="7">
        <v>0</v>
      </c>
      <c r="DM1061" s="7">
        <v>0</v>
      </c>
      <c r="DN1061" s="7">
        <v>0</v>
      </c>
      <c r="DO1061" s="7">
        <v>0</v>
      </c>
      <c r="DP1061" s="6"/>
      <c r="DQ1061" s="4" t="s">
        <v>125</v>
      </c>
    </row>
    <row r="1062" spans="1:121" ht="20" customHeight="1" x14ac:dyDescent="0.15">
      <c r="A1062" s="5">
        <v>2018</v>
      </c>
      <c r="B1062" s="3" t="s">
        <v>175</v>
      </c>
      <c r="C1062" s="4" t="str">
        <f t="shared" si="273"/>
        <v>1630011</v>
      </c>
      <c r="D1062" s="4" t="s">
        <v>1204</v>
      </c>
      <c r="E1062" s="4" t="str">
        <f>"1630611"</f>
        <v>1630611</v>
      </c>
      <c r="F1062" s="4" t="s">
        <v>327</v>
      </c>
      <c r="G1062" s="4" t="s">
        <v>338</v>
      </c>
      <c r="H1062" s="7">
        <v>5</v>
      </c>
      <c r="I1062" s="4" t="s">
        <v>335</v>
      </c>
      <c r="J1062" s="4" t="s">
        <v>330</v>
      </c>
      <c r="K1062" s="7">
        <v>642.36052900000004</v>
      </c>
      <c r="L1062" s="7">
        <v>950</v>
      </c>
      <c r="M1062" s="7">
        <v>67.616898000000006</v>
      </c>
      <c r="N1062" s="7">
        <v>3</v>
      </c>
      <c r="O1062" s="7">
        <v>0</v>
      </c>
      <c r="P1062" s="7">
        <v>60.367776999999997</v>
      </c>
      <c r="Q1062" s="7">
        <v>40.245184999999999</v>
      </c>
      <c r="R1062" s="7">
        <v>50</v>
      </c>
      <c r="S1062" s="7">
        <v>59.805064000000002</v>
      </c>
      <c r="T1062" s="4" t="s">
        <v>124</v>
      </c>
      <c r="U1062" s="7">
        <v>39.870041999999998</v>
      </c>
      <c r="V1062" s="7">
        <v>50</v>
      </c>
      <c r="W1062" s="7">
        <v>57.393203</v>
      </c>
      <c r="X1062" s="7">
        <v>38.262135999999998</v>
      </c>
      <c r="Y1062" s="7">
        <v>50</v>
      </c>
      <c r="Z1062" s="4" t="s">
        <v>124</v>
      </c>
      <c r="AA1062" s="7">
        <v>56.221288999999999</v>
      </c>
      <c r="AB1062" s="7">
        <v>37.48086</v>
      </c>
      <c r="AC1062" s="7">
        <v>50</v>
      </c>
      <c r="AD1062" s="7">
        <v>63.070306000000002</v>
      </c>
      <c r="AE1062" s="7">
        <v>42.046871000000003</v>
      </c>
      <c r="AF1062" s="7">
        <v>50</v>
      </c>
      <c r="AG1062" s="7">
        <v>61.417512000000002</v>
      </c>
      <c r="AH1062" s="4" t="s">
        <v>124</v>
      </c>
      <c r="AI1062" s="7">
        <v>40.945008000000001</v>
      </c>
      <c r="AJ1062" s="7">
        <v>50</v>
      </c>
      <c r="AK1062" s="4" t="s">
        <v>124</v>
      </c>
      <c r="AL1062" s="4" t="s">
        <v>124</v>
      </c>
      <c r="AM1062" s="4" t="s">
        <v>124</v>
      </c>
      <c r="AN1062" s="7">
        <v>0.62857200000000002</v>
      </c>
      <c r="AO1062" s="7">
        <v>62.857227000000002</v>
      </c>
      <c r="AP1062" s="7">
        <v>100</v>
      </c>
      <c r="AQ1062" s="7">
        <v>0.69305899999999998</v>
      </c>
      <c r="AR1062" s="7">
        <v>69.305921999999995</v>
      </c>
      <c r="AS1062" s="7">
        <v>100</v>
      </c>
      <c r="AT1062" s="7">
        <v>0.61707500000000004</v>
      </c>
      <c r="AU1062" s="4" t="s">
        <v>124</v>
      </c>
      <c r="AV1062" s="7">
        <v>61.707498999999999</v>
      </c>
      <c r="AW1062" s="7">
        <v>100</v>
      </c>
      <c r="AX1062" s="7">
        <v>0.68779000000000001</v>
      </c>
      <c r="AY1062" s="4" t="s">
        <v>124</v>
      </c>
      <c r="AZ1062" s="7">
        <v>68.778977999999995</v>
      </c>
      <c r="BA1062" s="7">
        <v>100</v>
      </c>
      <c r="BB1062" s="7">
        <v>0.53224300000000002</v>
      </c>
      <c r="BC1062" s="7">
        <v>26.61214</v>
      </c>
      <c r="BD1062" s="7">
        <v>50</v>
      </c>
      <c r="BE1062" s="7">
        <v>0.38919199999999998</v>
      </c>
      <c r="BF1062" s="7">
        <v>19.459593000000002</v>
      </c>
      <c r="BG1062" s="7">
        <v>50</v>
      </c>
      <c r="BH1062" s="7">
        <v>0</v>
      </c>
      <c r="BI1062" s="7">
        <v>1</v>
      </c>
      <c r="BJ1062" s="7">
        <v>1</v>
      </c>
      <c r="BK1062" s="4" t="s">
        <v>124</v>
      </c>
      <c r="BL1062" s="7">
        <v>1</v>
      </c>
      <c r="BM1062" s="7">
        <v>1</v>
      </c>
      <c r="BN1062" s="4" t="s">
        <v>124</v>
      </c>
      <c r="BO1062" s="7">
        <v>1</v>
      </c>
      <c r="BP1062" s="7">
        <v>1</v>
      </c>
      <c r="BQ1062" s="4" t="s">
        <v>124</v>
      </c>
      <c r="BR1062" s="7">
        <v>0.12595400000000001</v>
      </c>
      <c r="BS1062" s="7">
        <v>34.809159999999999</v>
      </c>
      <c r="BT1062" s="7">
        <v>50</v>
      </c>
      <c r="BU1062" s="7">
        <v>0.135021</v>
      </c>
      <c r="BV1062" s="7">
        <v>32.995781000000001</v>
      </c>
      <c r="BW1062" s="7">
        <v>50</v>
      </c>
      <c r="BX1062" s="4" t="s">
        <v>124</v>
      </c>
      <c r="BY1062" s="4" t="s">
        <v>124</v>
      </c>
      <c r="BZ1062" s="4" t="s">
        <v>124</v>
      </c>
      <c r="CA1062" s="4" t="s">
        <v>124</v>
      </c>
      <c r="CB1062" s="4" t="s">
        <v>124</v>
      </c>
      <c r="CC1062" s="4" t="s">
        <v>124</v>
      </c>
      <c r="CD1062" s="4" t="s">
        <v>124</v>
      </c>
      <c r="CE1062" s="4" t="s">
        <v>124</v>
      </c>
      <c r="CF1062" s="4" t="s">
        <v>124</v>
      </c>
      <c r="CG1062" s="4" t="s">
        <v>124</v>
      </c>
      <c r="CH1062" s="4" t="s">
        <v>124</v>
      </c>
      <c r="CI1062" s="4" t="s">
        <v>124</v>
      </c>
      <c r="CJ1062" s="4" t="s">
        <v>124</v>
      </c>
      <c r="CK1062" s="4" t="s">
        <v>124</v>
      </c>
      <c r="CL1062" s="4" t="s">
        <v>124</v>
      </c>
      <c r="CM1062" s="4" t="s">
        <v>124</v>
      </c>
      <c r="CN1062" s="4" t="s">
        <v>124</v>
      </c>
      <c r="CO1062" s="4" t="s">
        <v>124</v>
      </c>
      <c r="CP1062" s="4" t="s">
        <v>124</v>
      </c>
      <c r="CQ1062" s="7">
        <v>0.40476200000000001</v>
      </c>
      <c r="CR1062" s="7">
        <v>0.93333299999999997</v>
      </c>
      <c r="CS1062" s="7">
        <v>26.984127000000001</v>
      </c>
      <c r="CT1062" s="7">
        <v>50</v>
      </c>
      <c r="CU1062" s="4" t="s">
        <v>124</v>
      </c>
      <c r="CV1062" s="4" t="s">
        <v>124</v>
      </c>
      <c r="CW1062" s="4" t="s">
        <v>124</v>
      </c>
      <c r="CX1062" s="4" t="s">
        <v>124</v>
      </c>
      <c r="CY1062" s="4" t="s">
        <v>124</v>
      </c>
      <c r="CZ1062" s="4" t="s">
        <v>124</v>
      </c>
      <c r="DA1062" s="7">
        <v>15.314097</v>
      </c>
      <c r="DB1062" s="7">
        <v>17.400950000000002</v>
      </c>
      <c r="DC1062" s="7">
        <v>16.332519999999999</v>
      </c>
      <c r="DD1062" s="4" t="s">
        <v>124</v>
      </c>
      <c r="DE1062" s="7">
        <v>0</v>
      </c>
      <c r="DF1062" s="6"/>
      <c r="DG1062" s="6"/>
      <c r="DH1062" s="6"/>
      <c r="DI1062" s="6"/>
      <c r="DJ1062" s="7">
        <v>0</v>
      </c>
      <c r="DK1062" s="7">
        <v>0</v>
      </c>
      <c r="DL1062" s="7">
        <v>0</v>
      </c>
      <c r="DM1062" s="7">
        <v>0</v>
      </c>
      <c r="DN1062" s="7">
        <v>0</v>
      </c>
      <c r="DO1062" s="7">
        <v>0</v>
      </c>
      <c r="DP1062" s="6"/>
      <c r="DQ1062" s="4" t="s">
        <v>125</v>
      </c>
    </row>
    <row r="1063" spans="1:121" ht="20" customHeight="1" x14ac:dyDescent="0.15">
      <c r="A1063" s="5">
        <v>2018</v>
      </c>
      <c r="B1063" s="3" t="s">
        <v>175</v>
      </c>
      <c r="C1063" s="4" t="str">
        <f t="shared" si="273"/>
        <v>1630011</v>
      </c>
      <c r="D1063" s="4" t="s">
        <v>1205</v>
      </c>
      <c r="E1063" s="4" t="str">
        <f>"1630511"</f>
        <v>1630511</v>
      </c>
      <c r="F1063" s="4" t="s">
        <v>327</v>
      </c>
      <c r="G1063" s="4" t="s">
        <v>338</v>
      </c>
      <c r="H1063" s="7">
        <v>5</v>
      </c>
      <c r="I1063" s="4" t="s">
        <v>335</v>
      </c>
      <c r="J1063" s="4" t="s">
        <v>330</v>
      </c>
      <c r="K1063" s="7">
        <v>720.40021200000001</v>
      </c>
      <c r="L1063" s="7">
        <v>950</v>
      </c>
      <c r="M1063" s="7">
        <v>75.831601000000006</v>
      </c>
      <c r="N1063" s="7">
        <v>2</v>
      </c>
      <c r="O1063" s="7">
        <v>0</v>
      </c>
      <c r="P1063" s="7">
        <v>67.015332000000001</v>
      </c>
      <c r="Q1063" s="7">
        <v>44.676887999999998</v>
      </c>
      <c r="R1063" s="7">
        <v>50</v>
      </c>
      <c r="S1063" s="7">
        <v>61.908596000000003</v>
      </c>
      <c r="T1063" s="7">
        <v>75</v>
      </c>
      <c r="U1063" s="7">
        <v>41.272396999999998</v>
      </c>
      <c r="V1063" s="7">
        <v>50</v>
      </c>
      <c r="W1063" s="7">
        <v>67.752450999999994</v>
      </c>
      <c r="X1063" s="7">
        <v>45.168301</v>
      </c>
      <c r="Y1063" s="7">
        <v>50</v>
      </c>
      <c r="Z1063" s="7">
        <v>75</v>
      </c>
      <c r="AA1063" s="7">
        <v>63.480147000000002</v>
      </c>
      <c r="AB1063" s="7">
        <v>42.320098000000002</v>
      </c>
      <c r="AC1063" s="7">
        <v>50</v>
      </c>
      <c r="AD1063" s="7">
        <v>68.768090999999998</v>
      </c>
      <c r="AE1063" s="7">
        <v>45.845393999999999</v>
      </c>
      <c r="AF1063" s="7">
        <v>50</v>
      </c>
      <c r="AG1063" s="7">
        <v>64.904420999999999</v>
      </c>
      <c r="AH1063" s="4" t="s">
        <v>124</v>
      </c>
      <c r="AI1063" s="7">
        <v>43.269613999999997</v>
      </c>
      <c r="AJ1063" s="7">
        <v>50</v>
      </c>
      <c r="AK1063" s="7">
        <v>13.09</v>
      </c>
      <c r="AL1063" s="7">
        <v>11.51</v>
      </c>
      <c r="AM1063" s="4" t="s">
        <v>124</v>
      </c>
      <c r="AN1063" s="7">
        <v>0.77425100000000002</v>
      </c>
      <c r="AO1063" s="7">
        <v>77.425089</v>
      </c>
      <c r="AP1063" s="7">
        <v>100</v>
      </c>
      <c r="AQ1063" s="7">
        <v>0.879166</v>
      </c>
      <c r="AR1063" s="7">
        <v>87.916557999999995</v>
      </c>
      <c r="AS1063" s="7">
        <v>100</v>
      </c>
      <c r="AT1063" s="7">
        <v>0.71437200000000001</v>
      </c>
      <c r="AU1063" s="4" t="s">
        <v>124</v>
      </c>
      <c r="AV1063" s="7">
        <v>71.437241</v>
      </c>
      <c r="AW1063" s="7">
        <v>100</v>
      </c>
      <c r="AX1063" s="7">
        <v>0.839028</v>
      </c>
      <c r="AY1063" s="4" t="s">
        <v>124</v>
      </c>
      <c r="AZ1063" s="7">
        <v>83.902811999999997</v>
      </c>
      <c r="BA1063" s="7">
        <v>100</v>
      </c>
      <c r="BB1063" s="7">
        <v>0.61067000000000005</v>
      </c>
      <c r="BC1063" s="7">
        <v>30.533480999999998</v>
      </c>
      <c r="BD1063" s="7">
        <v>50</v>
      </c>
      <c r="BE1063" s="7">
        <v>0.42474400000000001</v>
      </c>
      <c r="BF1063" s="7">
        <v>21.237216</v>
      </c>
      <c r="BG1063" s="7">
        <v>50</v>
      </c>
      <c r="BH1063" s="7">
        <v>0</v>
      </c>
      <c r="BI1063" s="7">
        <v>0.97479000000000005</v>
      </c>
      <c r="BJ1063" s="7">
        <v>0.97894700000000001</v>
      </c>
      <c r="BK1063" s="7">
        <v>0.95833299999999999</v>
      </c>
      <c r="BL1063" s="7">
        <v>0.97479000000000005</v>
      </c>
      <c r="BM1063" s="7">
        <v>0.97894700000000001</v>
      </c>
      <c r="BN1063" s="7">
        <v>0.95833299999999999</v>
      </c>
      <c r="BO1063" s="7">
        <v>0.97826100000000005</v>
      </c>
      <c r="BP1063" s="7">
        <v>1</v>
      </c>
      <c r="BQ1063" s="4" t="s">
        <v>124</v>
      </c>
      <c r="BR1063" s="7">
        <v>0.17623</v>
      </c>
      <c r="BS1063" s="7">
        <v>24.754097999999999</v>
      </c>
      <c r="BT1063" s="7">
        <v>50</v>
      </c>
      <c r="BU1063" s="7">
        <v>0.20192299999999999</v>
      </c>
      <c r="BV1063" s="7">
        <v>19.615385</v>
      </c>
      <c r="BW1063" s="7">
        <v>50</v>
      </c>
      <c r="BX1063" s="4" t="s">
        <v>124</v>
      </c>
      <c r="BY1063" s="4" t="s">
        <v>124</v>
      </c>
      <c r="BZ1063" s="4" t="s">
        <v>124</v>
      </c>
      <c r="CA1063" s="4" t="s">
        <v>124</v>
      </c>
      <c r="CB1063" s="4" t="s">
        <v>124</v>
      </c>
      <c r="CC1063" s="4" t="s">
        <v>124</v>
      </c>
      <c r="CD1063" s="4" t="s">
        <v>124</v>
      </c>
      <c r="CE1063" s="4" t="s">
        <v>124</v>
      </c>
      <c r="CF1063" s="4" t="s">
        <v>124</v>
      </c>
      <c r="CG1063" s="4" t="s">
        <v>124</v>
      </c>
      <c r="CH1063" s="4" t="s">
        <v>124</v>
      </c>
      <c r="CI1063" s="4" t="s">
        <v>124</v>
      </c>
      <c r="CJ1063" s="4" t="s">
        <v>124</v>
      </c>
      <c r="CK1063" s="4" t="s">
        <v>124</v>
      </c>
      <c r="CL1063" s="4" t="s">
        <v>124</v>
      </c>
      <c r="CM1063" s="4" t="s">
        <v>124</v>
      </c>
      <c r="CN1063" s="4" t="s">
        <v>124</v>
      </c>
      <c r="CO1063" s="4" t="s">
        <v>124</v>
      </c>
      <c r="CP1063" s="4" t="s">
        <v>124</v>
      </c>
      <c r="CQ1063" s="7">
        <v>0.61538499999999996</v>
      </c>
      <c r="CR1063" s="7">
        <v>0.97499999999999998</v>
      </c>
      <c r="CS1063" s="7">
        <v>41.025641</v>
      </c>
      <c r="CT1063" s="7">
        <v>50</v>
      </c>
      <c r="CU1063" s="4" t="s">
        <v>124</v>
      </c>
      <c r="CV1063" s="4" t="s">
        <v>124</v>
      </c>
      <c r="CW1063" s="4" t="s">
        <v>124</v>
      </c>
      <c r="CX1063" s="4" t="s">
        <v>124</v>
      </c>
      <c r="CY1063" s="4" t="s">
        <v>124</v>
      </c>
      <c r="CZ1063" s="4" t="s">
        <v>124</v>
      </c>
      <c r="DA1063" s="7">
        <v>15.314097</v>
      </c>
      <c r="DB1063" s="7">
        <v>17.400950000000002</v>
      </c>
      <c r="DC1063" s="7">
        <v>16.332519999999999</v>
      </c>
      <c r="DD1063" s="4" t="s">
        <v>124</v>
      </c>
      <c r="DE1063" s="7">
        <v>0</v>
      </c>
      <c r="DF1063" s="6"/>
      <c r="DG1063" s="6"/>
      <c r="DH1063" s="4" t="s">
        <v>331</v>
      </c>
      <c r="DI1063" s="4" t="s">
        <v>476</v>
      </c>
      <c r="DJ1063" s="7">
        <v>0</v>
      </c>
      <c r="DK1063" s="7">
        <v>0</v>
      </c>
      <c r="DL1063" s="7">
        <v>1</v>
      </c>
      <c r="DM1063" s="7">
        <v>1</v>
      </c>
      <c r="DN1063" s="7">
        <v>1</v>
      </c>
      <c r="DO1063" s="7">
        <v>0</v>
      </c>
      <c r="DP1063" s="6"/>
      <c r="DQ1063" s="4" t="s">
        <v>125</v>
      </c>
    </row>
    <row r="1064" spans="1:121" ht="20" customHeight="1" x14ac:dyDescent="0.15">
      <c r="A1064" s="5">
        <v>2018</v>
      </c>
      <c r="B1064" s="3" t="s">
        <v>175</v>
      </c>
      <c r="C1064" s="4" t="str">
        <f>"1630011"</f>
        <v>1630011</v>
      </c>
      <c r="D1064" s="4" t="s">
        <v>1206</v>
      </c>
      <c r="E1064" s="4" t="str">
        <f>"1636111"</f>
        <v>1636111</v>
      </c>
      <c r="F1064" s="4" t="s">
        <v>327</v>
      </c>
      <c r="G1064" s="7">
        <v>9</v>
      </c>
      <c r="H1064" s="7">
        <v>12</v>
      </c>
      <c r="I1064" s="4" t="s">
        <v>335</v>
      </c>
      <c r="J1064" s="4" t="s">
        <v>330</v>
      </c>
      <c r="K1064" s="7">
        <v>879.93013800000006</v>
      </c>
      <c r="L1064" s="7">
        <v>1550</v>
      </c>
      <c r="M1064" s="7">
        <v>56.769686</v>
      </c>
      <c r="N1064" s="7">
        <v>3</v>
      </c>
      <c r="O1064" s="7">
        <v>0</v>
      </c>
      <c r="P1064" s="7">
        <v>45.896158</v>
      </c>
      <c r="Q1064" s="7">
        <v>91.792316</v>
      </c>
      <c r="R1064" s="7">
        <v>150</v>
      </c>
      <c r="S1064" s="7">
        <v>42.427506999999999</v>
      </c>
      <c r="T1064" s="7">
        <v>57.273333000000001</v>
      </c>
      <c r="U1064" s="7">
        <v>84.855013999999997</v>
      </c>
      <c r="V1064" s="7">
        <v>150</v>
      </c>
      <c r="W1064" s="7">
        <v>41.869678</v>
      </c>
      <c r="X1064" s="7">
        <v>83.739356000000001</v>
      </c>
      <c r="Y1064" s="7">
        <v>150</v>
      </c>
      <c r="Z1064" s="7">
        <v>48.473332999999997</v>
      </c>
      <c r="AA1064" s="7">
        <v>39.856369000000001</v>
      </c>
      <c r="AB1064" s="7">
        <v>79.712737000000004</v>
      </c>
      <c r="AC1064" s="7">
        <v>150</v>
      </c>
      <c r="AD1064" s="7">
        <v>40.778250999999997</v>
      </c>
      <c r="AE1064" s="7">
        <v>54.371001999999997</v>
      </c>
      <c r="AF1064" s="7">
        <v>100</v>
      </c>
      <c r="AG1064" s="7">
        <v>39.053046999999999</v>
      </c>
      <c r="AH1064" s="7">
        <v>46.436923</v>
      </c>
      <c r="AI1064" s="7">
        <v>52.070729</v>
      </c>
      <c r="AJ1064" s="7">
        <v>100</v>
      </c>
      <c r="AK1064" s="7">
        <v>14.84</v>
      </c>
      <c r="AL1064" s="7">
        <v>8.61</v>
      </c>
      <c r="AM1064" s="7">
        <v>7.38</v>
      </c>
      <c r="AN1064" s="4" t="s">
        <v>124</v>
      </c>
      <c r="AO1064" s="4" t="s">
        <v>124</v>
      </c>
      <c r="AP1064" s="4" t="s">
        <v>124</v>
      </c>
      <c r="AQ1064" s="4" t="s">
        <v>124</v>
      </c>
      <c r="AR1064" s="4" t="s">
        <v>124</v>
      </c>
      <c r="AS1064" s="4" t="s">
        <v>124</v>
      </c>
      <c r="AT1064" s="4" t="s">
        <v>124</v>
      </c>
      <c r="AU1064" s="4" t="s">
        <v>124</v>
      </c>
      <c r="AV1064" s="4" t="s">
        <v>124</v>
      </c>
      <c r="AW1064" s="4" t="s">
        <v>124</v>
      </c>
      <c r="AX1064" s="4" t="s">
        <v>124</v>
      </c>
      <c r="AY1064" s="4" t="s">
        <v>124</v>
      </c>
      <c r="AZ1064" s="4" t="s">
        <v>124</v>
      </c>
      <c r="BA1064" s="4" t="s">
        <v>124</v>
      </c>
      <c r="BB1064" s="7">
        <v>0.27661000000000002</v>
      </c>
      <c r="BC1064" s="7">
        <v>13.830476000000001</v>
      </c>
      <c r="BD1064" s="7">
        <v>50</v>
      </c>
      <c r="BE1064" s="7">
        <v>0.36165599999999998</v>
      </c>
      <c r="BF1064" s="7">
        <v>18.082781000000001</v>
      </c>
      <c r="BG1064" s="7">
        <v>50</v>
      </c>
      <c r="BH1064" s="7">
        <v>1</v>
      </c>
      <c r="BI1064" s="7">
        <v>0.94399999999999995</v>
      </c>
      <c r="BJ1064" s="7">
        <v>0.92929300000000004</v>
      </c>
      <c r="BK1064" s="7">
        <v>1</v>
      </c>
      <c r="BL1064" s="7">
        <v>0.94399999999999995</v>
      </c>
      <c r="BM1064" s="7">
        <v>0.92929300000000004</v>
      </c>
      <c r="BN1064" s="7">
        <v>1</v>
      </c>
      <c r="BO1064" s="7">
        <v>0.95161300000000004</v>
      </c>
      <c r="BP1064" s="7">
        <v>0.94845400000000002</v>
      </c>
      <c r="BQ1064" s="7">
        <v>0.96296300000000001</v>
      </c>
      <c r="BR1064" s="7">
        <v>0.31560899999999997</v>
      </c>
      <c r="BS1064" s="7">
        <v>0</v>
      </c>
      <c r="BT1064" s="7">
        <v>50</v>
      </c>
      <c r="BU1064" s="7">
        <v>0.34285700000000002</v>
      </c>
      <c r="BV1064" s="7">
        <v>0</v>
      </c>
      <c r="BW1064" s="7">
        <v>50</v>
      </c>
      <c r="BX1064" s="7">
        <v>0.796875</v>
      </c>
      <c r="BY1064" s="7">
        <v>50</v>
      </c>
      <c r="BZ1064" s="7">
        <v>50</v>
      </c>
      <c r="CA1064" s="7">
        <v>0.14843799999999999</v>
      </c>
      <c r="CB1064" s="7">
        <v>9.8958329999999997</v>
      </c>
      <c r="CC1064" s="7">
        <v>50</v>
      </c>
      <c r="CD1064" s="7">
        <v>0.57303400000000004</v>
      </c>
      <c r="CE1064" s="7">
        <v>30.480516000000001</v>
      </c>
      <c r="CF1064" s="7">
        <v>50</v>
      </c>
      <c r="CG1064" s="7">
        <v>0.86792499999999995</v>
      </c>
      <c r="CH1064" s="7">
        <v>92.332397</v>
      </c>
      <c r="CI1064" s="7">
        <v>100</v>
      </c>
      <c r="CJ1064" s="7">
        <v>0</v>
      </c>
      <c r="CK1064" s="7">
        <v>0.88073400000000002</v>
      </c>
      <c r="CL1064" s="7">
        <v>93.695100999999994</v>
      </c>
      <c r="CM1064" s="7">
        <v>100</v>
      </c>
      <c r="CN1064" s="7">
        <v>0.40425499999999998</v>
      </c>
      <c r="CO1064" s="7">
        <v>53.900708999999999</v>
      </c>
      <c r="CP1064" s="7">
        <v>100</v>
      </c>
      <c r="CQ1064" s="7">
        <v>0.31756800000000002</v>
      </c>
      <c r="CR1064" s="7">
        <v>0.980132</v>
      </c>
      <c r="CS1064" s="7">
        <v>21.171171000000001</v>
      </c>
      <c r="CT1064" s="7">
        <v>50</v>
      </c>
      <c r="CU1064" s="7">
        <v>0.70497399999999999</v>
      </c>
      <c r="CV1064" s="7">
        <v>50</v>
      </c>
      <c r="CW1064" s="7">
        <v>50</v>
      </c>
      <c r="CX1064" s="7">
        <v>0.88073400000000002</v>
      </c>
      <c r="CY1064" s="7">
        <v>0.94</v>
      </c>
      <c r="CZ1064" s="7">
        <v>5.9265999999999999E-2</v>
      </c>
      <c r="DA1064" s="7">
        <v>15.314097</v>
      </c>
      <c r="DB1064" s="7">
        <v>17.400950000000002</v>
      </c>
      <c r="DC1064" s="7">
        <v>16.332519999999999</v>
      </c>
      <c r="DD1064" s="7">
        <v>7.9891730000000001</v>
      </c>
      <c r="DE1064" s="7">
        <v>1</v>
      </c>
      <c r="DF1064" s="6"/>
      <c r="DG1064" s="6"/>
      <c r="DH1064" s="6"/>
      <c r="DI1064" s="6"/>
      <c r="DJ1064" s="7">
        <v>0</v>
      </c>
      <c r="DK1064" s="7">
        <v>0</v>
      </c>
      <c r="DL1064" s="7">
        <v>0</v>
      </c>
      <c r="DM1064" s="7">
        <v>0</v>
      </c>
      <c r="DN1064" s="7">
        <v>0</v>
      </c>
      <c r="DO1064" s="7">
        <v>0</v>
      </c>
      <c r="DP1064" s="6"/>
      <c r="DQ1064" s="4" t="s">
        <v>125</v>
      </c>
    </row>
    <row r="1065" spans="1:121" ht="20" customHeight="1" x14ac:dyDescent="0.15">
      <c r="A1065" s="5">
        <v>2018</v>
      </c>
      <c r="B1065" s="3" t="s">
        <v>175</v>
      </c>
      <c r="C1065" s="4" t="str">
        <f t="shared" si="273"/>
        <v>1630011</v>
      </c>
      <c r="D1065" s="4" t="s">
        <v>1207</v>
      </c>
      <c r="E1065" s="4" t="str">
        <f>"1635111"</f>
        <v>1635111</v>
      </c>
      <c r="F1065" s="4" t="s">
        <v>327</v>
      </c>
      <c r="G1065" s="7">
        <v>6</v>
      </c>
      <c r="H1065" s="7">
        <v>8</v>
      </c>
      <c r="I1065" s="4" t="s">
        <v>335</v>
      </c>
      <c r="J1065" s="4" t="s">
        <v>330</v>
      </c>
      <c r="K1065" s="7">
        <v>501.36082499999998</v>
      </c>
      <c r="L1065" s="7">
        <v>1000</v>
      </c>
      <c r="M1065" s="7">
        <v>50.136082000000002</v>
      </c>
      <c r="N1065" s="7">
        <v>4</v>
      </c>
      <c r="O1065" s="7">
        <v>1</v>
      </c>
      <c r="P1065" s="7">
        <v>52.462564999999998</v>
      </c>
      <c r="Q1065" s="7">
        <v>34.975042999999999</v>
      </c>
      <c r="R1065" s="7">
        <v>50</v>
      </c>
      <c r="S1065" s="7">
        <v>50.316875000000003</v>
      </c>
      <c r="T1065" s="7">
        <v>66.897210999999999</v>
      </c>
      <c r="U1065" s="7">
        <v>33.544583000000003</v>
      </c>
      <c r="V1065" s="7">
        <v>50</v>
      </c>
      <c r="W1065" s="7">
        <v>46.714748999999998</v>
      </c>
      <c r="X1065" s="7">
        <v>31.143166000000001</v>
      </c>
      <c r="Y1065" s="7">
        <v>50</v>
      </c>
      <c r="Z1065" s="7">
        <v>58.672254000000002</v>
      </c>
      <c r="AA1065" s="7">
        <v>44.923450000000003</v>
      </c>
      <c r="AB1065" s="7">
        <v>29.948967</v>
      </c>
      <c r="AC1065" s="7">
        <v>50</v>
      </c>
      <c r="AD1065" s="7">
        <v>50.896912</v>
      </c>
      <c r="AE1065" s="7">
        <v>33.931274999999999</v>
      </c>
      <c r="AF1065" s="7">
        <v>50</v>
      </c>
      <c r="AG1065" s="7">
        <v>48.395921000000001</v>
      </c>
      <c r="AH1065" s="7">
        <v>65.037135000000006</v>
      </c>
      <c r="AI1065" s="7">
        <v>32.263947000000002</v>
      </c>
      <c r="AJ1065" s="7">
        <v>50</v>
      </c>
      <c r="AK1065" s="7">
        <v>16.579999999999998</v>
      </c>
      <c r="AL1065" s="7">
        <v>13.74</v>
      </c>
      <c r="AM1065" s="7">
        <v>16.64</v>
      </c>
      <c r="AN1065" s="7">
        <v>0.46122099999999999</v>
      </c>
      <c r="AO1065" s="7">
        <v>46.122086000000003</v>
      </c>
      <c r="AP1065" s="7">
        <v>100</v>
      </c>
      <c r="AQ1065" s="7">
        <v>0.39525100000000002</v>
      </c>
      <c r="AR1065" s="7">
        <v>39.525103999999999</v>
      </c>
      <c r="AS1065" s="7">
        <v>100</v>
      </c>
      <c r="AT1065" s="7">
        <v>0.45017699999999999</v>
      </c>
      <c r="AU1065" s="7">
        <v>0.52721899999999999</v>
      </c>
      <c r="AV1065" s="7">
        <v>45.017681000000003</v>
      </c>
      <c r="AW1065" s="7">
        <v>100</v>
      </c>
      <c r="AX1065" s="7">
        <v>0.39045000000000002</v>
      </c>
      <c r="AY1065" s="7">
        <v>0.42376999999999998</v>
      </c>
      <c r="AZ1065" s="7">
        <v>39.044961000000001</v>
      </c>
      <c r="BA1065" s="7">
        <v>100</v>
      </c>
      <c r="BB1065" s="7">
        <v>0.42451800000000001</v>
      </c>
      <c r="BC1065" s="7">
        <v>21.225881999999999</v>
      </c>
      <c r="BD1065" s="7">
        <v>50</v>
      </c>
      <c r="BE1065" s="7">
        <v>0.39601399999999998</v>
      </c>
      <c r="BF1065" s="7">
        <v>19.800698000000001</v>
      </c>
      <c r="BG1065" s="7">
        <v>50</v>
      </c>
      <c r="BH1065" s="7">
        <v>0</v>
      </c>
      <c r="BI1065" s="7">
        <v>0.98619599999999996</v>
      </c>
      <c r="BJ1065" s="7">
        <v>0.98594000000000004</v>
      </c>
      <c r="BK1065" s="7">
        <v>0.98795200000000005</v>
      </c>
      <c r="BL1065" s="7">
        <v>0.98153800000000002</v>
      </c>
      <c r="BM1065" s="7">
        <v>0.98060000000000003</v>
      </c>
      <c r="BN1065" s="7">
        <v>0.98795200000000005</v>
      </c>
      <c r="BO1065" s="7">
        <v>0.99465199999999998</v>
      </c>
      <c r="BP1065" s="7">
        <v>0.99367099999999997</v>
      </c>
      <c r="BQ1065" s="7">
        <v>1</v>
      </c>
      <c r="BR1065" s="7">
        <v>0.23183899999999999</v>
      </c>
      <c r="BS1065" s="7">
        <v>13.632148000000001</v>
      </c>
      <c r="BT1065" s="7">
        <v>50</v>
      </c>
      <c r="BU1065" s="7">
        <v>0.25939200000000001</v>
      </c>
      <c r="BV1065" s="7">
        <v>8.1216460000000001</v>
      </c>
      <c r="BW1065" s="7">
        <v>50</v>
      </c>
      <c r="BX1065" s="4" t="s">
        <v>124</v>
      </c>
      <c r="BY1065" s="4" t="s">
        <v>124</v>
      </c>
      <c r="BZ1065" s="4" t="s">
        <v>124</v>
      </c>
      <c r="CA1065" s="4" t="s">
        <v>124</v>
      </c>
      <c r="CB1065" s="4" t="s">
        <v>124</v>
      </c>
      <c r="CC1065" s="4" t="s">
        <v>124</v>
      </c>
      <c r="CD1065" s="7">
        <v>0.82142899999999996</v>
      </c>
      <c r="CE1065" s="7">
        <v>43.693009000000004</v>
      </c>
      <c r="CF1065" s="7">
        <v>50</v>
      </c>
      <c r="CG1065" s="4" t="s">
        <v>124</v>
      </c>
      <c r="CH1065" s="4" t="s">
        <v>124</v>
      </c>
      <c r="CI1065" s="4" t="s">
        <v>124</v>
      </c>
      <c r="CJ1065" s="4" t="s">
        <v>124</v>
      </c>
      <c r="CK1065" s="4" t="s">
        <v>124</v>
      </c>
      <c r="CL1065" s="4" t="s">
        <v>124</v>
      </c>
      <c r="CM1065" s="4" t="s">
        <v>124</v>
      </c>
      <c r="CN1065" s="4" t="s">
        <v>124</v>
      </c>
      <c r="CO1065" s="4" t="s">
        <v>124</v>
      </c>
      <c r="CP1065" s="4" t="s">
        <v>124</v>
      </c>
      <c r="CQ1065" s="7">
        <v>0.44055899999999998</v>
      </c>
      <c r="CR1065" s="7">
        <v>0.97945199999999999</v>
      </c>
      <c r="CS1065" s="7">
        <v>29.370629000000001</v>
      </c>
      <c r="CT1065" s="7">
        <v>50</v>
      </c>
      <c r="CU1065" s="4" t="s">
        <v>124</v>
      </c>
      <c r="CV1065" s="4" t="s">
        <v>124</v>
      </c>
      <c r="CW1065" s="4" t="s">
        <v>124</v>
      </c>
      <c r="CX1065" s="4" t="s">
        <v>124</v>
      </c>
      <c r="CY1065" s="4" t="s">
        <v>124</v>
      </c>
      <c r="CZ1065" s="4" t="s">
        <v>124</v>
      </c>
      <c r="DA1065" s="7">
        <v>15.314097</v>
      </c>
      <c r="DB1065" s="7">
        <v>17.400950000000002</v>
      </c>
      <c r="DC1065" s="7">
        <v>16.332519999999999</v>
      </c>
      <c r="DD1065" s="4" t="s">
        <v>124</v>
      </c>
      <c r="DE1065" s="7">
        <v>1</v>
      </c>
      <c r="DF1065" s="4" t="s">
        <v>384</v>
      </c>
      <c r="DG1065" s="4" t="s">
        <v>417</v>
      </c>
      <c r="DH1065" s="6"/>
      <c r="DI1065" s="6"/>
      <c r="DJ1065" s="7">
        <v>0</v>
      </c>
      <c r="DK1065" s="7">
        <v>0</v>
      </c>
      <c r="DL1065" s="7">
        <v>0</v>
      </c>
      <c r="DM1065" s="7">
        <v>0</v>
      </c>
      <c r="DN1065" s="7">
        <v>0</v>
      </c>
      <c r="DO1065" s="7">
        <v>0</v>
      </c>
      <c r="DP1065" s="6"/>
      <c r="DQ1065" s="4" t="s">
        <v>125</v>
      </c>
    </row>
    <row r="1066" spans="1:121" ht="20" customHeight="1" x14ac:dyDescent="0.15">
      <c r="A1066" s="5">
        <v>2018</v>
      </c>
      <c r="B1066" s="3" t="s">
        <v>175</v>
      </c>
      <c r="C1066" s="4" t="str">
        <f t="shared" si="273"/>
        <v>1630011</v>
      </c>
      <c r="D1066" s="4" t="s">
        <v>1208</v>
      </c>
      <c r="E1066" s="4" t="str">
        <f>"1631311"</f>
        <v>1631311</v>
      </c>
      <c r="F1066" s="4" t="s">
        <v>327</v>
      </c>
      <c r="G1066" s="7">
        <v>9</v>
      </c>
      <c r="H1066" s="7">
        <v>12</v>
      </c>
      <c r="I1066" s="6"/>
      <c r="J1066" s="4" t="s">
        <v>330</v>
      </c>
      <c r="K1066" s="7">
        <v>3.3333330000000001</v>
      </c>
      <c r="L1066" s="7">
        <v>150</v>
      </c>
      <c r="M1066" s="7">
        <v>2.2222219999999999</v>
      </c>
      <c r="N1066" s="7">
        <v>3</v>
      </c>
      <c r="O1066" s="4" t="s">
        <v>124</v>
      </c>
      <c r="P1066" s="4" t="s">
        <v>124</v>
      </c>
      <c r="Q1066" s="4" t="s">
        <v>124</v>
      </c>
      <c r="R1066" s="4" t="s">
        <v>124</v>
      </c>
      <c r="S1066" s="4" t="s">
        <v>124</v>
      </c>
      <c r="T1066" s="4" t="s">
        <v>124</v>
      </c>
      <c r="U1066" s="4" t="s">
        <v>124</v>
      </c>
      <c r="V1066" s="4" t="s">
        <v>124</v>
      </c>
      <c r="W1066" s="4" t="s">
        <v>124</v>
      </c>
      <c r="X1066" s="4" t="s">
        <v>124</v>
      </c>
      <c r="Y1066" s="4" t="s">
        <v>124</v>
      </c>
      <c r="Z1066" s="4" t="s">
        <v>124</v>
      </c>
      <c r="AA1066" s="4" t="s">
        <v>124</v>
      </c>
      <c r="AB1066" s="4" t="s">
        <v>124</v>
      </c>
      <c r="AC1066" s="4" t="s">
        <v>124</v>
      </c>
      <c r="AD1066" s="4" t="s">
        <v>124</v>
      </c>
      <c r="AE1066" s="4" t="s">
        <v>124</v>
      </c>
      <c r="AF1066" s="4" t="s">
        <v>124</v>
      </c>
      <c r="AG1066" s="4" t="s">
        <v>124</v>
      </c>
      <c r="AH1066" s="4" t="s">
        <v>124</v>
      </c>
      <c r="AI1066" s="4" t="s">
        <v>124</v>
      </c>
      <c r="AJ1066" s="4" t="s">
        <v>124</v>
      </c>
      <c r="AK1066" s="4" t="s">
        <v>124</v>
      </c>
      <c r="AL1066" s="4" t="s">
        <v>124</v>
      </c>
      <c r="AM1066" s="4" t="s">
        <v>124</v>
      </c>
      <c r="AN1066" s="4" t="s">
        <v>124</v>
      </c>
      <c r="AO1066" s="4" t="s">
        <v>124</v>
      </c>
      <c r="AP1066" s="4" t="s">
        <v>124</v>
      </c>
      <c r="AQ1066" s="4" t="s">
        <v>124</v>
      </c>
      <c r="AR1066" s="4" t="s">
        <v>124</v>
      </c>
      <c r="AS1066" s="4" t="s">
        <v>124</v>
      </c>
      <c r="AT1066" s="4" t="s">
        <v>124</v>
      </c>
      <c r="AU1066" s="4" t="s">
        <v>124</v>
      </c>
      <c r="AV1066" s="4" t="s">
        <v>124</v>
      </c>
      <c r="AW1066" s="4" t="s">
        <v>124</v>
      </c>
      <c r="AX1066" s="4" t="s">
        <v>124</v>
      </c>
      <c r="AY1066" s="4" t="s">
        <v>124</v>
      </c>
      <c r="AZ1066" s="4" t="s">
        <v>124</v>
      </c>
      <c r="BA1066" s="4" t="s">
        <v>124</v>
      </c>
      <c r="BB1066" s="4" t="s">
        <v>124</v>
      </c>
      <c r="BC1066" s="4" t="s">
        <v>124</v>
      </c>
      <c r="BD1066" s="4" t="s">
        <v>124</v>
      </c>
      <c r="BE1066" s="4" t="s">
        <v>124</v>
      </c>
      <c r="BF1066" s="4" t="s">
        <v>124</v>
      </c>
      <c r="BG1066" s="4" t="s">
        <v>124</v>
      </c>
      <c r="BH1066" s="7">
        <v>0</v>
      </c>
      <c r="BI1066" s="4" t="s">
        <v>124</v>
      </c>
      <c r="BJ1066" s="4" t="s">
        <v>124</v>
      </c>
      <c r="BK1066" s="4" t="s">
        <v>124</v>
      </c>
      <c r="BL1066" s="4" t="s">
        <v>124</v>
      </c>
      <c r="BM1066" s="4" t="s">
        <v>124</v>
      </c>
      <c r="BN1066" s="4" t="s">
        <v>124</v>
      </c>
      <c r="BO1066" s="4" t="s">
        <v>124</v>
      </c>
      <c r="BP1066" s="4" t="s">
        <v>124</v>
      </c>
      <c r="BQ1066" s="4" t="s">
        <v>124</v>
      </c>
      <c r="BR1066" s="7">
        <v>0.88</v>
      </c>
      <c r="BS1066" s="7">
        <v>0</v>
      </c>
      <c r="BT1066" s="7">
        <v>50</v>
      </c>
      <c r="BU1066" s="7">
        <v>0.875</v>
      </c>
      <c r="BV1066" s="7">
        <v>0</v>
      </c>
      <c r="BW1066" s="7">
        <v>50</v>
      </c>
      <c r="BX1066" s="4" t="s">
        <v>124</v>
      </c>
      <c r="BY1066" s="4" t="s">
        <v>124</v>
      </c>
      <c r="BZ1066" s="4" t="s">
        <v>124</v>
      </c>
      <c r="CA1066" s="4" t="s">
        <v>124</v>
      </c>
      <c r="CB1066" s="4" t="s">
        <v>124</v>
      </c>
      <c r="CC1066" s="4" t="s">
        <v>124</v>
      </c>
      <c r="CD1066" s="4" t="s">
        <v>124</v>
      </c>
      <c r="CE1066" s="4" t="s">
        <v>124</v>
      </c>
      <c r="CF1066" s="4" t="s">
        <v>124</v>
      </c>
      <c r="CG1066" s="4" t="s">
        <v>124</v>
      </c>
      <c r="CH1066" s="4" t="s">
        <v>124</v>
      </c>
      <c r="CI1066" s="4" t="s">
        <v>124</v>
      </c>
      <c r="CJ1066" s="4" t="s">
        <v>124</v>
      </c>
      <c r="CK1066" s="4" t="s">
        <v>124</v>
      </c>
      <c r="CL1066" s="4" t="s">
        <v>124</v>
      </c>
      <c r="CM1066" s="4" t="s">
        <v>124</v>
      </c>
      <c r="CN1066" s="4" t="s">
        <v>124</v>
      </c>
      <c r="CO1066" s="4" t="s">
        <v>124</v>
      </c>
      <c r="CP1066" s="4" t="s">
        <v>124</v>
      </c>
      <c r="CQ1066" s="4" t="s">
        <v>124</v>
      </c>
      <c r="CR1066" s="4" t="s">
        <v>124</v>
      </c>
      <c r="CS1066" s="4" t="s">
        <v>124</v>
      </c>
      <c r="CT1066" s="4" t="s">
        <v>124</v>
      </c>
      <c r="CU1066" s="7">
        <v>0.04</v>
      </c>
      <c r="CV1066" s="7">
        <v>3.3333330000000001</v>
      </c>
      <c r="CW1066" s="7">
        <v>50</v>
      </c>
      <c r="CX1066" s="4" t="s">
        <v>124</v>
      </c>
      <c r="CY1066" s="4" t="s">
        <v>124</v>
      </c>
      <c r="CZ1066" s="4" t="s">
        <v>124</v>
      </c>
      <c r="DA1066" s="4" t="s">
        <v>124</v>
      </c>
      <c r="DB1066" s="4" t="s">
        <v>124</v>
      </c>
      <c r="DC1066" s="4" t="s">
        <v>124</v>
      </c>
      <c r="DD1066" s="4" t="s">
        <v>124</v>
      </c>
      <c r="DE1066" s="7">
        <v>0</v>
      </c>
      <c r="DF1066" s="6"/>
      <c r="DG1066" s="6"/>
      <c r="DH1066" s="6"/>
      <c r="DI1066" s="6"/>
      <c r="DJ1066" s="7">
        <v>0</v>
      </c>
      <c r="DK1066" s="7">
        <v>0</v>
      </c>
      <c r="DL1066" s="7">
        <v>0</v>
      </c>
      <c r="DM1066" s="7">
        <v>0</v>
      </c>
      <c r="DN1066" s="7">
        <v>0</v>
      </c>
      <c r="DO1066" s="7">
        <v>0</v>
      </c>
      <c r="DP1066" s="6"/>
      <c r="DQ1066" s="4" t="s">
        <v>125</v>
      </c>
    </row>
    <row r="1067" spans="1:121" ht="20" customHeight="1" x14ac:dyDescent="0.15">
      <c r="A1067" s="5">
        <v>2018</v>
      </c>
      <c r="B1067" s="3" t="s">
        <v>138</v>
      </c>
      <c r="C1067" s="4" t="str">
        <f t="shared" si="14"/>
        <v>1640011</v>
      </c>
      <c r="D1067" s="4" t="s">
        <v>1209</v>
      </c>
      <c r="E1067" s="4" t="str">
        <f>"1640111"</f>
        <v>1640111</v>
      </c>
      <c r="F1067" s="4" t="s">
        <v>327</v>
      </c>
      <c r="G1067" s="7">
        <v>3</v>
      </c>
      <c r="H1067" s="7">
        <v>5</v>
      </c>
      <c r="I1067" s="4" t="s">
        <v>335</v>
      </c>
      <c r="J1067" s="4" t="s">
        <v>330</v>
      </c>
      <c r="K1067" s="7">
        <v>636.50804800000003</v>
      </c>
      <c r="L1067" s="7">
        <v>850</v>
      </c>
      <c r="M1067" s="7">
        <v>74.883300000000006</v>
      </c>
      <c r="N1067" s="7">
        <v>2</v>
      </c>
      <c r="O1067" s="7">
        <v>0</v>
      </c>
      <c r="P1067" s="7">
        <v>64.091576000000003</v>
      </c>
      <c r="Q1067" s="7">
        <v>42.727718000000003</v>
      </c>
      <c r="R1067" s="7">
        <v>50</v>
      </c>
      <c r="S1067" s="7">
        <v>58.086343999999997</v>
      </c>
      <c r="T1067" s="7">
        <v>71.878022000000001</v>
      </c>
      <c r="U1067" s="7">
        <v>38.724229000000001</v>
      </c>
      <c r="V1067" s="7">
        <v>50</v>
      </c>
      <c r="W1067" s="7">
        <v>62.525621999999998</v>
      </c>
      <c r="X1067" s="7">
        <v>41.683748000000001</v>
      </c>
      <c r="Y1067" s="7">
        <v>50</v>
      </c>
      <c r="Z1067" s="7">
        <v>70.532696000000001</v>
      </c>
      <c r="AA1067" s="7">
        <v>56.309603000000003</v>
      </c>
      <c r="AB1067" s="7">
        <v>37.539735</v>
      </c>
      <c r="AC1067" s="7">
        <v>50</v>
      </c>
      <c r="AD1067" s="7">
        <v>63.516128999999999</v>
      </c>
      <c r="AE1067" s="7">
        <v>42.344085999999997</v>
      </c>
      <c r="AF1067" s="7">
        <v>50</v>
      </c>
      <c r="AG1067" s="7">
        <v>57</v>
      </c>
      <c r="AH1067" s="7">
        <v>70.683870999999996</v>
      </c>
      <c r="AI1067" s="7">
        <v>38</v>
      </c>
      <c r="AJ1067" s="7">
        <v>50</v>
      </c>
      <c r="AK1067" s="7">
        <v>13.79</v>
      </c>
      <c r="AL1067" s="7">
        <v>14.22</v>
      </c>
      <c r="AM1067" s="7">
        <v>13.68</v>
      </c>
      <c r="AN1067" s="7">
        <v>0.60235899999999998</v>
      </c>
      <c r="AO1067" s="7">
        <v>60.235863000000002</v>
      </c>
      <c r="AP1067" s="7">
        <v>100</v>
      </c>
      <c r="AQ1067" s="7">
        <v>0.750996</v>
      </c>
      <c r="AR1067" s="7">
        <v>75.099587</v>
      </c>
      <c r="AS1067" s="7">
        <v>100</v>
      </c>
      <c r="AT1067" s="7">
        <v>0.609873</v>
      </c>
      <c r="AU1067" s="7">
        <v>0.59430700000000003</v>
      </c>
      <c r="AV1067" s="7">
        <v>60.987347</v>
      </c>
      <c r="AW1067" s="7">
        <v>100</v>
      </c>
      <c r="AX1067" s="7">
        <v>0.72059099999999998</v>
      </c>
      <c r="AY1067" s="7">
        <v>0.78321099999999999</v>
      </c>
      <c r="AZ1067" s="7">
        <v>72.059078999999997</v>
      </c>
      <c r="BA1067" s="7">
        <v>100</v>
      </c>
      <c r="BB1067" s="4" t="s">
        <v>124</v>
      </c>
      <c r="BC1067" s="4" t="s">
        <v>124</v>
      </c>
      <c r="BD1067" s="4" t="s">
        <v>124</v>
      </c>
      <c r="BE1067" s="4" t="s">
        <v>124</v>
      </c>
      <c r="BF1067" s="4" t="s">
        <v>124</v>
      </c>
      <c r="BG1067" s="4" t="s">
        <v>124</v>
      </c>
      <c r="BH1067" s="7">
        <v>0</v>
      </c>
      <c r="BI1067" s="7">
        <v>0.98958299999999999</v>
      </c>
      <c r="BJ1067" s="7">
        <v>0.98203600000000002</v>
      </c>
      <c r="BK1067" s="7">
        <v>1</v>
      </c>
      <c r="BL1067" s="7">
        <v>0.98611099999999996</v>
      </c>
      <c r="BM1067" s="7">
        <v>0.97604800000000003</v>
      </c>
      <c r="BN1067" s="7">
        <v>1</v>
      </c>
      <c r="BO1067" s="7">
        <v>0.978495</v>
      </c>
      <c r="BP1067" s="7">
        <v>0.96226400000000001</v>
      </c>
      <c r="BQ1067" s="7">
        <v>1</v>
      </c>
      <c r="BR1067" s="7">
        <v>5.8824000000000001E-2</v>
      </c>
      <c r="BS1067" s="7">
        <v>48.235294000000003</v>
      </c>
      <c r="BT1067" s="7">
        <v>50</v>
      </c>
      <c r="BU1067" s="7">
        <v>8.4336999999999995E-2</v>
      </c>
      <c r="BV1067" s="7">
        <v>43.132530000000003</v>
      </c>
      <c r="BW1067" s="7">
        <v>50</v>
      </c>
      <c r="BX1067" s="4" t="s">
        <v>124</v>
      </c>
      <c r="BY1067" s="4" t="s">
        <v>124</v>
      </c>
      <c r="BZ1067" s="4" t="s">
        <v>124</v>
      </c>
      <c r="CA1067" s="4" t="s">
        <v>124</v>
      </c>
      <c r="CB1067" s="4" t="s">
        <v>124</v>
      </c>
      <c r="CC1067" s="4" t="s">
        <v>124</v>
      </c>
      <c r="CD1067" s="4" t="s">
        <v>124</v>
      </c>
      <c r="CE1067" s="4" t="s">
        <v>124</v>
      </c>
      <c r="CF1067" s="4" t="s">
        <v>124</v>
      </c>
      <c r="CG1067" s="4" t="s">
        <v>124</v>
      </c>
      <c r="CH1067" s="4" t="s">
        <v>124</v>
      </c>
      <c r="CI1067" s="4" t="s">
        <v>124</v>
      </c>
      <c r="CJ1067" s="4" t="s">
        <v>124</v>
      </c>
      <c r="CK1067" s="4" t="s">
        <v>124</v>
      </c>
      <c r="CL1067" s="4" t="s">
        <v>124</v>
      </c>
      <c r="CM1067" s="4" t="s">
        <v>124</v>
      </c>
      <c r="CN1067" s="4" t="s">
        <v>124</v>
      </c>
      <c r="CO1067" s="4" t="s">
        <v>124</v>
      </c>
      <c r="CP1067" s="4" t="s">
        <v>124</v>
      </c>
      <c r="CQ1067" s="7">
        <v>0.53608199999999995</v>
      </c>
      <c r="CR1067" s="7">
        <v>1</v>
      </c>
      <c r="CS1067" s="7">
        <v>35.738832000000002</v>
      </c>
      <c r="CT1067" s="7">
        <v>50</v>
      </c>
      <c r="CU1067" s="4" t="s">
        <v>124</v>
      </c>
      <c r="CV1067" s="4" t="s">
        <v>124</v>
      </c>
      <c r="CW1067" s="4" t="s">
        <v>124</v>
      </c>
      <c r="CX1067" s="4" t="s">
        <v>124</v>
      </c>
      <c r="CY1067" s="4" t="s">
        <v>124</v>
      </c>
      <c r="CZ1067" s="4" t="s">
        <v>124</v>
      </c>
      <c r="DA1067" s="7">
        <v>15.314097</v>
      </c>
      <c r="DB1067" s="7">
        <v>17.400950000000002</v>
      </c>
      <c r="DC1067" s="7">
        <v>16.332519999999999</v>
      </c>
      <c r="DD1067" s="4" t="s">
        <v>124</v>
      </c>
      <c r="DE1067" s="7">
        <v>0</v>
      </c>
      <c r="DF1067" s="6"/>
      <c r="DG1067" s="6"/>
      <c r="DH1067" s="6"/>
      <c r="DI1067" s="6"/>
      <c r="DJ1067" s="7">
        <v>0</v>
      </c>
      <c r="DK1067" s="7">
        <v>0</v>
      </c>
      <c r="DL1067" s="7">
        <v>0</v>
      </c>
      <c r="DM1067" s="7">
        <v>0</v>
      </c>
      <c r="DN1067" s="7">
        <v>0</v>
      </c>
      <c r="DO1067" s="7">
        <v>0</v>
      </c>
      <c r="DP1067" s="6"/>
      <c r="DQ1067" s="4" t="s">
        <v>125</v>
      </c>
    </row>
    <row r="1068" spans="1:121" ht="20" customHeight="1" x14ac:dyDescent="0.15">
      <c r="A1068" s="5">
        <v>2018</v>
      </c>
      <c r="B1068" s="3" t="s">
        <v>138</v>
      </c>
      <c r="C1068" s="4" t="str">
        <f t="shared" ref="C1068:C1072" si="274">"1640011"</f>
        <v>1640011</v>
      </c>
      <c r="D1068" s="4" t="s">
        <v>1210</v>
      </c>
      <c r="E1068" s="4" t="str">
        <f>"1640811"</f>
        <v>1640811</v>
      </c>
      <c r="F1068" s="4" t="s">
        <v>327</v>
      </c>
      <c r="G1068" s="7">
        <v>3</v>
      </c>
      <c r="H1068" s="7">
        <v>5</v>
      </c>
      <c r="I1068" s="6"/>
      <c r="J1068" s="4" t="s">
        <v>330</v>
      </c>
      <c r="K1068" s="7">
        <v>641.231942</v>
      </c>
      <c r="L1068" s="7">
        <v>850</v>
      </c>
      <c r="M1068" s="7">
        <v>75.439052000000004</v>
      </c>
      <c r="N1068" s="7">
        <v>3</v>
      </c>
      <c r="O1068" s="7">
        <v>1</v>
      </c>
      <c r="P1068" s="7">
        <v>65.784430999999998</v>
      </c>
      <c r="Q1068" s="7">
        <v>43.856287000000002</v>
      </c>
      <c r="R1068" s="7">
        <v>50</v>
      </c>
      <c r="S1068" s="7">
        <v>56.387945999999999</v>
      </c>
      <c r="T1068" s="7">
        <v>74.462059999999994</v>
      </c>
      <c r="U1068" s="7">
        <v>37.591963999999997</v>
      </c>
      <c r="V1068" s="7">
        <v>50</v>
      </c>
      <c r="W1068" s="7">
        <v>64.689718999999997</v>
      </c>
      <c r="X1068" s="7">
        <v>43.126480000000001</v>
      </c>
      <c r="Y1068" s="7">
        <v>50</v>
      </c>
      <c r="Z1068" s="7">
        <v>72.872281000000001</v>
      </c>
      <c r="AA1068" s="7">
        <v>55.825277999999997</v>
      </c>
      <c r="AB1068" s="7">
        <v>37.216852000000003</v>
      </c>
      <c r="AC1068" s="7">
        <v>50</v>
      </c>
      <c r="AD1068" s="7">
        <v>63.242066999999999</v>
      </c>
      <c r="AE1068" s="7">
        <v>42.161377999999999</v>
      </c>
      <c r="AF1068" s="7">
        <v>50</v>
      </c>
      <c r="AG1068" s="7">
        <v>54.416620999999999</v>
      </c>
      <c r="AH1068" s="7">
        <v>71.378023999999996</v>
      </c>
      <c r="AI1068" s="7">
        <v>36.277746999999998</v>
      </c>
      <c r="AJ1068" s="7">
        <v>50</v>
      </c>
      <c r="AK1068" s="7">
        <v>18.07</v>
      </c>
      <c r="AL1068" s="7">
        <v>17.04</v>
      </c>
      <c r="AM1068" s="7">
        <v>16.96</v>
      </c>
      <c r="AN1068" s="7">
        <v>0.69172100000000003</v>
      </c>
      <c r="AO1068" s="7">
        <v>69.172146999999995</v>
      </c>
      <c r="AP1068" s="7">
        <v>100</v>
      </c>
      <c r="AQ1068" s="7">
        <v>0.79903299999999999</v>
      </c>
      <c r="AR1068" s="7">
        <v>79.903318999999996</v>
      </c>
      <c r="AS1068" s="7">
        <v>100</v>
      </c>
      <c r="AT1068" s="7">
        <v>0.62285299999999999</v>
      </c>
      <c r="AU1068" s="7">
        <v>0.74744699999999997</v>
      </c>
      <c r="AV1068" s="7">
        <v>62.285277000000001</v>
      </c>
      <c r="AW1068" s="7">
        <v>100</v>
      </c>
      <c r="AX1068" s="7">
        <v>0.74453800000000003</v>
      </c>
      <c r="AY1068" s="7">
        <v>0.84338999999999997</v>
      </c>
      <c r="AZ1068" s="7">
        <v>74.453755000000001</v>
      </c>
      <c r="BA1068" s="7">
        <v>100</v>
      </c>
      <c r="BB1068" s="4" t="s">
        <v>124</v>
      </c>
      <c r="BC1068" s="4" t="s">
        <v>124</v>
      </c>
      <c r="BD1068" s="4" t="s">
        <v>124</v>
      </c>
      <c r="BE1068" s="4" t="s">
        <v>124</v>
      </c>
      <c r="BF1068" s="4" t="s">
        <v>124</v>
      </c>
      <c r="BG1068" s="4" t="s">
        <v>124</v>
      </c>
      <c r="BH1068" s="7">
        <v>0</v>
      </c>
      <c r="BI1068" s="7">
        <v>0.98938999999999999</v>
      </c>
      <c r="BJ1068" s="7">
        <v>0.97872300000000001</v>
      </c>
      <c r="BK1068" s="7">
        <v>1</v>
      </c>
      <c r="BL1068" s="7">
        <v>0.98408499999999999</v>
      </c>
      <c r="BM1068" s="7">
        <v>0.97340400000000005</v>
      </c>
      <c r="BN1068" s="7">
        <v>0.99470899999999995</v>
      </c>
      <c r="BO1068" s="7">
        <v>0.99242399999999997</v>
      </c>
      <c r="BP1068" s="7">
        <v>0.98484799999999995</v>
      </c>
      <c r="BQ1068" s="7">
        <v>1</v>
      </c>
      <c r="BR1068" s="7">
        <v>6.6667000000000004E-2</v>
      </c>
      <c r="BS1068" s="7">
        <v>46.666666999999997</v>
      </c>
      <c r="BT1068" s="7">
        <v>50</v>
      </c>
      <c r="BU1068" s="7">
        <v>0.107527</v>
      </c>
      <c r="BV1068" s="7">
        <v>38.494624000000002</v>
      </c>
      <c r="BW1068" s="7">
        <v>50</v>
      </c>
      <c r="BX1068" s="4" t="s">
        <v>124</v>
      </c>
      <c r="BY1068" s="4" t="s">
        <v>124</v>
      </c>
      <c r="BZ1068" s="4" t="s">
        <v>124</v>
      </c>
      <c r="CA1068" s="4" t="s">
        <v>124</v>
      </c>
      <c r="CB1068" s="4" t="s">
        <v>124</v>
      </c>
      <c r="CC1068" s="4" t="s">
        <v>124</v>
      </c>
      <c r="CD1068" s="4" t="s">
        <v>124</v>
      </c>
      <c r="CE1068" s="4" t="s">
        <v>124</v>
      </c>
      <c r="CF1068" s="4" t="s">
        <v>124</v>
      </c>
      <c r="CG1068" s="4" t="s">
        <v>124</v>
      </c>
      <c r="CH1068" s="4" t="s">
        <v>124</v>
      </c>
      <c r="CI1068" s="4" t="s">
        <v>124</v>
      </c>
      <c r="CJ1068" s="4" t="s">
        <v>124</v>
      </c>
      <c r="CK1068" s="4" t="s">
        <v>124</v>
      </c>
      <c r="CL1068" s="4" t="s">
        <v>124</v>
      </c>
      <c r="CM1068" s="4" t="s">
        <v>124</v>
      </c>
      <c r="CN1068" s="4" t="s">
        <v>124</v>
      </c>
      <c r="CO1068" s="4" t="s">
        <v>124</v>
      </c>
      <c r="CP1068" s="4" t="s">
        <v>124</v>
      </c>
      <c r="CQ1068" s="7">
        <v>0.450382</v>
      </c>
      <c r="CR1068" s="7">
        <v>0.984962</v>
      </c>
      <c r="CS1068" s="7">
        <v>30.025445000000001</v>
      </c>
      <c r="CT1068" s="7">
        <v>50</v>
      </c>
      <c r="CU1068" s="4" t="s">
        <v>124</v>
      </c>
      <c r="CV1068" s="4" t="s">
        <v>124</v>
      </c>
      <c r="CW1068" s="4" t="s">
        <v>124</v>
      </c>
      <c r="CX1068" s="4" t="s">
        <v>124</v>
      </c>
      <c r="CY1068" s="4" t="s">
        <v>124</v>
      </c>
      <c r="CZ1068" s="4" t="s">
        <v>124</v>
      </c>
      <c r="DA1068" s="7">
        <v>15.314097</v>
      </c>
      <c r="DB1068" s="7">
        <v>17.400950000000002</v>
      </c>
      <c r="DC1068" s="7">
        <v>16.332519999999999</v>
      </c>
      <c r="DD1068" s="4" t="s">
        <v>124</v>
      </c>
      <c r="DE1068" s="7">
        <v>1</v>
      </c>
      <c r="DF1068" s="6"/>
      <c r="DG1068" s="6"/>
      <c r="DH1068" s="6"/>
      <c r="DI1068" s="6"/>
      <c r="DJ1068" s="7">
        <v>0</v>
      </c>
      <c r="DK1068" s="7">
        <v>0</v>
      </c>
      <c r="DL1068" s="7">
        <v>0</v>
      </c>
      <c r="DM1068" s="7">
        <v>0</v>
      </c>
      <c r="DN1068" s="7">
        <v>0</v>
      </c>
      <c r="DO1068" s="7">
        <v>0</v>
      </c>
      <c r="DP1068" s="6"/>
      <c r="DQ1068" s="4" t="s">
        <v>125</v>
      </c>
    </row>
    <row r="1069" spans="1:121" ht="20" customHeight="1" x14ac:dyDescent="0.15">
      <c r="A1069" s="5">
        <v>2018</v>
      </c>
      <c r="B1069" s="3" t="s">
        <v>138</v>
      </c>
      <c r="C1069" s="4" t="str">
        <f t="shared" si="274"/>
        <v>1640011</v>
      </c>
      <c r="D1069" s="4" t="s">
        <v>1211</v>
      </c>
      <c r="E1069" s="4" t="str">
        <f>"1640911"</f>
        <v>1640911</v>
      </c>
      <c r="F1069" s="4" t="s">
        <v>327</v>
      </c>
      <c r="G1069" s="4" t="s">
        <v>328</v>
      </c>
      <c r="H1069" s="7">
        <v>2</v>
      </c>
      <c r="I1069" s="6"/>
      <c r="J1069" s="4" t="s">
        <v>330</v>
      </c>
      <c r="K1069" s="7">
        <v>96.096256999999994</v>
      </c>
      <c r="L1069" s="7">
        <v>100</v>
      </c>
      <c r="M1069" s="7">
        <v>96.096256999999994</v>
      </c>
      <c r="N1069" s="4" t="s">
        <v>124</v>
      </c>
      <c r="O1069" s="4" t="s">
        <v>124</v>
      </c>
      <c r="P1069" s="4" t="s">
        <v>124</v>
      </c>
      <c r="Q1069" s="4" t="s">
        <v>124</v>
      </c>
      <c r="R1069" s="4" t="s">
        <v>124</v>
      </c>
      <c r="S1069" s="4" t="s">
        <v>124</v>
      </c>
      <c r="T1069" s="4" t="s">
        <v>124</v>
      </c>
      <c r="U1069" s="4" t="s">
        <v>124</v>
      </c>
      <c r="V1069" s="4" t="s">
        <v>124</v>
      </c>
      <c r="W1069" s="4" t="s">
        <v>124</v>
      </c>
      <c r="X1069" s="4" t="s">
        <v>124</v>
      </c>
      <c r="Y1069" s="4" t="s">
        <v>124</v>
      </c>
      <c r="Z1069" s="4" t="s">
        <v>124</v>
      </c>
      <c r="AA1069" s="4" t="s">
        <v>124</v>
      </c>
      <c r="AB1069" s="4" t="s">
        <v>124</v>
      </c>
      <c r="AC1069" s="4" t="s">
        <v>124</v>
      </c>
      <c r="AD1069" s="4" t="s">
        <v>124</v>
      </c>
      <c r="AE1069" s="4" t="s">
        <v>124</v>
      </c>
      <c r="AF1069" s="4" t="s">
        <v>124</v>
      </c>
      <c r="AG1069" s="4" t="s">
        <v>124</v>
      </c>
      <c r="AH1069" s="4" t="s">
        <v>124</v>
      </c>
      <c r="AI1069" s="4" t="s">
        <v>124</v>
      </c>
      <c r="AJ1069" s="4" t="s">
        <v>124</v>
      </c>
      <c r="AK1069" s="4" t="s">
        <v>124</v>
      </c>
      <c r="AL1069" s="4" t="s">
        <v>124</v>
      </c>
      <c r="AM1069" s="4" t="s">
        <v>124</v>
      </c>
      <c r="AN1069" s="4" t="s">
        <v>124</v>
      </c>
      <c r="AO1069" s="4" t="s">
        <v>124</v>
      </c>
      <c r="AP1069" s="4" t="s">
        <v>124</v>
      </c>
      <c r="AQ1069" s="4" t="s">
        <v>124</v>
      </c>
      <c r="AR1069" s="4" t="s">
        <v>124</v>
      </c>
      <c r="AS1069" s="4" t="s">
        <v>124</v>
      </c>
      <c r="AT1069" s="4" t="s">
        <v>124</v>
      </c>
      <c r="AU1069" s="4" t="s">
        <v>124</v>
      </c>
      <c r="AV1069" s="4" t="s">
        <v>124</v>
      </c>
      <c r="AW1069" s="4" t="s">
        <v>124</v>
      </c>
      <c r="AX1069" s="4" t="s">
        <v>124</v>
      </c>
      <c r="AY1069" s="4" t="s">
        <v>124</v>
      </c>
      <c r="AZ1069" s="4" t="s">
        <v>124</v>
      </c>
      <c r="BA1069" s="4" t="s">
        <v>124</v>
      </c>
      <c r="BB1069" s="4" t="s">
        <v>124</v>
      </c>
      <c r="BC1069" s="4" t="s">
        <v>124</v>
      </c>
      <c r="BD1069" s="4" t="s">
        <v>124</v>
      </c>
      <c r="BE1069" s="4" t="s">
        <v>124</v>
      </c>
      <c r="BF1069" s="4" t="s">
        <v>124</v>
      </c>
      <c r="BG1069" s="4" t="s">
        <v>124</v>
      </c>
      <c r="BH1069" s="4" t="s">
        <v>124</v>
      </c>
      <c r="BI1069" s="4" t="s">
        <v>124</v>
      </c>
      <c r="BJ1069" s="4" t="s">
        <v>124</v>
      </c>
      <c r="BK1069" s="4" t="s">
        <v>124</v>
      </c>
      <c r="BL1069" s="4" t="s">
        <v>124</v>
      </c>
      <c r="BM1069" s="4" t="s">
        <v>124</v>
      </c>
      <c r="BN1069" s="4" t="s">
        <v>124</v>
      </c>
      <c r="BO1069" s="4" t="s">
        <v>124</v>
      </c>
      <c r="BP1069" s="4" t="s">
        <v>124</v>
      </c>
      <c r="BQ1069" s="4" t="s">
        <v>124</v>
      </c>
      <c r="BR1069" s="7">
        <v>4.9418999999999998E-2</v>
      </c>
      <c r="BS1069" s="7">
        <v>50</v>
      </c>
      <c r="BT1069" s="7">
        <v>50</v>
      </c>
      <c r="BU1069" s="7">
        <v>6.9518999999999997E-2</v>
      </c>
      <c r="BV1069" s="7">
        <v>46.096257000000001</v>
      </c>
      <c r="BW1069" s="7">
        <v>50</v>
      </c>
      <c r="BX1069" s="4" t="s">
        <v>124</v>
      </c>
      <c r="BY1069" s="4" t="s">
        <v>124</v>
      </c>
      <c r="BZ1069" s="4" t="s">
        <v>124</v>
      </c>
      <c r="CA1069" s="4" t="s">
        <v>124</v>
      </c>
      <c r="CB1069" s="4" t="s">
        <v>124</v>
      </c>
      <c r="CC1069" s="4" t="s">
        <v>124</v>
      </c>
      <c r="CD1069" s="4" t="s">
        <v>124</v>
      </c>
      <c r="CE1069" s="4" t="s">
        <v>124</v>
      </c>
      <c r="CF1069" s="4" t="s">
        <v>124</v>
      </c>
      <c r="CG1069" s="4" t="s">
        <v>124</v>
      </c>
      <c r="CH1069" s="4" t="s">
        <v>124</v>
      </c>
      <c r="CI1069" s="4" t="s">
        <v>124</v>
      </c>
      <c r="CJ1069" s="4" t="s">
        <v>124</v>
      </c>
      <c r="CK1069" s="4" t="s">
        <v>124</v>
      </c>
      <c r="CL1069" s="4" t="s">
        <v>124</v>
      </c>
      <c r="CM1069" s="4" t="s">
        <v>124</v>
      </c>
      <c r="CN1069" s="4" t="s">
        <v>124</v>
      </c>
      <c r="CO1069" s="4" t="s">
        <v>124</v>
      </c>
      <c r="CP1069" s="4" t="s">
        <v>124</v>
      </c>
      <c r="CQ1069" s="4" t="s">
        <v>124</v>
      </c>
      <c r="CR1069" s="4" t="s">
        <v>124</v>
      </c>
      <c r="CS1069" s="4" t="s">
        <v>124</v>
      </c>
      <c r="CT1069" s="4" t="s">
        <v>124</v>
      </c>
      <c r="CU1069" s="4" t="s">
        <v>124</v>
      </c>
      <c r="CV1069" s="4" t="s">
        <v>124</v>
      </c>
      <c r="CW1069" s="4" t="s">
        <v>124</v>
      </c>
      <c r="CX1069" s="4" t="s">
        <v>124</v>
      </c>
      <c r="CY1069" s="4" t="s">
        <v>124</v>
      </c>
      <c r="CZ1069" s="4" t="s">
        <v>124</v>
      </c>
      <c r="DA1069" s="4" t="s">
        <v>124</v>
      </c>
      <c r="DB1069" s="4" t="s">
        <v>124</v>
      </c>
      <c r="DC1069" s="4" t="s">
        <v>124</v>
      </c>
      <c r="DD1069" s="4" t="s">
        <v>124</v>
      </c>
      <c r="DE1069" s="4" t="s">
        <v>124</v>
      </c>
      <c r="DF1069" s="6"/>
      <c r="DG1069" s="6"/>
      <c r="DH1069" s="6"/>
      <c r="DI1069" s="6"/>
      <c r="DJ1069" s="4" t="s">
        <v>124</v>
      </c>
      <c r="DK1069" s="4" t="s">
        <v>124</v>
      </c>
      <c r="DL1069" s="4" t="s">
        <v>124</v>
      </c>
      <c r="DM1069" s="4" t="s">
        <v>124</v>
      </c>
      <c r="DN1069" s="4" t="s">
        <v>124</v>
      </c>
      <c r="DO1069" s="4" t="s">
        <v>124</v>
      </c>
      <c r="DP1069" s="6"/>
      <c r="DQ1069" s="4" t="s">
        <v>125</v>
      </c>
    </row>
    <row r="1070" spans="1:121" ht="20" customHeight="1" x14ac:dyDescent="0.15">
      <c r="A1070" s="5">
        <v>2018</v>
      </c>
      <c r="B1070" s="3" t="s">
        <v>138</v>
      </c>
      <c r="C1070" s="4" t="str">
        <f t="shared" si="274"/>
        <v>1640011</v>
      </c>
      <c r="D1070" s="4" t="s">
        <v>1212</v>
      </c>
      <c r="E1070" s="4" t="str">
        <f>"1640511"</f>
        <v>1640511</v>
      </c>
      <c r="F1070" s="4" t="s">
        <v>327</v>
      </c>
      <c r="G1070" s="4" t="s">
        <v>328</v>
      </c>
      <c r="H1070" s="7">
        <v>2</v>
      </c>
      <c r="I1070" s="4" t="s">
        <v>335</v>
      </c>
      <c r="J1070" s="4" t="s">
        <v>330</v>
      </c>
      <c r="K1070" s="7">
        <v>98.965517000000006</v>
      </c>
      <c r="L1070" s="7">
        <v>100</v>
      </c>
      <c r="M1070" s="7">
        <v>98.965517000000006</v>
      </c>
      <c r="N1070" s="4" t="s">
        <v>124</v>
      </c>
      <c r="O1070" s="4" t="s">
        <v>124</v>
      </c>
      <c r="P1070" s="4" t="s">
        <v>124</v>
      </c>
      <c r="Q1070" s="4" t="s">
        <v>124</v>
      </c>
      <c r="R1070" s="4" t="s">
        <v>124</v>
      </c>
      <c r="S1070" s="4" t="s">
        <v>124</v>
      </c>
      <c r="T1070" s="4" t="s">
        <v>124</v>
      </c>
      <c r="U1070" s="4" t="s">
        <v>124</v>
      </c>
      <c r="V1070" s="4" t="s">
        <v>124</v>
      </c>
      <c r="W1070" s="4" t="s">
        <v>124</v>
      </c>
      <c r="X1070" s="4" t="s">
        <v>124</v>
      </c>
      <c r="Y1070" s="4" t="s">
        <v>124</v>
      </c>
      <c r="Z1070" s="4" t="s">
        <v>124</v>
      </c>
      <c r="AA1070" s="4" t="s">
        <v>124</v>
      </c>
      <c r="AB1070" s="4" t="s">
        <v>124</v>
      </c>
      <c r="AC1070" s="4" t="s">
        <v>124</v>
      </c>
      <c r="AD1070" s="4" t="s">
        <v>124</v>
      </c>
      <c r="AE1070" s="4" t="s">
        <v>124</v>
      </c>
      <c r="AF1070" s="4" t="s">
        <v>124</v>
      </c>
      <c r="AG1070" s="4" t="s">
        <v>124</v>
      </c>
      <c r="AH1070" s="4" t="s">
        <v>124</v>
      </c>
      <c r="AI1070" s="4" t="s">
        <v>124</v>
      </c>
      <c r="AJ1070" s="4" t="s">
        <v>124</v>
      </c>
      <c r="AK1070" s="4" t="s">
        <v>124</v>
      </c>
      <c r="AL1070" s="4" t="s">
        <v>124</v>
      </c>
      <c r="AM1070" s="4" t="s">
        <v>124</v>
      </c>
      <c r="AN1070" s="4" t="s">
        <v>124</v>
      </c>
      <c r="AO1070" s="4" t="s">
        <v>124</v>
      </c>
      <c r="AP1070" s="4" t="s">
        <v>124</v>
      </c>
      <c r="AQ1070" s="4" t="s">
        <v>124</v>
      </c>
      <c r="AR1070" s="4" t="s">
        <v>124</v>
      </c>
      <c r="AS1070" s="4" t="s">
        <v>124</v>
      </c>
      <c r="AT1070" s="4" t="s">
        <v>124</v>
      </c>
      <c r="AU1070" s="4" t="s">
        <v>124</v>
      </c>
      <c r="AV1070" s="4" t="s">
        <v>124</v>
      </c>
      <c r="AW1070" s="4" t="s">
        <v>124</v>
      </c>
      <c r="AX1070" s="4" t="s">
        <v>124</v>
      </c>
      <c r="AY1070" s="4" t="s">
        <v>124</v>
      </c>
      <c r="AZ1070" s="4" t="s">
        <v>124</v>
      </c>
      <c r="BA1070" s="4" t="s">
        <v>124</v>
      </c>
      <c r="BB1070" s="4" t="s">
        <v>124</v>
      </c>
      <c r="BC1070" s="4" t="s">
        <v>124</v>
      </c>
      <c r="BD1070" s="4" t="s">
        <v>124</v>
      </c>
      <c r="BE1070" s="4" t="s">
        <v>124</v>
      </c>
      <c r="BF1070" s="4" t="s">
        <v>124</v>
      </c>
      <c r="BG1070" s="4" t="s">
        <v>124</v>
      </c>
      <c r="BH1070" s="4" t="s">
        <v>124</v>
      </c>
      <c r="BI1070" s="4" t="s">
        <v>124</v>
      </c>
      <c r="BJ1070" s="4" t="s">
        <v>124</v>
      </c>
      <c r="BK1070" s="4" t="s">
        <v>124</v>
      </c>
      <c r="BL1070" s="4" t="s">
        <v>124</v>
      </c>
      <c r="BM1070" s="4" t="s">
        <v>124</v>
      </c>
      <c r="BN1070" s="4" t="s">
        <v>124</v>
      </c>
      <c r="BO1070" s="4" t="s">
        <v>124</v>
      </c>
      <c r="BP1070" s="4" t="s">
        <v>124</v>
      </c>
      <c r="BQ1070" s="4" t="s">
        <v>124</v>
      </c>
      <c r="BR1070" s="7">
        <v>4.5775000000000003E-2</v>
      </c>
      <c r="BS1070" s="7">
        <v>50</v>
      </c>
      <c r="BT1070" s="7">
        <v>50</v>
      </c>
      <c r="BU1070" s="7">
        <v>5.5171999999999999E-2</v>
      </c>
      <c r="BV1070" s="7">
        <v>48.965516999999998</v>
      </c>
      <c r="BW1070" s="7">
        <v>50</v>
      </c>
      <c r="BX1070" s="4" t="s">
        <v>124</v>
      </c>
      <c r="BY1070" s="4" t="s">
        <v>124</v>
      </c>
      <c r="BZ1070" s="4" t="s">
        <v>124</v>
      </c>
      <c r="CA1070" s="4" t="s">
        <v>124</v>
      </c>
      <c r="CB1070" s="4" t="s">
        <v>124</v>
      </c>
      <c r="CC1070" s="4" t="s">
        <v>124</v>
      </c>
      <c r="CD1070" s="4" t="s">
        <v>124</v>
      </c>
      <c r="CE1070" s="4" t="s">
        <v>124</v>
      </c>
      <c r="CF1070" s="4" t="s">
        <v>124</v>
      </c>
      <c r="CG1070" s="4" t="s">
        <v>124</v>
      </c>
      <c r="CH1070" s="4" t="s">
        <v>124</v>
      </c>
      <c r="CI1070" s="4" t="s">
        <v>124</v>
      </c>
      <c r="CJ1070" s="4" t="s">
        <v>124</v>
      </c>
      <c r="CK1070" s="4" t="s">
        <v>124</v>
      </c>
      <c r="CL1070" s="4" t="s">
        <v>124</v>
      </c>
      <c r="CM1070" s="4" t="s">
        <v>124</v>
      </c>
      <c r="CN1070" s="4" t="s">
        <v>124</v>
      </c>
      <c r="CO1070" s="4" t="s">
        <v>124</v>
      </c>
      <c r="CP1070" s="4" t="s">
        <v>124</v>
      </c>
      <c r="CQ1070" s="4" t="s">
        <v>124</v>
      </c>
      <c r="CR1070" s="4" t="s">
        <v>124</v>
      </c>
      <c r="CS1070" s="4" t="s">
        <v>124</v>
      </c>
      <c r="CT1070" s="4" t="s">
        <v>124</v>
      </c>
      <c r="CU1070" s="4" t="s">
        <v>124</v>
      </c>
      <c r="CV1070" s="4" t="s">
        <v>124</v>
      </c>
      <c r="CW1070" s="4" t="s">
        <v>124</v>
      </c>
      <c r="CX1070" s="4" t="s">
        <v>124</v>
      </c>
      <c r="CY1070" s="4" t="s">
        <v>124</v>
      </c>
      <c r="CZ1070" s="4" t="s">
        <v>124</v>
      </c>
      <c r="DA1070" s="4" t="s">
        <v>124</v>
      </c>
      <c r="DB1070" s="4" t="s">
        <v>124</v>
      </c>
      <c r="DC1070" s="4" t="s">
        <v>124</v>
      </c>
      <c r="DD1070" s="4" t="s">
        <v>124</v>
      </c>
      <c r="DE1070" s="4" t="s">
        <v>124</v>
      </c>
      <c r="DF1070" s="6"/>
      <c r="DG1070" s="6"/>
      <c r="DH1070" s="6"/>
      <c r="DI1070" s="6"/>
      <c r="DJ1070" s="4" t="s">
        <v>124</v>
      </c>
      <c r="DK1070" s="4" t="s">
        <v>124</v>
      </c>
      <c r="DL1070" s="4" t="s">
        <v>124</v>
      </c>
      <c r="DM1070" s="4" t="s">
        <v>124</v>
      </c>
      <c r="DN1070" s="4" t="s">
        <v>124</v>
      </c>
      <c r="DO1070" s="4" t="s">
        <v>124</v>
      </c>
      <c r="DP1070" s="6"/>
      <c r="DQ1070" s="4" t="s">
        <v>125</v>
      </c>
    </row>
    <row r="1071" spans="1:121" ht="20" customHeight="1" x14ac:dyDescent="0.15">
      <c r="A1071" s="5">
        <v>2018</v>
      </c>
      <c r="B1071" s="3" t="s">
        <v>138</v>
      </c>
      <c r="C1071" s="4" t="str">
        <f t="shared" si="274"/>
        <v>1640011</v>
      </c>
      <c r="D1071" s="4" t="s">
        <v>1213</v>
      </c>
      <c r="E1071" s="4" t="str">
        <f>"1645311"</f>
        <v>1645311</v>
      </c>
      <c r="F1071" s="4" t="s">
        <v>327</v>
      </c>
      <c r="G1071" s="7">
        <v>6</v>
      </c>
      <c r="H1071" s="7">
        <v>8</v>
      </c>
      <c r="I1071" s="6"/>
      <c r="J1071" s="4" t="s">
        <v>330</v>
      </c>
      <c r="K1071" s="7">
        <v>650.04093799999998</v>
      </c>
      <c r="L1071" s="7">
        <v>900</v>
      </c>
      <c r="M1071" s="7">
        <v>72.226770999999999</v>
      </c>
      <c r="N1071" s="7">
        <v>2</v>
      </c>
      <c r="O1071" s="7">
        <v>0</v>
      </c>
      <c r="P1071" s="7">
        <v>64.390760999999998</v>
      </c>
      <c r="Q1071" s="7">
        <v>42.927174000000001</v>
      </c>
      <c r="R1071" s="7">
        <v>50</v>
      </c>
      <c r="S1071" s="7">
        <v>57.775908000000001</v>
      </c>
      <c r="T1071" s="7">
        <v>71.462496000000002</v>
      </c>
      <c r="U1071" s="7">
        <v>38.517271999999998</v>
      </c>
      <c r="V1071" s="7">
        <v>50</v>
      </c>
      <c r="W1071" s="7">
        <v>62.000608</v>
      </c>
      <c r="X1071" s="7">
        <v>41.333739000000001</v>
      </c>
      <c r="Y1071" s="7">
        <v>50</v>
      </c>
      <c r="Z1071" s="7">
        <v>69.571316999999993</v>
      </c>
      <c r="AA1071" s="7">
        <v>54.881562000000002</v>
      </c>
      <c r="AB1071" s="7">
        <v>36.587707999999999</v>
      </c>
      <c r="AC1071" s="7">
        <v>50</v>
      </c>
      <c r="AD1071" s="7">
        <v>63.539766999999998</v>
      </c>
      <c r="AE1071" s="7">
        <v>42.359844000000002</v>
      </c>
      <c r="AF1071" s="7">
        <v>50</v>
      </c>
      <c r="AG1071" s="7">
        <v>57.048461000000003</v>
      </c>
      <c r="AH1071" s="7">
        <v>69.664626999999996</v>
      </c>
      <c r="AI1071" s="7">
        <v>38.032307000000003</v>
      </c>
      <c r="AJ1071" s="7">
        <v>50</v>
      </c>
      <c r="AK1071" s="7">
        <v>13.68</v>
      </c>
      <c r="AL1071" s="7">
        <v>14.68</v>
      </c>
      <c r="AM1071" s="7">
        <v>12.61</v>
      </c>
      <c r="AN1071" s="7">
        <v>0.58345199999999997</v>
      </c>
      <c r="AO1071" s="7">
        <v>58.345247999999998</v>
      </c>
      <c r="AP1071" s="7">
        <v>100</v>
      </c>
      <c r="AQ1071" s="7">
        <v>0.70073300000000005</v>
      </c>
      <c r="AR1071" s="7">
        <v>70.073346000000001</v>
      </c>
      <c r="AS1071" s="7">
        <v>100</v>
      </c>
      <c r="AT1071" s="7">
        <v>0.57536299999999996</v>
      </c>
      <c r="AU1071" s="7">
        <v>0.59122799999999998</v>
      </c>
      <c r="AV1071" s="7">
        <v>57.536315000000002</v>
      </c>
      <c r="AW1071" s="7">
        <v>100</v>
      </c>
      <c r="AX1071" s="7">
        <v>0.66788199999999998</v>
      </c>
      <c r="AY1071" s="7">
        <v>0.732101</v>
      </c>
      <c r="AZ1071" s="7">
        <v>66.788176000000007</v>
      </c>
      <c r="BA1071" s="7">
        <v>100</v>
      </c>
      <c r="BB1071" s="4" t="s">
        <v>124</v>
      </c>
      <c r="BC1071" s="4" t="s">
        <v>124</v>
      </c>
      <c r="BD1071" s="4" t="s">
        <v>124</v>
      </c>
      <c r="BE1071" s="4" t="s">
        <v>124</v>
      </c>
      <c r="BF1071" s="4" t="s">
        <v>124</v>
      </c>
      <c r="BG1071" s="4" t="s">
        <v>124</v>
      </c>
      <c r="BH1071" s="7">
        <v>0</v>
      </c>
      <c r="BI1071" s="7">
        <v>0.98211800000000005</v>
      </c>
      <c r="BJ1071" s="7">
        <v>0.97900299999999996</v>
      </c>
      <c r="BK1071" s="7">
        <v>0.98554900000000001</v>
      </c>
      <c r="BL1071" s="7">
        <v>0.97382899999999994</v>
      </c>
      <c r="BM1071" s="7">
        <v>0.96587900000000004</v>
      </c>
      <c r="BN1071" s="7">
        <v>0.98260899999999995</v>
      </c>
      <c r="BO1071" s="7">
        <v>0.96899199999999996</v>
      </c>
      <c r="BP1071" s="7">
        <v>0.95384599999999997</v>
      </c>
      <c r="BQ1071" s="7">
        <v>0.984375</v>
      </c>
      <c r="BR1071" s="7">
        <v>0.100275</v>
      </c>
      <c r="BS1071" s="7">
        <v>39.945055000000004</v>
      </c>
      <c r="BT1071" s="7">
        <v>50</v>
      </c>
      <c r="BU1071" s="7">
        <v>0.16489400000000001</v>
      </c>
      <c r="BV1071" s="7">
        <v>27.021277000000001</v>
      </c>
      <c r="BW1071" s="7">
        <v>50</v>
      </c>
      <c r="BX1071" s="4" t="s">
        <v>124</v>
      </c>
      <c r="BY1071" s="4" t="s">
        <v>124</v>
      </c>
      <c r="BZ1071" s="4" t="s">
        <v>124</v>
      </c>
      <c r="CA1071" s="4" t="s">
        <v>124</v>
      </c>
      <c r="CB1071" s="4" t="s">
        <v>124</v>
      </c>
      <c r="CC1071" s="4" t="s">
        <v>124</v>
      </c>
      <c r="CD1071" s="7">
        <v>0.94144099999999997</v>
      </c>
      <c r="CE1071" s="7">
        <v>50</v>
      </c>
      <c r="CF1071" s="7">
        <v>50</v>
      </c>
      <c r="CG1071" s="4" t="s">
        <v>124</v>
      </c>
      <c r="CH1071" s="4" t="s">
        <v>124</v>
      </c>
      <c r="CI1071" s="4" t="s">
        <v>124</v>
      </c>
      <c r="CJ1071" s="4" t="s">
        <v>124</v>
      </c>
      <c r="CK1071" s="4" t="s">
        <v>124</v>
      </c>
      <c r="CL1071" s="4" t="s">
        <v>124</v>
      </c>
      <c r="CM1071" s="4" t="s">
        <v>124</v>
      </c>
      <c r="CN1071" s="4" t="s">
        <v>124</v>
      </c>
      <c r="CO1071" s="4" t="s">
        <v>124</v>
      </c>
      <c r="CP1071" s="4" t="s">
        <v>124</v>
      </c>
      <c r="CQ1071" s="7">
        <v>0.60860199999999998</v>
      </c>
      <c r="CR1071" s="7">
        <v>0.93186400000000003</v>
      </c>
      <c r="CS1071" s="7">
        <v>40.573476999999997</v>
      </c>
      <c r="CT1071" s="7">
        <v>50</v>
      </c>
      <c r="CU1071" s="4" t="s">
        <v>124</v>
      </c>
      <c r="CV1071" s="4" t="s">
        <v>124</v>
      </c>
      <c r="CW1071" s="4" t="s">
        <v>124</v>
      </c>
      <c r="CX1071" s="4" t="s">
        <v>124</v>
      </c>
      <c r="CY1071" s="4" t="s">
        <v>124</v>
      </c>
      <c r="CZ1071" s="4" t="s">
        <v>124</v>
      </c>
      <c r="DA1071" s="7">
        <v>15.314097</v>
      </c>
      <c r="DB1071" s="7">
        <v>17.400950000000002</v>
      </c>
      <c r="DC1071" s="7">
        <v>16.332519999999999</v>
      </c>
      <c r="DD1071" s="4" t="s">
        <v>124</v>
      </c>
      <c r="DE1071" s="7">
        <v>0</v>
      </c>
      <c r="DF1071" s="6"/>
      <c r="DG1071" s="6"/>
      <c r="DH1071" s="6"/>
      <c r="DI1071" s="6"/>
      <c r="DJ1071" s="7">
        <v>0</v>
      </c>
      <c r="DK1071" s="7">
        <v>0</v>
      </c>
      <c r="DL1071" s="7">
        <v>0</v>
      </c>
      <c r="DM1071" s="7">
        <v>0</v>
      </c>
      <c r="DN1071" s="7">
        <v>0</v>
      </c>
      <c r="DO1071" s="7">
        <v>0</v>
      </c>
      <c r="DP1071" s="6"/>
      <c r="DQ1071" s="4" t="s">
        <v>125</v>
      </c>
    </row>
    <row r="1072" spans="1:121" ht="20" customHeight="1" x14ac:dyDescent="0.15">
      <c r="A1072" s="5">
        <v>2018</v>
      </c>
      <c r="B1072" s="3" t="s">
        <v>138</v>
      </c>
      <c r="C1072" s="4" t="str">
        <f t="shared" si="274"/>
        <v>1640011</v>
      </c>
      <c r="D1072" s="4" t="s">
        <v>1214</v>
      </c>
      <c r="E1072" s="4" t="str">
        <f>"1646111"</f>
        <v>1646111</v>
      </c>
      <c r="F1072" s="4" t="s">
        <v>327</v>
      </c>
      <c r="G1072" s="7">
        <v>9</v>
      </c>
      <c r="H1072" s="7">
        <v>12</v>
      </c>
      <c r="I1072" s="6"/>
      <c r="J1072" s="4" t="s">
        <v>330</v>
      </c>
      <c r="K1072" s="7">
        <v>1075.6947090000001</v>
      </c>
      <c r="L1072" s="7">
        <v>1450</v>
      </c>
      <c r="M1072" s="7">
        <v>74.185841999999994</v>
      </c>
      <c r="N1072" s="7">
        <v>3</v>
      </c>
      <c r="O1072" s="7">
        <v>0</v>
      </c>
      <c r="P1072" s="7">
        <v>53.251730000000002</v>
      </c>
      <c r="Q1072" s="7">
        <v>106.50346</v>
      </c>
      <c r="R1072" s="7">
        <v>150</v>
      </c>
      <c r="S1072" s="7">
        <v>48.198791</v>
      </c>
      <c r="T1072" s="7">
        <v>59.146825</v>
      </c>
      <c r="U1072" s="7">
        <v>96.397581000000002</v>
      </c>
      <c r="V1072" s="7">
        <v>150</v>
      </c>
      <c r="W1072" s="7">
        <v>49.231380000000001</v>
      </c>
      <c r="X1072" s="7">
        <v>98.462759000000005</v>
      </c>
      <c r="Y1072" s="7">
        <v>150</v>
      </c>
      <c r="Z1072" s="7">
        <v>55.276454999999999</v>
      </c>
      <c r="AA1072" s="7">
        <v>44.049886999999998</v>
      </c>
      <c r="AB1072" s="7">
        <v>88.099772999999999</v>
      </c>
      <c r="AC1072" s="7">
        <v>150</v>
      </c>
      <c r="AD1072" s="7">
        <v>60.268351000000003</v>
      </c>
      <c r="AE1072" s="7">
        <v>80.357802000000007</v>
      </c>
      <c r="AF1072" s="7">
        <v>100</v>
      </c>
      <c r="AG1072" s="7">
        <v>53.982734999999998</v>
      </c>
      <c r="AH1072" s="7">
        <v>67.692307999999997</v>
      </c>
      <c r="AI1072" s="7">
        <v>71.976979999999998</v>
      </c>
      <c r="AJ1072" s="7">
        <v>100</v>
      </c>
      <c r="AK1072" s="7">
        <v>10.94</v>
      </c>
      <c r="AL1072" s="7">
        <v>11.22</v>
      </c>
      <c r="AM1072" s="7">
        <v>13.7</v>
      </c>
      <c r="AN1072" s="4" t="s">
        <v>124</v>
      </c>
      <c r="AO1072" s="4" t="s">
        <v>124</v>
      </c>
      <c r="AP1072" s="4" t="s">
        <v>124</v>
      </c>
      <c r="AQ1072" s="4" t="s">
        <v>124</v>
      </c>
      <c r="AR1072" s="4" t="s">
        <v>124</v>
      </c>
      <c r="AS1072" s="4" t="s">
        <v>124</v>
      </c>
      <c r="AT1072" s="4" t="s">
        <v>124</v>
      </c>
      <c r="AU1072" s="4" t="s">
        <v>124</v>
      </c>
      <c r="AV1072" s="4" t="s">
        <v>124</v>
      </c>
      <c r="AW1072" s="4" t="s">
        <v>124</v>
      </c>
      <c r="AX1072" s="4" t="s">
        <v>124</v>
      </c>
      <c r="AY1072" s="4" t="s">
        <v>124</v>
      </c>
      <c r="AZ1072" s="4" t="s">
        <v>124</v>
      </c>
      <c r="BA1072" s="4" t="s">
        <v>124</v>
      </c>
      <c r="BB1072" s="4" t="s">
        <v>124</v>
      </c>
      <c r="BC1072" s="4" t="s">
        <v>124</v>
      </c>
      <c r="BD1072" s="4" t="s">
        <v>124</v>
      </c>
      <c r="BE1072" s="4" t="s">
        <v>124</v>
      </c>
      <c r="BF1072" s="4" t="s">
        <v>124</v>
      </c>
      <c r="BG1072" s="4" t="s">
        <v>124</v>
      </c>
      <c r="BH1072" s="7">
        <v>1</v>
      </c>
      <c r="BI1072" s="7">
        <v>0.95890399999999998</v>
      </c>
      <c r="BJ1072" s="7">
        <v>0.93209900000000001</v>
      </c>
      <c r="BK1072" s="7">
        <v>0.99230799999999997</v>
      </c>
      <c r="BL1072" s="7">
        <v>0.95890399999999998</v>
      </c>
      <c r="BM1072" s="7">
        <v>0.93209900000000001</v>
      </c>
      <c r="BN1072" s="7">
        <v>0.99230799999999997</v>
      </c>
      <c r="BO1072" s="7">
        <v>0.96928300000000001</v>
      </c>
      <c r="BP1072" s="7">
        <v>0.95061700000000005</v>
      </c>
      <c r="BQ1072" s="7">
        <v>0.99236599999999997</v>
      </c>
      <c r="BR1072" s="7">
        <v>0.11952599999999999</v>
      </c>
      <c r="BS1072" s="7">
        <v>36.094890999999997</v>
      </c>
      <c r="BT1072" s="7">
        <v>50</v>
      </c>
      <c r="BU1072" s="7">
        <v>0.17877100000000001</v>
      </c>
      <c r="BV1072" s="7">
        <v>24.245809999999999</v>
      </c>
      <c r="BW1072" s="7">
        <v>50</v>
      </c>
      <c r="BX1072" s="7">
        <v>0.75575199999999998</v>
      </c>
      <c r="BY1072" s="7">
        <v>50</v>
      </c>
      <c r="BZ1072" s="7">
        <v>50</v>
      </c>
      <c r="CA1072" s="7">
        <v>0.32389400000000002</v>
      </c>
      <c r="CB1072" s="7">
        <v>21.592919999999999</v>
      </c>
      <c r="CC1072" s="7">
        <v>50</v>
      </c>
      <c r="CD1072" s="7">
        <v>0.89772700000000005</v>
      </c>
      <c r="CE1072" s="7">
        <v>47.751451000000003</v>
      </c>
      <c r="CF1072" s="7">
        <v>50</v>
      </c>
      <c r="CG1072" s="7">
        <v>0.92617400000000005</v>
      </c>
      <c r="CH1072" s="7">
        <v>98.529201999999998</v>
      </c>
      <c r="CI1072" s="7">
        <v>100</v>
      </c>
      <c r="CJ1072" s="7">
        <v>0</v>
      </c>
      <c r="CK1072" s="7">
        <v>0.91666700000000001</v>
      </c>
      <c r="CL1072" s="7">
        <v>97.51773</v>
      </c>
      <c r="CM1072" s="7">
        <v>100</v>
      </c>
      <c r="CN1072" s="7">
        <v>0.70774599999999999</v>
      </c>
      <c r="CO1072" s="7">
        <v>94.366197</v>
      </c>
      <c r="CP1072" s="7">
        <v>100</v>
      </c>
      <c r="CQ1072" s="7">
        <v>0.50199199999999999</v>
      </c>
      <c r="CR1072" s="7">
        <v>0.88380300000000001</v>
      </c>
      <c r="CS1072" s="7">
        <v>16.733067999999999</v>
      </c>
      <c r="CT1072" s="7">
        <v>50</v>
      </c>
      <c r="CU1072" s="7">
        <v>0.56478099999999998</v>
      </c>
      <c r="CV1072" s="7">
        <v>47.065085000000003</v>
      </c>
      <c r="CW1072" s="7">
        <v>50</v>
      </c>
      <c r="CX1072" s="7">
        <v>0.91666700000000001</v>
      </c>
      <c r="CY1072" s="7">
        <v>0.94</v>
      </c>
      <c r="CZ1072" s="7">
        <v>2.3333E-2</v>
      </c>
      <c r="DA1072" s="7">
        <v>15.314097</v>
      </c>
      <c r="DB1072" s="7">
        <v>17.400950000000002</v>
      </c>
      <c r="DC1072" s="7">
        <v>16.332519999999999</v>
      </c>
      <c r="DD1072" s="7">
        <v>7.9891730000000001</v>
      </c>
      <c r="DE1072" s="7">
        <v>1</v>
      </c>
      <c r="DF1072" s="6"/>
      <c r="DG1072" s="6"/>
      <c r="DH1072" s="6"/>
      <c r="DI1072" s="6"/>
      <c r="DJ1072" s="7">
        <v>0</v>
      </c>
      <c r="DK1072" s="7">
        <v>0</v>
      </c>
      <c r="DL1072" s="7">
        <v>0</v>
      </c>
      <c r="DM1072" s="7">
        <v>0</v>
      </c>
      <c r="DN1072" s="7">
        <v>0</v>
      </c>
      <c r="DO1072" s="7">
        <v>0</v>
      </c>
      <c r="DP1072" s="6"/>
      <c r="DQ1072" s="4" t="s">
        <v>125</v>
      </c>
    </row>
    <row r="1073" spans="1:121" ht="20" customHeight="1" x14ac:dyDescent="0.15">
      <c r="A1073" s="5">
        <v>2018</v>
      </c>
      <c r="B1073" s="3" t="s">
        <v>193</v>
      </c>
      <c r="C1073" s="4" t="str">
        <f t="shared" si="68"/>
        <v>1650011</v>
      </c>
      <c r="D1073" s="4" t="s">
        <v>615</v>
      </c>
      <c r="E1073" s="4" t="str">
        <f>"1650111"</f>
        <v>1650111</v>
      </c>
      <c r="F1073" s="4" t="s">
        <v>327</v>
      </c>
      <c r="G1073" s="4" t="s">
        <v>328</v>
      </c>
      <c r="H1073" s="7">
        <v>2</v>
      </c>
      <c r="I1073" s="4" t="s">
        <v>335</v>
      </c>
      <c r="J1073" s="4" t="s">
        <v>330</v>
      </c>
      <c r="K1073" s="7">
        <v>51.297240000000002</v>
      </c>
      <c r="L1073" s="7">
        <v>100</v>
      </c>
      <c r="M1073" s="7">
        <v>51.297240000000002</v>
      </c>
      <c r="N1073" s="4" t="s">
        <v>124</v>
      </c>
      <c r="O1073" s="4" t="s">
        <v>124</v>
      </c>
      <c r="P1073" s="4" t="s">
        <v>124</v>
      </c>
      <c r="Q1073" s="4" t="s">
        <v>124</v>
      </c>
      <c r="R1073" s="4" t="s">
        <v>124</v>
      </c>
      <c r="S1073" s="4" t="s">
        <v>124</v>
      </c>
      <c r="T1073" s="4" t="s">
        <v>124</v>
      </c>
      <c r="U1073" s="4" t="s">
        <v>124</v>
      </c>
      <c r="V1073" s="4" t="s">
        <v>124</v>
      </c>
      <c r="W1073" s="4" t="s">
        <v>124</v>
      </c>
      <c r="X1073" s="4" t="s">
        <v>124</v>
      </c>
      <c r="Y1073" s="4" t="s">
        <v>124</v>
      </c>
      <c r="Z1073" s="4" t="s">
        <v>124</v>
      </c>
      <c r="AA1073" s="4" t="s">
        <v>124</v>
      </c>
      <c r="AB1073" s="4" t="s">
        <v>124</v>
      </c>
      <c r="AC1073" s="4" t="s">
        <v>124</v>
      </c>
      <c r="AD1073" s="4" t="s">
        <v>124</v>
      </c>
      <c r="AE1073" s="4" t="s">
        <v>124</v>
      </c>
      <c r="AF1073" s="4" t="s">
        <v>124</v>
      </c>
      <c r="AG1073" s="4" t="s">
        <v>124</v>
      </c>
      <c r="AH1073" s="4" t="s">
        <v>124</v>
      </c>
      <c r="AI1073" s="4" t="s">
        <v>124</v>
      </c>
      <c r="AJ1073" s="4" t="s">
        <v>124</v>
      </c>
      <c r="AK1073" s="4" t="s">
        <v>124</v>
      </c>
      <c r="AL1073" s="4" t="s">
        <v>124</v>
      </c>
      <c r="AM1073" s="4" t="s">
        <v>124</v>
      </c>
      <c r="AN1073" s="4" t="s">
        <v>124</v>
      </c>
      <c r="AO1073" s="4" t="s">
        <v>124</v>
      </c>
      <c r="AP1073" s="4" t="s">
        <v>124</v>
      </c>
      <c r="AQ1073" s="4" t="s">
        <v>124</v>
      </c>
      <c r="AR1073" s="4" t="s">
        <v>124</v>
      </c>
      <c r="AS1073" s="4" t="s">
        <v>124</v>
      </c>
      <c r="AT1073" s="4" t="s">
        <v>124</v>
      </c>
      <c r="AU1073" s="4" t="s">
        <v>124</v>
      </c>
      <c r="AV1073" s="4" t="s">
        <v>124</v>
      </c>
      <c r="AW1073" s="4" t="s">
        <v>124</v>
      </c>
      <c r="AX1073" s="4" t="s">
        <v>124</v>
      </c>
      <c r="AY1073" s="4" t="s">
        <v>124</v>
      </c>
      <c r="AZ1073" s="4" t="s">
        <v>124</v>
      </c>
      <c r="BA1073" s="4" t="s">
        <v>124</v>
      </c>
      <c r="BB1073" s="4" t="s">
        <v>124</v>
      </c>
      <c r="BC1073" s="4" t="s">
        <v>124</v>
      </c>
      <c r="BD1073" s="4" t="s">
        <v>124</v>
      </c>
      <c r="BE1073" s="4" t="s">
        <v>124</v>
      </c>
      <c r="BF1073" s="4" t="s">
        <v>124</v>
      </c>
      <c r="BG1073" s="4" t="s">
        <v>124</v>
      </c>
      <c r="BH1073" s="4" t="s">
        <v>124</v>
      </c>
      <c r="BI1073" s="4" t="s">
        <v>124</v>
      </c>
      <c r="BJ1073" s="4" t="s">
        <v>124</v>
      </c>
      <c r="BK1073" s="4" t="s">
        <v>124</v>
      </c>
      <c r="BL1073" s="4" t="s">
        <v>124</v>
      </c>
      <c r="BM1073" s="4" t="s">
        <v>124</v>
      </c>
      <c r="BN1073" s="4" t="s">
        <v>124</v>
      </c>
      <c r="BO1073" s="4" t="s">
        <v>124</v>
      </c>
      <c r="BP1073" s="4" t="s">
        <v>124</v>
      </c>
      <c r="BQ1073" s="4" t="s">
        <v>124</v>
      </c>
      <c r="BR1073" s="7">
        <v>0.145401</v>
      </c>
      <c r="BS1073" s="7">
        <v>30.919881</v>
      </c>
      <c r="BT1073" s="7">
        <v>50</v>
      </c>
      <c r="BU1073" s="7">
        <v>0.19811300000000001</v>
      </c>
      <c r="BV1073" s="7">
        <v>20.377358000000001</v>
      </c>
      <c r="BW1073" s="7">
        <v>50</v>
      </c>
      <c r="BX1073" s="4" t="s">
        <v>124</v>
      </c>
      <c r="BY1073" s="4" t="s">
        <v>124</v>
      </c>
      <c r="BZ1073" s="4" t="s">
        <v>124</v>
      </c>
      <c r="CA1073" s="4" t="s">
        <v>124</v>
      </c>
      <c r="CB1073" s="4" t="s">
        <v>124</v>
      </c>
      <c r="CC1073" s="4" t="s">
        <v>124</v>
      </c>
      <c r="CD1073" s="4" t="s">
        <v>124</v>
      </c>
      <c r="CE1073" s="4" t="s">
        <v>124</v>
      </c>
      <c r="CF1073" s="4" t="s">
        <v>124</v>
      </c>
      <c r="CG1073" s="4" t="s">
        <v>124</v>
      </c>
      <c r="CH1073" s="4" t="s">
        <v>124</v>
      </c>
      <c r="CI1073" s="4" t="s">
        <v>124</v>
      </c>
      <c r="CJ1073" s="4" t="s">
        <v>124</v>
      </c>
      <c r="CK1073" s="4" t="s">
        <v>124</v>
      </c>
      <c r="CL1073" s="4" t="s">
        <v>124</v>
      </c>
      <c r="CM1073" s="4" t="s">
        <v>124</v>
      </c>
      <c r="CN1073" s="4" t="s">
        <v>124</v>
      </c>
      <c r="CO1073" s="4" t="s">
        <v>124</v>
      </c>
      <c r="CP1073" s="4" t="s">
        <v>124</v>
      </c>
      <c r="CQ1073" s="4" t="s">
        <v>124</v>
      </c>
      <c r="CR1073" s="4" t="s">
        <v>124</v>
      </c>
      <c r="CS1073" s="4" t="s">
        <v>124</v>
      </c>
      <c r="CT1073" s="4" t="s">
        <v>124</v>
      </c>
      <c r="CU1073" s="4" t="s">
        <v>124</v>
      </c>
      <c r="CV1073" s="4" t="s">
        <v>124</v>
      </c>
      <c r="CW1073" s="4" t="s">
        <v>124</v>
      </c>
      <c r="CX1073" s="4" t="s">
        <v>124</v>
      </c>
      <c r="CY1073" s="4" t="s">
        <v>124</v>
      </c>
      <c r="CZ1073" s="4" t="s">
        <v>124</v>
      </c>
      <c r="DA1073" s="4" t="s">
        <v>124</v>
      </c>
      <c r="DB1073" s="4" t="s">
        <v>124</v>
      </c>
      <c r="DC1073" s="4" t="s">
        <v>124</v>
      </c>
      <c r="DD1073" s="4" t="s">
        <v>124</v>
      </c>
      <c r="DE1073" s="4" t="s">
        <v>124</v>
      </c>
      <c r="DF1073" s="6"/>
      <c r="DG1073" s="6"/>
      <c r="DH1073" s="6"/>
      <c r="DI1073" s="6"/>
      <c r="DJ1073" s="4" t="s">
        <v>124</v>
      </c>
      <c r="DK1073" s="4" t="s">
        <v>124</v>
      </c>
      <c r="DL1073" s="4" t="s">
        <v>124</v>
      </c>
      <c r="DM1073" s="4" t="s">
        <v>124</v>
      </c>
      <c r="DN1073" s="4" t="s">
        <v>124</v>
      </c>
      <c r="DO1073" s="4" t="s">
        <v>124</v>
      </c>
      <c r="DP1073" s="6"/>
      <c r="DQ1073" s="4" t="s">
        <v>125</v>
      </c>
    </row>
    <row r="1074" spans="1:121" ht="20" customHeight="1" x14ac:dyDescent="0.15">
      <c r="A1074" s="5">
        <v>2018</v>
      </c>
      <c r="B1074" s="3" t="s">
        <v>193</v>
      </c>
      <c r="C1074" s="4" t="str">
        <f t="shared" ref="C1074:C1076" si="275">"1650011"</f>
        <v>1650011</v>
      </c>
      <c r="D1074" s="4" t="s">
        <v>1215</v>
      </c>
      <c r="E1074" s="4" t="str">
        <f>"1650411"</f>
        <v>1650411</v>
      </c>
      <c r="F1074" s="4" t="s">
        <v>327</v>
      </c>
      <c r="G1074" s="7">
        <v>3</v>
      </c>
      <c r="H1074" s="7">
        <v>5</v>
      </c>
      <c r="I1074" s="6"/>
      <c r="J1074" s="4" t="s">
        <v>330</v>
      </c>
      <c r="K1074" s="7">
        <v>674.92852300000004</v>
      </c>
      <c r="L1074" s="7">
        <v>950</v>
      </c>
      <c r="M1074" s="7">
        <v>71.045107999999999</v>
      </c>
      <c r="N1074" s="7">
        <v>2</v>
      </c>
      <c r="O1074" s="7">
        <v>0</v>
      </c>
      <c r="P1074" s="7">
        <v>66.954721000000006</v>
      </c>
      <c r="Q1074" s="7">
        <v>44.636481000000003</v>
      </c>
      <c r="R1074" s="7">
        <v>50</v>
      </c>
      <c r="S1074" s="7">
        <v>62.862226</v>
      </c>
      <c r="T1074" s="7">
        <v>73.639128999999997</v>
      </c>
      <c r="U1074" s="7">
        <v>41.908150999999997</v>
      </c>
      <c r="V1074" s="7">
        <v>50</v>
      </c>
      <c r="W1074" s="7">
        <v>64.969516999999996</v>
      </c>
      <c r="X1074" s="7">
        <v>43.313011000000003</v>
      </c>
      <c r="Y1074" s="7">
        <v>50</v>
      </c>
      <c r="Z1074" s="7">
        <v>71.385851000000002</v>
      </c>
      <c r="AA1074" s="7">
        <v>61.041148999999997</v>
      </c>
      <c r="AB1074" s="7">
        <v>40.694099000000001</v>
      </c>
      <c r="AC1074" s="7">
        <v>50</v>
      </c>
      <c r="AD1074" s="7">
        <v>59.989032000000002</v>
      </c>
      <c r="AE1074" s="7">
        <v>39.992688000000001</v>
      </c>
      <c r="AF1074" s="7">
        <v>50</v>
      </c>
      <c r="AG1074" s="7">
        <v>57.053762999999996</v>
      </c>
      <c r="AH1074" s="7">
        <v>65.686907000000005</v>
      </c>
      <c r="AI1074" s="7">
        <v>38.035842000000002</v>
      </c>
      <c r="AJ1074" s="7">
        <v>50</v>
      </c>
      <c r="AK1074" s="7">
        <v>10.77</v>
      </c>
      <c r="AL1074" s="7">
        <v>10.34</v>
      </c>
      <c r="AM1074" s="7">
        <v>8.6300000000000008</v>
      </c>
      <c r="AN1074" s="7">
        <v>0.52493999999999996</v>
      </c>
      <c r="AO1074" s="7">
        <v>52.493972999999997</v>
      </c>
      <c r="AP1074" s="7">
        <v>100</v>
      </c>
      <c r="AQ1074" s="7">
        <v>0.64329899999999995</v>
      </c>
      <c r="AR1074" s="7">
        <v>64.329937000000001</v>
      </c>
      <c r="AS1074" s="7">
        <v>100</v>
      </c>
      <c r="AT1074" s="7">
        <v>0.47500599999999998</v>
      </c>
      <c r="AU1074" s="7">
        <v>0.61395200000000005</v>
      </c>
      <c r="AV1074" s="7">
        <v>47.500590000000003</v>
      </c>
      <c r="AW1074" s="7">
        <v>100</v>
      </c>
      <c r="AX1074" s="7">
        <v>0.64988199999999996</v>
      </c>
      <c r="AY1074" s="7">
        <v>0.63156599999999996</v>
      </c>
      <c r="AZ1074" s="7">
        <v>64.988151000000002</v>
      </c>
      <c r="BA1074" s="7">
        <v>100</v>
      </c>
      <c r="BB1074" s="7">
        <v>0.76773400000000003</v>
      </c>
      <c r="BC1074" s="7">
        <v>38.386687000000002</v>
      </c>
      <c r="BD1074" s="7">
        <v>50</v>
      </c>
      <c r="BE1074" s="7">
        <v>0.51105699999999998</v>
      </c>
      <c r="BF1074" s="7">
        <v>25.552828000000002</v>
      </c>
      <c r="BG1074" s="7">
        <v>50</v>
      </c>
      <c r="BH1074" s="7">
        <v>0</v>
      </c>
      <c r="BI1074" s="7">
        <v>1</v>
      </c>
      <c r="BJ1074" s="7">
        <v>1</v>
      </c>
      <c r="BK1074" s="7">
        <v>1</v>
      </c>
      <c r="BL1074" s="7">
        <v>1</v>
      </c>
      <c r="BM1074" s="7">
        <v>1</v>
      </c>
      <c r="BN1074" s="7">
        <v>1</v>
      </c>
      <c r="BO1074" s="7">
        <v>1</v>
      </c>
      <c r="BP1074" s="7">
        <v>1</v>
      </c>
      <c r="BQ1074" s="7">
        <v>1</v>
      </c>
      <c r="BR1074" s="7">
        <v>5.1205000000000001E-2</v>
      </c>
      <c r="BS1074" s="7">
        <v>49.759036000000002</v>
      </c>
      <c r="BT1074" s="7">
        <v>50</v>
      </c>
      <c r="BU1074" s="7">
        <v>6.2801999999999997E-2</v>
      </c>
      <c r="BV1074" s="7">
        <v>47.439613999999999</v>
      </c>
      <c r="BW1074" s="7">
        <v>50</v>
      </c>
      <c r="BX1074" s="4" t="s">
        <v>124</v>
      </c>
      <c r="BY1074" s="4" t="s">
        <v>124</v>
      </c>
      <c r="BZ1074" s="4" t="s">
        <v>124</v>
      </c>
      <c r="CA1074" s="4" t="s">
        <v>124</v>
      </c>
      <c r="CB1074" s="4" t="s">
        <v>124</v>
      </c>
      <c r="CC1074" s="4" t="s">
        <v>124</v>
      </c>
      <c r="CD1074" s="4" t="s">
        <v>124</v>
      </c>
      <c r="CE1074" s="4" t="s">
        <v>124</v>
      </c>
      <c r="CF1074" s="4" t="s">
        <v>124</v>
      </c>
      <c r="CG1074" s="4" t="s">
        <v>124</v>
      </c>
      <c r="CH1074" s="4" t="s">
        <v>124</v>
      </c>
      <c r="CI1074" s="4" t="s">
        <v>124</v>
      </c>
      <c r="CJ1074" s="4" t="s">
        <v>124</v>
      </c>
      <c r="CK1074" s="4" t="s">
        <v>124</v>
      </c>
      <c r="CL1074" s="4" t="s">
        <v>124</v>
      </c>
      <c r="CM1074" s="4" t="s">
        <v>124</v>
      </c>
      <c r="CN1074" s="4" t="s">
        <v>124</v>
      </c>
      <c r="CO1074" s="4" t="s">
        <v>124</v>
      </c>
      <c r="CP1074" s="4" t="s">
        <v>124</v>
      </c>
      <c r="CQ1074" s="7">
        <v>0.538462</v>
      </c>
      <c r="CR1074" s="7">
        <v>1.029703</v>
      </c>
      <c r="CS1074" s="7">
        <v>35.897435999999999</v>
      </c>
      <c r="CT1074" s="7">
        <v>50</v>
      </c>
      <c r="CU1074" s="4" t="s">
        <v>124</v>
      </c>
      <c r="CV1074" s="4" t="s">
        <v>124</v>
      </c>
      <c r="CW1074" s="4" t="s">
        <v>124</v>
      </c>
      <c r="CX1074" s="4" t="s">
        <v>124</v>
      </c>
      <c r="CY1074" s="4" t="s">
        <v>124</v>
      </c>
      <c r="CZ1074" s="4" t="s">
        <v>124</v>
      </c>
      <c r="DA1074" s="7">
        <v>15.314097</v>
      </c>
      <c r="DB1074" s="7">
        <v>17.400950000000002</v>
      </c>
      <c r="DC1074" s="7">
        <v>16.332519999999999</v>
      </c>
      <c r="DD1074" s="4" t="s">
        <v>124</v>
      </c>
      <c r="DE1074" s="7">
        <v>0</v>
      </c>
      <c r="DF1074" s="6"/>
      <c r="DG1074" s="6"/>
      <c r="DH1074" s="6"/>
      <c r="DI1074" s="6"/>
      <c r="DJ1074" s="7">
        <v>0</v>
      </c>
      <c r="DK1074" s="7">
        <v>0</v>
      </c>
      <c r="DL1074" s="7">
        <v>0</v>
      </c>
      <c r="DM1074" s="7">
        <v>0</v>
      </c>
      <c r="DN1074" s="7">
        <v>0</v>
      </c>
      <c r="DO1074" s="7">
        <v>0</v>
      </c>
      <c r="DP1074" s="6"/>
      <c r="DQ1074" s="4" t="s">
        <v>125</v>
      </c>
    </row>
    <row r="1075" spans="1:121" ht="20" customHeight="1" x14ac:dyDescent="0.15">
      <c r="A1075" s="5">
        <v>2018</v>
      </c>
      <c r="B1075" s="3" t="s">
        <v>193</v>
      </c>
      <c r="C1075" s="4" t="str">
        <f t="shared" si="275"/>
        <v>1650011</v>
      </c>
      <c r="D1075" s="4" t="s">
        <v>1216</v>
      </c>
      <c r="E1075" s="4" t="str">
        <f>"1656111"</f>
        <v>1656111</v>
      </c>
      <c r="F1075" s="4" t="s">
        <v>327</v>
      </c>
      <c r="G1075" s="7">
        <v>9</v>
      </c>
      <c r="H1075" s="7">
        <v>12</v>
      </c>
      <c r="I1075" s="6"/>
      <c r="J1075" s="4" t="s">
        <v>330</v>
      </c>
      <c r="K1075" s="7">
        <v>1016.067172</v>
      </c>
      <c r="L1075" s="7">
        <v>1450</v>
      </c>
      <c r="M1075" s="7">
        <v>70.073598000000004</v>
      </c>
      <c r="N1075" s="7">
        <v>3</v>
      </c>
      <c r="O1075" s="7">
        <v>1</v>
      </c>
      <c r="P1075" s="7">
        <v>51.351666999999999</v>
      </c>
      <c r="Q1075" s="7">
        <v>102.703333</v>
      </c>
      <c r="R1075" s="7">
        <v>150</v>
      </c>
      <c r="S1075" s="7">
        <v>43.647435999999999</v>
      </c>
      <c r="T1075" s="7">
        <v>59.697916999999997</v>
      </c>
      <c r="U1075" s="7">
        <v>87.294871999999998</v>
      </c>
      <c r="V1075" s="7">
        <v>150</v>
      </c>
      <c r="W1075" s="7">
        <v>46.933332999999998</v>
      </c>
      <c r="X1075" s="7">
        <v>93.866667000000007</v>
      </c>
      <c r="Y1075" s="7">
        <v>150</v>
      </c>
      <c r="Z1075" s="7">
        <v>55.305556000000003</v>
      </c>
      <c r="AA1075" s="7">
        <v>39.205128000000002</v>
      </c>
      <c r="AB1075" s="7">
        <v>78.410256000000004</v>
      </c>
      <c r="AC1075" s="7">
        <v>150</v>
      </c>
      <c r="AD1075" s="7">
        <v>54.238821000000002</v>
      </c>
      <c r="AE1075" s="7">
        <v>72.318427</v>
      </c>
      <c r="AF1075" s="7">
        <v>100</v>
      </c>
      <c r="AG1075" s="7">
        <v>45.678359999999998</v>
      </c>
      <c r="AH1075" s="7">
        <v>63.323391000000001</v>
      </c>
      <c r="AI1075" s="7">
        <v>60.90448</v>
      </c>
      <c r="AJ1075" s="7">
        <v>100</v>
      </c>
      <c r="AK1075" s="7">
        <v>16.05</v>
      </c>
      <c r="AL1075" s="7">
        <v>16.100000000000001</v>
      </c>
      <c r="AM1075" s="7">
        <v>17.64</v>
      </c>
      <c r="AN1075" s="4" t="s">
        <v>124</v>
      </c>
      <c r="AO1075" s="4" t="s">
        <v>124</v>
      </c>
      <c r="AP1075" s="4" t="s">
        <v>124</v>
      </c>
      <c r="AQ1075" s="4" t="s">
        <v>124</v>
      </c>
      <c r="AR1075" s="4" t="s">
        <v>124</v>
      </c>
      <c r="AS1075" s="4" t="s">
        <v>124</v>
      </c>
      <c r="AT1075" s="4" t="s">
        <v>124</v>
      </c>
      <c r="AU1075" s="4" t="s">
        <v>124</v>
      </c>
      <c r="AV1075" s="4" t="s">
        <v>124</v>
      </c>
      <c r="AW1075" s="4" t="s">
        <v>124</v>
      </c>
      <c r="AX1075" s="4" t="s">
        <v>124</v>
      </c>
      <c r="AY1075" s="4" t="s">
        <v>124</v>
      </c>
      <c r="AZ1075" s="4" t="s">
        <v>124</v>
      </c>
      <c r="BA1075" s="4" t="s">
        <v>124</v>
      </c>
      <c r="BB1075" s="4" t="s">
        <v>124</v>
      </c>
      <c r="BC1075" s="4" t="s">
        <v>124</v>
      </c>
      <c r="BD1075" s="4" t="s">
        <v>124</v>
      </c>
      <c r="BE1075" s="4" t="s">
        <v>124</v>
      </c>
      <c r="BF1075" s="4" t="s">
        <v>124</v>
      </c>
      <c r="BG1075" s="4" t="s">
        <v>124</v>
      </c>
      <c r="BH1075" s="7">
        <v>0</v>
      </c>
      <c r="BI1075" s="7">
        <v>1</v>
      </c>
      <c r="BJ1075" s="7">
        <v>1</v>
      </c>
      <c r="BK1075" s="7">
        <v>1</v>
      </c>
      <c r="BL1075" s="7">
        <v>1</v>
      </c>
      <c r="BM1075" s="7">
        <v>1</v>
      </c>
      <c r="BN1075" s="7">
        <v>1</v>
      </c>
      <c r="BO1075" s="7">
        <v>1</v>
      </c>
      <c r="BP1075" s="7">
        <v>1</v>
      </c>
      <c r="BQ1075" s="7">
        <v>1</v>
      </c>
      <c r="BR1075" s="7">
        <v>0.16750000000000001</v>
      </c>
      <c r="BS1075" s="7">
        <v>26.5</v>
      </c>
      <c r="BT1075" s="7">
        <v>50</v>
      </c>
      <c r="BU1075" s="7">
        <v>0.23148099999999999</v>
      </c>
      <c r="BV1075" s="7">
        <v>13.703704</v>
      </c>
      <c r="BW1075" s="7">
        <v>50</v>
      </c>
      <c r="BX1075" s="7">
        <v>0.87864100000000001</v>
      </c>
      <c r="BY1075" s="7">
        <v>50</v>
      </c>
      <c r="BZ1075" s="7">
        <v>50</v>
      </c>
      <c r="CA1075" s="7">
        <v>0.36893199999999998</v>
      </c>
      <c r="CB1075" s="7">
        <v>24.595469000000001</v>
      </c>
      <c r="CC1075" s="7">
        <v>50</v>
      </c>
      <c r="CD1075" s="7">
        <v>0.85148500000000005</v>
      </c>
      <c r="CE1075" s="7">
        <v>45.291763000000003</v>
      </c>
      <c r="CF1075" s="7">
        <v>50</v>
      </c>
      <c r="CG1075" s="7">
        <v>0.97979799999999995</v>
      </c>
      <c r="CH1075" s="7">
        <v>100</v>
      </c>
      <c r="CI1075" s="7">
        <v>100</v>
      </c>
      <c r="CJ1075" s="7">
        <v>0</v>
      </c>
      <c r="CK1075" s="7">
        <v>0.94545500000000005</v>
      </c>
      <c r="CL1075" s="7">
        <v>100</v>
      </c>
      <c r="CM1075" s="7">
        <v>100</v>
      </c>
      <c r="CN1075" s="7">
        <v>0.70833299999999999</v>
      </c>
      <c r="CO1075" s="7">
        <v>94.444444000000004</v>
      </c>
      <c r="CP1075" s="7">
        <v>100</v>
      </c>
      <c r="CQ1075" s="7">
        <v>0.48101300000000002</v>
      </c>
      <c r="CR1075" s="7">
        <v>0.84946200000000005</v>
      </c>
      <c r="CS1075" s="7">
        <v>16.033754999999999</v>
      </c>
      <c r="CT1075" s="7">
        <v>50</v>
      </c>
      <c r="CU1075" s="7">
        <v>0.61499999999999999</v>
      </c>
      <c r="CV1075" s="7">
        <v>50</v>
      </c>
      <c r="CW1075" s="7">
        <v>50</v>
      </c>
      <c r="CX1075" s="7">
        <v>0.94545500000000005</v>
      </c>
      <c r="CY1075" s="7">
        <v>0.94</v>
      </c>
      <c r="CZ1075" s="7">
        <v>-5.4549999999999998E-3</v>
      </c>
      <c r="DA1075" s="7">
        <v>15.314097</v>
      </c>
      <c r="DB1075" s="7">
        <v>17.400950000000002</v>
      </c>
      <c r="DC1075" s="7">
        <v>16.332519999999999</v>
      </c>
      <c r="DD1075" s="7">
        <v>7.9891730000000001</v>
      </c>
      <c r="DE1075" s="7">
        <v>1</v>
      </c>
      <c r="DF1075" s="6"/>
      <c r="DG1075" s="6"/>
      <c r="DH1075" s="6"/>
      <c r="DI1075" s="6"/>
      <c r="DJ1075" s="7">
        <v>0</v>
      </c>
      <c r="DK1075" s="7">
        <v>0</v>
      </c>
      <c r="DL1075" s="7">
        <v>0</v>
      </c>
      <c r="DM1075" s="7">
        <v>0</v>
      </c>
      <c r="DN1075" s="7">
        <v>0</v>
      </c>
      <c r="DO1075" s="7">
        <v>0</v>
      </c>
      <c r="DP1075" s="6"/>
      <c r="DQ1075" s="4" t="s">
        <v>125</v>
      </c>
    </row>
    <row r="1076" spans="1:121" ht="20" customHeight="1" x14ac:dyDescent="0.15">
      <c r="A1076" s="5">
        <v>2018</v>
      </c>
      <c r="B1076" s="3" t="s">
        <v>193</v>
      </c>
      <c r="C1076" s="4" t="str">
        <f t="shared" si="275"/>
        <v>1650011</v>
      </c>
      <c r="D1076" s="4" t="s">
        <v>1217</v>
      </c>
      <c r="E1076" s="4" t="str">
        <f>"1655111"</f>
        <v>1655111</v>
      </c>
      <c r="F1076" s="4" t="s">
        <v>327</v>
      </c>
      <c r="G1076" s="7">
        <v>6</v>
      </c>
      <c r="H1076" s="7">
        <v>8</v>
      </c>
      <c r="I1076" s="6"/>
      <c r="J1076" s="4" t="s">
        <v>330</v>
      </c>
      <c r="K1076" s="7">
        <v>583.98255400000005</v>
      </c>
      <c r="L1076" s="7">
        <v>900</v>
      </c>
      <c r="M1076" s="7">
        <v>64.886949999999999</v>
      </c>
      <c r="N1076" s="7">
        <v>3</v>
      </c>
      <c r="O1076" s="7">
        <v>0</v>
      </c>
      <c r="P1076" s="7">
        <v>64.130775999999997</v>
      </c>
      <c r="Q1076" s="7">
        <v>42.753850999999997</v>
      </c>
      <c r="R1076" s="7">
        <v>50</v>
      </c>
      <c r="S1076" s="7">
        <v>57.834138000000003</v>
      </c>
      <c r="T1076" s="7">
        <v>72.644540000000006</v>
      </c>
      <c r="U1076" s="7">
        <v>38.556092</v>
      </c>
      <c r="V1076" s="7">
        <v>50</v>
      </c>
      <c r="W1076" s="7">
        <v>58.736823000000001</v>
      </c>
      <c r="X1076" s="7">
        <v>39.157882000000001</v>
      </c>
      <c r="Y1076" s="7">
        <v>50</v>
      </c>
      <c r="Z1076" s="7">
        <v>66.882648000000003</v>
      </c>
      <c r="AA1076" s="7">
        <v>52.712307000000003</v>
      </c>
      <c r="AB1076" s="7">
        <v>35.141537999999997</v>
      </c>
      <c r="AC1076" s="7">
        <v>50</v>
      </c>
      <c r="AD1076" s="7">
        <v>59.472037</v>
      </c>
      <c r="AE1076" s="7">
        <v>39.648024999999997</v>
      </c>
      <c r="AF1076" s="7">
        <v>50</v>
      </c>
      <c r="AG1076" s="7">
        <v>53.601647</v>
      </c>
      <c r="AH1076" s="7">
        <v>67.035809</v>
      </c>
      <c r="AI1076" s="7">
        <v>35.734431000000001</v>
      </c>
      <c r="AJ1076" s="7">
        <v>50</v>
      </c>
      <c r="AK1076" s="7">
        <v>14.81</v>
      </c>
      <c r="AL1076" s="7">
        <v>14.17</v>
      </c>
      <c r="AM1076" s="7">
        <v>13.43</v>
      </c>
      <c r="AN1076" s="7">
        <v>0.48364200000000002</v>
      </c>
      <c r="AO1076" s="7">
        <v>48.364249000000001</v>
      </c>
      <c r="AP1076" s="7">
        <v>100</v>
      </c>
      <c r="AQ1076" s="7">
        <v>0.54313900000000004</v>
      </c>
      <c r="AR1076" s="7">
        <v>54.313940000000002</v>
      </c>
      <c r="AS1076" s="7">
        <v>100</v>
      </c>
      <c r="AT1076" s="7">
        <v>0.44056499999999998</v>
      </c>
      <c r="AU1076" s="7">
        <v>0.53863499999999997</v>
      </c>
      <c r="AV1076" s="7">
        <v>44.056480999999998</v>
      </c>
      <c r="AW1076" s="7">
        <v>100</v>
      </c>
      <c r="AX1076" s="7">
        <v>0.52301500000000001</v>
      </c>
      <c r="AY1076" s="7">
        <v>0.56854499999999997</v>
      </c>
      <c r="AZ1076" s="7">
        <v>52.301485</v>
      </c>
      <c r="BA1076" s="7">
        <v>100</v>
      </c>
      <c r="BB1076" s="4" t="s">
        <v>124</v>
      </c>
      <c r="BC1076" s="4" t="s">
        <v>124</v>
      </c>
      <c r="BD1076" s="4" t="s">
        <v>124</v>
      </c>
      <c r="BE1076" s="4" t="s">
        <v>124</v>
      </c>
      <c r="BF1076" s="4" t="s">
        <v>124</v>
      </c>
      <c r="BG1076" s="4" t="s">
        <v>124</v>
      </c>
      <c r="BH1076" s="7">
        <v>0</v>
      </c>
      <c r="BI1076" s="7">
        <v>0.98857099999999998</v>
      </c>
      <c r="BJ1076" s="7">
        <v>0.98048800000000003</v>
      </c>
      <c r="BK1076" s="7">
        <v>1</v>
      </c>
      <c r="BL1076" s="7">
        <v>0.98857099999999998</v>
      </c>
      <c r="BM1076" s="7">
        <v>0.98048800000000003</v>
      </c>
      <c r="BN1076" s="7">
        <v>1</v>
      </c>
      <c r="BO1076" s="7">
        <v>0.99187000000000003</v>
      </c>
      <c r="BP1076" s="7">
        <v>0.98571399999999998</v>
      </c>
      <c r="BQ1076" s="7">
        <v>1</v>
      </c>
      <c r="BR1076" s="7">
        <v>7.7143000000000003E-2</v>
      </c>
      <c r="BS1076" s="7">
        <v>44.571429000000002</v>
      </c>
      <c r="BT1076" s="7">
        <v>50</v>
      </c>
      <c r="BU1076" s="7">
        <v>0.10945299999999999</v>
      </c>
      <c r="BV1076" s="7">
        <v>38.109453000000002</v>
      </c>
      <c r="BW1076" s="7">
        <v>50</v>
      </c>
      <c r="BX1076" s="4" t="s">
        <v>124</v>
      </c>
      <c r="BY1076" s="4" t="s">
        <v>124</v>
      </c>
      <c r="BZ1076" s="4" t="s">
        <v>124</v>
      </c>
      <c r="CA1076" s="4" t="s">
        <v>124</v>
      </c>
      <c r="CB1076" s="4" t="s">
        <v>124</v>
      </c>
      <c r="CC1076" s="4" t="s">
        <v>124</v>
      </c>
      <c r="CD1076" s="7">
        <v>0.90098999999999996</v>
      </c>
      <c r="CE1076" s="7">
        <v>47.925004999999999</v>
      </c>
      <c r="CF1076" s="7">
        <v>50</v>
      </c>
      <c r="CG1076" s="4" t="s">
        <v>124</v>
      </c>
      <c r="CH1076" s="4" t="s">
        <v>124</v>
      </c>
      <c r="CI1076" s="4" t="s">
        <v>124</v>
      </c>
      <c r="CJ1076" s="4" t="s">
        <v>124</v>
      </c>
      <c r="CK1076" s="4" t="s">
        <v>124</v>
      </c>
      <c r="CL1076" s="4" t="s">
        <v>124</v>
      </c>
      <c r="CM1076" s="4" t="s">
        <v>124</v>
      </c>
      <c r="CN1076" s="4" t="s">
        <v>124</v>
      </c>
      <c r="CO1076" s="4" t="s">
        <v>124</v>
      </c>
      <c r="CP1076" s="4" t="s">
        <v>124</v>
      </c>
      <c r="CQ1076" s="7">
        <v>0.35022999999999999</v>
      </c>
      <c r="CR1076" s="7">
        <v>0.95175399999999999</v>
      </c>
      <c r="CS1076" s="7">
        <v>23.348693999999998</v>
      </c>
      <c r="CT1076" s="7">
        <v>50</v>
      </c>
      <c r="CU1076" s="4" t="s">
        <v>124</v>
      </c>
      <c r="CV1076" s="4" t="s">
        <v>124</v>
      </c>
      <c r="CW1076" s="4" t="s">
        <v>124</v>
      </c>
      <c r="CX1076" s="4" t="s">
        <v>124</v>
      </c>
      <c r="CY1076" s="4" t="s">
        <v>124</v>
      </c>
      <c r="CZ1076" s="4" t="s">
        <v>124</v>
      </c>
      <c r="DA1076" s="7">
        <v>15.314097</v>
      </c>
      <c r="DB1076" s="7">
        <v>17.400950000000002</v>
      </c>
      <c r="DC1076" s="7">
        <v>16.332519999999999</v>
      </c>
      <c r="DD1076" s="4" t="s">
        <v>124</v>
      </c>
      <c r="DE1076" s="7">
        <v>0</v>
      </c>
      <c r="DF1076" s="6"/>
      <c r="DG1076" s="6"/>
      <c r="DH1076" s="6"/>
      <c r="DI1076" s="6"/>
      <c r="DJ1076" s="7">
        <v>0</v>
      </c>
      <c r="DK1076" s="7">
        <v>0</v>
      </c>
      <c r="DL1076" s="7">
        <v>0</v>
      </c>
      <c r="DM1076" s="7">
        <v>0</v>
      </c>
      <c r="DN1076" s="7">
        <v>0</v>
      </c>
      <c r="DO1076" s="7">
        <v>0</v>
      </c>
      <c r="DP1076" s="6"/>
      <c r="DQ1076" s="4" t="s">
        <v>125</v>
      </c>
    </row>
    <row r="1077" spans="1:121" ht="20" customHeight="1" x14ac:dyDescent="0.15">
      <c r="A1077" s="5">
        <v>2018</v>
      </c>
      <c r="B1077" s="3" t="s">
        <v>241</v>
      </c>
      <c r="C1077" s="4" t="str">
        <f t="shared" si="116"/>
        <v>1660011</v>
      </c>
      <c r="D1077" s="4" t="s">
        <v>1218</v>
      </c>
      <c r="E1077" s="4" t="str">
        <f>"1660611"</f>
        <v>1660611</v>
      </c>
      <c r="F1077" s="4" t="s">
        <v>327</v>
      </c>
      <c r="G1077" s="4" t="s">
        <v>328</v>
      </c>
      <c r="H1077" s="7">
        <v>5</v>
      </c>
      <c r="I1077" s="6"/>
      <c r="J1077" s="4" t="s">
        <v>330</v>
      </c>
      <c r="K1077" s="7">
        <v>627.44576700000005</v>
      </c>
      <c r="L1077" s="7">
        <v>800</v>
      </c>
      <c r="M1077" s="7">
        <v>78.430721000000005</v>
      </c>
      <c r="N1077" s="7">
        <v>2</v>
      </c>
      <c r="O1077" s="7">
        <v>0</v>
      </c>
      <c r="P1077" s="7">
        <v>76.941851999999997</v>
      </c>
      <c r="Q1077" s="7">
        <v>50</v>
      </c>
      <c r="R1077" s="7">
        <v>50</v>
      </c>
      <c r="S1077" s="7">
        <v>69.092208999999997</v>
      </c>
      <c r="T1077" s="7">
        <v>75</v>
      </c>
      <c r="U1077" s="7">
        <v>46.061472999999999</v>
      </c>
      <c r="V1077" s="7">
        <v>50</v>
      </c>
      <c r="W1077" s="7">
        <v>74.331907000000001</v>
      </c>
      <c r="X1077" s="7">
        <v>49.554605000000002</v>
      </c>
      <c r="Y1077" s="7">
        <v>50</v>
      </c>
      <c r="Z1077" s="7">
        <v>75</v>
      </c>
      <c r="AA1077" s="7">
        <v>67.143007999999995</v>
      </c>
      <c r="AB1077" s="7">
        <v>44.762005000000002</v>
      </c>
      <c r="AC1077" s="7">
        <v>50</v>
      </c>
      <c r="AD1077" s="7">
        <v>68.917563000000001</v>
      </c>
      <c r="AE1077" s="7">
        <v>45.945042000000001</v>
      </c>
      <c r="AF1077" s="7">
        <v>50</v>
      </c>
      <c r="AG1077" s="4" t="s">
        <v>124</v>
      </c>
      <c r="AH1077" s="7">
        <v>71.876129000000006</v>
      </c>
      <c r="AI1077" s="4" t="s">
        <v>124</v>
      </c>
      <c r="AJ1077" s="4" t="s">
        <v>124</v>
      </c>
      <c r="AK1077" s="7">
        <v>5.9</v>
      </c>
      <c r="AL1077" s="7">
        <v>7.85</v>
      </c>
      <c r="AM1077" s="4" t="s">
        <v>124</v>
      </c>
      <c r="AN1077" s="7">
        <v>0.59655000000000002</v>
      </c>
      <c r="AO1077" s="7">
        <v>59.654986999999998</v>
      </c>
      <c r="AP1077" s="7">
        <v>100</v>
      </c>
      <c r="AQ1077" s="7">
        <v>0.728572</v>
      </c>
      <c r="AR1077" s="7">
        <v>72.857185999999999</v>
      </c>
      <c r="AS1077" s="7">
        <v>100</v>
      </c>
      <c r="AT1077" s="7">
        <v>0.499886</v>
      </c>
      <c r="AU1077" s="7">
        <v>0.654088</v>
      </c>
      <c r="AV1077" s="7">
        <v>49.988647999999998</v>
      </c>
      <c r="AW1077" s="7">
        <v>100</v>
      </c>
      <c r="AX1077" s="7">
        <v>0.64871800000000002</v>
      </c>
      <c r="AY1077" s="7">
        <v>0.77610400000000002</v>
      </c>
      <c r="AZ1077" s="7">
        <v>64.871820999999997</v>
      </c>
      <c r="BA1077" s="7">
        <v>100</v>
      </c>
      <c r="BB1077" s="4" t="s">
        <v>124</v>
      </c>
      <c r="BC1077" s="4" t="s">
        <v>124</v>
      </c>
      <c r="BD1077" s="4" t="s">
        <v>124</v>
      </c>
      <c r="BE1077" s="4" t="s">
        <v>124</v>
      </c>
      <c r="BF1077" s="4" t="s">
        <v>124</v>
      </c>
      <c r="BG1077" s="4" t="s">
        <v>124</v>
      </c>
      <c r="BH1077" s="7">
        <v>0</v>
      </c>
      <c r="BI1077" s="7">
        <v>1</v>
      </c>
      <c r="BJ1077" s="7">
        <v>1</v>
      </c>
      <c r="BK1077" s="7">
        <v>1</v>
      </c>
      <c r="BL1077" s="7">
        <v>1</v>
      </c>
      <c r="BM1077" s="7">
        <v>1</v>
      </c>
      <c r="BN1077" s="7">
        <v>1</v>
      </c>
      <c r="BO1077" s="7">
        <v>1</v>
      </c>
      <c r="BP1077" s="4" t="s">
        <v>124</v>
      </c>
      <c r="BQ1077" s="7">
        <v>1</v>
      </c>
      <c r="BR1077" s="7">
        <v>2.6905999999999999E-2</v>
      </c>
      <c r="BS1077" s="7">
        <v>50</v>
      </c>
      <c r="BT1077" s="7">
        <v>50</v>
      </c>
      <c r="BU1077" s="7">
        <v>4.8193E-2</v>
      </c>
      <c r="BV1077" s="7">
        <v>50</v>
      </c>
      <c r="BW1077" s="7">
        <v>50</v>
      </c>
      <c r="BX1077" s="4" t="s">
        <v>124</v>
      </c>
      <c r="BY1077" s="4" t="s">
        <v>124</v>
      </c>
      <c r="BZ1077" s="4" t="s">
        <v>124</v>
      </c>
      <c r="CA1077" s="4" t="s">
        <v>124</v>
      </c>
      <c r="CB1077" s="4" t="s">
        <v>124</v>
      </c>
      <c r="CC1077" s="4" t="s">
        <v>124</v>
      </c>
      <c r="CD1077" s="4" t="s">
        <v>124</v>
      </c>
      <c r="CE1077" s="4" t="s">
        <v>124</v>
      </c>
      <c r="CF1077" s="4" t="s">
        <v>124</v>
      </c>
      <c r="CG1077" s="4" t="s">
        <v>124</v>
      </c>
      <c r="CH1077" s="4" t="s">
        <v>124</v>
      </c>
      <c r="CI1077" s="4" t="s">
        <v>124</v>
      </c>
      <c r="CJ1077" s="4" t="s">
        <v>124</v>
      </c>
      <c r="CK1077" s="4" t="s">
        <v>124</v>
      </c>
      <c r="CL1077" s="4" t="s">
        <v>124</v>
      </c>
      <c r="CM1077" s="4" t="s">
        <v>124</v>
      </c>
      <c r="CN1077" s="4" t="s">
        <v>124</v>
      </c>
      <c r="CO1077" s="4" t="s">
        <v>124</v>
      </c>
      <c r="CP1077" s="4" t="s">
        <v>124</v>
      </c>
      <c r="CQ1077" s="7">
        <v>0.65625</v>
      </c>
      <c r="CR1077" s="7">
        <v>0.96969700000000003</v>
      </c>
      <c r="CS1077" s="7">
        <v>43.75</v>
      </c>
      <c r="CT1077" s="7">
        <v>50</v>
      </c>
      <c r="CU1077" s="4" t="s">
        <v>124</v>
      </c>
      <c r="CV1077" s="4" t="s">
        <v>124</v>
      </c>
      <c r="CW1077" s="4" t="s">
        <v>124</v>
      </c>
      <c r="CX1077" s="4" t="s">
        <v>124</v>
      </c>
      <c r="CY1077" s="4" t="s">
        <v>124</v>
      </c>
      <c r="CZ1077" s="4" t="s">
        <v>124</v>
      </c>
      <c r="DA1077" s="7">
        <v>15.314097</v>
      </c>
      <c r="DB1077" s="7">
        <v>17.400950000000002</v>
      </c>
      <c r="DC1077" s="7">
        <v>16.332519999999999</v>
      </c>
      <c r="DD1077" s="4" t="s">
        <v>124</v>
      </c>
      <c r="DE1077" s="7">
        <v>0</v>
      </c>
      <c r="DF1077" s="6"/>
      <c r="DG1077" s="6"/>
      <c r="DH1077" s="6"/>
      <c r="DI1077" s="6"/>
      <c r="DJ1077" s="7">
        <v>0</v>
      </c>
      <c r="DK1077" s="7">
        <v>0</v>
      </c>
      <c r="DL1077" s="7">
        <v>0</v>
      </c>
      <c r="DM1077" s="7">
        <v>0</v>
      </c>
      <c r="DN1077" s="7">
        <v>0</v>
      </c>
      <c r="DO1077" s="7">
        <v>0</v>
      </c>
      <c r="DP1077" s="6"/>
      <c r="DQ1077" s="4" t="s">
        <v>125</v>
      </c>
    </row>
    <row r="1078" spans="1:121" ht="20" customHeight="1" x14ac:dyDescent="0.15">
      <c r="A1078" s="5">
        <v>2018</v>
      </c>
      <c r="B1078" s="3" t="s">
        <v>241</v>
      </c>
      <c r="C1078" s="4" t="str">
        <f t="shared" ref="C1078:C1081" si="276">"1660011"</f>
        <v>1660011</v>
      </c>
      <c r="D1078" s="4" t="s">
        <v>1219</v>
      </c>
      <c r="E1078" s="4" t="str">
        <f>"1660211"</f>
        <v>1660211</v>
      </c>
      <c r="F1078" s="4" t="s">
        <v>327</v>
      </c>
      <c r="G1078" s="4" t="s">
        <v>338</v>
      </c>
      <c r="H1078" s="7">
        <v>5</v>
      </c>
      <c r="I1078" s="4" t="s">
        <v>329</v>
      </c>
      <c r="J1078" s="4" t="s">
        <v>330</v>
      </c>
      <c r="K1078" s="7">
        <v>728.99617699999999</v>
      </c>
      <c r="L1078" s="7">
        <v>850</v>
      </c>
      <c r="M1078" s="7">
        <v>85.764256000000003</v>
      </c>
      <c r="N1078" s="7">
        <v>1</v>
      </c>
      <c r="O1078" s="7">
        <v>0</v>
      </c>
      <c r="P1078" s="7">
        <v>82.931358000000003</v>
      </c>
      <c r="Q1078" s="7">
        <v>50</v>
      </c>
      <c r="R1078" s="7">
        <v>50</v>
      </c>
      <c r="S1078" s="7">
        <v>80.562578999999999</v>
      </c>
      <c r="T1078" s="7">
        <v>75</v>
      </c>
      <c r="U1078" s="7">
        <v>50</v>
      </c>
      <c r="V1078" s="7">
        <v>50</v>
      </c>
      <c r="W1078" s="7">
        <v>81.368956999999995</v>
      </c>
      <c r="X1078" s="7">
        <v>50</v>
      </c>
      <c r="Y1078" s="7">
        <v>50</v>
      </c>
      <c r="Z1078" s="7">
        <v>75</v>
      </c>
      <c r="AA1078" s="7">
        <v>76.745697000000007</v>
      </c>
      <c r="AB1078" s="7">
        <v>50</v>
      </c>
      <c r="AC1078" s="7">
        <v>50</v>
      </c>
      <c r="AD1078" s="7">
        <v>66.423517000000004</v>
      </c>
      <c r="AE1078" s="7">
        <v>44.282344999999999</v>
      </c>
      <c r="AF1078" s="7">
        <v>50</v>
      </c>
      <c r="AG1078" s="7">
        <v>62</v>
      </c>
      <c r="AH1078" s="7">
        <v>68.856452000000004</v>
      </c>
      <c r="AI1078" s="7">
        <v>41.333333000000003</v>
      </c>
      <c r="AJ1078" s="7">
        <v>50</v>
      </c>
      <c r="AK1078" s="7">
        <v>-5.56</v>
      </c>
      <c r="AL1078" s="7">
        <v>-1.74</v>
      </c>
      <c r="AM1078" s="7">
        <v>6.85</v>
      </c>
      <c r="AN1078" s="7">
        <v>0.68398199999999998</v>
      </c>
      <c r="AO1078" s="7">
        <v>68.398185999999995</v>
      </c>
      <c r="AP1078" s="7">
        <v>100</v>
      </c>
      <c r="AQ1078" s="7">
        <v>0.80334499999999998</v>
      </c>
      <c r="AR1078" s="7">
        <v>80.334453999999994</v>
      </c>
      <c r="AS1078" s="7">
        <v>100</v>
      </c>
      <c r="AT1078" s="7">
        <v>0.72450800000000004</v>
      </c>
      <c r="AU1078" s="7">
        <v>0.66310500000000006</v>
      </c>
      <c r="AV1078" s="7">
        <v>72.450809000000007</v>
      </c>
      <c r="AW1078" s="7">
        <v>100</v>
      </c>
      <c r="AX1078" s="7">
        <v>0.77752600000000005</v>
      </c>
      <c r="AY1078" s="7">
        <v>0.81664499999999995</v>
      </c>
      <c r="AZ1078" s="7">
        <v>77.752606</v>
      </c>
      <c r="BA1078" s="7">
        <v>100</v>
      </c>
      <c r="BB1078" s="4" t="s">
        <v>124</v>
      </c>
      <c r="BC1078" s="4" t="s">
        <v>124</v>
      </c>
      <c r="BD1078" s="4" t="s">
        <v>124</v>
      </c>
      <c r="BE1078" s="4" t="s">
        <v>124</v>
      </c>
      <c r="BF1078" s="4" t="s">
        <v>124</v>
      </c>
      <c r="BG1078" s="4" t="s">
        <v>124</v>
      </c>
      <c r="BH1078" s="7">
        <v>0</v>
      </c>
      <c r="BI1078" s="7">
        <v>0.993421</v>
      </c>
      <c r="BJ1078" s="7">
        <v>1</v>
      </c>
      <c r="BK1078" s="7">
        <v>0.98958299999999999</v>
      </c>
      <c r="BL1078" s="7">
        <v>0.993421</v>
      </c>
      <c r="BM1078" s="7">
        <v>1</v>
      </c>
      <c r="BN1078" s="7">
        <v>0.98958299999999999</v>
      </c>
      <c r="BO1078" s="7">
        <v>1</v>
      </c>
      <c r="BP1078" s="7">
        <v>1</v>
      </c>
      <c r="BQ1078" s="7">
        <v>1</v>
      </c>
      <c r="BR1078" s="7">
        <v>2.4389999999999998E-2</v>
      </c>
      <c r="BS1078" s="7">
        <v>50</v>
      </c>
      <c r="BT1078" s="7">
        <v>50</v>
      </c>
      <c r="BU1078" s="7">
        <v>1.8349000000000001E-2</v>
      </c>
      <c r="BV1078" s="7">
        <v>50</v>
      </c>
      <c r="BW1078" s="7">
        <v>50</v>
      </c>
      <c r="BX1078" s="4" t="s">
        <v>124</v>
      </c>
      <c r="BY1078" s="4" t="s">
        <v>124</v>
      </c>
      <c r="BZ1078" s="4" t="s">
        <v>124</v>
      </c>
      <c r="CA1078" s="4" t="s">
        <v>124</v>
      </c>
      <c r="CB1078" s="4" t="s">
        <v>124</v>
      </c>
      <c r="CC1078" s="4" t="s">
        <v>124</v>
      </c>
      <c r="CD1078" s="4" t="s">
        <v>124</v>
      </c>
      <c r="CE1078" s="4" t="s">
        <v>124</v>
      </c>
      <c r="CF1078" s="4" t="s">
        <v>124</v>
      </c>
      <c r="CG1078" s="4" t="s">
        <v>124</v>
      </c>
      <c r="CH1078" s="4" t="s">
        <v>124</v>
      </c>
      <c r="CI1078" s="4" t="s">
        <v>124</v>
      </c>
      <c r="CJ1078" s="4" t="s">
        <v>124</v>
      </c>
      <c r="CK1078" s="4" t="s">
        <v>124</v>
      </c>
      <c r="CL1078" s="4" t="s">
        <v>124</v>
      </c>
      <c r="CM1078" s="4" t="s">
        <v>124</v>
      </c>
      <c r="CN1078" s="4" t="s">
        <v>124</v>
      </c>
      <c r="CO1078" s="4" t="s">
        <v>124</v>
      </c>
      <c r="CP1078" s="4" t="s">
        <v>124</v>
      </c>
      <c r="CQ1078" s="7">
        <v>0.66666700000000001</v>
      </c>
      <c r="CR1078" s="7">
        <v>1.026316</v>
      </c>
      <c r="CS1078" s="7">
        <v>44.444443999999997</v>
      </c>
      <c r="CT1078" s="7">
        <v>50</v>
      </c>
      <c r="CU1078" s="4" t="s">
        <v>124</v>
      </c>
      <c r="CV1078" s="4" t="s">
        <v>124</v>
      </c>
      <c r="CW1078" s="4" t="s">
        <v>124</v>
      </c>
      <c r="CX1078" s="4" t="s">
        <v>124</v>
      </c>
      <c r="CY1078" s="4" t="s">
        <v>124</v>
      </c>
      <c r="CZ1078" s="4" t="s">
        <v>124</v>
      </c>
      <c r="DA1078" s="7">
        <v>15.314097</v>
      </c>
      <c r="DB1078" s="7">
        <v>17.400950000000002</v>
      </c>
      <c r="DC1078" s="7">
        <v>16.332519999999999</v>
      </c>
      <c r="DD1078" s="4" t="s">
        <v>124</v>
      </c>
      <c r="DE1078" s="7">
        <v>0</v>
      </c>
      <c r="DF1078" s="6"/>
      <c r="DG1078" s="6"/>
      <c r="DH1078" s="4" t="s">
        <v>331</v>
      </c>
      <c r="DI1078" s="4" t="s">
        <v>523</v>
      </c>
      <c r="DJ1078" s="7">
        <v>0</v>
      </c>
      <c r="DK1078" s="7">
        <v>0</v>
      </c>
      <c r="DL1078" s="7">
        <v>0</v>
      </c>
      <c r="DM1078" s="7">
        <v>1</v>
      </c>
      <c r="DN1078" s="7">
        <v>0</v>
      </c>
      <c r="DO1078" s="7">
        <v>0</v>
      </c>
      <c r="DP1078" s="6"/>
      <c r="DQ1078" s="4" t="s">
        <v>125</v>
      </c>
    </row>
    <row r="1079" spans="1:121" ht="20" customHeight="1" x14ac:dyDescent="0.15">
      <c r="A1079" s="5">
        <v>2018</v>
      </c>
      <c r="B1079" s="3" t="s">
        <v>241</v>
      </c>
      <c r="C1079" s="4" t="str">
        <f t="shared" si="276"/>
        <v>1660011</v>
      </c>
      <c r="D1079" s="4" t="s">
        <v>1220</v>
      </c>
      <c r="E1079" s="4" t="str">
        <f>"1665111"</f>
        <v>1665111</v>
      </c>
      <c r="F1079" s="4" t="s">
        <v>327</v>
      </c>
      <c r="G1079" s="7">
        <v>6</v>
      </c>
      <c r="H1079" s="7">
        <v>8</v>
      </c>
      <c r="I1079" s="6"/>
      <c r="J1079" s="4" t="s">
        <v>330</v>
      </c>
      <c r="K1079" s="7">
        <v>691.22013700000002</v>
      </c>
      <c r="L1079" s="7">
        <v>900</v>
      </c>
      <c r="M1079" s="7">
        <v>76.802237000000005</v>
      </c>
      <c r="N1079" s="7">
        <v>2</v>
      </c>
      <c r="O1079" s="7">
        <v>0</v>
      </c>
      <c r="P1079" s="7">
        <v>73.798226999999997</v>
      </c>
      <c r="Q1079" s="7">
        <v>49.198818000000003</v>
      </c>
      <c r="R1079" s="7">
        <v>50</v>
      </c>
      <c r="S1079" s="7">
        <v>66.976102999999995</v>
      </c>
      <c r="T1079" s="7">
        <v>75</v>
      </c>
      <c r="U1079" s="7">
        <v>44.650734999999997</v>
      </c>
      <c r="V1079" s="7">
        <v>50</v>
      </c>
      <c r="W1079" s="7">
        <v>69.708810999999997</v>
      </c>
      <c r="X1079" s="7">
        <v>46.472540000000002</v>
      </c>
      <c r="Y1079" s="7">
        <v>50</v>
      </c>
      <c r="Z1079" s="7">
        <v>74.980146000000005</v>
      </c>
      <c r="AA1079" s="7">
        <v>62.041414000000003</v>
      </c>
      <c r="AB1079" s="7">
        <v>41.360942999999999</v>
      </c>
      <c r="AC1079" s="7">
        <v>50</v>
      </c>
      <c r="AD1079" s="7">
        <v>69.953937999999994</v>
      </c>
      <c r="AE1079" s="7">
        <v>46.635959</v>
      </c>
      <c r="AF1079" s="7">
        <v>50</v>
      </c>
      <c r="AG1079" s="7">
        <v>63.421151999999999</v>
      </c>
      <c r="AH1079" s="7">
        <v>74.344828000000007</v>
      </c>
      <c r="AI1079" s="7">
        <v>42.280768000000002</v>
      </c>
      <c r="AJ1079" s="7">
        <v>50</v>
      </c>
      <c r="AK1079" s="7">
        <v>8.02</v>
      </c>
      <c r="AL1079" s="7">
        <v>12.93</v>
      </c>
      <c r="AM1079" s="7">
        <v>10.92</v>
      </c>
      <c r="AN1079" s="7">
        <v>0.568519</v>
      </c>
      <c r="AO1079" s="7">
        <v>56.851948999999998</v>
      </c>
      <c r="AP1079" s="7">
        <v>100</v>
      </c>
      <c r="AQ1079" s="7">
        <v>0.60205600000000004</v>
      </c>
      <c r="AR1079" s="7">
        <v>60.205599999999997</v>
      </c>
      <c r="AS1079" s="7">
        <v>100</v>
      </c>
      <c r="AT1079" s="7">
        <v>0.54110499999999995</v>
      </c>
      <c r="AU1079" s="7">
        <v>0.58589599999999997</v>
      </c>
      <c r="AV1079" s="7">
        <v>54.110515999999997</v>
      </c>
      <c r="AW1079" s="7">
        <v>100</v>
      </c>
      <c r="AX1079" s="7">
        <v>0.543543</v>
      </c>
      <c r="AY1079" s="7">
        <v>0.63914400000000005</v>
      </c>
      <c r="AZ1079" s="7">
        <v>54.354267999999998</v>
      </c>
      <c r="BA1079" s="7">
        <v>100</v>
      </c>
      <c r="BB1079" s="4" t="s">
        <v>124</v>
      </c>
      <c r="BC1079" s="4" t="s">
        <v>124</v>
      </c>
      <c r="BD1079" s="4" t="s">
        <v>124</v>
      </c>
      <c r="BE1079" s="4" t="s">
        <v>124</v>
      </c>
      <c r="BF1079" s="4" t="s">
        <v>124</v>
      </c>
      <c r="BG1079" s="4" t="s">
        <v>124</v>
      </c>
      <c r="BH1079" s="7">
        <v>0</v>
      </c>
      <c r="BI1079" s="7">
        <v>0.99637699999999996</v>
      </c>
      <c r="BJ1079" s="7">
        <v>0.99559500000000001</v>
      </c>
      <c r="BK1079" s="7">
        <v>0.996923</v>
      </c>
      <c r="BL1079" s="7">
        <v>0.99637699999999996</v>
      </c>
      <c r="BM1079" s="7">
        <v>0.99559500000000001</v>
      </c>
      <c r="BN1079" s="7">
        <v>0.996923</v>
      </c>
      <c r="BO1079" s="7">
        <v>1</v>
      </c>
      <c r="BP1079" s="7">
        <v>1</v>
      </c>
      <c r="BQ1079" s="7">
        <v>1</v>
      </c>
      <c r="BR1079" s="7">
        <v>1.9928000000000001E-2</v>
      </c>
      <c r="BS1079" s="7">
        <v>50</v>
      </c>
      <c r="BT1079" s="7">
        <v>50</v>
      </c>
      <c r="BU1079" s="7">
        <v>3.7559000000000002E-2</v>
      </c>
      <c r="BV1079" s="7">
        <v>50</v>
      </c>
      <c r="BW1079" s="7">
        <v>50</v>
      </c>
      <c r="BX1079" s="4" t="s">
        <v>124</v>
      </c>
      <c r="BY1079" s="4" t="s">
        <v>124</v>
      </c>
      <c r="BZ1079" s="4" t="s">
        <v>124</v>
      </c>
      <c r="CA1079" s="4" t="s">
        <v>124</v>
      </c>
      <c r="CB1079" s="4" t="s">
        <v>124</v>
      </c>
      <c r="CC1079" s="4" t="s">
        <v>124</v>
      </c>
      <c r="CD1079" s="7">
        <v>0.99456500000000003</v>
      </c>
      <c r="CE1079" s="7">
        <v>50</v>
      </c>
      <c r="CF1079" s="7">
        <v>50</v>
      </c>
      <c r="CG1079" s="4" t="s">
        <v>124</v>
      </c>
      <c r="CH1079" s="4" t="s">
        <v>124</v>
      </c>
      <c r="CI1079" s="4" t="s">
        <v>124</v>
      </c>
      <c r="CJ1079" s="4" t="s">
        <v>124</v>
      </c>
      <c r="CK1079" s="4" t="s">
        <v>124</v>
      </c>
      <c r="CL1079" s="4" t="s">
        <v>124</v>
      </c>
      <c r="CM1079" s="4" t="s">
        <v>124</v>
      </c>
      <c r="CN1079" s="4" t="s">
        <v>124</v>
      </c>
      <c r="CO1079" s="4" t="s">
        <v>124</v>
      </c>
      <c r="CP1079" s="4" t="s">
        <v>124</v>
      </c>
      <c r="CQ1079" s="7">
        <v>0.67647100000000004</v>
      </c>
      <c r="CR1079" s="7">
        <v>0.968912</v>
      </c>
      <c r="CS1079" s="7">
        <v>45.098039</v>
      </c>
      <c r="CT1079" s="7">
        <v>50</v>
      </c>
      <c r="CU1079" s="4" t="s">
        <v>124</v>
      </c>
      <c r="CV1079" s="4" t="s">
        <v>124</v>
      </c>
      <c r="CW1079" s="4" t="s">
        <v>124</v>
      </c>
      <c r="CX1079" s="4" t="s">
        <v>124</v>
      </c>
      <c r="CY1079" s="4" t="s">
        <v>124</v>
      </c>
      <c r="CZ1079" s="4" t="s">
        <v>124</v>
      </c>
      <c r="DA1079" s="7">
        <v>15.314097</v>
      </c>
      <c r="DB1079" s="7">
        <v>17.400950000000002</v>
      </c>
      <c r="DC1079" s="7">
        <v>16.332519999999999</v>
      </c>
      <c r="DD1079" s="4" t="s">
        <v>124</v>
      </c>
      <c r="DE1079" s="7">
        <v>0</v>
      </c>
      <c r="DF1079" s="6"/>
      <c r="DG1079" s="6"/>
      <c r="DH1079" s="6"/>
      <c r="DI1079" s="6"/>
      <c r="DJ1079" s="7">
        <v>0</v>
      </c>
      <c r="DK1079" s="7">
        <v>0</v>
      </c>
      <c r="DL1079" s="7">
        <v>0</v>
      </c>
      <c r="DM1079" s="7">
        <v>0</v>
      </c>
      <c r="DN1079" s="7">
        <v>0</v>
      </c>
      <c r="DO1079" s="7">
        <v>0</v>
      </c>
      <c r="DP1079" s="6"/>
      <c r="DQ1079" s="4" t="s">
        <v>125</v>
      </c>
    </row>
    <row r="1080" spans="1:121" ht="20" customHeight="1" x14ac:dyDescent="0.15">
      <c r="A1080" s="5">
        <v>2018</v>
      </c>
      <c r="B1080" s="3" t="s">
        <v>241</v>
      </c>
      <c r="C1080" s="4" t="str">
        <f t="shared" si="276"/>
        <v>1660011</v>
      </c>
      <c r="D1080" s="4" t="s">
        <v>1221</v>
      </c>
      <c r="E1080" s="4" t="str">
        <f>"1660511"</f>
        <v>1660511</v>
      </c>
      <c r="F1080" s="4" t="s">
        <v>327</v>
      </c>
      <c r="G1080" s="4" t="s">
        <v>338</v>
      </c>
      <c r="H1080" s="7">
        <v>5</v>
      </c>
      <c r="I1080" s="4" t="s">
        <v>329</v>
      </c>
      <c r="J1080" s="4" t="s">
        <v>330</v>
      </c>
      <c r="K1080" s="7">
        <v>691.23342100000002</v>
      </c>
      <c r="L1080" s="7">
        <v>850</v>
      </c>
      <c r="M1080" s="7">
        <v>81.321579</v>
      </c>
      <c r="N1080" s="7">
        <v>2</v>
      </c>
      <c r="O1080" s="7">
        <v>0</v>
      </c>
      <c r="P1080" s="7">
        <v>75.909469999999999</v>
      </c>
      <c r="Q1080" s="7">
        <v>50</v>
      </c>
      <c r="R1080" s="7">
        <v>50</v>
      </c>
      <c r="S1080" s="7">
        <v>71.597137000000004</v>
      </c>
      <c r="T1080" s="7">
        <v>75</v>
      </c>
      <c r="U1080" s="7">
        <v>47.731425000000002</v>
      </c>
      <c r="V1080" s="7">
        <v>50</v>
      </c>
      <c r="W1080" s="7">
        <v>75.233787000000007</v>
      </c>
      <c r="X1080" s="7">
        <v>50</v>
      </c>
      <c r="Y1080" s="7">
        <v>50</v>
      </c>
      <c r="Z1080" s="7">
        <v>75</v>
      </c>
      <c r="AA1080" s="7">
        <v>70.955297999999999</v>
      </c>
      <c r="AB1080" s="7">
        <v>47.303531999999997</v>
      </c>
      <c r="AC1080" s="7">
        <v>50</v>
      </c>
      <c r="AD1080" s="7">
        <v>67.006479999999996</v>
      </c>
      <c r="AE1080" s="7">
        <v>44.670986999999997</v>
      </c>
      <c r="AF1080" s="7">
        <v>50</v>
      </c>
      <c r="AG1080" s="7">
        <v>59.120199999999997</v>
      </c>
      <c r="AH1080" s="7">
        <v>71.738248999999996</v>
      </c>
      <c r="AI1080" s="7">
        <v>39.413466</v>
      </c>
      <c r="AJ1080" s="7">
        <v>50</v>
      </c>
      <c r="AK1080" s="7">
        <v>3.4</v>
      </c>
      <c r="AL1080" s="7">
        <v>4.04</v>
      </c>
      <c r="AM1080" s="7">
        <v>12.61</v>
      </c>
      <c r="AN1080" s="7">
        <v>0.61535799999999996</v>
      </c>
      <c r="AO1080" s="7">
        <v>61.535784</v>
      </c>
      <c r="AP1080" s="7">
        <v>100</v>
      </c>
      <c r="AQ1080" s="7">
        <v>0.76100299999999999</v>
      </c>
      <c r="AR1080" s="7">
        <v>76.100324000000001</v>
      </c>
      <c r="AS1080" s="7">
        <v>100</v>
      </c>
      <c r="AT1080" s="7">
        <v>0.56582299999999996</v>
      </c>
      <c r="AU1080" s="7">
        <v>0.63710500000000003</v>
      </c>
      <c r="AV1080" s="7">
        <v>56.582335</v>
      </c>
      <c r="AW1080" s="7">
        <v>100</v>
      </c>
      <c r="AX1080" s="7">
        <v>0.75187199999999998</v>
      </c>
      <c r="AY1080" s="7">
        <v>0.76501200000000003</v>
      </c>
      <c r="AZ1080" s="7">
        <v>75.187234000000004</v>
      </c>
      <c r="BA1080" s="7">
        <v>100</v>
      </c>
      <c r="BB1080" s="4" t="s">
        <v>124</v>
      </c>
      <c r="BC1080" s="4" t="s">
        <v>124</v>
      </c>
      <c r="BD1080" s="4" t="s">
        <v>124</v>
      </c>
      <c r="BE1080" s="4" t="s">
        <v>124</v>
      </c>
      <c r="BF1080" s="4" t="s">
        <v>124</v>
      </c>
      <c r="BG1080" s="4" t="s">
        <v>124</v>
      </c>
      <c r="BH1080" s="7">
        <v>0</v>
      </c>
      <c r="BI1080" s="7">
        <v>1</v>
      </c>
      <c r="BJ1080" s="7">
        <v>1</v>
      </c>
      <c r="BK1080" s="7">
        <v>1</v>
      </c>
      <c r="BL1080" s="7">
        <v>1</v>
      </c>
      <c r="BM1080" s="7">
        <v>1</v>
      </c>
      <c r="BN1080" s="7">
        <v>1</v>
      </c>
      <c r="BO1080" s="7">
        <v>1</v>
      </c>
      <c r="BP1080" s="7">
        <v>1</v>
      </c>
      <c r="BQ1080" s="7">
        <v>1</v>
      </c>
      <c r="BR1080" s="7">
        <v>2.1219999999999999E-2</v>
      </c>
      <c r="BS1080" s="7">
        <v>50</v>
      </c>
      <c r="BT1080" s="7">
        <v>50</v>
      </c>
      <c r="BU1080" s="7">
        <v>3.2895000000000001E-2</v>
      </c>
      <c r="BV1080" s="7">
        <v>50</v>
      </c>
      <c r="BW1080" s="7">
        <v>50</v>
      </c>
      <c r="BX1080" s="4" t="s">
        <v>124</v>
      </c>
      <c r="BY1080" s="4" t="s">
        <v>124</v>
      </c>
      <c r="BZ1080" s="4" t="s">
        <v>124</v>
      </c>
      <c r="CA1080" s="4" t="s">
        <v>124</v>
      </c>
      <c r="CB1080" s="4" t="s">
        <v>124</v>
      </c>
      <c r="CC1080" s="4" t="s">
        <v>124</v>
      </c>
      <c r="CD1080" s="4" t="s">
        <v>124</v>
      </c>
      <c r="CE1080" s="4" t="s">
        <v>124</v>
      </c>
      <c r="CF1080" s="4" t="s">
        <v>124</v>
      </c>
      <c r="CG1080" s="4" t="s">
        <v>124</v>
      </c>
      <c r="CH1080" s="4" t="s">
        <v>124</v>
      </c>
      <c r="CI1080" s="4" t="s">
        <v>124</v>
      </c>
      <c r="CJ1080" s="4" t="s">
        <v>124</v>
      </c>
      <c r="CK1080" s="4" t="s">
        <v>124</v>
      </c>
      <c r="CL1080" s="4" t="s">
        <v>124</v>
      </c>
      <c r="CM1080" s="4" t="s">
        <v>124</v>
      </c>
      <c r="CN1080" s="4" t="s">
        <v>124</v>
      </c>
      <c r="CO1080" s="4" t="s">
        <v>124</v>
      </c>
      <c r="CP1080" s="4" t="s">
        <v>124</v>
      </c>
      <c r="CQ1080" s="7">
        <v>0.640625</v>
      </c>
      <c r="CR1080" s="7">
        <v>0.94117600000000001</v>
      </c>
      <c r="CS1080" s="7">
        <v>42.708333000000003</v>
      </c>
      <c r="CT1080" s="7">
        <v>50</v>
      </c>
      <c r="CU1080" s="4" t="s">
        <v>124</v>
      </c>
      <c r="CV1080" s="4" t="s">
        <v>124</v>
      </c>
      <c r="CW1080" s="4" t="s">
        <v>124</v>
      </c>
      <c r="CX1080" s="4" t="s">
        <v>124</v>
      </c>
      <c r="CY1080" s="4" t="s">
        <v>124</v>
      </c>
      <c r="CZ1080" s="4" t="s">
        <v>124</v>
      </c>
      <c r="DA1080" s="7">
        <v>15.314097</v>
      </c>
      <c r="DB1080" s="7">
        <v>17.400950000000002</v>
      </c>
      <c r="DC1080" s="7">
        <v>16.332519999999999</v>
      </c>
      <c r="DD1080" s="4" t="s">
        <v>124</v>
      </c>
      <c r="DE1080" s="7">
        <v>0</v>
      </c>
      <c r="DF1080" s="6"/>
      <c r="DG1080" s="6"/>
      <c r="DH1080" s="6"/>
      <c r="DI1080" s="6"/>
      <c r="DJ1080" s="7">
        <v>0</v>
      </c>
      <c r="DK1080" s="7">
        <v>0</v>
      </c>
      <c r="DL1080" s="7">
        <v>0</v>
      </c>
      <c r="DM1080" s="7">
        <v>0</v>
      </c>
      <c r="DN1080" s="7">
        <v>0</v>
      </c>
      <c r="DO1080" s="7">
        <v>0</v>
      </c>
      <c r="DP1080" s="6"/>
      <c r="DQ1080" s="4" t="s">
        <v>125</v>
      </c>
    </row>
    <row r="1081" spans="1:121" ht="20" customHeight="1" x14ac:dyDescent="0.15">
      <c r="A1081" s="5">
        <v>2018</v>
      </c>
      <c r="B1081" s="3" t="s">
        <v>241</v>
      </c>
      <c r="C1081" s="4" t="str">
        <f t="shared" si="276"/>
        <v>1660011</v>
      </c>
      <c r="D1081" s="4" t="s">
        <v>1222</v>
      </c>
      <c r="E1081" s="4" t="str">
        <f>"1666111"</f>
        <v>1666111</v>
      </c>
      <c r="F1081" s="4" t="s">
        <v>327</v>
      </c>
      <c r="G1081" s="7">
        <v>9</v>
      </c>
      <c r="H1081" s="7">
        <v>12</v>
      </c>
      <c r="I1081" s="6"/>
      <c r="J1081" s="4" t="s">
        <v>330</v>
      </c>
      <c r="K1081" s="7">
        <v>1163.4674660000001</v>
      </c>
      <c r="L1081" s="7">
        <v>1450</v>
      </c>
      <c r="M1081" s="7">
        <v>80.239136000000002</v>
      </c>
      <c r="N1081" s="7">
        <v>2</v>
      </c>
      <c r="O1081" s="7">
        <v>0</v>
      </c>
      <c r="P1081" s="7">
        <v>60.176110999999999</v>
      </c>
      <c r="Q1081" s="7">
        <v>120.352222</v>
      </c>
      <c r="R1081" s="7">
        <v>150</v>
      </c>
      <c r="S1081" s="7">
        <v>53.417659</v>
      </c>
      <c r="T1081" s="7">
        <v>62.804397999999999</v>
      </c>
      <c r="U1081" s="7">
        <v>106.835317</v>
      </c>
      <c r="V1081" s="7">
        <v>150</v>
      </c>
      <c r="W1081" s="7">
        <v>59.216667000000001</v>
      </c>
      <c r="X1081" s="7">
        <v>118.433333</v>
      </c>
      <c r="Y1081" s="7">
        <v>150</v>
      </c>
      <c r="Z1081" s="7">
        <v>61.964120000000001</v>
      </c>
      <c r="AA1081" s="7">
        <v>52.151786000000001</v>
      </c>
      <c r="AB1081" s="7">
        <v>104.30357100000001</v>
      </c>
      <c r="AC1081" s="7">
        <v>150</v>
      </c>
      <c r="AD1081" s="7">
        <v>58.538145999999998</v>
      </c>
      <c r="AE1081" s="7">
        <v>78.050860999999998</v>
      </c>
      <c r="AF1081" s="7">
        <v>100</v>
      </c>
      <c r="AG1081" s="7">
        <v>52.741239</v>
      </c>
      <c r="AH1081" s="7">
        <v>60.970413999999998</v>
      </c>
      <c r="AI1081" s="7">
        <v>70.321652</v>
      </c>
      <c r="AJ1081" s="7">
        <v>100</v>
      </c>
      <c r="AK1081" s="7">
        <v>9.3800000000000008</v>
      </c>
      <c r="AL1081" s="7">
        <v>9.81</v>
      </c>
      <c r="AM1081" s="7">
        <v>8.2200000000000006</v>
      </c>
      <c r="AN1081" s="4" t="s">
        <v>124</v>
      </c>
      <c r="AO1081" s="4" t="s">
        <v>124</v>
      </c>
      <c r="AP1081" s="4" t="s">
        <v>124</v>
      </c>
      <c r="AQ1081" s="4" t="s">
        <v>124</v>
      </c>
      <c r="AR1081" s="4" t="s">
        <v>124</v>
      </c>
      <c r="AS1081" s="4" t="s">
        <v>124</v>
      </c>
      <c r="AT1081" s="4" t="s">
        <v>124</v>
      </c>
      <c r="AU1081" s="4" t="s">
        <v>124</v>
      </c>
      <c r="AV1081" s="4" t="s">
        <v>124</v>
      </c>
      <c r="AW1081" s="4" t="s">
        <v>124</v>
      </c>
      <c r="AX1081" s="4" t="s">
        <v>124</v>
      </c>
      <c r="AY1081" s="4" t="s">
        <v>124</v>
      </c>
      <c r="AZ1081" s="4" t="s">
        <v>124</v>
      </c>
      <c r="BA1081" s="4" t="s">
        <v>124</v>
      </c>
      <c r="BB1081" s="4" t="s">
        <v>124</v>
      </c>
      <c r="BC1081" s="4" t="s">
        <v>124</v>
      </c>
      <c r="BD1081" s="4" t="s">
        <v>124</v>
      </c>
      <c r="BE1081" s="4" t="s">
        <v>124</v>
      </c>
      <c r="BF1081" s="4" t="s">
        <v>124</v>
      </c>
      <c r="BG1081" s="4" t="s">
        <v>124</v>
      </c>
      <c r="BH1081" s="7">
        <v>0</v>
      </c>
      <c r="BI1081" s="7">
        <v>0.99014800000000003</v>
      </c>
      <c r="BJ1081" s="7">
        <v>0.96551699999999996</v>
      </c>
      <c r="BK1081" s="7">
        <v>1</v>
      </c>
      <c r="BL1081" s="7">
        <v>0.99014800000000003</v>
      </c>
      <c r="BM1081" s="7">
        <v>0.96551699999999996</v>
      </c>
      <c r="BN1081" s="7">
        <v>1</v>
      </c>
      <c r="BO1081" s="7">
        <v>0.99512199999999995</v>
      </c>
      <c r="BP1081" s="7">
        <v>1</v>
      </c>
      <c r="BQ1081" s="7">
        <v>0.99310299999999996</v>
      </c>
      <c r="BR1081" s="7">
        <v>7.8062000000000006E-2</v>
      </c>
      <c r="BS1081" s="7">
        <v>44.387618000000003</v>
      </c>
      <c r="BT1081" s="7">
        <v>50</v>
      </c>
      <c r="BU1081" s="7">
        <v>0.12775300000000001</v>
      </c>
      <c r="BV1081" s="7">
        <v>34.449339000000002</v>
      </c>
      <c r="BW1081" s="7">
        <v>50</v>
      </c>
      <c r="BX1081" s="7">
        <v>0.72330099999999997</v>
      </c>
      <c r="BY1081" s="7">
        <v>48.220064999999998</v>
      </c>
      <c r="BZ1081" s="7">
        <v>50</v>
      </c>
      <c r="CA1081" s="7">
        <v>0.50970899999999997</v>
      </c>
      <c r="CB1081" s="7">
        <v>33.980583000000003</v>
      </c>
      <c r="CC1081" s="7">
        <v>50</v>
      </c>
      <c r="CD1081" s="7">
        <v>0.99378900000000003</v>
      </c>
      <c r="CE1081" s="7">
        <v>50</v>
      </c>
      <c r="CF1081" s="7">
        <v>50</v>
      </c>
      <c r="CG1081" s="7">
        <v>0.96703300000000003</v>
      </c>
      <c r="CH1081" s="7">
        <v>100</v>
      </c>
      <c r="CI1081" s="7">
        <v>100</v>
      </c>
      <c r="CJ1081" s="7">
        <v>0</v>
      </c>
      <c r="CK1081" s="7">
        <v>0.92500000000000004</v>
      </c>
      <c r="CL1081" s="7">
        <v>98.404255000000006</v>
      </c>
      <c r="CM1081" s="7">
        <v>100</v>
      </c>
      <c r="CN1081" s="7">
        <v>0.74157300000000004</v>
      </c>
      <c r="CO1081" s="7">
        <v>98.876403999999994</v>
      </c>
      <c r="CP1081" s="7">
        <v>100</v>
      </c>
      <c r="CQ1081" s="7">
        <v>0.54491000000000001</v>
      </c>
      <c r="CR1081" s="7">
        <v>0.98235300000000003</v>
      </c>
      <c r="CS1081" s="7">
        <v>36.327345000000001</v>
      </c>
      <c r="CT1081" s="7">
        <v>50</v>
      </c>
      <c r="CU1081" s="7">
        <v>0.24629899999999999</v>
      </c>
      <c r="CV1081" s="7">
        <v>20.524899000000001</v>
      </c>
      <c r="CW1081" s="7">
        <v>50</v>
      </c>
      <c r="CX1081" s="7">
        <v>0.92500000000000004</v>
      </c>
      <c r="CY1081" s="7">
        <v>0.94</v>
      </c>
      <c r="CZ1081" s="7">
        <v>1.4999999999999999E-2</v>
      </c>
      <c r="DA1081" s="7">
        <v>15.314097</v>
      </c>
      <c r="DB1081" s="7">
        <v>17.400950000000002</v>
      </c>
      <c r="DC1081" s="7">
        <v>16.332519999999999</v>
      </c>
      <c r="DD1081" s="7">
        <v>7.9891730000000001</v>
      </c>
      <c r="DE1081" s="7">
        <v>0</v>
      </c>
      <c r="DF1081" s="6"/>
      <c r="DG1081" s="6"/>
      <c r="DH1081" s="6"/>
      <c r="DI1081" s="6"/>
      <c r="DJ1081" s="7">
        <v>0</v>
      </c>
      <c r="DK1081" s="7">
        <v>0</v>
      </c>
      <c r="DL1081" s="7">
        <v>0</v>
      </c>
      <c r="DM1081" s="7">
        <v>0</v>
      </c>
      <c r="DN1081" s="7">
        <v>0</v>
      </c>
      <c r="DO1081" s="7">
        <v>0</v>
      </c>
      <c r="DP1081" s="6"/>
      <c r="DQ1081" s="4" t="s">
        <v>125</v>
      </c>
    </row>
    <row r="1082" spans="1:121" ht="20" customHeight="1" x14ac:dyDescent="0.15">
      <c r="A1082" s="5">
        <v>2018</v>
      </c>
      <c r="B1082" s="3" t="s">
        <v>212</v>
      </c>
      <c r="C1082" s="4" t="str">
        <f t="shared" si="87"/>
        <v>1670011</v>
      </c>
      <c r="D1082" s="4" t="s">
        <v>1223</v>
      </c>
      <c r="E1082" s="4" t="str">
        <f>"1670311"</f>
        <v>1670311</v>
      </c>
      <c r="F1082" s="4" t="s">
        <v>327</v>
      </c>
      <c r="G1082" s="4" t="s">
        <v>328</v>
      </c>
      <c r="H1082" s="7">
        <v>6</v>
      </c>
      <c r="I1082" s="4" t="s">
        <v>329</v>
      </c>
      <c r="J1082" s="4" t="s">
        <v>330</v>
      </c>
      <c r="K1082" s="7">
        <v>725.30692499999998</v>
      </c>
      <c r="L1082" s="7">
        <v>850</v>
      </c>
      <c r="M1082" s="7">
        <v>85.330225999999996</v>
      </c>
      <c r="N1082" s="7">
        <v>2</v>
      </c>
      <c r="O1082" s="7">
        <v>0</v>
      </c>
      <c r="P1082" s="7">
        <v>83.604688999999993</v>
      </c>
      <c r="Q1082" s="7">
        <v>50</v>
      </c>
      <c r="R1082" s="7">
        <v>50</v>
      </c>
      <c r="S1082" s="7">
        <v>67.196447000000006</v>
      </c>
      <c r="T1082" s="7">
        <v>75</v>
      </c>
      <c r="U1082" s="7">
        <v>44.797631000000003</v>
      </c>
      <c r="V1082" s="7">
        <v>50</v>
      </c>
      <c r="W1082" s="7">
        <v>78.995857999999998</v>
      </c>
      <c r="X1082" s="7">
        <v>50</v>
      </c>
      <c r="Y1082" s="7">
        <v>50</v>
      </c>
      <c r="Z1082" s="7">
        <v>75</v>
      </c>
      <c r="AA1082" s="7">
        <v>61.942855000000002</v>
      </c>
      <c r="AB1082" s="7">
        <v>41.295237</v>
      </c>
      <c r="AC1082" s="7">
        <v>50</v>
      </c>
      <c r="AD1082" s="7">
        <v>85.399698000000001</v>
      </c>
      <c r="AE1082" s="7">
        <v>50</v>
      </c>
      <c r="AF1082" s="7">
        <v>50</v>
      </c>
      <c r="AG1082" s="7">
        <v>65.658303000000004</v>
      </c>
      <c r="AH1082" s="7">
        <v>75</v>
      </c>
      <c r="AI1082" s="7">
        <v>43.772202</v>
      </c>
      <c r="AJ1082" s="7">
        <v>50</v>
      </c>
      <c r="AK1082" s="7">
        <v>7.8</v>
      </c>
      <c r="AL1082" s="7">
        <v>13.05</v>
      </c>
      <c r="AM1082" s="7">
        <v>9.34</v>
      </c>
      <c r="AN1082" s="7">
        <v>0.78801600000000005</v>
      </c>
      <c r="AO1082" s="7">
        <v>78.801578000000006</v>
      </c>
      <c r="AP1082" s="7">
        <v>100</v>
      </c>
      <c r="AQ1082" s="7">
        <v>0.86003300000000005</v>
      </c>
      <c r="AR1082" s="7">
        <v>86.003305999999995</v>
      </c>
      <c r="AS1082" s="7">
        <v>100</v>
      </c>
      <c r="AT1082" s="7">
        <v>0.65599799999999997</v>
      </c>
      <c r="AU1082" s="7">
        <v>0.82315400000000005</v>
      </c>
      <c r="AV1082" s="7">
        <v>65.599815000000007</v>
      </c>
      <c r="AW1082" s="7">
        <v>100</v>
      </c>
      <c r="AX1082" s="7">
        <v>0.73751</v>
      </c>
      <c r="AY1082" s="7">
        <v>0.89314700000000002</v>
      </c>
      <c r="AZ1082" s="7">
        <v>73.751013</v>
      </c>
      <c r="BA1082" s="7">
        <v>100</v>
      </c>
      <c r="BB1082" s="4" t="s">
        <v>124</v>
      </c>
      <c r="BC1082" s="4" t="s">
        <v>124</v>
      </c>
      <c r="BD1082" s="4" t="s">
        <v>124</v>
      </c>
      <c r="BE1082" s="4" t="s">
        <v>124</v>
      </c>
      <c r="BF1082" s="4" t="s">
        <v>124</v>
      </c>
      <c r="BG1082" s="4" t="s">
        <v>124</v>
      </c>
      <c r="BH1082" s="7">
        <v>1</v>
      </c>
      <c r="BI1082" s="7">
        <v>0.95714299999999997</v>
      </c>
      <c r="BJ1082" s="7">
        <v>0.91964299999999999</v>
      </c>
      <c r="BK1082" s="7">
        <v>0.96825399999999995</v>
      </c>
      <c r="BL1082" s="7">
        <v>0.94898000000000005</v>
      </c>
      <c r="BM1082" s="7">
        <v>0.91964299999999999</v>
      </c>
      <c r="BN1082" s="7">
        <v>0.95767199999999997</v>
      </c>
      <c r="BO1082" s="7">
        <v>0.97036999999999995</v>
      </c>
      <c r="BP1082" s="7">
        <v>0.90322599999999997</v>
      </c>
      <c r="BQ1082" s="7">
        <v>0.99038499999999996</v>
      </c>
      <c r="BR1082" s="7">
        <v>5.8824000000000001E-2</v>
      </c>
      <c r="BS1082" s="7">
        <v>48.235294000000003</v>
      </c>
      <c r="BT1082" s="7">
        <v>50</v>
      </c>
      <c r="BU1082" s="7">
        <v>8.4746000000000002E-2</v>
      </c>
      <c r="BV1082" s="7">
        <v>43.050846999999997</v>
      </c>
      <c r="BW1082" s="7">
        <v>50</v>
      </c>
      <c r="BX1082" s="4" t="s">
        <v>124</v>
      </c>
      <c r="BY1082" s="4" t="s">
        <v>124</v>
      </c>
      <c r="BZ1082" s="4" t="s">
        <v>124</v>
      </c>
      <c r="CA1082" s="4" t="s">
        <v>124</v>
      </c>
      <c r="CB1082" s="4" t="s">
        <v>124</v>
      </c>
      <c r="CC1082" s="4" t="s">
        <v>124</v>
      </c>
      <c r="CD1082" s="4" t="s">
        <v>124</v>
      </c>
      <c r="CE1082" s="4" t="s">
        <v>124</v>
      </c>
      <c r="CF1082" s="4" t="s">
        <v>124</v>
      </c>
      <c r="CG1082" s="4" t="s">
        <v>124</v>
      </c>
      <c r="CH1082" s="4" t="s">
        <v>124</v>
      </c>
      <c r="CI1082" s="4" t="s">
        <v>124</v>
      </c>
      <c r="CJ1082" s="4" t="s">
        <v>124</v>
      </c>
      <c r="CK1082" s="4" t="s">
        <v>124</v>
      </c>
      <c r="CL1082" s="4" t="s">
        <v>124</v>
      </c>
      <c r="CM1082" s="4" t="s">
        <v>124</v>
      </c>
      <c r="CN1082" s="4" t="s">
        <v>124</v>
      </c>
      <c r="CO1082" s="4" t="s">
        <v>124</v>
      </c>
      <c r="CP1082" s="4" t="s">
        <v>124</v>
      </c>
      <c r="CQ1082" s="7">
        <v>0.84482800000000002</v>
      </c>
      <c r="CR1082" s="7">
        <v>1.008696</v>
      </c>
      <c r="CS1082" s="7">
        <v>50</v>
      </c>
      <c r="CT1082" s="7">
        <v>50</v>
      </c>
      <c r="CU1082" s="4" t="s">
        <v>124</v>
      </c>
      <c r="CV1082" s="4" t="s">
        <v>124</v>
      </c>
      <c r="CW1082" s="4" t="s">
        <v>124</v>
      </c>
      <c r="CX1082" s="4" t="s">
        <v>124</v>
      </c>
      <c r="CY1082" s="4" t="s">
        <v>124</v>
      </c>
      <c r="CZ1082" s="4" t="s">
        <v>124</v>
      </c>
      <c r="DA1082" s="7">
        <v>15.314097</v>
      </c>
      <c r="DB1082" s="7">
        <v>17.400950000000002</v>
      </c>
      <c r="DC1082" s="7">
        <v>16.332519999999999</v>
      </c>
      <c r="DD1082" s="4" t="s">
        <v>124</v>
      </c>
      <c r="DE1082" s="7">
        <v>1</v>
      </c>
      <c r="DF1082" s="6"/>
      <c r="DG1082" s="6"/>
      <c r="DH1082" s="6"/>
      <c r="DI1082" s="6"/>
      <c r="DJ1082" s="7">
        <v>0</v>
      </c>
      <c r="DK1082" s="7">
        <v>0</v>
      </c>
      <c r="DL1082" s="7">
        <v>0</v>
      </c>
      <c r="DM1082" s="7">
        <v>0</v>
      </c>
      <c r="DN1082" s="7">
        <v>0</v>
      </c>
      <c r="DO1082" s="7">
        <v>0</v>
      </c>
      <c r="DP1082" s="6"/>
      <c r="DQ1082" s="4" t="s">
        <v>125</v>
      </c>
    </row>
    <row r="1083" spans="1:121" ht="20" customHeight="1" x14ac:dyDescent="0.15">
      <c r="A1083" s="5">
        <v>2018</v>
      </c>
      <c r="B1083" s="3" t="s">
        <v>213</v>
      </c>
      <c r="C1083" s="4" t="str">
        <f t="shared" si="88"/>
        <v>1690011</v>
      </c>
      <c r="D1083" s="4" t="s">
        <v>1224</v>
      </c>
      <c r="E1083" s="4" t="str">
        <f>"1690211"</f>
        <v>1690211</v>
      </c>
      <c r="F1083" s="4" t="s">
        <v>327</v>
      </c>
      <c r="G1083" s="4" t="s">
        <v>328</v>
      </c>
      <c r="H1083" s="7">
        <v>4</v>
      </c>
      <c r="I1083" s="4" t="s">
        <v>329</v>
      </c>
      <c r="J1083" s="4" t="s">
        <v>330</v>
      </c>
      <c r="K1083" s="7">
        <v>500.24980799999997</v>
      </c>
      <c r="L1083" s="7">
        <v>750</v>
      </c>
      <c r="M1083" s="7">
        <v>66.699973999999997</v>
      </c>
      <c r="N1083" s="7">
        <v>3</v>
      </c>
      <c r="O1083" s="7">
        <v>0</v>
      </c>
      <c r="P1083" s="7">
        <v>72.727382000000006</v>
      </c>
      <c r="Q1083" s="7">
        <v>48.484921</v>
      </c>
      <c r="R1083" s="7">
        <v>50</v>
      </c>
      <c r="S1083" s="7">
        <v>64.919672000000006</v>
      </c>
      <c r="T1083" s="7">
        <v>75</v>
      </c>
      <c r="U1083" s="7">
        <v>43.279781</v>
      </c>
      <c r="V1083" s="7">
        <v>50</v>
      </c>
      <c r="W1083" s="7">
        <v>64.176023000000001</v>
      </c>
      <c r="X1083" s="7">
        <v>42.784014999999997</v>
      </c>
      <c r="Y1083" s="7">
        <v>50</v>
      </c>
      <c r="Z1083" s="7">
        <v>68.114617999999993</v>
      </c>
      <c r="AA1083" s="7">
        <v>55.253898999999997</v>
      </c>
      <c r="AB1083" s="7">
        <v>36.835932</v>
      </c>
      <c r="AC1083" s="7">
        <v>50</v>
      </c>
      <c r="AD1083" s="4" t="s">
        <v>124</v>
      </c>
      <c r="AE1083" s="4" t="s">
        <v>124</v>
      </c>
      <c r="AF1083" s="4" t="s">
        <v>124</v>
      </c>
      <c r="AG1083" s="4" t="s">
        <v>124</v>
      </c>
      <c r="AH1083" s="4" t="s">
        <v>124</v>
      </c>
      <c r="AI1083" s="4" t="s">
        <v>124</v>
      </c>
      <c r="AJ1083" s="4" t="s">
        <v>124</v>
      </c>
      <c r="AK1083" s="7">
        <v>10.08</v>
      </c>
      <c r="AL1083" s="7">
        <v>12.86</v>
      </c>
      <c r="AM1083" s="4" t="s">
        <v>124</v>
      </c>
      <c r="AN1083" s="7">
        <v>0.55434600000000001</v>
      </c>
      <c r="AO1083" s="7">
        <v>55.434564000000002</v>
      </c>
      <c r="AP1083" s="7">
        <v>100</v>
      </c>
      <c r="AQ1083" s="7">
        <v>0.59576200000000001</v>
      </c>
      <c r="AR1083" s="7">
        <v>59.576183</v>
      </c>
      <c r="AS1083" s="7">
        <v>100</v>
      </c>
      <c r="AT1083" s="7">
        <v>0.54331200000000002</v>
      </c>
      <c r="AU1083" s="7">
        <v>0.56062000000000001</v>
      </c>
      <c r="AV1083" s="7">
        <v>54.331215999999998</v>
      </c>
      <c r="AW1083" s="7">
        <v>100</v>
      </c>
      <c r="AX1083" s="7">
        <v>0.47164699999999998</v>
      </c>
      <c r="AY1083" s="7">
        <v>0.66633699999999996</v>
      </c>
      <c r="AZ1083" s="7">
        <v>47.164718999999998</v>
      </c>
      <c r="BA1083" s="7">
        <v>100</v>
      </c>
      <c r="BB1083" s="4" t="s">
        <v>124</v>
      </c>
      <c r="BC1083" s="4" t="s">
        <v>124</v>
      </c>
      <c r="BD1083" s="4" t="s">
        <v>124</v>
      </c>
      <c r="BE1083" s="4" t="s">
        <v>124</v>
      </c>
      <c r="BF1083" s="4" t="s">
        <v>124</v>
      </c>
      <c r="BG1083" s="4" t="s">
        <v>124</v>
      </c>
      <c r="BH1083" s="7">
        <v>0</v>
      </c>
      <c r="BI1083" s="7">
        <v>0.98795200000000005</v>
      </c>
      <c r="BJ1083" s="7">
        <v>1</v>
      </c>
      <c r="BK1083" s="7">
        <v>0.98275900000000005</v>
      </c>
      <c r="BL1083" s="7">
        <v>0.98795200000000005</v>
      </c>
      <c r="BM1083" s="7">
        <v>1</v>
      </c>
      <c r="BN1083" s="7">
        <v>0.98275900000000005</v>
      </c>
      <c r="BO1083" s="4" t="s">
        <v>124</v>
      </c>
      <c r="BP1083" s="4" t="s">
        <v>124</v>
      </c>
      <c r="BQ1083" s="4" t="s">
        <v>124</v>
      </c>
      <c r="BR1083" s="7">
        <v>5.6649999999999999E-2</v>
      </c>
      <c r="BS1083" s="7">
        <v>48.669950999999998</v>
      </c>
      <c r="BT1083" s="7">
        <v>50</v>
      </c>
      <c r="BU1083" s="7">
        <v>0.106557</v>
      </c>
      <c r="BV1083" s="7">
        <v>38.688524999999998</v>
      </c>
      <c r="BW1083" s="7">
        <v>50</v>
      </c>
      <c r="BX1083" s="4" t="s">
        <v>124</v>
      </c>
      <c r="BY1083" s="4" t="s">
        <v>124</v>
      </c>
      <c r="BZ1083" s="4" t="s">
        <v>124</v>
      </c>
      <c r="CA1083" s="4" t="s">
        <v>124</v>
      </c>
      <c r="CB1083" s="4" t="s">
        <v>124</v>
      </c>
      <c r="CC1083" s="4" t="s">
        <v>124</v>
      </c>
      <c r="CD1083" s="4" t="s">
        <v>124</v>
      </c>
      <c r="CE1083" s="4" t="s">
        <v>124</v>
      </c>
      <c r="CF1083" s="4" t="s">
        <v>124</v>
      </c>
      <c r="CG1083" s="4" t="s">
        <v>124</v>
      </c>
      <c r="CH1083" s="4" t="s">
        <v>124</v>
      </c>
      <c r="CI1083" s="4" t="s">
        <v>124</v>
      </c>
      <c r="CJ1083" s="4" t="s">
        <v>124</v>
      </c>
      <c r="CK1083" s="4" t="s">
        <v>124</v>
      </c>
      <c r="CL1083" s="4" t="s">
        <v>124</v>
      </c>
      <c r="CM1083" s="4" t="s">
        <v>124</v>
      </c>
      <c r="CN1083" s="4" t="s">
        <v>124</v>
      </c>
      <c r="CO1083" s="4" t="s">
        <v>124</v>
      </c>
      <c r="CP1083" s="4" t="s">
        <v>124</v>
      </c>
      <c r="CQ1083" s="7">
        <v>0.75641000000000003</v>
      </c>
      <c r="CR1083" s="7">
        <v>0.89655200000000002</v>
      </c>
      <c r="CS1083" s="7">
        <v>25</v>
      </c>
      <c r="CT1083" s="7">
        <v>50</v>
      </c>
      <c r="CU1083" s="4" t="s">
        <v>124</v>
      </c>
      <c r="CV1083" s="4" t="s">
        <v>124</v>
      </c>
      <c r="CW1083" s="4" t="s">
        <v>124</v>
      </c>
      <c r="CX1083" s="4" t="s">
        <v>124</v>
      </c>
      <c r="CY1083" s="4" t="s">
        <v>124</v>
      </c>
      <c r="CZ1083" s="4" t="s">
        <v>124</v>
      </c>
      <c r="DA1083" s="7">
        <v>15.314097</v>
      </c>
      <c r="DB1083" s="7">
        <v>17.400950000000002</v>
      </c>
      <c r="DC1083" s="7">
        <v>16.332519999999999</v>
      </c>
      <c r="DD1083" s="4" t="s">
        <v>124</v>
      </c>
      <c r="DE1083" s="7">
        <v>0</v>
      </c>
      <c r="DF1083" s="6"/>
      <c r="DG1083" s="6"/>
      <c r="DH1083" s="6"/>
      <c r="DI1083" s="6"/>
      <c r="DJ1083" s="7">
        <v>0</v>
      </c>
      <c r="DK1083" s="7">
        <v>0</v>
      </c>
      <c r="DL1083" s="7">
        <v>0</v>
      </c>
      <c r="DM1083" s="7">
        <v>0</v>
      </c>
      <c r="DN1083" s="7">
        <v>0</v>
      </c>
      <c r="DO1083" s="7">
        <v>0</v>
      </c>
      <c r="DP1083" s="6"/>
      <c r="DQ1083" s="4" t="s">
        <v>125</v>
      </c>
    </row>
    <row r="1084" spans="1:121" ht="20" customHeight="1" x14ac:dyDescent="0.15">
      <c r="A1084" s="5">
        <v>2018</v>
      </c>
      <c r="B1084" s="3" t="s">
        <v>213</v>
      </c>
      <c r="C1084" s="4" t="str">
        <f>"1690011"</f>
        <v>1690011</v>
      </c>
      <c r="D1084" s="4" t="s">
        <v>1225</v>
      </c>
      <c r="E1084" s="4" t="str">
        <f>"1695111"</f>
        <v>1695111</v>
      </c>
      <c r="F1084" s="4" t="s">
        <v>327</v>
      </c>
      <c r="G1084" s="7">
        <v>5</v>
      </c>
      <c r="H1084" s="7">
        <v>8</v>
      </c>
      <c r="I1084" s="6"/>
      <c r="J1084" s="4" t="s">
        <v>330</v>
      </c>
      <c r="K1084" s="7">
        <v>629.45427800000004</v>
      </c>
      <c r="L1084" s="7">
        <v>900</v>
      </c>
      <c r="M1084" s="7">
        <v>69.939363999999998</v>
      </c>
      <c r="N1084" s="7">
        <v>3</v>
      </c>
      <c r="O1084" s="7">
        <v>1</v>
      </c>
      <c r="P1084" s="7">
        <v>71.933293000000006</v>
      </c>
      <c r="Q1084" s="7">
        <v>47.955528999999999</v>
      </c>
      <c r="R1084" s="7">
        <v>50</v>
      </c>
      <c r="S1084" s="7">
        <v>59.563532000000002</v>
      </c>
      <c r="T1084" s="7">
        <v>75</v>
      </c>
      <c r="U1084" s="7">
        <v>39.709021</v>
      </c>
      <c r="V1084" s="7">
        <v>50</v>
      </c>
      <c r="W1084" s="7">
        <v>64.853701000000001</v>
      </c>
      <c r="X1084" s="7">
        <v>43.235801000000002</v>
      </c>
      <c r="Y1084" s="7">
        <v>50</v>
      </c>
      <c r="Z1084" s="7">
        <v>69.123859999999993</v>
      </c>
      <c r="AA1084" s="7">
        <v>52.223019999999998</v>
      </c>
      <c r="AB1084" s="7">
        <v>34.815347000000003</v>
      </c>
      <c r="AC1084" s="7">
        <v>50</v>
      </c>
      <c r="AD1084" s="7">
        <v>69.154666000000006</v>
      </c>
      <c r="AE1084" s="7">
        <v>46.103110999999998</v>
      </c>
      <c r="AF1084" s="7">
        <v>50</v>
      </c>
      <c r="AG1084" s="7">
        <v>59.632427999999997</v>
      </c>
      <c r="AH1084" s="7">
        <v>72.287789000000004</v>
      </c>
      <c r="AI1084" s="7">
        <v>39.754952000000003</v>
      </c>
      <c r="AJ1084" s="7">
        <v>50</v>
      </c>
      <c r="AK1084" s="7">
        <v>15.43</v>
      </c>
      <c r="AL1084" s="7">
        <v>16.899999999999999</v>
      </c>
      <c r="AM1084" s="7">
        <v>12.65</v>
      </c>
      <c r="AN1084" s="7">
        <v>0.55107300000000004</v>
      </c>
      <c r="AO1084" s="7">
        <v>55.107343999999998</v>
      </c>
      <c r="AP1084" s="7">
        <v>100</v>
      </c>
      <c r="AQ1084" s="7">
        <v>0.579314</v>
      </c>
      <c r="AR1084" s="7">
        <v>57.931375000000003</v>
      </c>
      <c r="AS1084" s="7">
        <v>100</v>
      </c>
      <c r="AT1084" s="7">
        <v>0.45894699999999999</v>
      </c>
      <c r="AU1084" s="7">
        <v>0.58121800000000001</v>
      </c>
      <c r="AV1084" s="7">
        <v>45.894714</v>
      </c>
      <c r="AW1084" s="7">
        <v>100</v>
      </c>
      <c r="AX1084" s="7">
        <v>0.46679199999999998</v>
      </c>
      <c r="AY1084" s="7">
        <v>0.61626700000000001</v>
      </c>
      <c r="AZ1084" s="7">
        <v>46.679198999999997</v>
      </c>
      <c r="BA1084" s="7">
        <v>100</v>
      </c>
      <c r="BB1084" s="4" t="s">
        <v>124</v>
      </c>
      <c r="BC1084" s="4" t="s">
        <v>124</v>
      </c>
      <c r="BD1084" s="4" t="s">
        <v>124</v>
      </c>
      <c r="BE1084" s="4" t="s">
        <v>124</v>
      </c>
      <c r="BF1084" s="4" t="s">
        <v>124</v>
      </c>
      <c r="BG1084" s="4" t="s">
        <v>124</v>
      </c>
      <c r="BH1084" s="7">
        <v>1</v>
      </c>
      <c r="BI1084" s="7">
        <v>0.95285399999999998</v>
      </c>
      <c r="BJ1084" s="7">
        <v>0.96039600000000003</v>
      </c>
      <c r="BK1084" s="7">
        <v>0.95033100000000004</v>
      </c>
      <c r="BL1084" s="7">
        <v>0.95285399999999998</v>
      </c>
      <c r="BM1084" s="7">
        <v>0.96039600000000003</v>
      </c>
      <c r="BN1084" s="7">
        <v>0.95033100000000004</v>
      </c>
      <c r="BO1084" s="7">
        <v>0.95</v>
      </c>
      <c r="BP1084" s="7">
        <v>0.94545500000000005</v>
      </c>
      <c r="BQ1084" s="7">
        <v>0.951515</v>
      </c>
      <c r="BR1084" s="7">
        <v>3.7220999999999997E-2</v>
      </c>
      <c r="BS1084" s="7">
        <v>50</v>
      </c>
      <c r="BT1084" s="7">
        <v>50</v>
      </c>
      <c r="BU1084" s="7">
        <v>0.1</v>
      </c>
      <c r="BV1084" s="7">
        <v>40</v>
      </c>
      <c r="BW1084" s="7">
        <v>50</v>
      </c>
      <c r="BX1084" s="4" t="s">
        <v>124</v>
      </c>
      <c r="BY1084" s="4" t="s">
        <v>124</v>
      </c>
      <c r="BZ1084" s="4" t="s">
        <v>124</v>
      </c>
      <c r="CA1084" s="4" t="s">
        <v>124</v>
      </c>
      <c r="CB1084" s="4" t="s">
        <v>124</v>
      </c>
      <c r="CC1084" s="4" t="s">
        <v>124</v>
      </c>
      <c r="CD1084" s="7">
        <v>1</v>
      </c>
      <c r="CE1084" s="7">
        <v>50</v>
      </c>
      <c r="CF1084" s="7">
        <v>50</v>
      </c>
      <c r="CG1084" s="4" t="s">
        <v>124</v>
      </c>
      <c r="CH1084" s="4" t="s">
        <v>124</v>
      </c>
      <c r="CI1084" s="4" t="s">
        <v>124</v>
      </c>
      <c r="CJ1084" s="4" t="s">
        <v>124</v>
      </c>
      <c r="CK1084" s="4" t="s">
        <v>124</v>
      </c>
      <c r="CL1084" s="4" t="s">
        <v>124</v>
      </c>
      <c r="CM1084" s="4" t="s">
        <v>124</v>
      </c>
      <c r="CN1084" s="4" t="s">
        <v>124</v>
      </c>
      <c r="CO1084" s="4" t="s">
        <v>124</v>
      </c>
      <c r="CP1084" s="4" t="s">
        <v>124</v>
      </c>
      <c r="CQ1084" s="7">
        <v>0.484018</v>
      </c>
      <c r="CR1084" s="7">
        <v>0.99545499999999998</v>
      </c>
      <c r="CS1084" s="7">
        <v>32.267884000000002</v>
      </c>
      <c r="CT1084" s="7">
        <v>50</v>
      </c>
      <c r="CU1084" s="4" t="s">
        <v>124</v>
      </c>
      <c r="CV1084" s="4" t="s">
        <v>124</v>
      </c>
      <c r="CW1084" s="4" t="s">
        <v>124</v>
      </c>
      <c r="CX1084" s="4" t="s">
        <v>124</v>
      </c>
      <c r="CY1084" s="4" t="s">
        <v>124</v>
      </c>
      <c r="CZ1084" s="4" t="s">
        <v>124</v>
      </c>
      <c r="DA1084" s="7">
        <v>15.314097</v>
      </c>
      <c r="DB1084" s="7">
        <v>17.400950000000002</v>
      </c>
      <c r="DC1084" s="7">
        <v>16.332519999999999</v>
      </c>
      <c r="DD1084" s="4" t="s">
        <v>124</v>
      </c>
      <c r="DE1084" s="7">
        <v>1</v>
      </c>
      <c r="DF1084" s="6"/>
      <c r="DG1084" s="6"/>
      <c r="DH1084" s="6"/>
      <c r="DI1084" s="6"/>
      <c r="DJ1084" s="7">
        <v>0</v>
      </c>
      <c r="DK1084" s="7">
        <v>0</v>
      </c>
      <c r="DL1084" s="7">
        <v>0</v>
      </c>
      <c r="DM1084" s="7">
        <v>0</v>
      </c>
      <c r="DN1084" s="7">
        <v>0</v>
      </c>
      <c r="DO1084" s="7">
        <v>0</v>
      </c>
      <c r="DP1084" s="6"/>
      <c r="DQ1084" s="4" t="s">
        <v>125</v>
      </c>
    </row>
    <row r="1085" spans="1:121" ht="20" customHeight="1" x14ac:dyDescent="0.15">
      <c r="A1085" s="5">
        <v>2018</v>
      </c>
      <c r="B1085" s="3" t="s">
        <v>242</v>
      </c>
      <c r="C1085" s="4" t="str">
        <f t="shared" si="117"/>
        <v>2010012</v>
      </c>
      <c r="D1085" s="4" t="s">
        <v>1226</v>
      </c>
      <c r="E1085" s="4" t="str">
        <f>"2016112"</f>
        <v>2016112</v>
      </c>
      <c r="F1085" s="4" t="s">
        <v>1227</v>
      </c>
      <c r="G1085" s="7">
        <v>9</v>
      </c>
      <c r="H1085" s="7">
        <v>12</v>
      </c>
      <c r="I1085" s="4" t="s">
        <v>329</v>
      </c>
      <c r="J1085" s="4" t="s">
        <v>330</v>
      </c>
      <c r="K1085" s="7">
        <v>1148.461859</v>
      </c>
      <c r="L1085" s="7">
        <v>1450</v>
      </c>
      <c r="M1085" s="7">
        <v>79.204266000000004</v>
      </c>
      <c r="N1085" s="7">
        <v>2</v>
      </c>
      <c r="O1085" s="7">
        <v>0</v>
      </c>
      <c r="P1085" s="7">
        <v>61.229166999999997</v>
      </c>
      <c r="Q1085" s="7">
        <v>122.458333</v>
      </c>
      <c r="R1085" s="7">
        <v>150</v>
      </c>
      <c r="S1085" s="7">
        <v>56.716312000000002</v>
      </c>
      <c r="T1085" s="7">
        <v>66.402439000000001</v>
      </c>
      <c r="U1085" s="7">
        <v>113.432624</v>
      </c>
      <c r="V1085" s="7">
        <v>150</v>
      </c>
      <c r="W1085" s="7">
        <v>52.138888999999999</v>
      </c>
      <c r="X1085" s="7">
        <v>104.277778</v>
      </c>
      <c r="Y1085" s="7">
        <v>150</v>
      </c>
      <c r="Z1085" s="7">
        <v>57.817073000000001</v>
      </c>
      <c r="AA1085" s="7">
        <v>47.185578999999997</v>
      </c>
      <c r="AB1085" s="7">
        <v>94.371157999999994</v>
      </c>
      <c r="AC1085" s="7">
        <v>150</v>
      </c>
      <c r="AD1085" s="7">
        <v>67.783638999999994</v>
      </c>
      <c r="AE1085" s="7">
        <v>90.378185000000002</v>
      </c>
      <c r="AF1085" s="7">
        <v>100</v>
      </c>
      <c r="AG1085" s="7">
        <v>63.024892999999999</v>
      </c>
      <c r="AH1085" s="7">
        <v>73.470918999999995</v>
      </c>
      <c r="AI1085" s="7">
        <v>84.033191000000002</v>
      </c>
      <c r="AJ1085" s="7">
        <v>100</v>
      </c>
      <c r="AK1085" s="7">
        <v>9.68</v>
      </c>
      <c r="AL1085" s="7">
        <v>10.63</v>
      </c>
      <c r="AM1085" s="7">
        <v>10.44</v>
      </c>
      <c r="AN1085" s="4" t="s">
        <v>124</v>
      </c>
      <c r="AO1085" s="4" t="s">
        <v>124</v>
      </c>
      <c r="AP1085" s="4" t="s">
        <v>124</v>
      </c>
      <c r="AQ1085" s="4" t="s">
        <v>124</v>
      </c>
      <c r="AR1085" s="4" t="s">
        <v>124</v>
      </c>
      <c r="AS1085" s="4" t="s">
        <v>124</v>
      </c>
      <c r="AT1085" s="4" t="s">
        <v>124</v>
      </c>
      <c r="AU1085" s="4" t="s">
        <v>124</v>
      </c>
      <c r="AV1085" s="4" t="s">
        <v>124</v>
      </c>
      <c r="AW1085" s="4" t="s">
        <v>124</v>
      </c>
      <c r="AX1085" s="4" t="s">
        <v>124</v>
      </c>
      <c r="AY1085" s="4" t="s">
        <v>124</v>
      </c>
      <c r="AZ1085" s="4" t="s">
        <v>124</v>
      </c>
      <c r="BA1085" s="4" t="s">
        <v>124</v>
      </c>
      <c r="BB1085" s="4" t="s">
        <v>124</v>
      </c>
      <c r="BC1085" s="4" t="s">
        <v>124</v>
      </c>
      <c r="BD1085" s="4" t="s">
        <v>124</v>
      </c>
      <c r="BE1085" s="4" t="s">
        <v>124</v>
      </c>
      <c r="BF1085" s="4" t="s">
        <v>124</v>
      </c>
      <c r="BG1085" s="4" t="s">
        <v>124</v>
      </c>
      <c r="BH1085" s="7">
        <v>0</v>
      </c>
      <c r="BI1085" s="7">
        <v>0.96842099999999998</v>
      </c>
      <c r="BJ1085" s="7">
        <v>0.96226400000000001</v>
      </c>
      <c r="BK1085" s="7">
        <v>0.97619</v>
      </c>
      <c r="BL1085" s="7">
        <v>0.96842099999999998</v>
      </c>
      <c r="BM1085" s="7">
        <v>0.96226400000000001</v>
      </c>
      <c r="BN1085" s="7">
        <v>0.97619</v>
      </c>
      <c r="BO1085" s="7">
        <v>0.98947399999999996</v>
      </c>
      <c r="BP1085" s="7">
        <v>0.981132</v>
      </c>
      <c r="BQ1085" s="7">
        <v>1</v>
      </c>
      <c r="BR1085" s="7">
        <v>0.15968599999999999</v>
      </c>
      <c r="BS1085" s="7">
        <v>28.062826999999999</v>
      </c>
      <c r="BT1085" s="7">
        <v>50</v>
      </c>
      <c r="BU1085" s="7">
        <v>0.24550900000000001</v>
      </c>
      <c r="BV1085" s="7">
        <v>10.898204</v>
      </c>
      <c r="BW1085" s="7">
        <v>50</v>
      </c>
      <c r="BX1085" s="7">
        <v>0.95192299999999996</v>
      </c>
      <c r="BY1085" s="7">
        <v>50</v>
      </c>
      <c r="BZ1085" s="7">
        <v>50</v>
      </c>
      <c r="CA1085" s="7">
        <v>0.394231</v>
      </c>
      <c r="CB1085" s="7">
        <v>26.282050999999999</v>
      </c>
      <c r="CC1085" s="7">
        <v>50</v>
      </c>
      <c r="CD1085" s="7">
        <v>0.92222199999999999</v>
      </c>
      <c r="CE1085" s="7">
        <v>49.054374000000003</v>
      </c>
      <c r="CF1085" s="7">
        <v>50</v>
      </c>
      <c r="CG1085" s="7">
        <v>0.95555599999999996</v>
      </c>
      <c r="CH1085" s="7">
        <v>100</v>
      </c>
      <c r="CI1085" s="7">
        <v>100</v>
      </c>
      <c r="CJ1085" s="7">
        <v>0</v>
      </c>
      <c r="CK1085" s="7">
        <v>0.94285699999999995</v>
      </c>
      <c r="CL1085" s="7">
        <v>100</v>
      </c>
      <c r="CM1085" s="7">
        <v>100</v>
      </c>
      <c r="CN1085" s="7">
        <v>0.67857100000000004</v>
      </c>
      <c r="CO1085" s="7">
        <v>90.476190000000003</v>
      </c>
      <c r="CP1085" s="7">
        <v>100</v>
      </c>
      <c r="CQ1085" s="7">
        <v>0.56097600000000003</v>
      </c>
      <c r="CR1085" s="7">
        <v>0.96470599999999995</v>
      </c>
      <c r="CS1085" s="7">
        <v>37.398373999999997</v>
      </c>
      <c r="CT1085" s="7">
        <v>50</v>
      </c>
      <c r="CU1085" s="7">
        <v>0.56806299999999998</v>
      </c>
      <c r="CV1085" s="7">
        <v>47.338569</v>
      </c>
      <c r="CW1085" s="7">
        <v>50</v>
      </c>
      <c r="CX1085" s="7">
        <v>0.94285699999999995</v>
      </c>
      <c r="CY1085" s="7">
        <v>0.94</v>
      </c>
      <c r="CZ1085" s="7">
        <v>-2.8570000000000002E-3</v>
      </c>
      <c r="DA1085" s="7">
        <v>15.314097</v>
      </c>
      <c r="DB1085" s="7">
        <v>17.400950000000002</v>
      </c>
      <c r="DC1085" s="7">
        <v>16.332519999999999</v>
      </c>
      <c r="DD1085" s="7">
        <v>7.9891730000000001</v>
      </c>
      <c r="DE1085" s="7">
        <v>0</v>
      </c>
      <c r="DF1085" s="6"/>
      <c r="DG1085" s="6"/>
      <c r="DH1085" s="6"/>
      <c r="DI1085" s="6"/>
      <c r="DJ1085" s="7">
        <v>0</v>
      </c>
      <c r="DK1085" s="7">
        <v>0</v>
      </c>
      <c r="DL1085" s="7">
        <v>0</v>
      </c>
      <c r="DM1085" s="7">
        <v>0</v>
      </c>
      <c r="DN1085" s="7">
        <v>0</v>
      </c>
      <c r="DO1085" s="7">
        <v>0</v>
      </c>
      <c r="DP1085" s="6"/>
      <c r="DQ1085" s="4" t="s">
        <v>125</v>
      </c>
    </row>
    <row r="1086" spans="1:121" ht="20" customHeight="1" x14ac:dyDescent="0.15">
      <c r="A1086" s="5">
        <v>2018</v>
      </c>
      <c r="B1086" s="3" t="s">
        <v>243</v>
      </c>
      <c r="C1086" s="4" t="str">
        <f t="shared" si="118"/>
        <v>2040012</v>
      </c>
      <c r="D1086" s="4" t="s">
        <v>1228</v>
      </c>
      <c r="E1086" s="4" t="str">
        <f>"2045112"</f>
        <v>2045112</v>
      </c>
      <c r="F1086" s="4" t="s">
        <v>1227</v>
      </c>
      <c r="G1086" s="7">
        <v>7</v>
      </c>
      <c r="H1086" s="7">
        <v>8</v>
      </c>
      <c r="I1086" s="4" t="s">
        <v>329</v>
      </c>
      <c r="J1086" s="4" t="s">
        <v>330</v>
      </c>
      <c r="K1086" s="7">
        <v>636.82806800000003</v>
      </c>
      <c r="L1086" s="7">
        <v>900</v>
      </c>
      <c r="M1086" s="7">
        <v>70.758673999999999</v>
      </c>
      <c r="N1086" s="7">
        <v>2</v>
      </c>
      <c r="O1086" s="7">
        <v>0</v>
      </c>
      <c r="P1086" s="7">
        <v>75.200243</v>
      </c>
      <c r="Q1086" s="7">
        <v>50</v>
      </c>
      <c r="R1086" s="7">
        <v>50</v>
      </c>
      <c r="S1086" s="7">
        <v>65.282685000000001</v>
      </c>
      <c r="T1086" s="7">
        <v>75</v>
      </c>
      <c r="U1086" s="7">
        <v>43.521790000000003</v>
      </c>
      <c r="V1086" s="7">
        <v>50</v>
      </c>
      <c r="W1086" s="7">
        <v>69.484842999999998</v>
      </c>
      <c r="X1086" s="7">
        <v>46.323228</v>
      </c>
      <c r="Y1086" s="7">
        <v>50</v>
      </c>
      <c r="Z1086" s="7">
        <v>75</v>
      </c>
      <c r="AA1086" s="7">
        <v>59.328015000000001</v>
      </c>
      <c r="AB1086" s="7">
        <v>39.552010000000003</v>
      </c>
      <c r="AC1086" s="7">
        <v>50</v>
      </c>
      <c r="AD1086" s="7">
        <v>74.958748</v>
      </c>
      <c r="AE1086" s="7">
        <v>49.972498999999999</v>
      </c>
      <c r="AF1086" s="7">
        <v>50</v>
      </c>
      <c r="AG1086" s="7">
        <v>65.927055999999993</v>
      </c>
      <c r="AH1086" s="7">
        <v>75</v>
      </c>
      <c r="AI1086" s="7">
        <v>43.951369999999997</v>
      </c>
      <c r="AJ1086" s="7">
        <v>50</v>
      </c>
      <c r="AK1086" s="7">
        <v>9.7100000000000009</v>
      </c>
      <c r="AL1086" s="7">
        <v>15.67</v>
      </c>
      <c r="AM1086" s="7">
        <v>9.07</v>
      </c>
      <c r="AN1086" s="7">
        <v>0.48868699999999998</v>
      </c>
      <c r="AO1086" s="7">
        <v>48.868704999999999</v>
      </c>
      <c r="AP1086" s="7">
        <v>100</v>
      </c>
      <c r="AQ1086" s="7">
        <v>0.55361800000000005</v>
      </c>
      <c r="AR1086" s="7">
        <v>55.361784</v>
      </c>
      <c r="AS1086" s="7">
        <v>100</v>
      </c>
      <c r="AT1086" s="7">
        <v>0.50220500000000001</v>
      </c>
      <c r="AU1086" s="7">
        <v>0.48097400000000001</v>
      </c>
      <c r="AV1086" s="7">
        <v>50.220486000000001</v>
      </c>
      <c r="AW1086" s="7">
        <v>100</v>
      </c>
      <c r="AX1086" s="7">
        <v>0.50216799999999995</v>
      </c>
      <c r="AY1086" s="7">
        <v>0.58267199999999997</v>
      </c>
      <c r="AZ1086" s="7">
        <v>50.216838000000003</v>
      </c>
      <c r="BA1086" s="7">
        <v>100</v>
      </c>
      <c r="BB1086" s="4" t="s">
        <v>124</v>
      </c>
      <c r="BC1086" s="4" t="s">
        <v>124</v>
      </c>
      <c r="BD1086" s="4" t="s">
        <v>124</v>
      </c>
      <c r="BE1086" s="4" t="s">
        <v>124</v>
      </c>
      <c r="BF1086" s="4" t="s">
        <v>124</v>
      </c>
      <c r="BG1086" s="4" t="s">
        <v>124</v>
      </c>
      <c r="BH1086" s="7">
        <v>0</v>
      </c>
      <c r="BI1086" s="7">
        <v>0.98571399999999998</v>
      </c>
      <c r="BJ1086" s="7">
        <v>0.97196300000000002</v>
      </c>
      <c r="BK1086" s="7">
        <v>0.99421999999999999</v>
      </c>
      <c r="BL1086" s="7">
        <v>0.98571399999999998</v>
      </c>
      <c r="BM1086" s="7">
        <v>0.97196300000000002</v>
      </c>
      <c r="BN1086" s="7">
        <v>0.99421999999999999</v>
      </c>
      <c r="BO1086" s="7">
        <v>0.98550700000000002</v>
      </c>
      <c r="BP1086" s="7">
        <v>0.97499999999999998</v>
      </c>
      <c r="BQ1086" s="7">
        <v>0.98979600000000001</v>
      </c>
      <c r="BR1086" s="7">
        <v>5.3571000000000001E-2</v>
      </c>
      <c r="BS1086" s="7">
        <v>49.285713999999999</v>
      </c>
      <c r="BT1086" s="7">
        <v>50</v>
      </c>
      <c r="BU1086" s="7">
        <v>6.8626999999999994E-2</v>
      </c>
      <c r="BV1086" s="7">
        <v>46.274509999999999</v>
      </c>
      <c r="BW1086" s="7">
        <v>50</v>
      </c>
      <c r="BX1086" s="4" t="s">
        <v>124</v>
      </c>
      <c r="BY1086" s="4" t="s">
        <v>124</v>
      </c>
      <c r="BZ1086" s="4" t="s">
        <v>124</v>
      </c>
      <c r="CA1086" s="4" t="s">
        <v>124</v>
      </c>
      <c r="CB1086" s="4" t="s">
        <v>124</v>
      </c>
      <c r="CC1086" s="4" t="s">
        <v>124</v>
      </c>
      <c r="CD1086" s="7">
        <v>0.97674399999999995</v>
      </c>
      <c r="CE1086" s="7">
        <v>50</v>
      </c>
      <c r="CF1086" s="7">
        <v>50</v>
      </c>
      <c r="CG1086" s="4" t="s">
        <v>124</v>
      </c>
      <c r="CH1086" s="4" t="s">
        <v>124</v>
      </c>
      <c r="CI1086" s="4" t="s">
        <v>124</v>
      </c>
      <c r="CJ1086" s="4" t="s">
        <v>124</v>
      </c>
      <c r="CK1086" s="4" t="s">
        <v>124</v>
      </c>
      <c r="CL1086" s="4" t="s">
        <v>124</v>
      </c>
      <c r="CM1086" s="4" t="s">
        <v>124</v>
      </c>
      <c r="CN1086" s="4" t="s">
        <v>124</v>
      </c>
      <c r="CO1086" s="4" t="s">
        <v>124</v>
      </c>
      <c r="CP1086" s="4" t="s">
        <v>124</v>
      </c>
      <c r="CQ1086" s="7">
        <v>0.39837400000000001</v>
      </c>
      <c r="CR1086" s="7">
        <v>0.89781</v>
      </c>
      <c r="CS1086" s="7">
        <v>13.279133</v>
      </c>
      <c r="CT1086" s="7">
        <v>50</v>
      </c>
      <c r="CU1086" s="4" t="s">
        <v>124</v>
      </c>
      <c r="CV1086" s="4" t="s">
        <v>124</v>
      </c>
      <c r="CW1086" s="4" t="s">
        <v>124</v>
      </c>
      <c r="CX1086" s="4" t="s">
        <v>124</v>
      </c>
      <c r="CY1086" s="4" t="s">
        <v>124</v>
      </c>
      <c r="CZ1086" s="4" t="s">
        <v>124</v>
      </c>
      <c r="DA1086" s="7">
        <v>15.314097</v>
      </c>
      <c r="DB1086" s="7">
        <v>17.400950000000002</v>
      </c>
      <c r="DC1086" s="7">
        <v>16.332519999999999</v>
      </c>
      <c r="DD1086" s="4" t="s">
        <v>124</v>
      </c>
      <c r="DE1086" s="7">
        <v>0</v>
      </c>
      <c r="DF1086" s="6"/>
      <c r="DG1086" s="6"/>
      <c r="DH1086" s="6"/>
      <c r="DI1086" s="6"/>
      <c r="DJ1086" s="7">
        <v>0</v>
      </c>
      <c r="DK1086" s="7">
        <v>0</v>
      </c>
      <c r="DL1086" s="7">
        <v>0</v>
      </c>
      <c r="DM1086" s="7">
        <v>0</v>
      </c>
      <c r="DN1086" s="7">
        <v>0</v>
      </c>
      <c r="DO1086" s="7">
        <v>0</v>
      </c>
      <c r="DP1086" s="6"/>
      <c r="DQ1086" s="4" t="s">
        <v>125</v>
      </c>
    </row>
    <row r="1087" spans="1:121" ht="20" customHeight="1" x14ac:dyDescent="0.15">
      <c r="A1087" s="5">
        <v>2018</v>
      </c>
      <c r="B1087" s="3" t="s">
        <v>243</v>
      </c>
      <c r="C1087" s="4" t="str">
        <f>"2040012"</f>
        <v>2040012</v>
      </c>
      <c r="D1087" s="4" t="s">
        <v>1229</v>
      </c>
      <c r="E1087" s="4" t="str">
        <f>"2046112"</f>
        <v>2046112</v>
      </c>
      <c r="F1087" s="4" t="s">
        <v>1227</v>
      </c>
      <c r="G1087" s="7">
        <v>9</v>
      </c>
      <c r="H1087" s="7">
        <v>12</v>
      </c>
      <c r="I1087" s="4" t="s">
        <v>329</v>
      </c>
      <c r="J1087" s="4" t="s">
        <v>330</v>
      </c>
      <c r="K1087" s="7">
        <v>1225.275257</v>
      </c>
      <c r="L1087" s="7">
        <v>1450</v>
      </c>
      <c r="M1087" s="7">
        <v>84.501741999999993</v>
      </c>
      <c r="N1087" s="7">
        <v>3</v>
      </c>
      <c r="O1087" s="7">
        <v>1</v>
      </c>
      <c r="P1087" s="7">
        <v>66.990268</v>
      </c>
      <c r="Q1087" s="7">
        <v>133.980535</v>
      </c>
      <c r="R1087" s="7">
        <v>150</v>
      </c>
      <c r="S1087" s="7">
        <v>56.785088000000002</v>
      </c>
      <c r="T1087" s="7">
        <v>70.907407000000006</v>
      </c>
      <c r="U1087" s="7">
        <v>113.57017500000001</v>
      </c>
      <c r="V1087" s="7">
        <v>150</v>
      </c>
      <c r="W1087" s="7">
        <v>62.021087000000001</v>
      </c>
      <c r="X1087" s="7">
        <v>124.042174</v>
      </c>
      <c r="Y1087" s="7">
        <v>150</v>
      </c>
      <c r="Z1087" s="7">
        <v>67.759259</v>
      </c>
      <c r="AA1087" s="7">
        <v>47.071637000000003</v>
      </c>
      <c r="AB1087" s="7">
        <v>94.143275000000003</v>
      </c>
      <c r="AC1087" s="7">
        <v>150</v>
      </c>
      <c r="AD1087" s="7">
        <v>63.957143000000002</v>
      </c>
      <c r="AE1087" s="7">
        <v>85.27619</v>
      </c>
      <c r="AF1087" s="7">
        <v>100</v>
      </c>
      <c r="AG1087" s="7">
        <v>57.125703999999999</v>
      </c>
      <c r="AH1087" s="7">
        <v>66.786325000000005</v>
      </c>
      <c r="AI1087" s="7">
        <v>76.167604999999995</v>
      </c>
      <c r="AJ1087" s="7">
        <v>100</v>
      </c>
      <c r="AK1087" s="7">
        <v>14.12</v>
      </c>
      <c r="AL1087" s="7">
        <v>20.68</v>
      </c>
      <c r="AM1087" s="7">
        <v>9.66</v>
      </c>
      <c r="AN1087" s="4" t="s">
        <v>124</v>
      </c>
      <c r="AO1087" s="4" t="s">
        <v>124</v>
      </c>
      <c r="AP1087" s="4" t="s">
        <v>124</v>
      </c>
      <c r="AQ1087" s="4" t="s">
        <v>124</v>
      </c>
      <c r="AR1087" s="4" t="s">
        <v>124</v>
      </c>
      <c r="AS1087" s="4" t="s">
        <v>124</v>
      </c>
      <c r="AT1087" s="4" t="s">
        <v>124</v>
      </c>
      <c r="AU1087" s="4" t="s">
        <v>124</v>
      </c>
      <c r="AV1087" s="4" t="s">
        <v>124</v>
      </c>
      <c r="AW1087" s="4" t="s">
        <v>124</v>
      </c>
      <c r="AX1087" s="4" t="s">
        <v>124</v>
      </c>
      <c r="AY1087" s="4" t="s">
        <v>124</v>
      </c>
      <c r="AZ1087" s="4" t="s">
        <v>124</v>
      </c>
      <c r="BA1087" s="4" t="s">
        <v>124</v>
      </c>
      <c r="BB1087" s="4" t="s">
        <v>124</v>
      </c>
      <c r="BC1087" s="4" t="s">
        <v>124</v>
      </c>
      <c r="BD1087" s="4" t="s">
        <v>124</v>
      </c>
      <c r="BE1087" s="4" t="s">
        <v>124</v>
      </c>
      <c r="BF1087" s="4" t="s">
        <v>124</v>
      </c>
      <c r="BG1087" s="4" t="s">
        <v>124</v>
      </c>
      <c r="BH1087" s="7">
        <v>1</v>
      </c>
      <c r="BI1087" s="7">
        <v>0.95238100000000003</v>
      </c>
      <c r="BJ1087" s="7">
        <v>0.86666699999999997</v>
      </c>
      <c r="BK1087" s="7">
        <v>0.99019599999999997</v>
      </c>
      <c r="BL1087" s="7">
        <v>0.95238100000000003</v>
      </c>
      <c r="BM1087" s="7">
        <v>0.86666699999999997</v>
      </c>
      <c r="BN1087" s="7">
        <v>0.99019599999999997</v>
      </c>
      <c r="BO1087" s="7">
        <v>0.97278900000000001</v>
      </c>
      <c r="BP1087" s="7">
        <v>0.93333299999999997</v>
      </c>
      <c r="BQ1087" s="7">
        <v>0.99019599999999997</v>
      </c>
      <c r="BR1087" s="7">
        <v>8.0808000000000005E-2</v>
      </c>
      <c r="BS1087" s="7">
        <v>43.838383999999998</v>
      </c>
      <c r="BT1087" s="7">
        <v>50</v>
      </c>
      <c r="BU1087" s="7">
        <v>0.154255</v>
      </c>
      <c r="BV1087" s="7">
        <v>29.148935999999999</v>
      </c>
      <c r="BW1087" s="7">
        <v>50</v>
      </c>
      <c r="BX1087" s="7">
        <v>0.87628899999999998</v>
      </c>
      <c r="BY1087" s="7">
        <v>50</v>
      </c>
      <c r="BZ1087" s="7">
        <v>50</v>
      </c>
      <c r="CA1087" s="7">
        <v>0.56701000000000001</v>
      </c>
      <c r="CB1087" s="7">
        <v>37.800687000000003</v>
      </c>
      <c r="CC1087" s="7">
        <v>50</v>
      </c>
      <c r="CD1087" s="7">
        <v>0.97619</v>
      </c>
      <c r="CE1087" s="7">
        <v>50</v>
      </c>
      <c r="CF1087" s="7">
        <v>50</v>
      </c>
      <c r="CG1087" s="7">
        <v>0.980263</v>
      </c>
      <c r="CH1087" s="7">
        <v>100</v>
      </c>
      <c r="CI1087" s="7">
        <v>100</v>
      </c>
      <c r="CJ1087" s="7">
        <v>0</v>
      </c>
      <c r="CK1087" s="7">
        <v>0.97560999999999998</v>
      </c>
      <c r="CL1087" s="7">
        <v>100</v>
      </c>
      <c r="CM1087" s="7">
        <v>100</v>
      </c>
      <c r="CN1087" s="7">
        <v>0.78523500000000002</v>
      </c>
      <c r="CO1087" s="7">
        <v>100</v>
      </c>
      <c r="CP1087" s="7">
        <v>100</v>
      </c>
      <c r="CQ1087" s="7">
        <v>0.63200000000000001</v>
      </c>
      <c r="CR1087" s="7">
        <v>0.92592600000000003</v>
      </c>
      <c r="CS1087" s="7">
        <v>42.133333</v>
      </c>
      <c r="CT1087" s="7">
        <v>50</v>
      </c>
      <c r="CU1087" s="7">
        <v>0.54208800000000001</v>
      </c>
      <c r="CV1087" s="7">
        <v>45.173962000000003</v>
      </c>
      <c r="CW1087" s="7">
        <v>50</v>
      </c>
      <c r="CX1087" s="7">
        <v>0.97560999999999998</v>
      </c>
      <c r="CY1087" s="7">
        <v>0.94</v>
      </c>
      <c r="CZ1087" s="7">
        <v>-3.5610000000000003E-2</v>
      </c>
      <c r="DA1087" s="7">
        <v>15.314097</v>
      </c>
      <c r="DB1087" s="7">
        <v>17.400950000000002</v>
      </c>
      <c r="DC1087" s="7">
        <v>16.332519999999999</v>
      </c>
      <c r="DD1087" s="7">
        <v>7.9891730000000001</v>
      </c>
      <c r="DE1087" s="7">
        <v>1</v>
      </c>
      <c r="DF1087" s="6"/>
      <c r="DG1087" s="6"/>
      <c r="DH1087" s="6"/>
      <c r="DI1087" s="6"/>
      <c r="DJ1087" s="7">
        <v>0</v>
      </c>
      <c r="DK1087" s="7">
        <v>0</v>
      </c>
      <c r="DL1087" s="7">
        <v>0</v>
      </c>
      <c r="DM1087" s="7">
        <v>0</v>
      </c>
      <c r="DN1087" s="7">
        <v>0</v>
      </c>
      <c r="DO1087" s="7">
        <v>0</v>
      </c>
      <c r="DP1087" s="6"/>
      <c r="DQ1087" s="4" t="s">
        <v>125</v>
      </c>
    </row>
    <row r="1088" spans="1:121" ht="20" customHeight="1" x14ac:dyDescent="0.15">
      <c r="A1088" s="5">
        <v>2018</v>
      </c>
      <c r="B1088" s="3" t="s">
        <v>244</v>
      </c>
      <c r="C1088" s="4" t="str">
        <f>"2050012"</f>
        <v>2050012</v>
      </c>
      <c r="D1088" s="4" t="s">
        <v>1230</v>
      </c>
      <c r="E1088" s="4" t="str">
        <f>"2055112"</f>
        <v>2055112</v>
      </c>
      <c r="F1088" s="4" t="s">
        <v>1227</v>
      </c>
      <c r="G1088" s="7">
        <v>7</v>
      </c>
      <c r="H1088" s="7">
        <v>8</v>
      </c>
      <c r="I1088" s="4" t="s">
        <v>329</v>
      </c>
      <c r="J1088" s="4" t="s">
        <v>330</v>
      </c>
      <c r="K1088" s="7">
        <v>720.38897299999996</v>
      </c>
      <c r="L1088" s="7">
        <v>900</v>
      </c>
      <c r="M1088" s="7">
        <v>80.043218999999993</v>
      </c>
      <c r="N1088" s="7">
        <v>3</v>
      </c>
      <c r="O1088" s="7">
        <v>0</v>
      </c>
      <c r="P1088" s="7">
        <v>81.750032000000004</v>
      </c>
      <c r="Q1088" s="7">
        <v>50</v>
      </c>
      <c r="R1088" s="7">
        <v>50</v>
      </c>
      <c r="S1088" s="7">
        <v>66.444436999999994</v>
      </c>
      <c r="T1088" s="7">
        <v>75</v>
      </c>
      <c r="U1088" s="7">
        <v>44.296290999999997</v>
      </c>
      <c r="V1088" s="7">
        <v>50</v>
      </c>
      <c r="W1088" s="7">
        <v>81.202676999999994</v>
      </c>
      <c r="X1088" s="7">
        <v>50</v>
      </c>
      <c r="Y1088" s="7">
        <v>50</v>
      </c>
      <c r="Z1088" s="7">
        <v>75</v>
      </c>
      <c r="AA1088" s="7">
        <v>64.547616000000005</v>
      </c>
      <c r="AB1088" s="7">
        <v>43.031744000000003</v>
      </c>
      <c r="AC1088" s="7">
        <v>50</v>
      </c>
      <c r="AD1088" s="7">
        <v>82.593322000000001</v>
      </c>
      <c r="AE1088" s="7">
        <v>50</v>
      </c>
      <c r="AF1088" s="7">
        <v>50</v>
      </c>
      <c r="AG1088" s="7">
        <v>71.562123999999997</v>
      </c>
      <c r="AH1088" s="7">
        <v>75</v>
      </c>
      <c r="AI1088" s="7">
        <v>47.708081999999997</v>
      </c>
      <c r="AJ1088" s="7">
        <v>50</v>
      </c>
      <c r="AK1088" s="7">
        <v>8.5500000000000007</v>
      </c>
      <c r="AL1088" s="7">
        <v>10.45</v>
      </c>
      <c r="AM1088" s="7">
        <v>3.43</v>
      </c>
      <c r="AN1088" s="7">
        <v>0.61099099999999995</v>
      </c>
      <c r="AO1088" s="7">
        <v>61.099139999999998</v>
      </c>
      <c r="AP1088" s="7">
        <v>100</v>
      </c>
      <c r="AQ1088" s="7">
        <v>0.78351000000000004</v>
      </c>
      <c r="AR1088" s="7">
        <v>78.350952000000007</v>
      </c>
      <c r="AS1088" s="7">
        <v>100</v>
      </c>
      <c r="AT1088" s="7">
        <v>0.48790299999999998</v>
      </c>
      <c r="AU1088" s="7">
        <v>0.64886500000000003</v>
      </c>
      <c r="AV1088" s="7">
        <v>48.790281</v>
      </c>
      <c r="AW1088" s="7">
        <v>100</v>
      </c>
      <c r="AX1088" s="7">
        <v>0.55533500000000002</v>
      </c>
      <c r="AY1088" s="7">
        <v>0.85299899999999995</v>
      </c>
      <c r="AZ1088" s="7">
        <v>55.533535000000001</v>
      </c>
      <c r="BA1088" s="7">
        <v>100</v>
      </c>
      <c r="BB1088" s="4" t="s">
        <v>124</v>
      </c>
      <c r="BC1088" s="4" t="s">
        <v>124</v>
      </c>
      <c r="BD1088" s="4" t="s">
        <v>124</v>
      </c>
      <c r="BE1088" s="4" t="s">
        <v>124</v>
      </c>
      <c r="BF1088" s="4" t="s">
        <v>124</v>
      </c>
      <c r="BG1088" s="4" t="s">
        <v>124</v>
      </c>
      <c r="BH1088" s="7">
        <v>1</v>
      </c>
      <c r="BI1088" s="7">
        <v>0.96845400000000004</v>
      </c>
      <c r="BJ1088" s="7">
        <v>0.93827199999999999</v>
      </c>
      <c r="BK1088" s="7">
        <v>0.97881399999999996</v>
      </c>
      <c r="BL1088" s="7">
        <v>0.96530000000000005</v>
      </c>
      <c r="BM1088" s="7">
        <v>0.93827199999999999</v>
      </c>
      <c r="BN1088" s="7">
        <v>0.974576</v>
      </c>
      <c r="BO1088" s="7">
        <v>0.98064499999999999</v>
      </c>
      <c r="BP1088" s="7">
        <v>0.94285699999999995</v>
      </c>
      <c r="BQ1088" s="7">
        <v>0.99166699999999997</v>
      </c>
      <c r="BR1088" s="7">
        <v>4.7319E-2</v>
      </c>
      <c r="BS1088" s="7">
        <v>50</v>
      </c>
      <c r="BT1088" s="7">
        <v>50</v>
      </c>
      <c r="BU1088" s="7">
        <v>9.2105000000000006E-2</v>
      </c>
      <c r="BV1088" s="7">
        <v>41.578946999999999</v>
      </c>
      <c r="BW1088" s="7">
        <v>50</v>
      </c>
      <c r="BX1088" s="4" t="s">
        <v>124</v>
      </c>
      <c r="BY1088" s="4" t="s">
        <v>124</v>
      </c>
      <c r="BZ1088" s="4" t="s">
        <v>124</v>
      </c>
      <c r="CA1088" s="4" t="s">
        <v>124</v>
      </c>
      <c r="CB1088" s="4" t="s">
        <v>124</v>
      </c>
      <c r="CC1088" s="4" t="s">
        <v>124</v>
      </c>
      <c r="CD1088" s="7">
        <v>0.97126400000000002</v>
      </c>
      <c r="CE1088" s="7">
        <v>50</v>
      </c>
      <c r="CF1088" s="7">
        <v>50</v>
      </c>
      <c r="CG1088" s="4" t="s">
        <v>124</v>
      </c>
      <c r="CH1088" s="4" t="s">
        <v>124</v>
      </c>
      <c r="CI1088" s="4" t="s">
        <v>124</v>
      </c>
      <c r="CJ1088" s="4" t="s">
        <v>124</v>
      </c>
      <c r="CK1088" s="4" t="s">
        <v>124</v>
      </c>
      <c r="CL1088" s="4" t="s">
        <v>124</v>
      </c>
      <c r="CM1088" s="4" t="s">
        <v>124</v>
      </c>
      <c r="CN1088" s="4" t="s">
        <v>124</v>
      </c>
      <c r="CO1088" s="4" t="s">
        <v>124</v>
      </c>
      <c r="CP1088" s="4" t="s">
        <v>124</v>
      </c>
      <c r="CQ1088" s="7">
        <v>0.75973999999999997</v>
      </c>
      <c r="CR1088" s="7">
        <v>0.99354799999999999</v>
      </c>
      <c r="CS1088" s="7">
        <v>50</v>
      </c>
      <c r="CT1088" s="7">
        <v>50</v>
      </c>
      <c r="CU1088" s="4" t="s">
        <v>124</v>
      </c>
      <c r="CV1088" s="4" t="s">
        <v>124</v>
      </c>
      <c r="CW1088" s="4" t="s">
        <v>124</v>
      </c>
      <c r="CX1088" s="4" t="s">
        <v>124</v>
      </c>
      <c r="CY1088" s="4" t="s">
        <v>124</v>
      </c>
      <c r="CZ1088" s="4" t="s">
        <v>124</v>
      </c>
      <c r="DA1088" s="7">
        <v>15.314097</v>
      </c>
      <c r="DB1088" s="7">
        <v>17.400950000000002</v>
      </c>
      <c r="DC1088" s="7">
        <v>16.332519999999999</v>
      </c>
      <c r="DD1088" s="4" t="s">
        <v>124</v>
      </c>
      <c r="DE1088" s="7">
        <v>1</v>
      </c>
      <c r="DF1088" s="6"/>
      <c r="DG1088" s="6"/>
      <c r="DH1088" s="6"/>
      <c r="DI1088" s="6"/>
      <c r="DJ1088" s="7">
        <v>0</v>
      </c>
      <c r="DK1088" s="7">
        <v>0</v>
      </c>
      <c r="DL1088" s="7">
        <v>0</v>
      </c>
      <c r="DM1088" s="7">
        <v>0</v>
      </c>
      <c r="DN1088" s="7">
        <v>0</v>
      </c>
      <c r="DO1088" s="7">
        <v>0</v>
      </c>
      <c r="DP1088" s="6"/>
      <c r="DQ1088" s="4" t="s">
        <v>125</v>
      </c>
    </row>
    <row r="1089" spans="1:121" ht="20" customHeight="1" x14ac:dyDescent="0.15">
      <c r="A1089" s="5">
        <v>2018</v>
      </c>
      <c r="B1089" s="3" t="s">
        <v>244</v>
      </c>
      <c r="C1089" s="4" t="str">
        <f t="shared" si="119"/>
        <v>2050012</v>
      </c>
      <c r="D1089" s="4" t="s">
        <v>1231</v>
      </c>
      <c r="E1089" s="4" t="str">
        <f>"2055212"</f>
        <v>2055212</v>
      </c>
      <c r="F1089" s="4" t="s">
        <v>1227</v>
      </c>
      <c r="G1089" s="7">
        <v>7</v>
      </c>
      <c r="H1089" s="7">
        <v>8</v>
      </c>
      <c r="I1089" s="4" t="s">
        <v>329</v>
      </c>
      <c r="J1089" s="4" t="s">
        <v>330</v>
      </c>
      <c r="K1089" s="7">
        <v>704.55635800000005</v>
      </c>
      <c r="L1089" s="7">
        <v>900</v>
      </c>
      <c r="M1089" s="7">
        <v>78.284040000000005</v>
      </c>
      <c r="N1089" s="7">
        <v>3</v>
      </c>
      <c r="O1089" s="7">
        <v>0</v>
      </c>
      <c r="P1089" s="7">
        <v>82.795941999999997</v>
      </c>
      <c r="Q1089" s="7">
        <v>50</v>
      </c>
      <c r="R1089" s="7">
        <v>50</v>
      </c>
      <c r="S1089" s="7">
        <v>65.032565000000005</v>
      </c>
      <c r="T1089" s="7">
        <v>75</v>
      </c>
      <c r="U1089" s="7">
        <v>43.355043000000002</v>
      </c>
      <c r="V1089" s="7">
        <v>50</v>
      </c>
      <c r="W1089" s="7">
        <v>80.041093000000004</v>
      </c>
      <c r="X1089" s="7">
        <v>50</v>
      </c>
      <c r="Y1089" s="7">
        <v>50</v>
      </c>
      <c r="Z1089" s="7">
        <v>75</v>
      </c>
      <c r="AA1089" s="7">
        <v>63.291251000000003</v>
      </c>
      <c r="AB1089" s="7">
        <v>42.194167</v>
      </c>
      <c r="AC1089" s="7">
        <v>50</v>
      </c>
      <c r="AD1089" s="7">
        <v>79.601305999999994</v>
      </c>
      <c r="AE1089" s="7">
        <v>50</v>
      </c>
      <c r="AF1089" s="7">
        <v>50</v>
      </c>
      <c r="AG1089" s="7">
        <v>64.252874000000006</v>
      </c>
      <c r="AH1089" s="7">
        <v>75</v>
      </c>
      <c r="AI1089" s="7">
        <v>42.835248999999997</v>
      </c>
      <c r="AJ1089" s="7">
        <v>50</v>
      </c>
      <c r="AK1089" s="7">
        <v>9.9600000000000009</v>
      </c>
      <c r="AL1089" s="7">
        <v>11.7</v>
      </c>
      <c r="AM1089" s="7">
        <v>10.74</v>
      </c>
      <c r="AN1089" s="7">
        <v>0.65978400000000004</v>
      </c>
      <c r="AO1089" s="7">
        <v>65.978448</v>
      </c>
      <c r="AP1089" s="7">
        <v>100</v>
      </c>
      <c r="AQ1089" s="7">
        <v>0.72817399999999999</v>
      </c>
      <c r="AR1089" s="7">
        <v>72.817430000000002</v>
      </c>
      <c r="AS1089" s="7">
        <v>100</v>
      </c>
      <c r="AT1089" s="7">
        <v>0.39544400000000002</v>
      </c>
      <c r="AU1089" s="7">
        <v>0.72369099999999997</v>
      </c>
      <c r="AV1089" s="7">
        <v>39.544437000000002</v>
      </c>
      <c r="AW1089" s="7">
        <v>100</v>
      </c>
      <c r="AX1089" s="7">
        <v>0.56252599999999997</v>
      </c>
      <c r="AY1089" s="7">
        <v>0.76822100000000004</v>
      </c>
      <c r="AZ1089" s="7">
        <v>56.252636000000003</v>
      </c>
      <c r="BA1089" s="7">
        <v>100</v>
      </c>
      <c r="BB1089" s="4" t="s">
        <v>124</v>
      </c>
      <c r="BC1089" s="4" t="s">
        <v>124</v>
      </c>
      <c r="BD1089" s="4" t="s">
        <v>124</v>
      </c>
      <c r="BE1089" s="4" t="s">
        <v>124</v>
      </c>
      <c r="BF1089" s="4" t="s">
        <v>124</v>
      </c>
      <c r="BG1089" s="4" t="s">
        <v>124</v>
      </c>
      <c r="BH1089" s="7">
        <v>1</v>
      </c>
      <c r="BI1089" s="7">
        <v>0.98333300000000001</v>
      </c>
      <c r="BJ1089" s="7">
        <v>0.93827199999999999</v>
      </c>
      <c r="BK1089" s="7">
        <v>0.99641599999999997</v>
      </c>
      <c r="BL1089" s="7">
        <v>0.98611099999999996</v>
      </c>
      <c r="BM1089" s="7">
        <v>0.93827199999999999</v>
      </c>
      <c r="BN1089" s="7">
        <v>1</v>
      </c>
      <c r="BO1089" s="7">
        <v>0.98314599999999996</v>
      </c>
      <c r="BP1089" s="7">
        <v>0.92857100000000004</v>
      </c>
      <c r="BQ1089" s="7">
        <v>1</v>
      </c>
      <c r="BR1089" s="7">
        <v>3.0556E-2</v>
      </c>
      <c r="BS1089" s="7">
        <v>50</v>
      </c>
      <c r="BT1089" s="7">
        <v>50</v>
      </c>
      <c r="BU1089" s="7">
        <v>9.2105000000000006E-2</v>
      </c>
      <c r="BV1089" s="7">
        <v>41.578946999999999</v>
      </c>
      <c r="BW1089" s="7">
        <v>50</v>
      </c>
      <c r="BX1089" s="4" t="s">
        <v>124</v>
      </c>
      <c r="BY1089" s="4" t="s">
        <v>124</v>
      </c>
      <c r="BZ1089" s="4" t="s">
        <v>124</v>
      </c>
      <c r="CA1089" s="4" t="s">
        <v>124</v>
      </c>
      <c r="CB1089" s="4" t="s">
        <v>124</v>
      </c>
      <c r="CC1089" s="4" t="s">
        <v>124</v>
      </c>
      <c r="CD1089" s="7">
        <v>0.98019800000000001</v>
      </c>
      <c r="CE1089" s="7">
        <v>50</v>
      </c>
      <c r="CF1089" s="7">
        <v>50</v>
      </c>
      <c r="CG1089" s="4" t="s">
        <v>124</v>
      </c>
      <c r="CH1089" s="4" t="s">
        <v>124</v>
      </c>
      <c r="CI1089" s="4" t="s">
        <v>124</v>
      </c>
      <c r="CJ1089" s="4" t="s">
        <v>124</v>
      </c>
      <c r="CK1089" s="4" t="s">
        <v>124</v>
      </c>
      <c r="CL1089" s="4" t="s">
        <v>124</v>
      </c>
      <c r="CM1089" s="4" t="s">
        <v>124</v>
      </c>
      <c r="CN1089" s="4" t="s">
        <v>124</v>
      </c>
      <c r="CO1089" s="4" t="s">
        <v>124</v>
      </c>
      <c r="CP1089" s="4" t="s">
        <v>124</v>
      </c>
      <c r="CQ1089" s="7">
        <v>0.75480800000000003</v>
      </c>
      <c r="CR1089" s="7">
        <v>1.168539</v>
      </c>
      <c r="CS1089" s="7">
        <v>50</v>
      </c>
      <c r="CT1089" s="7">
        <v>50</v>
      </c>
      <c r="CU1089" s="4" t="s">
        <v>124</v>
      </c>
      <c r="CV1089" s="4" t="s">
        <v>124</v>
      </c>
      <c r="CW1089" s="4" t="s">
        <v>124</v>
      </c>
      <c r="CX1089" s="4" t="s">
        <v>124</v>
      </c>
      <c r="CY1089" s="4" t="s">
        <v>124</v>
      </c>
      <c r="CZ1089" s="4" t="s">
        <v>124</v>
      </c>
      <c r="DA1089" s="7">
        <v>15.314097</v>
      </c>
      <c r="DB1089" s="7">
        <v>17.400950000000002</v>
      </c>
      <c r="DC1089" s="7">
        <v>16.332519999999999</v>
      </c>
      <c r="DD1089" s="4" t="s">
        <v>124</v>
      </c>
      <c r="DE1089" s="7">
        <v>1</v>
      </c>
      <c r="DF1089" s="6"/>
      <c r="DG1089" s="6"/>
      <c r="DH1089" s="6"/>
      <c r="DI1089" s="6"/>
      <c r="DJ1089" s="7">
        <v>0</v>
      </c>
      <c r="DK1089" s="7">
        <v>0</v>
      </c>
      <c r="DL1089" s="7">
        <v>0</v>
      </c>
      <c r="DM1089" s="7">
        <v>0</v>
      </c>
      <c r="DN1089" s="7">
        <v>0</v>
      </c>
      <c r="DO1089" s="7">
        <v>0</v>
      </c>
      <c r="DP1089" s="6"/>
      <c r="DQ1089" s="4" t="s">
        <v>125</v>
      </c>
    </row>
    <row r="1090" spans="1:121" ht="20" customHeight="1" x14ac:dyDescent="0.15">
      <c r="A1090" s="5">
        <v>2018</v>
      </c>
      <c r="B1090" s="3" t="s">
        <v>244</v>
      </c>
      <c r="C1090" s="4" t="str">
        <f>"2050012"</f>
        <v>2050012</v>
      </c>
      <c r="D1090" s="4" t="s">
        <v>1232</v>
      </c>
      <c r="E1090" s="4" t="str">
        <f>"2056112"</f>
        <v>2056112</v>
      </c>
      <c r="F1090" s="4" t="s">
        <v>1227</v>
      </c>
      <c r="G1090" s="7">
        <v>9</v>
      </c>
      <c r="H1090" s="7">
        <v>12</v>
      </c>
      <c r="I1090" s="4" t="s">
        <v>329</v>
      </c>
      <c r="J1090" s="4" t="s">
        <v>330</v>
      </c>
      <c r="K1090" s="7">
        <v>1262.1794179999999</v>
      </c>
      <c r="L1090" s="7">
        <v>1450</v>
      </c>
      <c r="M1090" s="7">
        <v>87.046856000000005</v>
      </c>
      <c r="N1090" s="7">
        <v>2</v>
      </c>
      <c r="O1090" s="7">
        <v>1</v>
      </c>
      <c r="P1090" s="7">
        <v>67.310931999999994</v>
      </c>
      <c r="Q1090" s="7">
        <v>134.62186399999999</v>
      </c>
      <c r="R1090" s="7">
        <v>150</v>
      </c>
      <c r="S1090" s="7">
        <v>55.672221999999998</v>
      </c>
      <c r="T1090" s="7">
        <v>71.025413999999998</v>
      </c>
      <c r="U1090" s="7">
        <v>111.344444</v>
      </c>
      <c r="V1090" s="7">
        <v>150</v>
      </c>
      <c r="W1090" s="7">
        <v>66.290771000000007</v>
      </c>
      <c r="X1090" s="7">
        <v>132.58154099999999</v>
      </c>
      <c r="Y1090" s="7">
        <v>150</v>
      </c>
      <c r="Z1090" s="7">
        <v>70.199764000000002</v>
      </c>
      <c r="AA1090" s="7">
        <v>54.042592999999997</v>
      </c>
      <c r="AB1090" s="7">
        <v>108.085185</v>
      </c>
      <c r="AC1090" s="7">
        <v>150</v>
      </c>
      <c r="AD1090" s="7">
        <v>70.822709000000003</v>
      </c>
      <c r="AE1090" s="7">
        <v>94.430278000000001</v>
      </c>
      <c r="AF1090" s="7">
        <v>100</v>
      </c>
      <c r="AG1090" s="7">
        <v>57.912610999999998</v>
      </c>
      <c r="AH1090" s="7">
        <v>75</v>
      </c>
      <c r="AI1090" s="7">
        <v>77.216814999999997</v>
      </c>
      <c r="AJ1090" s="7">
        <v>100</v>
      </c>
      <c r="AK1090" s="7">
        <v>15.35</v>
      </c>
      <c r="AL1090" s="7">
        <v>16.149999999999999</v>
      </c>
      <c r="AM1090" s="7">
        <v>17.079999999999998</v>
      </c>
      <c r="AN1090" s="4" t="s">
        <v>124</v>
      </c>
      <c r="AO1090" s="4" t="s">
        <v>124</v>
      </c>
      <c r="AP1090" s="4" t="s">
        <v>124</v>
      </c>
      <c r="AQ1090" s="4" t="s">
        <v>124</v>
      </c>
      <c r="AR1090" s="4" t="s">
        <v>124</v>
      </c>
      <c r="AS1090" s="4" t="s">
        <v>124</v>
      </c>
      <c r="AT1090" s="4" t="s">
        <v>124</v>
      </c>
      <c r="AU1090" s="4" t="s">
        <v>124</v>
      </c>
      <c r="AV1090" s="4" t="s">
        <v>124</v>
      </c>
      <c r="AW1090" s="4" t="s">
        <v>124</v>
      </c>
      <c r="AX1090" s="4" t="s">
        <v>124</v>
      </c>
      <c r="AY1090" s="4" t="s">
        <v>124</v>
      </c>
      <c r="AZ1090" s="4" t="s">
        <v>124</v>
      </c>
      <c r="BA1090" s="4" t="s">
        <v>124</v>
      </c>
      <c r="BB1090" s="4" t="s">
        <v>124</v>
      </c>
      <c r="BC1090" s="4" t="s">
        <v>124</v>
      </c>
      <c r="BD1090" s="4" t="s">
        <v>124</v>
      </c>
      <c r="BE1090" s="4" t="s">
        <v>124</v>
      </c>
      <c r="BF1090" s="4" t="s">
        <v>124</v>
      </c>
      <c r="BG1090" s="4" t="s">
        <v>124</v>
      </c>
      <c r="BH1090" s="7">
        <v>0</v>
      </c>
      <c r="BI1090" s="7">
        <v>0.99468100000000004</v>
      </c>
      <c r="BJ1090" s="7">
        <v>0.98912999999999995</v>
      </c>
      <c r="BK1090" s="7">
        <v>0.996479</v>
      </c>
      <c r="BL1090" s="7">
        <v>0.99468100000000004</v>
      </c>
      <c r="BM1090" s="7">
        <v>0.98912999999999995</v>
      </c>
      <c r="BN1090" s="7">
        <v>0.996479</v>
      </c>
      <c r="BO1090" s="7">
        <v>0.99733300000000003</v>
      </c>
      <c r="BP1090" s="7">
        <v>1</v>
      </c>
      <c r="BQ1090" s="7">
        <v>0.99646599999999996</v>
      </c>
      <c r="BR1090" s="7">
        <v>6.1404E-2</v>
      </c>
      <c r="BS1090" s="7">
        <v>47.719298000000002</v>
      </c>
      <c r="BT1090" s="7">
        <v>50</v>
      </c>
      <c r="BU1090" s="7">
        <v>0.13069900000000001</v>
      </c>
      <c r="BV1090" s="7">
        <v>33.860182000000002</v>
      </c>
      <c r="BW1090" s="7">
        <v>50</v>
      </c>
      <c r="BX1090" s="7">
        <v>0.63474699999999995</v>
      </c>
      <c r="BY1090" s="7">
        <v>42.316460999999997</v>
      </c>
      <c r="BZ1090" s="7">
        <v>50</v>
      </c>
      <c r="CA1090" s="7">
        <v>0.68673099999999998</v>
      </c>
      <c r="CB1090" s="7">
        <v>45.782034000000003</v>
      </c>
      <c r="CC1090" s="7">
        <v>50</v>
      </c>
      <c r="CD1090" s="7">
        <v>0.98425200000000002</v>
      </c>
      <c r="CE1090" s="7">
        <v>50</v>
      </c>
      <c r="CF1090" s="7">
        <v>50</v>
      </c>
      <c r="CG1090" s="7">
        <v>0.98305100000000001</v>
      </c>
      <c r="CH1090" s="7">
        <v>100</v>
      </c>
      <c r="CI1090" s="7">
        <v>100</v>
      </c>
      <c r="CJ1090" s="7">
        <v>0</v>
      </c>
      <c r="CK1090" s="7">
        <v>0.86486499999999999</v>
      </c>
      <c r="CL1090" s="7">
        <v>92.006900999999999</v>
      </c>
      <c r="CM1090" s="7">
        <v>100</v>
      </c>
      <c r="CN1090" s="7">
        <v>0.87679099999999999</v>
      </c>
      <c r="CO1090" s="7">
        <v>100</v>
      </c>
      <c r="CP1090" s="7">
        <v>100</v>
      </c>
      <c r="CQ1090" s="7">
        <v>0.637602</v>
      </c>
      <c r="CR1090" s="7">
        <v>0.991892</v>
      </c>
      <c r="CS1090" s="7">
        <v>42.506811999999996</v>
      </c>
      <c r="CT1090" s="7">
        <v>50</v>
      </c>
      <c r="CU1090" s="7">
        <v>0.59649099999999999</v>
      </c>
      <c r="CV1090" s="7">
        <v>49.707602000000001</v>
      </c>
      <c r="CW1090" s="7">
        <v>50</v>
      </c>
      <c r="CX1090" s="7">
        <v>0.86486499999999999</v>
      </c>
      <c r="CY1090" s="7">
        <v>0.94</v>
      </c>
      <c r="CZ1090" s="7">
        <v>7.5134999999999993E-2</v>
      </c>
      <c r="DA1090" s="7">
        <v>15.314097</v>
      </c>
      <c r="DB1090" s="7">
        <v>17.400950000000002</v>
      </c>
      <c r="DC1090" s="7">
        <v>16.332519999999999</v>
      </c>
      <c r="DD1090" s="7">
        <v>7.9891730000000001</v>
      </c>
      <c r="DE1090" s="7">
        <v>1</v>
      </c>
      <c r="DF1090" s="6"/>
      <c r="DG1090" s="6"/>
      <c r="DH1090" s="6"/>
      <c r="DI1090" s="6"/>
      <c r="DJ1090" s="7">
        <v>0</v>
      </c>
      <c r="DK1090" s="7">
        <v>0</v>
      </c>
      <c r="DL1090" s="7">
        <v>0</v>
      </c>
      <c r="DM1090" s="7">
        <v>0</v>
      </c>
      <c r="DN1090" s="7">
        <v>0</v>
      </c>
      <c r="DO1090" s="7">
        <v>0</v>
      </c>
      <c r="DP1090" s="6"/>
      <c r="DQ1090" s="4" t="s">
        <v>125</v>
      </c>
    </row>
    <row r="1091" spans="1:121" ht="20" customHeight="1" x14ac:dyDescent="0.15">
      <c r="A1091" s="5">
        <v>2018</v>
      </c>
      <c r="B1091" s="3" t="s">
        <v>194</v>
      </c>
      <c r="C1091" s="4" t="str">
        <f t="shared" si="69"/>
        <v>2060012</v>
      </c>
      <c r="D1091" s="4" t="s">
        <v>1233</v>
      </c>
      <c r="E1091" s="4" t="str">
        <f>"2060112"</f>
        <v>2060112</v>
      </c>
      <c r="F1091" s="4" t="s">
        <v>1227</v>
      </c>
      <c r="G1091" s="4" t="s">
        <v>328</v>
      </c>
      <c r="H1091" s="7">
        <v>6</v>
      </c>
      <c r="I1091" s="6"/>
      <c r="J1091" s="4" t="s">
        <v>330</v>
      </c>
      <c r="K1091" s="7">
        <v>583.99295700000005</v>
      </c>
      <c r="L1091" s="7">
        <v>750</v>
      </c>
      <c r="M1091" s="7">
        <v>77.865728000000004</v>
      </c>
      <c r="N1091" s="7">
        <v>2</v>
      </c>
      <c r="O1091" s="7">
        <v>0</v>
      </c>
      <c r="P1091" s="7">
        <v>83.989001000000002</v>
      </c>
      <c r="Q1091" s="7">
        <v>50</v>
      </c>
      <c r="R1091" s="7">
        <v>50</v>
      </c>
      <c r="S1091" s="7">
        <v>69.541076000000004</v>
      </c>
      <c r="T1091" s="7">
        <v>75</v>
      </c>
      <c r="U1091" s="7">
        <v>46.360717999999999</v>
      </c>
      <c r="V1091" s="7">
        <v>50</v>
      </c>
      <c r="W1091" s="7">
        <v>78.863643999999994</v>
      </c>
      <c r="X1091" s="7">
        <v>50</v>
      </c>
      <c r="Y1091" s="7">
        <v>50</v>
      </c>
      <c r="Z1091" s="7">
        <v>75</v>
      </c>
      <c r="AA1091" s="7">
        <v>65.860033999999999</v>
      </c>
      <c r="AB1091" s="7">
        <v>43.906689</v>
      </c>
      <c r="AC1091" s="7">
        <v>50</v>
      </c>
      <c r="AD1091" s="4" t="s">
        <v>124</v>
      </c>
      <c r="AE1091" s="4" t="s">
        <v>124</v>
      </c>
      <c r="AF1091" s="4" t="s">
        <v>124</v>
      </c>
      <c r="AG1091" s="4" t="s">
        <v>124</v>
      </c>
      <c r="AH1091" s="4" t="s">
        <v>124</v>
      </c>
      <c r="AI1091" s="4" t="s">
        <v>124</v>
      </c>
      <c r="AJ1091" s="4" t="s">
        <v>124</v>
      </c>
      <c r="AK1091" s="7">
        <v>5.45</v>
      </c>
      <c r="AL1091" s="7">
        <v>9.1300000000000008</v>
      </c>
      <c r="AM1091" s="4" t="s">
        <v>124</v>
      </c>
      <c r="AN1091" s="7">
        <v>0.63966199999999995</v>
      </c>
      <c r="AO1091" s="7">
        <v>63.966234999999998</v>
      </c>
      <c r="AP1091" s="7">
        <v>100</v>
      </c>
      <c r="AQ1091" s="7">
        <v>0.70824600000000004</v>
      </c>
      <c r="AR1091" s="7">
        <v>70.824582000000007</v>
      </c>
      <c r="AS1091" s="7">
        <v>100</v>
      </c>
      <c r="AT1091" s="7">
        <v>0.56750299999999998</v>
      </c>
      <c r="AU1091" s="7">
        <v>0.68230199999999996</v>
      </c>
      <c r="AV1091" s="7">
        <v>56.750320000000002</v>
      </c>
      <c r="AW1091" s="7">
        <v>100</v>
      </c>
      <c r="AX1091" s="7">
        <v>0.58851100000000001</v>
      </c>
      <c r="AY1091" s="7">
        <v>0.77899799999999997</v>
      </c>
      <c r="AZ1091" s="7">
        <v>58.851078999999999</v>
      </c>
      <c r="BA1091" s="7">
        <v>100</v>
      </c>
      <c r="BB1091" s="4" t="s">
        <v>124</v>
      </c>
      <c r="BC1091" s="4" t="s">
        <v>124</v>
      </c>
      <c r="BD1091" s="4" t="s">
        <v>124</v>
      </c>
      <c r="BE1091" s="4" t="s">
        <v>124</v>
      </c>
      <c r="BF1091" s="4" t="s">
        <v>124</v>
      </c>
      <c r="BG1091" s="4" t="s">
        <v>124</v>
      </c>
      <c r="BH1091" s="7">
        <v>0</v>
      </c>
      <c r="BI1091" s="7">
        <v>1</v>
      </c>
      <c r="BJ1091" s="7">
        <v>1</v>
      </c>
      <c r="BK1091" s="7">
        <v>1</v>
      </c>
      <c r="BL1091" s="7">
        <v>1</v>
      </c>
      <c r="BM1091" s="7">
        <v>1</v>
      </c>
      <c r="BN1091" s="7">
        <v>1</v>
      </c>
      <c r="BO1091" s="4" t="s">
        <v>124</v>
      </c>
      <c r="BP1091" s="4" t="s">
        <v>124</v>
      </c>
      <c r="BQ1091" s="4" t="s">
        <v>124</v>
      </c>
      <c r="BR1091" s="7">
        <v>4.1916000000000002E-2</v>
      </c>
      <c r="BS1091" s="7">
        <v>50</v>
      </c>
      <c r="BT1091" s="7">
        <v>50</v>
      </c>
      <c r="BU1091" s="7">
        <v>8.3333000000000004E-2</v>
      </c>
      <c r="BV1091" s="7">
        <v>43.333333000000003</v>
      </c>
      <c r="BW1091" s="7">
        <v>50</v>
      </c>
      <c r="BX1091" s="4" t="s">
        <v>124</v>
      </c>
      <c r="BY1091" s="4" t="s">
        <v>124</v>
      </c>
      <c r="BZ1091" s="4" t="s">
        <v>124</v>
      </c>
      <c r="CA1091" s="4" t="s">
        <v>124</v>
      </c>
      <c r="CB1091" s="4" t="s">
        <v>124</v>
      </c>
      <c r="CC1091" s="4" t="s">
        <v>124</v>
      </c>
      <c r="CD1091" s="4" t="s">
        <v>124</v>
      </c>
      <c r="CE1091" s="4" t="s">
        <v>124</v>
      </c>
      <c r="CF1091" s="4" t="s">
        <v>124</v>
      </c>
      <c r="CG1091" s="4" t="s">
        <v>124</v>
      </c>
      <c r="CH1091" s="4" t="s">
        <v>124</v>
      </c>
      <c r="CI1091" s="4" t="s">
        <v>124</v>
      </c>
      <c r="CJ1091" s="4" t="s">
        <v>124</v>
      </c>
      <c r="CK1091" s="4" t="s">
        <v>124</v>
      </c>
      <c r="CL1091" s="4" t="s">
        <v>124</v>
      </c>
      <c r="CM1091" s="4" t="s">
        <v>124</v>
      </c>
      <c r="CN1091" s="4" t="s">
        <v>124</v>
      </c>
      <c r="CO1091" s="4" t="s">
        <v>124</v>
      </c>
      <c r="CP1091" s="4" t="s">
        <v>124</v>
      </c>
      <c r="CQ1091" s="7">
        <v>0.94444399999999995</v>
      </c>
      <c r="CR1091" s="7">
        <v>0.93103400000000003</v>
      </c>
      <c r="CS1091" s="7">
        <v>50</v>
      </c>
      <c r="CT1091" s="7">
        <v>50</v>
      </c>
      <c r="CU1091" s="4" t="s">
        <v>124</v>
      </c>
      <c r="CV1091" s="4" t="s">
        <v>124</v>
      </c>
      <c r="CW1091" s="4" t="s">
        <v>124</v>
      </c>
      <c r="CX1091" s="4" t="s">
        <v>124</v>
      </c>
      <c r="CY1091" s="4" t="s">
        <v>124</v>
      </c>
      <c r="CZ1091" s="4" t="s">
        <v>124</v>
      </c>
      <c r="DA1091" s="7">
        <v>15.314097</v>
      </c>
      <c r="DB1091" s="7">
        <v>17.400950000000002</v>
      </c>
      <c r="DC1091" s="7">
        <v>16.332519999999999</v>
      </c>
      <c r="DD1091" s="4" t="s">
        <v>124</v>
      </c>
      <c r="DE1091" s="7">
        <v>0</v>
      </c>
      <c r="DF1091" s="6"/>
      <c r="DG1091" s="6"/>
      <c r="DH1091" s="6"/>
      <c r="DI1091" s="6"/>
      <c r="DJ1091" s="7">
        <v>0</v>
      </c>
      <c r="DK1091" s="7">
        <v>0</v>
      </c>
      <c r="DL1091" s="7">
        <v>0</v>
      </c>
      <c r="DM1091" s="7">
        <v>0</v>
      </c>
      <c r="DN1091" s="7">
        <v>0</v>
      </c>
      <c r="DO1091" s="7">
        <v>0</v>
      </c>
      <c r="DP1091" s="6"/>
      <c r="DQ1091" s="4" t="s">
        <v>125</v>
      </c>
    </row>
    <row r="1092" spans="1:121" ht="20" customHeight="1" x14ac:dyDescent="0.15">
      <c r="A1092" s="5">
        <v>2018</v>
      </c>
      <c r="B1092" s="3" t="s">
        <v>194</v>
      </c>
      <c r="C1092" s="4" t="str">
        <f t="shared" ref="C1092:C1094" si="277">"2060012"</f>
        <v>2060012</v>
      </c>
      <c r="D1092" s="4" t="s">
        <v>1234</v>
      </c>
      <c r="E1092" s="4" t="str">
        <f>"2060212"</f>
        <v>2060212</v>
      </c>
      <c r="F1092" s="4" t="s">
        <v>1227</v>
      </c>
      <c r="G1092" s="4" t="s">
        <v>328</v>
      </c>
      <c r="H1092" s="7">
        <v>6</v>
      </c>
      <c r="I1092" s="4" t="s">
        <v>329</v>
      </c>
      <c r="J1092" s="4" t="s">
        <v>330</v>
      </c>
      <c r="K1092" s="7">
        <v>488.45698099999998</v>
      </c>
      <c r="L1092" s="7">
        <v>550</v>
      </c>
      <c r="M1092" s="7">
        <v>88.810360000000003</v>
      </c>
      <c r="N1092" s="7">
        <v>2</v>
      </c>
      <c r="O1092" s="7">
        <v>1</v>
      </c>
      <c r="P1092" s="7">
        <v>75.426483000000005</v>
      </c>
      <c r="Q1092" s="7">
        <v>50</v>
      </c>
      <c r="R1092" s="7">
        <v>50</v>
      </c>
      <c r="S1092" s="7">
        <v>59.164203999999998</v>
      </c>
      <c r="T1092" s="7">
        <v>75</v>
      </c>
      <c r="U1092" s="7">
        <v>39.442802999999998</v>
      </c>
      <c r="V1092" s="7">
        <v>50</v>
      </c>
      <c r="W1092" s="7">
        <v>71.406699000000003</v>
      </c>
      <c r="X1092" s="7">
        <v>47.604466000000002</v>
      </c>
      <c r="Y1092" s="7">
        <v>50</v>
      </c>
      <c r="Z1092" s="7">
        <v>75</v>
      </c>
      <c r="AA1092" s="7">
        <v>55.753070999999998</v>
      </c>
      <c r="AB1092" s="7">
        <v>37.168714000000001</v>
      </c>
      <c r="AC1092" s="7">
        <v>50</v>
      </c>
      <c r="AD1092" s="4" t="s">
        <v>124</v>
      </c>
      <c r="AE1092" s="4" t="s">
        <v>124</v>
      </c>
      <c r="AF1092" s="4" t="s">
        <v>124</v>
      </c>
      <c r="AG1092" s="4" t="s">
        <v>124</v>
      </c>
      <c r="AH1092" s="4" t="s">
        <v>124</v>
      </c>
      <c r="AI1092" s="4" t="s">
        <v>124</v>
      </c>
      <c r="AJ1092" s="4" t="s">
        <v>124</v>
      </c>
      <c r="AK1092" s="7">
        <v>15.83</v>
      </c>
      <c r="AL1092" s="7">
        <v>19.239999999999998</v>
      </c>
      <c r="AM1092" s="4" t="s">
        <v>124</v>
      </c>
      <c r="AN1092" s="7">
        <v>0.70380200000000004</v>
      </c>
      <c r="AO1092" s="7">
        <v>70.380242999999993</v>
      </c>
      <c r="AP1092" s="7">
        <v>100</v>
      </c>
      <c r="AQ1092" s="7">
        <v>0.938608</v>
      </c>
      <c r="AR1092" s="7">
        <v>93.860754999999997</v>
      </c>
      <c r="AS1092" s="7">
        <v>100</v>
      </c>
      <c r="AT1092" s="4" t="s">
        <v>124</v>
      </c>
      <c r="AU1092" s="7">
        <v>0.761208</v>
      </c>
      <c r="AV1092" s="4" t="s">
        <v>124</v>
      </c>
      <c r="AW1092" s="4" t="s">
        <v>124</v>
      </c>
      <c r="AX1092" s="4" t="s">
        <v>124</v>
      </c>
      <c r="AY1092" s="7">
        <v>0.96599699999999999</v>
      </c>
      <c r="AZ1092" s="4" t="s">
        <v>124</v>
      </c>
      <c r="BA1092" s="4" t="s">
        <v>124</v>
      </c>
      <c r="BB1092" s="4" t="s">
        <v>124</v>
      </c>
      <c r="BC1092" s="4" t="s">
        <v>124</v>
      </c>
      <c r="BD1092" s="4" t="s">
        <v>124</v>
      </c>
      <c r="BE1092" s="4" t="s">
        <v>124</v>
      </c>
      <c r="BF1092" s="4" t="s">
        <v>124</v>
      </c>
      <c r="BG1092" s="4" t="s">
        <v>124</v>
      </c>
      <c r="BH1092" s="7">
        <v>0</v>
      </c>
      <c r="BI1092" s="7">
        <v>0.98412699999999997</v>
      </c>
      <c r="BJ1092" s="7">
        <v>1</v>
      </c>
      <c r="BK1092" s="7">
        <v>0.97368399999999999</v>
      </c>
      <c r="BL1092" s="7">
        <v>0.98412699999999997</v>
      </c>
      <c r="BM1092" s="7">
        <v>1</v>
      </c>
      <c r="BN1092" s="7">
        <v>0.97368399999999999</v>
      </c>
      <c r="BO1092" s="4" t="s">
        <v>124</v>
      </c>
      <c r="BP1092" s="4" t="s">
        <v>124</v>
      </c>
      <c r="BQ1092" s="4" t="s">
        <v>124</v>
      </c>
      <c r="BR1092" s="7">
        <v>1.8867999999999999E-2</v>
      </c>
      <c r="BS1092" s="7">
        <v>50</v>
      </c>
      <c r="BT1092" s="7">
        <v>50</v>
      </c>
      <c r="BU1092" s="7">
        <v>2.7778000000000001E-2</v>
      </c>
      <c r="BV1092" s="7">
        <v>50</v>
      </c>
      <c r="BW1092" s="7">
        <v>50</v>
      </c>
      <c r="BX1092" s="4" t="s">
        <v>124</v>
      </c>
      <c r="BY1092" s="4" t="s">
        <v>124</v>
      </c>
      <c r="BZ1092" s="4" t="s">
        <v>124</v>
      </c>
      <c r="CA1092" s="4" t="s">
        <v>124</v>
      </c>
      <c r="CB1092" s="4" t="s">
        <v>124</v>
      </c>
      <c r="CC1092" s="4" t="s">
        <v>124</v>
      </c>
      <c r="CD1092" s="4" t="s">
        <v>124</v>
      </c>
      <c r="CE1092" s="4" t="s">
        <v>124</v>
      </c>
      <c r="CF1092" s="4" t="s">
        <v>124</v>
      </c>
      <c r="CG1092" s="4" t="s">
        <v>124</v>
      </c>
      <c r="CH1092" s="4" t="s">
        <v>124</v>
      </c>
      <c r="CI1092" s="4" t="s">
        <v>124</v>
      </c>
      <c r="CJ1092" s="4" t="s">
        <v>124</v>
      </c>
      <c r="CK1092" s="4" t="s">
        <v>124</v>
      </c>
      <c r="CL1092" s="4" t="s">
        <v>124</v>
      </c>
      <c r="CM1092" s="4" t="s">
        <v>124</v>
      </c>
      <c r="CN1092" s="4" t="s">
        <v>124</v>
      </c>
      <c r="CO1092" s="4" t="s">
        <v>124</v>
      </c>
      <c r="CP1092" s="4" t="s">
        <v>124</v>
      </c>
      <c r="CQ1092" s="7">
        <v>0.94117600000000001</v>
      </c>
      <c r="CR1092" s="7">
        <v>1</v>
      </c>
      <c r="CS1092" s="7">
        <v>50</v>
      </c>
      <c r="CT1092" s="7">
        <v>50</v>
      </c>
      <c r="CU1092" s="4" t="s">
        <v>124</v>
      </c>
      <c r="CV1092" s="4" t="s">
        <v>124</v>
      </c>
      <c r="CW1092" s="4" t="s">
        <v>124</v>
      </c>
      <c r="CX1092" s="4" t="s">
        <v>124</v>
      </c>
      <c r="CY1092" s="4" t="s">
        <v>124</v>
      </c>
      <c r="CZ1092" s="4" t="s">
        <v>124</v>
      </c>
      <c r="DA1092" s="7">
        <v>15.314097</v>
      </c>
      <c r="DB1092" s="7">
        <v>17.400950000000002</v>
      </c>
      <c r="DC1092" s="7">
        <v>16.332519999999999</v>
      </c>
      <c r="DD1092" s="4" t="s">
        <v>124</v>
      </c>
      <c r="DE1092" s="7">
        <v>1</v>
      </c>
      <c r="DF1092" s="6"/>
      <c r="DG1092" s="6"/>
      <c r="DH1092" s="6"/>
      <c r="DI1092" s="6"/>
      <c r="DJ1092" s="7">
        <v>0</v>
      </c>
      <c r="DK1092" s="7">
        <v>0</v>
      </c>
      <c r="DL1092" s="7">
        <v>0</v>
      </c>
      <c r="DM1092" s="7">
        <v>0</v>
      </c>
      <c r="DN1092" s="7">
        <v>0</v>
      </c>
      <c r="DO1092" s="7">
        <v>0</v>
      </c>
      <c r="DP1092" s="6"/>
      <c r="DQ1092" s="4" t="s">
        <v>125</v>
      </c>
    </row>
    <row r="1093" spans="1:121" ht="20" customHeight="1" x14ac:dyDescent="0.15">
      <c r="A1093" s="5">
        <v>2018</v>
      </c>
      <c r="B1093" s="3" t="s">
        <v>194</v>
      </c>
      <c r="C1093" s="4" t="str">
        <f t="shared" si="277"/>
        <v>2060012</v>
      </c>
      <c r="D1093" s="4" t="s">
        <v>1235</v>
      </c>
      <c r="E1093" s="4" t="str">
        <f>"2066112"</f>
        <v>2066112</v>
      </c>
      <c r="F1093" s="4" t="s">
        <v>1227</v>
      </c>
      <c r="G1093" s="7">
        <v>7</v>
      </c>
      <c r="H1093" s="7">
        <v>12</v>
      </c>
      <c r="I1093" s="4" t="s">
        <v>329</v>
      </c>
      <c r="J1093" s="4" t="s">
        <v>330</v>
      </c>
      <c r="K1093" s="7">
        <v>1006.8388220000001</v>
      </c>
      <c r="L1093" s="7">
        <v>1350</v>
      </c>
      <c r="M1093" s="7">
        <v>74.580653999999996</v>
      </c>
      <c r="N1093" s="7">
        <v>2</v>
      </c>
      <c r="O1093" s="7">
        <v>0</v>
      </c>
      <c r="P1093" s="7">
        <v>69.074791000000005</v>
      </c>
      <c r="Q1093" s="7">
        <v>46.049861</v>
      </c>
      <c r="R1093" s="7">
        <v>50</v>
      </c>
      <c r="S1093" s="7">
        <v>61.976667999999997</v>
      </c>
      <c r="T1093" s="7">
        <v>71.801221999999996</v>
      </c>
      <c r="U1093" s="7">
        <v>41.317779000000002</v>
      </c>
      <c r="V1093" s="7">
        <v>50</v>
      </c>
      <c r="W1093" s="7">
        <v>62.444431999999999</v>
      </c>
      <c r="X1093" s="7">
        <v>41.629621</v>
      </c>
      <c r="Y1093" s="7">
        <v>50</v>
      </c>
      <c r="Z1093" s="7">
        <v>65.685016000000005</v>
      </c>
      <c r="AA1093" s="7">
        <v>54.007739000000001</v>
      </c>
      <c r="AB1093" s="7">
        <v>36.005158999999999</v>
      </c>
      <c r="AC1093" s="7">
        <v>50</v>
      </c>
      <c r="AD1093" s="7">
        <v>64.786439999999999</v>
      </c>
      <c r="AE1093" s="7">
        <v>43.190959999999997</v>
      </c>
      <c r="AF1093" s="7">
        <v>50</v>
      </c>
      <c r="AG1093" s="7">
        <v>58.123930000000001</v>
      </c>
      <c r="AH1093" s="7">
        <v>67.204286999999994</v>
      </c>
      <c r="AI1093" s="7">
        <v>38.749287000000002</v>
      </c>
      <c r="AJ1093" s="7">
        <v>50</v>
      </c>
      <c r="AK1093" s="7">
        <v>9.82</v>
      </c>
      <c r="AL1093" s="7">
        <v>11.67</v>
      </c>
      <c r="AM1093" s="7">
        <v>9.08</v>
      </c>
      <c r="AN1093" s="7">
        <v>0.53095499999999995</v>
      </c>
      <c r="AO1093" s="7">
        <v>53.095543999999997</v>
      </c>
      <c r="AP1093" s="7">
        <v>100</v>
      </c>
      <c r="AQ1093" s="7">
        <v>0.64916399999999996</v>
      </c>
      <c r="AR1093" s="7">
        <v>64.916359999999997</v>
      </c>
      <c r="AS1093" s="7">
        <v>100</v>
      </c>
      <c r="AT1093" s="7">
        <v>0.49898799999999999</v>
      </c>
      <c r="AU1093" s="7">
        <v>0.54567100000000002</v>
      </c>
      <c r="AV1093" s="7">
        <v>49.898764999999997</v>
      </c>
      <c r="AW1093" s="7">
        <v>100</v>
      </c>
      <c r="AX1093" s="7">
        <v>0.56816999999999995</v>
      </c>
      <c r="AY1093" s="7">
        <v>0.68704799999999999</v>
      </c>
      <c r="AZ1093" s="7">
        <v>56.816996000000003</v>
      </c>
      <c r="BA1093" s="7">
        <v>100</v>
      </c>
      <c r="BB1093" s="4" t="s">
        <v>124</v>
      </c>
      <c r="BC1093" s="4" t="s">
        <v>124</v>
      </c>
      <c r="BD1093" s="4" t="s">
        <v>124</v>
      </c>
      <c r="BE1093" s="4" t="s">
        <v>124</v>
      </c>
      <c r="BF1093" s="4" t="s">
        <v>124</v>
      </c>
      <c r="BG1093" s="4" t="s">
        <v>124</v>
      </c>
      <c r="BH1093" s="7">
        <v>0</v>
      </c>
      <c r="BI1093" s="7">
        <v>0.99528300000000003</v>
      </c>
      <c r="BJ1093" s="7">
        <v>0.98333300000000001</v>
      </c>
      <c r="BK1093" s="7">
        <v>1</v>
      </c>
      <c r="BL1093" s="7">
        <v>0.99528300000000003</v>
      </c>
      <c r="BM1093" s="7">
        <v>0.98333300000000001</v>
      </c>
      <c r="BN1093" s="7">
        <v>1</v>
      </c>
      <c r="BO1093" s="7">
        <v>0.99415200000000004</v>
      </c>
      <c r="BP1093" s="7">
        <v>0.97826100000000005</v>
      </c>
      <c r="BQ1093" s="7">
        <v>1</v>
      </c>
      <c r="BR1093" s="7">
        <v>8.5149000000000002E-2</v>
      </c>
      <c r="BS1093" s="7">
        <v>42.970297000000002</v>
      </c>
      <c r="BT1093" s="7">
        <v>50</v>
      </c>
      <c r="BU1093" s="7">
        <v>0.14965999999999999</v>
      </c>
      <c r="BV1093" s="7">
        <v>30.068027000000001</v>
      </c>
      <c r="BW1093" s="7">
        <v>50</v>
      </c>
      <c r="BX1093" s="7">
        <v>0.975248</v>
      </c>
      <c r="BY1093" s="7">
        <v>50</v>
      </c>
      <c r="BZ1093" s="7">
        <v>50</v>
      </c>
      <c r="CA1093" s="7">
        <v>0.37623800000000002</v>
      </c>
      <c r="CB1093" s="7">
        <v>25.082508000000001</v>
      </c>
      <c r="CC1093" s="7">
        <v>50</v>
      </c>
      <c r="CD1093" s="7">
        <v>0.973333</v>
      </c>
      <c r="CE1093" s="7">
        <v>50</v>
      </c>
      <c r="CF1093" s="7">
        <v>50</v>
      </c>
      <c r="CG1093" s="7">
        <v>0.97222200000000003</v>
      </c>
      <c r="CH1093" s="7">
        <v>100</v>
      </c>
      <c r="CI1093" s="7">
        <v>100</v>
      </c>
      <c r="CJ1093" s="7">
        <v>0</v>
      </c>
      <c r="CK1093" s="7">
        <v>0.93548399999999998</v>
      </c>
      <c r="CL1093" s="7">
        <v>99.519560999999996</v>
      </c>
      <c r="CM1093" s="7">
        <v>100</v>
      </c>
      <c r="CN1093" s="7">
        <v>0.67618999999999996</v>
      </c>
      <c r="CO1093" s="7">
        <v>90.158730000000006</v>
      </c>
      <c r="CP1093" s="7">
        <v>100</v>
      </c>
      <c r="CQ1093" s="7">
        <v>0.39130399999999999</v>
      </c>
      <c r="CR1093" s="7">
        <v>0.86792499999999995</v>
      </c>
      <c r="CS1093" s="7">
        <v>13.043478</v>
      </c>
      <c r="CT1093" s="7">
        <v>50</v>
      </c>
      <c r="CU1093" s="7">
        <v>0.41191100000000003</v>
      </c>
      <c r="CV1093" s="7">
        <v>34.325888999999997</v>
      </c>
      <c r="CW1093" s="7">
        <v>50</v>
      </c>
      <c r="CX1093" s="7">
        <v>0.93548399999999998</v>
      </c>
      <c r="CY1093" s="7">
        <v>0.94</v>
      </c>
      <c r="CZ1093" s="7">
        <v>4.516E-3</v>
      </c>
      <c r="DA1093" s="7">
        <v>15.314097</v>
      </c>
      <c r="DB1093" s="7">
        <v>17.400950000000002</v>
      </c>
      <c r="DC1093" s="7">
        <v>16.332519999999999</v>
      </c>
      <c r="DD1093" s="7">
        <v>7.9891730000000001</v>
      </c>
      <c r="DE1093" s="7">
        <v>0</v>
      </c>
      <c r="DF1093" s="6"/>
      <c r="DG1093" s="6"/>
      <c r="DH1093" s="6"/>
      <c r="DI1093" s="6"/>
      <c r="DJ1093" s="7">
        <v>0</v>
      </c>
      <c r="DK1093" s="7">
        <v>0</v>
      </c>
      <c r="DL1093" s="7">
        <v>0</v>
      </c>
      <c r="DM1093" s="7">
        <v>0</v>
      </c>
      <c r="DN1093" s="7">
        <v>0</v>
      </c>
      <c r="DO1093" s="7">
        <v>0</v>
      </c>
      <c r="DP1093" s="6"/>
      <c r="DQ1093" s="4" t="s">
        <v>125</v>
      </c>
    </row>
    <row r="1094" spans="1:121" ht="20" customHeight="1" x14ac:dyDescent="0.15">
      <c r="A1094" s="5">
        <v>2018</v>
      </c>
      <c r="B1094" s="3" t="s">
        <v>194</v>
      </c>
      <c r="C1094" s="4" t="str">
        <f t="shared" si="277"/>
        <v>2060012</v>
      </c>
      <c r="D1094" s="4" t="s">
        <v>1236</v>
      </c>
      <c r="E1094" s="4" t="str">
        <f>"2060312"</f>
        <v>2060312</v>
      </c>
      <c r="F1094" s="4" t="s">
        <v>1227</v>
      </c>
      <c r="G1094" s="4" t="s">
        <v>328</v>
      </c>
      <c r="H1094" s="7">
        <v>6</v>
      </c>
      <c r="I1094" s="6"/>
      <c r="J1094" s="4" t="s">
        <v>330</v>
      </c>
      <c r="K1094" s="7">
        <v>235.47114099999999</v>
      </c>
      <c r="L1094" s="7">
        <v>350</v>
      </c>
      <c r="M1094" s="7">
        <v>67.277468999999996</v>
      </c>
      <c r="N1094" s="7">
        <v>3</v>
      </c>
      <c r="O1094" s="7">
        <v>0</v>
      </c>
      <c r="P1094" s="7">
        <v>77.281816000000006</v>
      </c>
      <c r="Q1094" s="7">
        <v>50</v>
      </c>
      <c r="R1094" s="7">
        <v>50</v>
      </c>
      <c r="S1094" s="4" t="s">
        <v>124</v>
      </c>
      <c r="T1094" s="7">
        <v>75</v>
      </c>
      <c r="U1094" s="4" t="s">
        <v>124</v>
      </c>
      <c r="V1094" s="4" t="s">
        <v>124</v>
      </c>
      <c r="W1094" s="7">
        <v>69.585083999999995</v>
      </c>
      <c r="X1094" s="7">
        <v>46.390056000000001</v>
      </c>
      <c r="Y1094" s="7">
        <v>50</v>
      </c>
      <c r="Z1094" s="7">
        <v>73.792242000000002</v>
      </c>
      <c r="AA1094" s="4" t="s">
        <v>124</v>
      </c>
      <c r="AB1094" s="4" t="s">
        <v>124</v>
      </c>
      <c r="AC1094" s="4" t="s">
        <v>124</v>
      </c>
      <c r="AD1094" s="4" t="s">
        <v>124</v>
      </c>
      <c r="AE1094" s="4" t="s">
        <v>124</v>
      </c>
      <c r="AF1094" s="4" t="s">
        <v>124</v>
      </c>
      <c r="AG1094" s="4" t="s">
        <v>124</v>
      </c>
      <c r="AH1094" s="4" t="s">
        <v>124</v>
      </c>
      <c r="AI1094" s="4" t="s">
        <v>124</v>
      </c>
      <c r="AJ1094" s="4" t="s">
        <v>124</v>
      </c>
      <c r="AK1094" s="4" t="s">
        <v>124</v>
      </c>
      <c r="AL1094" s="4" t="s">
        <v>124</v>
      </c>
      <c r="AM1094" s="4" t="s">
        <v>124</v>
      </c>
      <c r="AN1094" s="7">
        <v>0.510791</v>
      </c>
      <c r="AO1094" s="7">
        <v>51.07911</v>
      </c>
      <c r="AP1094" s="7">
        <v>100</v>
      </c>
      <c r="AQ1094" s="7">
        <v>0.45393299999999998</v>
      </c>
      <c r="AR1094" s="7">
        <v>45.393279</v>
      </c>
      <c r="AS1094" s="7">
        <v>100</v>
      </c>
      <c r="AT1094" s="4" t="s">
        <v>124</v>
      </c>
      <c r="AU1094" s="7">
        <v>0.51239000000000001</v>
      </c>
      <c r="AV1094" s="4" t="s">
        <v>124</v>
      </c>
      <c r="AW1094" s="4" t="s">
        <v>124</v>
      </c>
      <c r="AX1094" s="4" t="s">
        <v>124</v>
      </c>
      <c r="AY1094" s="7">
        <v>0.51520999999999995</v>
      </c>
      <c r="AZ1094" s="4" t="s">
        <v>124</v>
      </c>
      <c r="BA1094" s="4" t="s">
        <v>124</v>
      </c>
      <c r="BB1094" s="4" t="s">
        <v>124</v>
      </c>
      <c r="BC1094" s="4" t="s">
        <v>124</v>
      </c>
      <c r="BD1094" s="4" t="s">
        <v>124</v>
      </c>
      <c r="BE1094" s="4" t="s">
        <v>124</v>
      </c>
      <c r="BF1094" s="4" t="s">
        <v>124</v>
      </c>
      <c r="BG1094" s="4" t="s">
        <v>124</v>
      </c>
      <c r="BH1094" s="7">
        <v>0</v>
      </c>
      <c r="BI1094" s="7">
        <v>1</v>
      </c>
      <c r="BJ1094" s="4" t="s">
        <v>124</v>
      </c>
      <c r="BK1094" s="7">
        <v>1</v>
      </c>
      <c r="BL1094" s="7">
        <v>1</v>
      </c>
      <c r="BM1094" s="4" t="s">
        <v>124</v>
      </c>
      <c r="BN1094" s="7">
        <v>1</v>
      </c>
      <c r="BO1094" s="4" t="s">
        <v>124</v>
      </c>
      <c r="BP1094" s="4" t="s">
        <v>124</v>
      </c>
      <c r="BQ1094" s="4" t="s">
        <v>124</v>
      </c>
      <c r="BR1094" s="7">
        <v>8.6957000000000007E-2</v>
      </c>
      <c r="BS1094" s="7">
        <v>42.608696000000002</v>
      </c>
      <c r="BT1094" s="7">
        <v>50</v>
      </c>
      <c r="BU1094" s="4" t="s">
        <v>124</v>
      </c>
      <c r="BV1094" s="4" t="s">
        <v>124</v>
      </c>
      <c r="BW1094" s="4" t="s">
        <v>124</v>
      </c>
      <c r="BX1094" s="4" t="s">
        <v>124</v>
      </c>
      <c r="BY1094" s="4" t="s">
        <v>124</v>
      </c>
      <c r="BZ1094" s="4" t="s">
        <v>124</v>
      </c>
      <c r="CA1094" s="4" t="s">
        <v>124</v>
      </c>
      <c r="CB1094" s="4" t="s">
        <v>124</v>
      </c>
      <c r="CC1094" s="4" t="s">
        <v>124</v>
      </c>
      <c r="CD1094" s="4" t="s">
        <v>124</v>
      </c>
      <c r="CE1094" s="4" t="s">
        <v>124</v>
      </c>
      <c r="CF1094" s="4" t="s">
        <v>124</v>
      </c>
      <c r="CG1094" s="4" t="s">
        <v>124</v>
      </c>
      <c r="CH1094" s="4" t="s">
        <v>124</v>
      </c>
      <c r="CI1094" s="4" t="s">
        <v>124</v>
      </c>
      <c r="CJ1094" s="4" t="s">
        <v>124</v>
      </c>
      <c r="CK1094" s="4" t="s">
        <v>124</v>
      </c>
      <c r="CL1094" s="4" t="s">
        <v>124</v>
      </c>
      <c r="CM1094" s="4" t="s">
        <v>124</v>
      </c>
      <c r="CN1094" s="4" t="s">
        <v>124</v>
      </c>
      <c r="CO1094" s="4" t="s">
        <v>124</v>
      </c>
      <c r="CP1094" s="4" t="s">
        <v>124</v>
      </c>
      <c r="CQ1094" s="4" t="s">
        <v>124</v>
      </c>
      <c r="CR1094" s="4" t="s">
        <v>124</v>
      </c>
      <c r="CS1094" s="4" t="s">
        <v>124</v>
      </c>
      <c r="CT1094" s="4" t="s">
        <v>124</v>
      </c>
      <c r="CU1094" s="4" t="s">
        <v>124</v>
      </c>
      <c r="CV1094" s="4" t="s">
        <v>124</v>
      </c>
      <c r="CW1094" s="4" t="s">
        <v>124</v>
      </c>
      <c r="CX1094" s="4" t="s">
        <v>124</v>
      </c>
      <c r="CY1094" s="4" t="s">
        <v>124</v>
      </c>
      <c r="CZ1094" s="4" t="s">
        <v>124</v>
      </c>
      <c r="DA1094" s="7">
        <v>15.314097</v>
      </c>
      <c r="DB1094" s="7">
        <v>17.400950000000002</v>
      </c>
      <c r="DC1094" s="7">
        <v>16.332519999999999</v>
      </c>
      <c r="DD1094" s="4" t="s">
        <v>124</v>
      </c>
      <c r="DE1094" s="7">
        <v>0</v>
      </c>
      <c r="DF1094" s="6"/>
      <c r="DG1094" s="6"/>
      <c r="DH1094" s="6"/>
      <c r="DI1094" s="6"/>
      <c r="DJ1094" s="7">
        <v>0</v>
      </c>
      <c r="DK1094" s="7">
        <v>0</v>
      </c>
      <c r="DL1094" s="7">
        <v>0</v>
      </c>
      <c r="DM1094" s="7">
        <v>0</v>
      </c>
      <c r="DN1094" s="7">
        <v>0</v>
      </c>
      <c r="DO1094" s="7">
        <v>0</v>
      </c>
      <c r="DP1094" s="6"/>
      <c r="DQ1094" s="4" t="s">
        <v>125</v>
      </c>
    </row>
    <row r="1095" spans="1:121" ht="20" customHeight="1" x14ac:dyDescent="0.15">
      <c r="A1095" s="5">
        <v>2018</v>
      </c>
      <c r="B1095" s="3" t="s">
        <v>177</v>
      </c>
      <c r="C1095" s="4" t="str">
        <f t="shared" si="52"/>
        <v>2070012</v>
      </c>
      <c r="D1095" s="4" t="s">
        <v>1237</v>
      </c>
      <c r="E1095" s="4" t="str">
        <f>"2076112"</f>
        <v>2076112</v>
      </c>
      <c r="F1095" s="4" t="s">
        <v>1227</v>
      </c>
      <c r="G1095" s="7">
        <v>9</v>
      </c>
      <c r="H1095" s="7">
        <v>12</v>
      </c>
      <c r="I1095" s="4" t="s">
        <v>329</v>
      </c>
      <c r="J1095" s="4" t="s">
        <v>330</v>
      </c>
      <c r="K1095" s="7">
        <v>1317.44372</v>
      </c>
      <c r="L1095" s="7">
        <v>1450</v>
      </c>
      <c r="M1095" s="7">
        <v>90.858187999999998</v>
      </c>
      <c r="N1095" s="7">
        <v>1</v>
      </c>
      <c r="O1095" s="7">
        <v>0</v>
      </c>
      <c r="P1095" s="7">
        <v>65.417219000000003</v>
      </c>
      <c r="Q1095" s="7">
        <v>130.83443700000001</v>
      </c>
      <c r="R1095" s="7">
        <v>150</v>
      </c>
      <c r="S1095" s="7">
        <v>59.794871999999998</v>
      </c>
      <c r="T1095" s="7">
        <v>66.586667000000006</v>
      </c>
      <c r="U1095" s="7">
        <v>119.589744</v>
      </c>
      <c r="V1095" s="7">
        <v>150</v>
      </c>
      <c r="W1095" s="7">
        <v>67.469094999999996</v>
      </c>
      <c r="X1095" s="7">
        <v>134.93818999999999</v>
      </c>
      <c r="Y1095" s="7">
        <v>150</v>
      </c>
      <c r="Z1095" s="7">
        <v>69.182666999999995</v>
      </c>
      <c r="AA1095" s="7">
        <v>59.230769000000002</v>
      </c>
      <c r="AB1095" s="7">
        <v>118.461538</v>
      </c>
      <c r="AC1095" s="7">
        <v>150</v>
      </c>
      <c r="AD1095" s="7">
        <v>66.626154</v>
      </c>
      <c r="AE1095" s="7">
        <v>88.834872000000004</v>
      </c>
      <c r="AF1095" s="7">
        <v>100</v>
      </c>
      <c r="AG1095" s="7">
        <v>64.991123999999999</v>
      </c>
      <c r="AH1095" s="7">
        <v>66.968982999999994</v>
      </c>
      <c r="AI1095" s="7">
        <v>86.654831999999999</v>
      </c>
      <c r="AJ1095" s="7">
        <v>100</v>
      </c>
      <c r="AK1095" s="7">
        <v>6.79</v>
      </c>
      <c r="AL1095" s="7">
        <v>9.9499999999999993</v>
      </c>
      <c r="AM1095" s="7">
        <v>1.97</v>
      </c>
      <c r="AN1095" s="4" t="s">
        <v>124</v>
      </c>
      <c r="AO1095" s="4" t="s">
        <v>124</v>
      </c>
      <c r="AP1095" s="4" t="s">
        <v>124</v>
      </c>
      <c r="AQ1095" s="4" t="s">
        <v>124</v>
      </c>
      <c r="AR1095" s="4" t="s">
        <v>124</v>
      </c>
      <c r="AS1095" s="4" t="s">
        <v>124</v>
      </c>
      <c r="AT1095" s="4" t="s">
        <v>124</v>
      </c>
      <c r="AU1095" s="4" t="s">
        <v>124</v>
      </c>
      <c r="AV1095" s="4" t="s">
        <v>124</v>
      </c>
      <c r="AW1095" s="4" t="s">
        <v>124</v>
      </c>
      <c r="AX1095" s="4" t="s">
        <v>124</v>
      </c>
      <c r="AY1095" s="4" t="s">
        <v>124</v>
      </c>
      <c r="AZ1095" s="4" t="s">
        <v>124</v>
      </c>
      <c r="BA1095" s="4" t="s">
        <v>124</v>
      </c>
      <c r="BB1095" s="4" t="s">
        <v>124</v>
      </c>
      <c r="BC1095" s="4" t="s">
        <v>124</v>
      </c>
      <c r="BD1095" s="4" t="s">
        <v>124</v>
      </c>
      <c r="BE1095" s="4" t="s">
        <v>124</v>
      </c>
      <c r="BF1095" s="4" t="s">
        <v>124</v>
      </c>
      <c r="BG1095" s="4" t="s">
        <v>124</v>
      </c>
      <c r="BH1095" s="7">
        <v>0</v>
      </c>
      <c r="BI1095" s="7">
        <v>1</v>
      </c>
      <c r="BJ1095" s="7">
        <v>1</v>
      </c>
      <c r="BK1095" s="7">
        <v>1</v>
      </c>
      <c r="BL1095" s="7">
        <v>1</v>
      </c>
      <c r="BM1095" s="7">
        <v>1</v>
      </c>
      <c r="BN1095" s="7">
        <v>1</v>
      </c>
      <c r="BO1095" s="7">
        <v>0.99337699999999995</v>
      </c>
      <c r="BP1095" s="7">
        <v>1</v>
      </c>
      <c r="BQ1095" s="7">
        <v>0.99199999999999999</v>
      </c>
      <c r="BR1095" s="7">
        <v>5.4733999999999998E-2</v>
      </c>
      <c r="BS1095" s="7">
        <v>49.053254000000003</v>
      </c>
      <c r="BT1095" s="7">
        <v>50</v>
      </c>
      <c r="BU1095" s="7">
        <v>8.9552000000000007E-2</v>
      </c>
      <c r="BV1095" s="7">
        <v>42.089551999999998</v>
      </c>
      <c r="BW1095" s="7">
        <v>50</v>
      </c>
      <c r="BX1095" s="7">
        <v>0.99085400000000001</v>
      </c>
      <c r="BY1095" s="7">
        <v>50</v>
      </c>
      <c r="BZ1095" s="7">
        <v>50</v>
      </c>
      <c r="CA1095" s="7">
        <v>0.72256100000000001</v>
      </c>
      <c r="CB1095" s="7">
        <v>48.170732000000001</v>
      </c>
      <c r="CC1095" s="7">
        <v>50</v>
      </c>
      <c r="CD1095" s="7">
        <v>0.99401200000000001</v>
      </c>
      <c r="CE1095" s="7">
        <v>50</v>
      </c>
      <c r="CF1095" s="7">
        <v>50</v>
      </c>
      <c r="CG1095" s="7">
        <v>1</v>
      </c>
      <c r="CH1095" s="7">
        <v>100</v>
      </c>
      <c r="CI1095" s="7">
        <v>100</v>
      </c>
      <c r="CJ1095" s="7">
        <v>0</v>
      </c>
      <c r="CK1095" s="7">
        <v>0.97142899999999999</v>
      </c>
      <c r="CL1095" s="7">
        <v>100</v>
      </c>
      <c r="CM1095" s="7">
        <v>100</v>
      </c>
      <c r="CN1095" s="7">
        <v>0.82608700000000002</v>
      </c>
      <c r="CO1095" s="7">
        <v>100</v>
      </c>
      <c r="CP1095" s="7">
        <v>100</v>
      </c>
      <c r="CQ1095" s="7">
        <v>0.776536</v>
      </c>
      <c r="CR1095" s="7">
        <v>0.98895</v>
      </c>
      <c r="CS1095" s="7">
        <v>50</v>
      </c>
      <c r="CT1095" s="7">
        <v>50</v>
      </c>
      <c r="CU1095" s="7">
        <v>0.58579899999999996</v>
      </c>
      <c r="CV1095" s="7">
        <v>48.816567999999997</v>
      </c>
      <c r="CW1095" s="7">
        <v>50</v>
      </c>
      <c r="CX1095" s="7">
        <v>0.97142899999999999</v>
      </c>
      <c r="CY1095" s="7">
        <v>0.94</v>
      </c>
      <c r="CZ1095" s="7">
        <v>-3.1428999999999999E-2</v>
      </c>
      <c r="DA1095" s="7">
        <v>15.314097</v>
      </c>
      <c r="DB1095" s="7">
        <v>17.400950000000002</v>
      </c>
      <c r="DC1095" s="7">
        <v>16.332519999999999</v>
      </c>
      <c r="DD1095" s="7">
        <v>7.9891730000000001</v>
      </c>
      <c r="DE1095" s="7">
        <v>0</v>
      </c>
      <c r="DF1095" s="6"/>
      <c r="DG1095" s="6"/>
      <c r="DH1095" s="4" t="s">
        <v>331</v>
      </c>
      <c r="DI1095" s="4" t="s">
        <v>332</v>
      </c>
      <c r="DJ1095" s="7">
        <v>1</v>
      </c>
      <c r="DK1095" s="7">
        <v>0</v>
      </c>
      <c r="DL1095" s="7">
        <v>0</v>
      </c>
      <c r="DM1095" s="7">
        <v>0</v>
      </c>
      <c r="DN1095" s="7">
        <v>0</v>
      </c>
      <c r="DO1095" s="7">
        <v>0</v>
      </c>
      <c r="DP1095" s="6"/>
      <c r="DQ1095" s="4" t="s">
        <v>125</v>
      </c>
    </row>
    <row r="1096" spans="1:121" ht="20" customHeight="1" x14ac:dyDescent="0.15">
      <c r="A1096" s="5">
        <v>2018</v>
      </c>
      <c r="B1096" s="3" t="s">
        <v>177</v>
      </c>
      <c r="C1096" s="4" t="str">
        <f>"2070012"</f>
        <v>2070012</v>
      </c>
      <c r="D1096" s="4" t="s">
        <v>1238</v>
      </c>
      <c r="E1096" s="4" t="str">
        <f>"2075112"</f>
        <v>2075112</v>
      </c>
      <c r="F1096" s="4" t="s">
        <v>1227</v>
      </c>
      <c r="G1096" s="7">
        <v>7</v>
      </c>
      <c r="H1096" s="7">
        <v>8</v>
      </c>
      <c r="I1096" s="4" t="s">
        <v>329</v>
      </c>
      <c r="J1096" s="4" t="s">
        <v>330</v>
      </c>
      <c r="K1096" s="7">
        <v>677.53447800000004</v>
      </c>
      <c r="L1096" s="7">
        <v>900</v>
      </c>
      <c r="M1096" s="7">
        <v>75.281609000000003</v>
      </c>
      <c r="N1096" s="7">
        <v>3</v>
      </c>
      <c r="O1096" s="7">
        <v>1</v>
      </c>
      <c r="P1096" s="7">
        <v>76.444177999999994</v>
      </c>
      <c r="Q1096" s="7">
        <v>50</v>
      </c>
      <c r="R1096" s="7">
        <v>50</v>
      </c>
      <c r="S1096" s="7">
        <v>62.994891000000003</v>
      </c>
      <c r="T1096" s="7">
        <v>75</v>
      </c>
      <c r="U1096" s="7">
        <v>41.996594000000002</v>
      </c>
      <c r="V1096" s="7">
        <v>50</v>
      </c>
      <c r="W1096" s="7">
        <v>63.721628000000003</v>
      </c>
      <c r="X1096" s="7">
        <v>42.481085</v>
      </c>
      <c r="Y1096" s="7">
        <v>50</v>
      </c>
      <c r="Z1096" s="7">
        <v>69.783742000000004</v>
      </c>
      <c r="AA1096" s="7">
        <v>48.920620999999997</v>
      </c>
      <c r="AB1096" s="7">
        <v>32.613746999999996</v>
      </c>
      <c r="AC1096" s="7">
        <v>50</v>
      </c>
      <c r="AD1096" s="7">
        <v>70.969260000000006</v>
      </c>
      <c r="AE1096" s="7">
        <v>47.312840000000001</v>
      </c>
      <c r="AF1096" s="7">
        <v>50</v>
      </c>
      <c r="AG1096" s="7">
        <v>62.727094000000001</v>
      </c>
      <c r="AH1096" s="7">
        <v>74.038150999999999</v>
      </c>
      <c r="AI1096" s="7">
        <v>41.818061999999998</v>
      </c>
      <c r="AJ1096" s="7">
        <v>50</v>
      </c>
      <c r="AK1096" s="7">
        <v>12</v>
      </c>
      <c r="AL1096" s="7">
        <v>20.86</v>
      </c>
      <c r="AM1096" s="7">
        <v>11.31</v>
      </c>
      <c r="AN1096" s="7">
        <v>0.66689500000000002</v>
      </c>
      <c r="AO1096" s="7">
        <v>66.689537999999999</v>
      </c>
      <c r="AP1096" s="7">
        <v>100</v>
      </c>
      <c r="AQ1096" s="7">
        <v>0.56581199999999998</v>
      </c>
      <c r="AR1096" s="7">
        <v>56.581176999999997</v>
      </c>
      <c r="AS1096" s="7">
        <v>100</v>
      </c>
      <c r="AT1096" s="7">
        <v>0.61225399999999996</v>
      </c>
      <c r="AU1096" s="7">
        <v>0.68786599999999998</v>
      </c>
      <c r="AV1096" s="7">
        <v>61.225397999999998</v>
      </c>
      <c r="AW1096" s="7">
        <v>100</v>
      </c>
      <c r="AX1096" s="7">
        <v>0.41273900000000002</v>
      </c>
      <c r="AY1096" s="7">
        <v>0.62404599999999999</v>
      </c>
      <c r="AZ1096" s="7">
        <v>41.273867000000003</v>
      </c>
      <c r="BA1096" s="7">
        <v>100</v>
      </c>
      <c r="BB1096" s="4" t="s">
        <v>124</v>
      </c>
      <c r="BC1096" s="4" t="s">
        <v>124</v>
      </c>
      <c r="BD1096" s="4" t="s">
        <v>124</v>
      </c>
      <c r="BE1096" s="4" t="s">
        <v>124</v>
      </c>
      <c r="BF1096" s="4" t="s">
        <v>124</v>
      </c>
      <c r="BG1096" s="4" t="s">
        <v>124</v>
      </c>
      <c r="BH1096" s="7">
        <v>1</v>
      </c>
      <c r="BI1096" s="7">
        <v>0.95035499999999995</v>
      </c>
      <c r="BJ1096" s="7">
        <v>0.93902399999999997</v>
      </c>
      <c r="BK1096" s="7">
        <v>0.95499999999999996</v>
      </c>
      <c r="BL1096" s="7">
        <v>0.94680900000000001</v>
      </c>
      <c r="BM1096" s="7">
        <v>0.93902399999999997</v>
      </c>
      <c r="BN1096" s="7">
        <v>0.95</v>
      </c>
      <c r="BO1096" s="7">
        <v>0.93525199999999997</v>
      </c>
      <c r="BP1096" s="7">
        <v>0.89743600000000001</v>
      </c>
      <c r="BQ1096" s="7">
        <v>0.95</v>
      </c>
      <c r="BR1096" s="7">
        <v>4.2553000000000001E-2</v>
      </c>
      <c r="BS1096" s="7">
        <v>50</v>
      </c>
      <c r="BT1096" s="7">
        <v>50</v>
      </c>
      <c r="BU1096" s="7">
        <v>7.2289000000000006E-2</v>
      </c>
      <c r="BV1096" s="7">
        <v>45.542169000000001</v>
      </c>
      <c r="BW1096" s="7">
        <v>50</v>
      </c>
      <c r="BX1096" s="4" t="s">
        <v>124</v>
      </c>
      <c r="BY1096" s="4" t="s">
        <v>124</v>
      </c>
      <c r="BZ1096" s="4" t="s">
        <v>124</v>
      </c>
      <c r="CA1096" s="4" t="s">
        <v>124</v>
      </c>
      <c r="CB1096" s="4" t="s">
        <v>124</v>
      </c>
      <c r="CC1096" s="4" t="s">
        <v>124</v>
      </c>
      <c r="CD1096" s="7">
        <v>0.980263</v>
      </c>
      <c r="CE1096" s="7">
        <v>50</v>
      </c>
      <c r="CF1096" s="7">
        <v>50</v>
      </c>
      <c r="CG1096" s="4" t="s">
        <v>124</v>
      </c>
      <c r="CH1096" s="4" t="s">
        <v>124</v>
      </c>
      <c r="CI1096" s="4" t="s">
        <v>124</v>
      </c>
      <c r="CJ1096" s="4" t="s">
        <v>124</v>
      </c>
      <c r="CK1096" s="4" t="s">
        <v>124</v>
      </c>
      <c r="CL1096" s="4" t="s">
        <v>124</v>
      </c>
      <c r="CM1096" s="4" t="s">
        <v>124</v>
      </c>
      <c r="CN1096" s="4" t="s">
        <v>124</v>
      </c>
      <c r="CO1096" s="4" t="s">
        <v>124</v>
      </c>
      <c r="CP1096" s="4" t="s">
        <v>124</v>
      </c>
      <c r="CQ1096" s="7">
        <v>0.80555600000000005</v>
      </c>
      <c r="CR1096" s="7">
        <v>1.035971</v>
      </c>
      <c r="CS1096" s="7">
        <v>50</v>
      </c>
      <c r="CT1096" s="7">
        <v>50</v>
      </c>
      <c r="CU1096" s="4" t="s">
        <v>124</v>
      </c>
      <c r="CV1096" s="4" t="s">
        <v>124</v>
      </c>
      <c r="CW1096" s="4" t="s">
        <v>124</v>
      </c>
      <c r="CX1096" s="4" t="s">
        <v>124</v>
      </c>
      <c r="CY1096" s="4" t="s">
        <v>124</v>
      </c>
      <c r="CZ1096" s="4" t="s">
        <v>124</v>
      </c>
      <c r="DA1096" s="7">
        <v>15.314097</v>
      </c>
      <c r="DB1096" s="7">
        <v>17.400950000000002</v>
      </c>
      <c r="DC1096" s="7">
        <v>16.332519999999999</v>
      </c>
      <c r="DD1096" s="4" t="s">
        <v>124</v>
      </c>
      <c r="DE1096" s="7">
        <v>1</v>
      </c>
      <c r="DF1096" s="6"/>
      <c r="DG1096" s="6"/>
      <c r="DH1096" s="6"/>
      <c r="DI1096" s="6"/>
      <c r="DJ1096" s="7">
        <v>0</v>
      </c>
      <c r="DK1096" s="7">
        <v>0</v>
      </c>
      <c r="DL1096" s="7">
        <v>0</v>
      </c>
      <c r="DM1096" s="7">
        <v>0</v>
      </c>
      <c r="DN1096" s="7">
        <v>0</v>
      </c>
      <c r="DO1096" s="7">
        <v>0</v>
      </c>
      <c r="DP1096" s="6"/>
      <c r="DQ1096" s="4" t="s">
        <v>125</v>
      </c>
    </row>
    <row r="1097" spans="1:121" ht="20" customHeight="1" x14ac:dyDescent="0.15">
      <c r="A1097" s="5">
        <v>2018</v>
      </c>
      <c r="B1097" s="3" t="s">
        <v>178</v>
      </c>
      <c r="C1097" s="4" t="str">
        <f t="shared" si="53"/>
        <v>2080012</v>
      </c>
      <c r="D1097" s="4" t="s">
        <v>1239</v>
      </c>
      <c r="E1097" s="4" t="str">
        <f>"2086112"</f>
        <v>2086112</v>
      </c>
      <c r="F1097" s="4" t="s">
        <v>1227</v>
      </c>
      <c r="G1097" s="7">
        <v>9</v>
      </c>
      <c r="H1097" s="7">
        <v>12</v>
      </c>
      <c r="I1097" s="6"/>
      <c r="J1097" s="4" t="s">
        <v>330</v>
      </c>
      <c r="K1097" s="7">
        <v>1244.493422</v>
      </c>
      <c r="L1097" s="7">
        <v>1450</v>
      </c>
      <c r="M1097" s="7">
        <v>85.827133000000003</v>
      </c>
      <c r="N1097" s="7">
        <v>1</v>
      </c>
      <c r="O1097" s="7">
        <v>0</v>
      </c>
      <c r="P1097" s="7">
        <v>67.111568000000005</v>
      </c>
      <c r="Q1097" s="7">
        <v>134.22313700000001</v>
      </c>
      <c r="R1097" s="7">
        <v>150</v>
      </c>
      <c r="S1097" s="7">
        <v>54.936343000000001</v>
      </c>
      <c r="T1097" s="7">
        <v>70.108547000000002</v>
      </c>
      <c r="U1097" s="7">
        <v>109.872685</v>
      </c>
      <c r="V1097" s="7">
        <v>150</v>
      </c>
      <c r="W1097" s="7">
        <v>68.482167000000004</v>
      </c>
      <c r="X1097" s="7">
        <v>136.96433500000001</v>
      </c>
      <c r="Y1097" s="7">
        <v>150</v>
      </c>
      <c r="Z1097" s="7">
        <v>71.744444000000001</v>
      </c>
      <c r="AA1097" s="7">
        <v>55.229166999999997</v>
      </c>
      <c r="AB1097" s="7">
        <v>110.458333</v>
      </c>
      <c r="AC1097" s="7">
        <v>150</v>
      </c>
      <c r="AD1097" s="7">
        <v>71.154178999999999</v>
      </c>
      <c r="AE1097" s="7">
        <v>94.872238999999993</v>
      </c>
      <c r="AF1097" s="7">
        <v>100</v>
      </c>
      <c r="AG1097" s="7">
        <v>59.655524999999997</v>
      </c>
      <c r="AH1097" s="7">
        <v>73.999206999999998</v>
      </c>
      <c r="AI1097" s="7">
        <v>79.540700000000001</v>
      </c>
      <c r="AJ1097" s="7">
        <v>100</v>
      </c>
      <c r="AK1097" s="7">
        <v>15.17</v>
      </c>
      <c r="AL1097" s="7">
        <v>16.510000000000002</v>
      </c>
      <c r="AM1097" s="7">
        <v>14.34</v>
      </c>
      <c r="AN1097" s="4" t="s">
        <v>124</v>
      </c>
      <c r="AO1097" s="4" t="s">
        <v>124</v>
      </c>
      <c r="AP1097" s="4" t="s">
        <v>124</v>
      </c>
      <c r="AQ1097" s="4" t="s">
        <v>124</v>
      </c>
      <c r="AR1097" s="4" t="s">
        <v>124</v>
      </c>
      <c r="AS1097" s="4" t="s">
        <v>124</v>
      </c>
      <c r="AT1097" s="4" t="s">
        <v>124</v>
      </c>
      <c r="AU1097" s="4" t="s">
        <v>124</v>
      </c>
      <c r="AV1097" s="4" t="s">
        <v>124</v>
      </c>
      <c r="AW1097" s="4" t="s">
        <v>124</v>
      </c>
      <c r="AX1097" s="4" t="s">
        <v>124</v>
      </c>
      <c r="AY1097" s="4" t="s">
        <v>124</v>
      </c>
      <c r="AZ1097" s="4" t="s">
        <v>124</v>
      </c>
      <c r="BA1097" s="4" t="s">
        <v>124</v>
      </c>
      <c r="BB1097" s="4" t="s">
        <v>124</v>
      </c>
      <c r="BC1097" s="4" t="s">
        <v>124</v>
      </c>
      <c r="BD1097" s="4" t="s">
        <v>124</v>
      </c>
      <c r="BE1097" s="4" t="s">
        <v>124</v>
      </c>
      <c r="BF1097" s="4" t="s">
        <v>124</v>
      </c>
      <c r="BG1097" s="4" t="s">
        <v>124</v>
      </c>
      <c r="BH1097" s="7">
        <v>0</v>
      </c>
      <c r="BI1097" s="7">
        <v>0.98</v>
      </c>
      <c r="BJ1097" s="7">
        <v>0.98039200000000004</v>
      </c>
      <c r="BK1097" s="7">
        <v>0.97989899999999996</v>
      </c>
      <c r="BL1097" s="7">
        <v>0.98</v>
      </c>
      <c r="BM1097" s="7">
        <v>0.98039200000000004</v>
      </c>
      <c r="BN1097" s="7">
        <v>0.97989899999999996</v>
      </c>
      <c r="BO1097" s="7">
        <v>0.97599999999999998</v>
      </c>
      <c r="BP1097" s="7">
        <v>0.961538</v>
      </c>
      <c r="BQ1097" s="7">
        <v>0.97979799999999995</v>
      </c>
      <c r="BR1097" s="7">
        <v>6.7724999999999994E-2</v>
      </c>
      <c r="BS1097" s="7">
        <v>46.455025999999997</v>
      </c>
      <c r="BT1097" s="7">
        <v>50</v>
      </c>
      <c r="BU1097" s="7">
        <v>0.215054</v>
      </c>
      <c r="BV1097" s="7">
        <v>16.989246999999999</v>
      </c>
      <c r="BW1097" s="7">
        <v>50</v>
      </c>
      <c r="BX1097" s="7">
        <v>0.86335399999999995</v>
      </c>
      <c r="BY1097" s="7">
        <v>50</v>
      </c>
      <c r="BZ1097" s="7">
        <v>50</v>
      </c>
      <c r="CA1097" s="7">
        <v>0.68944099999999997</v>
      </c>
      <c r="CB1097" s="7">
        <v>45.962733</v>
      </c>
      <c r="CC1097" s="7">
        <v>50</v>
      </c>
      <c r="CD1097" s="7">
        <v>0.9375</v>
      </c>
      <c r="CE1097" s="7">
        <v>49.867021000000001</v>
      </c>
      <c r="CF1097" s="7">
        <v>50</v>
      </c>
      <c r="CG1097" s="7">
        <v>0.95185200000000003</v>
      </c>
      <c r="CH1097" s="7">
        <v>100</v>
      </c>
      <c r="CI1097" s="7">
        <v>100</v>
      </c>
      <c r="CJ1097" s="7">
        <v>0</v>
      </c>
      <c r="CK1097" s="7">
        <v>0.90196100000000001</v>
      </c>
      <c r="CL1097" s="7">
        <v>95.953275000000005</v>
      </c>
      <c r="CM1097" s="7">
        <v>100</v>
      </c>
      <c r="CN1097" s="7">
        <v>0.84732799999999997</v>
      </c>
      <c r="CO1097" s="7">
        <v>100</v>
      </c>
      <c r="CP1097" s="7">
        <v>100</v>
      </c>
      <c r="CQ1097" s="7">
        <v>0.58547000000000005</v>
      </c>
      <c r="CR1097" s="7">
        <v>0.90697700000000003</v>
      </c>
      <c r="CS1097" s="7">
        <v>39.031339000000003</v>
      </c>
      <c r="CT1097" s="7">
        <v>50</v>
      </c>
      <c r="CU1097" s="7">
        <v>0.41164000000000001</v>
      </c>
      <c r="CV1097" s="7">
        <v>34.303350999999999</v>
      </c>
      <c r="CW1097" s="7">
        <v>50</v>
      </c>
      <c r="CX1097" s="7">
        <v>0.90196100000000001</v>
      </c>
      <c r="CY1097" s="7">
        <v>0.94</v>
      </c>
      <c r="CZ1097" s="7">
        <v>3.8039000000000003E-2</v>
      </c>
      <c r="DA1097" s="7">
        <v>15.314097</v>
      </c>
      <c r="DB1097" s="7">
        <v>17.400950000000002</v>
      </c>
      <c r="DC1097" s="7">
        <v>16.332519999999999</v>
      </c>
      <c r="DD1097" s="7">
        <v>7.9891730000000001</v>
      </c>
      <c r="DE1097" s="7">
        <v>0</v>
      </c>
      <c r="DF1097" s="6"/>
      <c r="DG1097" s="6"/>
      <c r="DH1097" s="6"/>
      <c r="DI1097" s="6"/>
      <c r="DJ1097" s="7">
        <v>0</v>
      </c>
      <c r="DK1097" s="7">
        <v>0</v>
      </c>
      <c r="DL1097" s="7">
        <v>0</v>
      </c>
      <c r="DM1097" s="7">
        <v>0</v>
      </c>
      <c r="DN1097" s="7">
        <v>0</v>
      </c>
      <c r="DO1097" s="7">
        <v>0</v>
      </c>
      <c r="DP1097" s="6"/>
      <c r="DQ1097" s="4" t="s">
        <v>125</v>
      </c>
    </row>
    <row r="1098" spans="1:121" ht="20" customHeight="1" x14ac:dyDescent="0.15">
      <c r="A1098" s="5">
        <v>2018</v>
      </c>
      <c r="B1098" s="3" t="s">
        <v>178</v>
      </c>
      <c r="C1098" s="4" t="str">
        <f>"2080012"</f>
        <v>2080012</v>
      </c>
      <c r="D1098" s="4" t="s">
        <v>1240</v>
      </c>
      <c r="E1098" s="4" t="str">
        <f>"2085112"</f>
        <v>2085112</v>
      </c>
      <c r="F1098" s="4" t="s">
        <v>1227</v>
      </c>
      <c r="G1098" s="7">
        <v>7</v>
      </c>
      <c r="H1098" s="7">
        <v>8</v>
      </c>
      <c r="I1098" s="4" t="s">
        <v>329</v>
      </c>
      <c r="J1098" s="4" t="s">
        <v>330</v>
      </c>
      <c r="K1098" s="7">
        <v>613.60478000000001</v>
      </c>
      <c r="L1098" s="7">
        <v>900</v>
      </c>
      <c r="M1098" s="7">
        <v>68.178308999999999</v>
      </c>
      <c r="N1098" s="7">
        <v>3</v>
      </c>
      <c r="O1098" s="7">
        <v>1</v>
      </c>
      <c r="P1098" s="7">
        <v>72.760007000000002</v>
      </c>
      <c r="Q1098" s="7">
        <v>48.506672000000002</v>
      </c>
      <c r="R1098" s="7">
        <v>50</v>
      </c>
      <c r="S1098" s="7">
        <v>57.583727000000003</v>
      </c>
      <c r="T1098" s="7">
        <v>75</v>
      </c>
      <c r="U1098" s="7">
        <v>38.389150999999998</v>
      </c>
      <c r="V1098" s="7">
        <v>50</v>
      </c>
      <c r="W1098" s="7">
        <v>68.512156000000004</v>
      </c>
      <c r="X1098" s="7">
        <v>45.674771</v>
      </c>
      <c r="Y1098" s="7">
        <v>50</v>
      </c>
      <c r="Z1098" s="7">
        <v>74.553803000000002</v>
      </c>
      <c r="AA1098" s="7">
        <v>52.039228999999999</v>
      </c>
      <c r="AB1098" s="7">
        <v>34.692819</v>
      </c>
      <c r="AC1098" s="7">
        <v>50</v>
      </c>
      <c r="AD1098" s="7">
        <v>68.724577999999994</v>
      </c>
      <c r="AE1098" s="7">
        <v>45.816384999999997</v>
      </c>
      <c r="AF1098" s="7">
        <v>50</v>
      </c>
      <c r="AG1098" s="7">
        <v>55.533405000000002</v>
      </c>
      <c r="AH1098" s="7">
        <v>73.661625000000001</v>
      </c>
      <c r="AI1098" s="7">
        <v>37.022269999999999</v>
      </c>
      <c r="AJ1098" s="7">
        <v>50</v>
      </c>
      <c r="AK1098" s="7">
        <v>17.41</v>
      </c>
      <c r="AL1098" s="7">
        <v>22.51</v>
      </c>
      <c r="AM1098" s="7">
        <v>18.12</v>
      </c>
      <c r="AN1098" s="7">
        <v>0.51439299999999999</v>
      </c>
      <c r="AO1098" s="7">
        <v>51.439258000000002</v>
      </c>
      <c r="AP1098" s="7">
        <v>100</v>
      </c>
      <c r="AQ1098" s="7">
        <v>0.54697799999999996</v>
      </c>
      <c r="AR1098" s="7">
        <v>54.697769000000001</v>
      </c>
      <c r="AS1098" s="7">
        <v>100</v>
      </c>
      <c r="AT1098" s="7">
        <v>0.40176899999999999</v>
      </c>
      <c r="AU1098" s="7">
        <v>0.55408500000000005</v>
      </c>
      <c r="AV1098" s="7">
        <v>40.176878000000002</v>
      </c>
      <c r="AW1098" s="7">
        <v>100</v>
      </c>
      <c r="AX1098" s="7">
        <v>0.40637899999999999</v>
      </c>
      <c r="AY1098" s="7">
        <v>0.59653</v>
      </c>
      <c r="AZ1098" s="7">
        <v>40.63794</v>
      </c>
      <c r="BA1098" s="7">
        <v>100</v>
      </c>
      <c r="BB1098" s="4" t="s">
        <v>124</v>
      </c>
      <c r="BC1098" s="4" t="s">
        <v>124</v>
      </c>
      <c r="BD1098" s="4" t="s">
        <v>124</v>
      </c>
      <c r="BE1098" s="4" t="s">
        <v>124</v>
      </c>
      <c r="BF1098" s="4" t="s">
        <v>124</v>
      </c>
      <c r="BG1098" s="4" t="s">
        <v>124</v>
      </c>
      <c r="BH1098" s="7">
        <v>0</v>
      </c>
      <c r="BI1098" s="7">
        <v>0.99589300000000003</v>
      </c>
      <c r="BJ1098" s="7">
        <v>1</v>
      </c>
      <c r="BK1098" s="7">
        <v>0.99434999999999996</v>
      </c>
      <c r="BL1098" s="7">
        <v>0.99589300000000003</v>
      </c>
      <c r="BM1098" s="7">
        <v>1</v>
      </c>
      <c r="BN1098" s="7">
        <v>0.99434999999999996</v>
      </c>
      <c r="BO1098" s="7">
        <v>0.99579799999999996</v>
      </c>
      <c r="BP1098" s="7">
        <v>1</v>
      </c>
      <c r="BQ1098" s="7">
        <v>0.99421999999999999</v>
      </c>
      <c r="BR1098" s="7">
        <v>6.9958999999999993E-2</v>
      </c>
      <c r="BS1098" s="7">
        <v>46.008229999999998</v>
      </c>
      <c r="BT1098" s="7">
        <v>50</v>
      </c>
      <c r="BU1098" s="7">
        <v>0.147287</v>
      </c>
      <c r="BV1098" s="7">
        <v>30.542636000000002</v>
      </c>
      <c r="BW1098" s="7">
        <v>50</v>
      </c>
      <c r="BX1098" s="4" t="s">
        <v>124</v>
      </c>
      <c r="BY1098" s="4" t="s">
        <v>124</v>
      </c>
      <c r="BZ1098" s="4" t="s">
        <v>124</v>
      </c>
      <c r="CA1098" s="4" t="s">
        <v>124</v>
      </c>
      <c r="CB1098" s="4" t="s">
        <v>124</v>
      </c>
      <c r="CC1098" s="4" t="s">
        <v>124</v>
      </c>
      <c r="CD1098" s="7">
        <v>0.971831</v>
      </c>
      <c r="CE1098" s="7">
        <v>50</v>
      </c>
      <c r="CF1098" s="7">
        <v>50</v>
      </c>
      <c r="CG1098" s="4" t="s">
        <v>124</v>
      </c>
      <c r="CH1098" s="4" t="s">
        <v>124</v>
      </c>
      <c r="CI1098" s="4" t="s">
        <v>124</v>
      </c>
      <c r="CJ1098" s="4" t="s">
        <v>124</v>
      </c>
      <c r="CK1098" s="4" t="s">
        <v>124</v>
      </c>
      <c r="CL1098" s="4" t="s">
        <v>124</v>
      </c>
      <c r="CM1098" s="4" t="s">
        <v>124</v>
      </c>
      <c r="CN1098" s="4" t="s">
        <v>124</v>
      </c>
      <c r="CO1098" s="4" t="s">
        <v>124</v>
      </c>
      <c r="CP1098" s="4" t="s">
        <v>124</v>
      </c>
      <c r="CQ1098" s="7">
        <v>0.77333300000000005</v>
      </c>
      <c r="CR1098" s="7">
        <v>0.94537800000000005</v>
      </c>
      <c r="CS1098" s="7">
        <v>50</v>
      </c>
      <c r="CT1098" s="7">
        <v>50</v>
      </c>
      <c r="CU1098" s="4" t="s">
        <v>124</v>
      </c>
      <c r="CV1098" s="4" t="s">
        <v>124</v>
      </c>
      <c r="CW1098" s="4" t="s">
        <v>124</v>
      </c>
      <c r="CX1098" s="4" t="s">
        <v>124</v>
      </c>
      <c r="CY1098" s="4" t="s">
        <v>124</v>
      </c>
      <c r="CZ1098" s="4" t="s">
        <v>124</v>
      </c>
      <c r="DA1098" s="7">
        <v>15.314097</v>
      </c>
      <c r="DB1098" s="7">
        <v>17.400950000000002</v>
      </c>
      <c r="DC1098" s="7">
        <v>16.332519999999999</v>
      </c>
      <c r="DD1098" s="4" t="s">
        <v>124</v>
      </c>
      <c r="DE1098" s="7">
        <v>1</v>
      </c>
      <c r="DF1098" s="6"/>
      <c r="DG1098" s="6"/>
      <c r="DH1098" s="6"/>
      <c r="DI1098" s="6"/>
      <c r="DJ1098" s="7">
        <v>0</v>
      </c>
      <c r="DK1098" s="7">
        <v>0</v>
      </c>
      <c r="DL1098" s="7">
        <v>0</v>
      </c>
      <c r="DM1098" s="7">
        <v>0</v>
      </c>
      <c r="DN1098" s="7">
        <v>0</v>
      </c>
      <c r="DO1098" s="7">
        <v>0</v>
      </c>
      <c r="DP1098" s="6"/>
      <c r="DQ1098" s="4" t="s">
        <v>125</v>
      </c>
    </row>
    <row r="1099" spans="1:121" ht="20" customHeight="1" x14ac:dyDescent="0.15">
      <c r="A1099" s="5">
        <v>2018</v>
      </c>
      <c r="B1099" s="3" t="s">
        <v>155</v>
      </c>
      <c r="C1099" s="4" t="str">
        <f t="shared" si="30"/>
        <v>2090012</v>
      </c>
      <c r="D1099" s="4" t="s">
        <v>1241</v>
      </c>
      <c r="E1099" s="4" t="str">
        <f>"2096112"</f>
        <v>2096112</v>
      </c>
      <c r="F1099" s="4" t="s">
        <v>1227</v>
      </c>
      <c r="G1099" s="7">
        <v>9</v>
      </c>
      <c r="H1099" s="7">
        <v>12</v>
      </c>
      <c r="I1099" s="4" t="s">
        <v>329</v>
      </c>
      <c r="J1099" s="4" t="s">
        <v>330</v>
      </c>
      <c r="K1099" s="7">
        <v>1284.3623889999999</v>
      </c>
      <c r="L1099" s="7">
        <v>1450</v>
      </c>
      <c r="M1099" s="7">
        <v>88.576716000000005</v>
      </c>
      <c r="N1099" s="7">
        <v>2</v>
      </c>
      <c r="O1099" s="7">
        <v>1</v>
      </c>
      <c r="P1099" s="7">
        <v>70.836004000000003</v>
      </c>
      <c r="Q1099" s="7">
        <v>141.672009</v>
      </c>
      <c r="R1099" s="7">
        <v>150</v>
      </c>
      <c r="S1099" s="7">
        <v>56.268056000000001</v>
      </c>
      <c r="T1099" s="7">
        <v>74.304563000000002</v>
      </c>
      <c r="U1099" s="7">
        <v>112.53611100000001</v>
      </c>
      <c r="V1099" s="7">
        <v>150</v>
      </c>
      <c r="W1099" s="7">
        <v>70.592146999999997</v>
      </c>
      <c r="X1099" s="7">
        <v>141.18429499999999</v>
      </c>
      <c r="Y1099" s="7">
        <v>150</v>
      </c>
      <c r="Z1099" s="7">
        <v>74.544642999999994</v>
      </c>
      <c r="AA1099" s="7">
        <v>53.991667</v>
      </c>
      <c r="AB1099" s="7">
        <v>107.983333</v>
      </c>
      <c r="AC1099" s="7">
        <v>150</v>
      </c>
      <c r="AD1099" s="7">
        <v>74.700816000000003</v>
      </c>
      <c r="AE1099" s="7">
        <v>99.601087000000007</v>
      </c>
      <c r="AF1099" s="7">
        <v>100</v>
      </c>
      <c r="AG1099" s="7">
        <v>59.079943</v>
      </c>
      <c r="AH1099" s="7">
        <v>75</v>
      </c>
      <c r="AI1099" s="7">
        <v>78.773257000000001</v>
      </c>
      <c r="AJ1099" s="7">
        <v>100</v>
      </c>
      <c r="AK1099" s="7">
        <v>18.03</v>
      </c>
      <c r="AL1099" s="7">
        <v>20.55</v>
      </c>
      <c r="AM1099" s="7">
        <v>15.92</v>
      </c>
      <c r="AN1099" s="4" t="s">
        <v>124</v>
      </c>
      <c r="AO1099" s="4" t="s">
        <v>124</v>
      </c>
      <c r="AP1099" s="4" t="s">
        <v>124</v>
      </c>
      <c r="AQ1099" s="4" t="s">
        <v>124</v>
      </c>
      <c r="AR1099" s="4" t="s">
        <v>124</v>
      </c>
      <c r="AS1099" s="4" t="s">
        <v>124</v>
      </c>
      <c r="AT1099" s="4" t="s">
        <v>124</v>
      </c>
      <c r="AU1099" s="4" t="s">
        <v>124</v>
      </c>
      <c r="AV1099" s="4" t="s">
        <v>124</v>
      </c>
      <c r="AW1099" s="4" t="s">
        <v>124</v>
      </c>
      <c r="AX1099" s="4" t="s">
        <v>124</v>
      </c>
      <c r="AY1099" s="4" t="s">
        <v>124</v>
      </c>
      <c r="AZ1099" s="4" t="s">
        <v>124</v>
      </c>
      <c r="BA1099" s="4" t="s">
        <v>124</v>
      </c>
      <c r="BB1099" s="4" t="s">
        <v>124</v>
      </c>
      <c r="BC1099" s="4" t="s">
        <v>124</v>
      </c>
      <c r="BD1099" s="4" t="s">
        <v>124</v>
      </c>
      <c r="BE1099" s="4" t="s">
        <v>124</v>
      </c>
      <c r="BF1099" s="4" t="s">
        <v>124</v>
      </c>
      <c r="BG1099" s="4" t="s">
        <v>124</v>
      </c>
      <c r="BH1099" s="7">
        <v>1</v>
      </c>
      <c r="BI1099" s="7">
        <v>0.99052099999999998</v>
      </c>
      <c r="BJ1099" s="7">
        <v>0.97619</v>
      </c>
      <c r="BK1099" s="7">
        <v>0.99408300000000005</v>
      </c>
      <c r="BL1099" s="7">
        <v>0.99052099999999998</v>
      </c>
      <c r="BM1099" s="7">
        <v>0.97619</v>
      </c>
      <c r="BN1099" s="7">
        <v>0.99408300000000005</v>
      </c>
      <c r="BO1099" s="7">
        <v>0.96698099999999998</v>
      </c>
      <c r="BP1099" s="7">
        <v>0.90476199999999996</v>
      </c>
      <c r="BQ1099" s="7">
        <v>0.98235300000000003</v>
      </c>
      <c r="BR1099" s="7">
        <v>8.7599999999999997E-2</v>
      </c>
      <c r="BS1099" s="7">
        <v>42.480091000000002</v>
      </c>
      <c r="BT1099" s="7">
        <v>50</v>
      </c>
      <c r="BU1099" s="7">
        <v>0.16564400000000001</v>
      </c>
      <c r="BV1099" s="7">
        <v>26.871165999999999</v>
      </c>
      <c r="BW1099" s="7">
        <v>50</v>
      </c>
      <c r="BX1099" s="7">
        <v>0.59775299999999998</v>
      </c>
      <c r="BY1099" s="7">
        <v>39.850186999999998</v>
      </c>
      <c r="BZ1099" s="7">
        <v>50</v>
      </c>
      <c r="CA1099" s="7">
        <v>0.75280899999999995</v>
      </c>
      <c r="CB1099" s="7">
        <v>50</v>
      </c>
      <c r="CC1099" s="7">
        <v>50</v>
      </c>
      <c r="CD1099" s="7">
        <v>0.99541299999999999</v>
      </c>
      <c r="CE1099" s="7">
        <v>50</v>
      </c>
      <c r="CF1099" s="7">
        <v>50</v>
      </c>
      <c r="CG1099" s="7">
        <v>0.96995699999999996</v>
      </c>
      <c r="CH1099" s="7">
        <v>100</v>
      </c>
      <c r="CI1099" s="7">
        <v>100</v>
      </c>
      <c r="CJ1099" s="7">
        <v>0</v>
      </c>
      <c r="CK1099" s="7">
        <v>0.97368399999999999</v>
      </c>
      <c r="CL1099" s="7">
        <v>100</v>
      </c>
      <c r="CM1099" s="7">
        <v>100</v>
      </c>
      <c r="CN1099" s="7">
        <v>0.81304299999999996</v>
      </c>
      <c r="CO1099" s="7">
        <v>100</v>
      </c>
      <c r="CP1099" s="7">
        <v>100</v>
      </c>
      <c r="CQ1099" s="7">
        <v>0.65116300000000005</v>
      </c>
      <c r="CR1099" s="7">
        <v>0.99536999999999998</v>
      </c>
      <c r="CS1099" s="7">
        <v>43.410853000000003</v>
      </c>
      <c r="CT1099" s="7">
        <v>50</v>
      </c>
      <c r="CU1099" s="7">
        <v>0.72809999999999997</v>
      </c>
      <c r="CV1099" s="7">
        <v>50</v>
      </c>
      <c r="CW1099" s="7">
        <v>50</v>
      </c>
      <c r="CX1099" s="7">
        <v>0.97368399999999999</v>
      </c>
      <c r="CY1099" s="7">
        <v>0.94</v>
      </c>
      <c r="CZ1099" s="7">
        <v>-3.3683999999999999E-2</v>
      </c>
      <c r="DA1099" s="7">
        <v>15.314097</v>
      </c>
      <c r="DB1099" s="7">
        <v>17.400950000000002</v>
      </c>
      <c r="DC1099" s="7">
        <v>16.332519999999999</v>
      </c>
      <c r="DD1099" s="7">
        <v>7.9891730000000001</v>
      </c>
      <c r="DE1099" s="7">
        <v>1</v>
      </c>
      <c r="DF1099" s="6"/>
      <c r="DG1099" s="6"/>
      <c r="DH1099" s="6"/>
      <c r="DI1099" s="6"/>
      <c r="DJ1099" s="7">
        <v>0</v>
      </c>
      <c r="DK1099" s="7">
        <v>0</v>
      </c>
      <c r="DL1099" s="7">
        <v>0</v>
      </c>
      <c r="DM1099" s="7">
        <v>0</v>
      </c>
      <c r="DN1099" s="7">
        <v>0</v>
      </c>
      <c r="DO1099" s="7">
        <v>0</v>
      </c>
      <c r="DP1099" s="6"/>
      <c r="DQ1099" s="4" t="s">
        <v>125</v>
      </c>
    </row>
    <row r="1100" spans="1:121" ht="20" customHeight="1" x14ac:dyDescent="0.15">
      <c r="A1100" s="5">
        <v>2018</v>
      </c>
      <c r="B1100" s="3" t="s">
        <v>156</v>
      </c>
      <c r="C1100" s="4" t="str">
        <f t="shared" si="31"/>
        <v>2100012</v>
      </c>
      <c r="D1100" s="4" t="s">
        <v>1242</v>
      </c>
      <c r="E1100" s="4" t="str">
        <f>"2105112"</f>
        <v>2105112</v>
      </c>
      <c r="F1100" s="4" t="s">
        <v>1227</v>
      </c>
      <c r="G1100" s="7">
        <v>5</v>
      </c>
      <c r="H1100" s="7">
        <v>8</v>
      </c>
      <c r="I1100" s="4" t="s">
        <v>329</v>
      </c>
      <c r="J1100" s="4" t="s">
        <v>330</v>
      </c>
      <c r="K1100" s="7">
        <v>688.40205600000002</v>
      </c>
      <c r="L1100" s="7">
        <v>900</v>
      </c>
      <c r="M1100" s="7">
        <v>76.489116999999993</v>
      </c>
      <c r="N1100" s="7">
        <v>2</v>
      </c>
      <c r="O1100" s="7">
        <v>0</v>
      </c>
      <c r="P1100" s="7">
        <v>75.918875</v>
      </c>
      <c r="Q1100" s="7">
        <v>50</v>
      </c>
      <c r="R1100" s="7">
        <v>50</v>
      </c>
      <c r="S1100" s="7">
        <v>63.667262000000001</v>
      </c>
      <c r="T1100" s="7">
        <v>75</v>
      </c>
      <c r="U1100" s="7">
        <v>42.444840999999997</v>
      </c>
      <c r="V1100" s="7">
        <v>50</v>
      </c>
      <c r="W1100" s="7">
        <v>73.123714000000007</v>
      </c>
      <c r="X1100" s="7">
        <v>48.749142999999997</v>
      </c>
      <c r="Y1100" s="7">
        <v>50</v>
      </c>
      <c r="Z1100" s="7">
        <v>75</v>
      </c>
      <c r="AA1100" s="7">
        <v>62.025680000000001</v>
      </c>
      <c r="AB1100" s="7">
        <v>41.350453000000002</v>
      </c>
      <c r="AC1100" s="7">
        <v>50</v>
      </c>
      <c r="AD1100" s="7">
        <v>73.426428000000001</v>
      </c>
      <c r="AE1100" s="7">
        <v>48.950952000000001</v>
      </c>
      <c r="AF1100" s="7">
        <v>50</v>
      </c>
      <c r="AG1100" s="7">
        <v>65.386989</v>
      </c>
      <c r="AH1100" s="7">
        <v>75</v>
      </c>
      <c r="AI1100" s="7">
        <v>43.591326000000002</v>
      </c>
      <c r="AJ1100" s="7">
        <v>50</v>
      </c>
      <c r="AK1100" s="7">
        <v>11.33</v>
      </c>
      <c r="AL1100" s="7">
        <v>12.97</v>
      </c>
      <c r="AM1100" s="7">
        <v>9.61</v>
      </c>
      <c r="AN1100" s="7">
        <v>0.53805000000000003</v>
      </c>
      <c r="AO1100" s="7">
        <v>53.805036000000001</v>
      </c>
      <c r="AP1100" s="7">
        <v>100</v>
      </c>
      <c r="AQ1100" s="7">
        <v>0.63994600000000001</v>
      </c>
      <c r="AR1100" s="7">
        <v>63.994644000000001</v>
      </c>
      <c r="AS1100" s="7">
        <v>100</v>
      </c>
      <c r="AT1100" s="7">
        <v>0.50253300000000001</v>
      </c>
      <c r="AU1100" s="7">
        <v>0.54724899999999999</v>
      </c>
      <c r="AV1100" s="7">
        <v>50.253312000000001</v>
      </c>
      <c r="AW1100" s="7">
        <v>100</v>
      </c>
      <c r="AX1100" s="7">
        <v>0.59357599999999999</v>
      </c>
      <c r="AY1100" s="7">
        <v>0.65187300000000004</v>
      </c>
      <c r="AZ1100" s="7">
        <v>59.357585999999998</v>
      </c>
      <c r="BA1100" s="7">
        <v>100</v>
      </c>
      <c r="BB1100" s="4" t="s">
        <v>124</v>
      </c>
      <c r="BC1100" s="4" t="s">
        <v>124</v>
      </c>
      <c r="BD1100" s="4" t="s">
        <v>124</v>
      </c>
      <c r="BE1100" s="4" t="s">
        <v>124</v>
      </c>
      <c r="BF1100" s="4" t="s">
        <v>124</v>
      </c>
      <c r="BG1100" s="4" t="s">
        <v>124</v>
      </c>
      <c r="BH1100" s="7">
        <v>0</v>
      </c>
      <c r="BI1100" s="7">
        <v>0.99181399999999997</v>
      </c>
      <c r="BJ1100" s="7">
        <v>0.97237600000000002</v>
      </c>
      <c r="BK1100" s="7">
        <v>0.99818799999999996</v>
      </c>
      <c r="BL1100" s="7">
        <v>0.99180299999999999</v>
      </c>
      <c r="BM1100" s="7">
        <v>0.97222200000000003</v>
      </c>
      <c r="BN1100" s="7">
        <v>0.99818799999999996</v>
      </c>
      <c r="BO1100" s="7">
        <v>0.99453599999999998</v>
      </c>
      <c r="BP1100" s="7">
        <v>0.97872300000000001</v>
      </c>
      <c r="BQ1100" s="7">
        <v>1</v>
      </c>
      <c r="BR1100" s="7">
        <v>3.2786999999999997E-2</v>
      </c>
      <c r="BS1100" s="7">
        <v>50</v>
      </c>
      <c r="BT1100" s="7">
        <v>50</v>
      </c>
      <c r="BU1100" s="7">
        <v>7.4286000000000005E-2</v>
      </c>
      <c r="BV1100" s="7">
        <v>45.142856999999999</v>
      </c>
      <c r="BW1100" s="7">
        <v>50</v>
      </c>
      <c r="BX1100" s="4" t="s">
        <v>124</v>
      </c>
      <c r="BY1100" s="4" t="s">
        <v>124</v>
      </c>
      <c r="BZ1100" s="4" t="s">
        <v>124</v>
      </c>
      <c r="CA1100" s="4" t="s">
        <v>124</v>
      </c>
      <c r="CB1100" s="4" t="s">
        <v>124</v>
      </c>
      <c r="CC1100" s="4" t="s">
        <v>124</v>
      </c>
      <c r="CD1100" s="7">
        <v>0.97014900000000004</v>
      </c>
      <c r="CE1100" s="7">
        <v>50</v>
      </c>
      <c r="CF1100" s="7">
        <v>50</v>
      </c>
      <c r="CG1100" s="4" t="s">
        <v>124</v>
      </c>
      <c r="CH1100" s="4" t="s">
        <v>124</v>
      </c>
      <c r="CI1100" s="4" t="s">
        <v>124</v>
      </c>
      <c r="CJ1100" s="4" t="s">
        <v>124</v>
      </c>
      <c r="CK1100" s="4" t="s">
        <v>124</v>
      </c>
      <c r="CL1100" s="4" t="s">
        <v>124</v>
      </c>
      <c r="CM1100" s="4" t="s">
        <v>124</v>
      </c>
      <c r="CN1100" s="4" t="s">
        <v>124</v>
      </c>
      <c r="CO1100" s="4" t="s">
        <v>124</v>
      </c>
      <c r="CP1100" s="4" t="s">
        <v>124</v>
      </c>
      <c r="CQ1100" s="7">
        <v>0.611429</v>
      </c>
      <c r="CR1100" s="7">
        <v>0.95367800000000003</v>
      </c>
      <c r="CS1100" s="7">
        <v>40.761904999999999</v>
      </c>
      <c r="CT1100" s="7">
        <v>50</v>
      </c>
      <c r="CU1100" s="4" t="s">
        <v>124</v>
      </c>
      <c r="CV1100" s="4" t="s">
        <v>124</v>
      </c>
      <c r="CW1100" s="4" t="s">
        <v>124</v>
      </c>
      <c r="CX1100" s="4" t="s">
        <v>124</v>
      </c>
      <c r="CY1100" s="4" t="s">
        <v>124</v>
      </c>
      <c r="CZ1100" s="4" t="s">
        <v>124</v>
      </c>
      <c r="DA1100" s="7">
        <v>15.314097</v>
      </c>
      <c r="DB1100" s="7">
        <v>17.400950000000002</v>
      </c>
      <c r="DC1100" s="7">
        <v>16.332519999999999</v>
      </c>
      <c r="DD1100" s="4" t="s">
        <v>124</v>
      </c>
      <c r="DE1100" s="7">
        <v>0</v>
      </c>
      <c r="DF1100" s="6"/>
      <c r="DG1100" s="6"/>
      <c r="DH1100" s="6"/>
      <c r="DI1100" s="6"/>
      <c r="DJ1100" s="7">
        <v>0</v>
      </c>
      <c r="DK1100" s="7">
        <v>0</v>
      </c>
      <c r="DL1100" s="7">
        <v>0</v>
      </c>
      <c r="DM1100" s="7">
        <v>0</v>
      </c>
      <c r="DN1100" s="7">
        <v>0</v>
      </c>
      <c r="DO1100" s="7">
        <v>0</v>
      </c>
      <c r="DP1100" s="6"/>
      <c r="DQ1100" s="4" t="s">
        <v>125</v>
      </c>
    </row>
    <row r="1101" spans="1:121" ht="20" customHeight="1" x14ac:dyDescent="0.15">
      <c r="A1101" s="5">
        <v>2018</v>
      </c>
      <c r="B1101" s="3" t="s">
        <v>156</v>
      </c>
      <c r="C1101" s="4" t="str">
        <f t="shared" ref="C1101:C1103" si="278">"2100012"</f>
        <v>2100012</v>
      </c>
      <c r="D1101" s="4" t="s">
        <v>1243</v>
      </c>
      <c r="E1101" s="4" t="str">
        <f>"2100312"</f>
        <v>2100312</v>
      </c>
      <c r="F1101" s="4" t="s">
        <v>1227</v>
      </c>
      <c r="G1101" s="4" t="s">
        <v>328</v>
      </c>
      <c r="H1101" s="7">
        <v>4</v>
      </c>
      <c r="I1101" s="4" t="s">
        <v>329</v>
      </c>
      <c r="J1101" s="4" t="s">
        <v>330</v>
      </c>
      <c r="K1101" s="7">
        <v>462.20734399999998</v>
      </c>
      <c r="L1101" s="7">
        <v>550</v>
      </c>
      <c r="M1101" s="7">
        <v>84.037699000000003</v>
      </c>
      <c r="N1101" s="7">
        <v>2</v>
      </c>
      <c r="O1101" s="7">
        <v>0</v>
      </c>
      <c r="P1101" s="7">
        <v>79.043349000000006</v>
      </c>
      <c r="Q1101" s="7">
        <v>50</v>
      </c>
      <c r="R1101" s="7">
        <v>50</v>
      </c>
      <c r="S1101" s="7">
        <v>62.429461000000003</v>
      </c>
      <c r="T1101" s="7">
        <v>75</v>
      </c>
      <c r="U1101" s="7">
        <v>41.619641000000001</v>
      </c>
      <c r="V1101" s="7">
        <v>50</v>
      </c>
      <c r="W1101" s="7">
        <v>80.678645000000003</v>
      </c>
      <c r="X1101" s="7">
        <v>50</v>
      </c>
      <c r="Y1101" s="7">
        <v>50</v>
      </c>
      <c r="Z1101" s="7">
        <v>75</v>
      </c>
      <c r="AA1101" s="7">
        <v>60.106467000000002</v>
      </c>
      <c r="AB1101" s="7">
        <v>40.070977999999997</v>
      </c>
      <c r="AC1101" s="7">
        <v>50</v>
      </c>
      <c r="AD1101" s="4" t="s">
        <v>124</v>
      </c>
      <c r="AE1101" s="4" t="s">
        <v>124</v>
      </c>
      <c r="AF1101" s="4" t="s">
        <v>124</v>
      </c>
      <c r="AG1101" s="4" t="s">
        <v>124</v>
      </c>
      <c r="AH1101" s="4" t="s">
        <v>124</v>
      </c>
      <c r="AI1101" s="4" t="s">
        <v>124</v>
      </c>
      <c r="AJ1101" s="4" t="s">
        <v>124</v>
      </c>
      <c r="AK1101" s="7">
        <v>12.57</v>
      </c>
      <c r="AL1101" s="7">
        <v>14.89</v>
      </c>
      <c r="AM1101" s="4" t="s">
        <v>124</v>
      </c>
      <c r="AN1101" s="7">
        <v>0.73337699999999995</v>
      </c>
      <c r="AO1101" s="7">
        <v>73.337745999999996</v>
      </c>
      <c r="AP1101" s="7">
        <v>100</v>
      </c>
      <c r="AQ1101" s="7">
        <v>0.91430400000000001</v>
      </c>
      <c r="AR1101" s="7">
        <v>91.430391</v>
      </c>
      <c r="AS1101" s="7">
        <v>100</v>
      </c>
      <c r="AT1101" s="4" t="s">
        <v>124</v>
      </c>
      <c r="AU1101" s="7">
        <v>0.77445399999999998</v>
      </c>
      <c r="AV1101" s="4" t="s">
        <v>124</v>
      </c>
      <c r="AW1101" s="4" t="s">
        <v>124</v>
      </c>
      <c r="AX1101" s="4" t="s">
        <v>124</v>
      </c>
      <c r="AY1101" s="7">
        <v>0.98609400000000003</v>
      </c>
      <c r="AZ1101" s="4" t="s">
        <v>124</v>
      </c>
      <c r="BA1101" s="4" t="s">
        <v>124</v>
      </c>
      <c r="BB1101" s="4" t="s">
        <v>124</v>
      </c>
      <c r="BC1101" s="4" t="s">
        <v>124</v>
      </c>
      <c r="BD1101" s="4" t="s">
        <v>124</v>
      </c>
      <c r="BE1101" s="4" t="s">
        <v>124</v>
      </c>
      <c r="BF1101" s="4" t="s">
        <v>124</v>
      </c>
      <c r="BG1101" s="4" t="s">
        <v>124</v>
      </c>
      <c r="BH1101" s="7">
        <v>0</v>
      </c>
      <c r="BI1101" s="7">
        <v>0.98373999999999995</v>
      </c>
      <c r="BJ1101" s="7">
        <v>0.96666700000000005</v>
      </c>
      <c r="BK1101" s="7">
        <v>0.98924699999999999</v>
      </c>
      <c r="BL1101" s="7">
        <v>0.98373999999999995</v>
      </c>
      <c r="BM1101" s="7">
        <v>0.96666700000000005</v>
      </c>
      <c r="BN1101" s="7">
        <v>0.98924699999999999</v>
      </c>
      <c r="BO1101" s="4" t="s">
        <v>124</v>
      </c>
      <c r="BP1101" s="4" t="s">
        <v>124</v>
      </c>
      <c r="BQ1101" s="4" t="s">
        <v>124</v>
      </c>
      <c r="BR1101" s="7">
        <v>4.8485E-2</v>
      </c>
      <c r="BS1101" s="7">
        <v>50</v>
      </c>
      <c r="BT1101" s="7">
        <v>50</v>
      </c>
      <c r="BU1101" s="7">
        <v>0.1125</v>
      </c>
      <c r="BV1101" s="7">
        <v>37.5</v>
      </c>
      <c r="BW1101" s="7">
        <v>50</v>
      </c>
      <c r="BX1101" s="4" t="s">
        <v>124</v>
      </c>
      <c r="BY1101" s="4" t="s">
        <v>124</v>
      </c>
      <c r="BZ1101" s="4" t="s">
        <v>124</v>
      </c>
      <c r="CA1101" s="4" t="s">
        <v>124</v>
      </c>
      <c r="CB1101" s="4" t="s">
        <v>124</v>
      </c>
      <c r="CC1101" s="4" t="s">
        <v>124</v>
      </c>
      <c r="CD1101" s="4" t="s">
        <v>124</v>
      </c>
      <c r="CE1101" s="4" t="s">
        <v>124</v>
      </c>
      <c r="CF1101" s="4" t="s">
        <v>124</v>
      </c>
      <c r="CG1101" s="4" t="s">
        <v>124</v>
      </c>
      <c r="CH1101" s="4" t="s">
        <v>124</v>
      </c>
      <c r="CI1101" s="4" t="s">
        <v>124</v>
      </c>
      <c r="CJ1101" s="4" t="s">
        <v>124</v>
      </c>
      <c r="CK1101" s="4" t="s">
        <v>124</v>
      </c>
      <c r="CL1101" s="4" t="s">
        <v>124</v>
      </c>
      <c r="CM1101" s="4" t="s">
        <v>124</v>
      </c>
      <c r="CN1101" s="4" t="s">
        <v>124</v>
      </c>
      <c r="CO1101" s="4" t="s">
        <v>124</v>
      </c>
      <c r="CP1101" s="4" t="s">
        <v>124</v>
      </c>
      <c r="CQ1101" s="7">
        <v>0.42372900000000002</v>
      </c>
      <c r="CR1101" s="7">
        <v>0.95161300000000004</v>
      </c>
      <c r="CS1101" s="7">
        <v>28.248588000000002</v>
      </c>
      <c r="CT1101" s="7">
        <v>50</v>
      </c>
      <c r="CU1101" s="4" t="s">
        <v>124</v>
      </c>
      <c r="CV1101" s="4" t="s">
        <v>124</v>
      </c>
      <c r="CW1101" s="4" t="s">
        <v>124</v>
      </c>
      <c r="CX1101" s="4" t="s">
        <v>124</v>
      </c>
      <c r="CY1101" s="4" t="s">
        <v>124</v>
      </c>
      <c r="CZ1101" s="4" t="s">
        <v>124</v>
      </c>
      <c r="DA1101" s="7">
        <v>15.314097</v>
      </c>
      <c r="DB1101" s="7">
        <v>17.400950000000002</v>
      </c>
      <c r="DC1101" s="7">
        <v>16.332519999999999</v>
      </c>
      <c r="DD1101" s="4" t="s">
        <v>124</v>
      </c>
      <c r="DE1101" s="7">
        <v>0</v>
      </c>
      <c r="DF1101" s="6"/>
      <c r="DG1101" s="6"/>
      <c r="DH1101" s="4" t="s">
        <v>331</v>
      </c>
      <c r="DI1101" s="4" t="s">
        <v>590</v>
      </c>
      <c r="DJ1101" s="7">
        <v>0</v>
      </c>
      <c r="DK1101" s="7">
        <v>0</v>
      </c>
      <c r="DL1101" s="7">
        <v>1</v>
      </c>
      <c r="DM1101" s="7">
        <v>0</v>
      </c>
      <c r="DN1101" s="7">
        <v>0</v>
      </c>
      <c r="DO1101" s="7">
        <v>0</v>
      </c>
      <c r="DP1101" s="6"/>
      <c r="DQ1101" s="4" t="s">
        <v>125</v>
      </c>
    </row>
    <row r="1102" spans="1:121" ht="20" customHeight="1" x14ac:dyDescent="0.15">
      <c r="A1102" s="5">
        <v>2018</v>
      </c>
      <c r="B1102" s="3" t="s">
        <v>156</v>
      </c>
      <c r="C1102" s="4" t="str">
        <f t="shared" si="278"/>
        <v>2100012</v>
      </c>
      <c r="D1102" s="4" t="s">
        <v>1244</v>
      </c>
      <c r="E1102" s="4" t="str">
        <f>"2100212"</f>
        <v>2100212</v>
      </c>
      <c r="F1102" s="4" t="s">
        <v>1227</v>
      </c>
      <c r="G1102" s="4" t="s">
        <v>328</v>
      </c>
      <c r="H1102" s="7">
        <v>4</v>
      </c>
      <c r="I1102" s="6"/>
      <c r="J1102" s="4" t="s">
        <v>330</v>
      </c>
      <c r="K1102" s="7">
        <v>462.36052899999999</v>
      </c>
      <c r="L1102" s="7">
        <v>550</v>
      </c>
      <c r="M1102" s="7">
        <v>84.065550999999999</v>
      </c>
      <c r="N1102" s="7">
        <v>2</v>
      </c>
      <c r="O1102" s="7">
        <v>0</v>
      </c>
      <c r="P1102" s="7">
        <v>78.053741000000002</v>
      </c>
      <c r="Q1102" s="7">
        <v>50</v>
      </c>
      <c r="R1102" s="7">
        <v>50</v>
      </c>
      <c r="S1102" s="7">
        <v>70.883707000000001</v>
      </c>
      <c r="T1102" s="7">
        <v>75</v>
      </c>
      <c r="U1102" s="7">
        <v>47.255803999999998</v>
      </c>
      <c r="V1102" s="7">
        <v>50</v>
      </c>
      <c r="W1102" s="7">
        <v>77.059725999999998</v>
      </c>
      <c r="X1102" s="7">
        <v>50</v>
      </c>
      <c r="Y1102" s="7">
        <v>50</v>
      </c>
      <c r="Z1102" s="7">
        <v>75</v>
      </c>
      <c r="AA1102" s="7">
        <v>67.211173000000002</v>
      </c>
      <c r="AB1102" s="7">
        <v>44.807448999999998</v>
      </c>
      <c r="AC1102" s="7">
        <v>50</v>
      </c>
      <c r="AD1102" s="4" t="s">
        <v>124</v>
      </c>
      <c r="AE1102" s="4" t="s">
        <v>124</v>
      </c>
      <c r="AF1102" s="4" t="s">
        <v>124</v>
      </c>
      <c r="AG1102" s="4" t="s">
        <v>124</v>
      </c>
      <c r="AH1102" s="4" t="s">
        <v>124</v>
      </c>
      <c r="AI1102" s="4" t="s">
        <v>124</v>
      </c>
      <c r="AJ1102" s="4" t="s">
        <v>124</v>
      </c>
      <c r="AK1102" s="7">
        <v>4.1100000000000003</v>
      </c>
      <c r="AL1102" s="7">
        <v>7.78</v>
      </c>
      <c r="AM1102" s="4" t="s">
        <v>124</v>
      </c>
      <c r="AN1102" s="7">
        <v>0.69046399999999997</v>
      </c>
      <c r="AO1102" s="7">
        <v>69.046387999999993</v>
      </c>
      <c r="AP1102" s="7">
        <v>100</v>
      </c>
      <c r="AQ1102" s="7">
        <v>0.76500999999999997</v>
      </c>
      <c r="AR1102" s="7">
        <v>76.500979000000001</v>
      </c>
      <c r="AS1102" s="7">
        <v>100</v>
      </c>
      <c r="AT1102" s="4" t="s">
        <v>124</v>
      </c>
      <c r="AU1102" s="7">
        <v>0.70733800000000002</v>
      </c>
      <c r="AV1102" s="4" t="s">
        <v>124</v>
      </c>
      <c r="AW1102" s="4" t="s">
        <v>124</v>
      </c>
      <c r="AX1102" s="4" t="s">
        <v>124</v>
      </c>
      <c r="AY1102" s="7">
        <v>0.78714300000000004</v>
      </c>
      <c r="AZ1102" s="4" t="s">
        <v>124</v>
      </c>
      <c r="BA1102" s="4" t="s">
        <v>124</v>
      </c>
      <c r="BB1102" s="4" t="s">
        <v>124</v>
      </c>
      <c r="BC1102" s="4" t="s">
        <v>124</v>
      </c>
      <c r="BD1102" s="4" t="s">
        <v>124</v>
      </c>
      <c r="BE1102" s="4" t="s">
        <v>124</v>
      </c>
      <c r="BF1102" s="4" t="s">
        <v>124</v>
      </c>
      <c r="BG1102" s="4" t="s">
        <v>124</v>
      </c>
      <c r="BH1102" s="7">
        <v>0</v>
      </c>
      <c r="BI1102" s="7">
        <v>1</v>
      </c>
      <c r="BJ1102" s="7">
        <v>1</v>
      </c>
      <c r="BK1102" s="7">
        <v>1</v>
      </c>
      <c r="BL1102" s="7">
        <v>1</v>
      </c>
      <c r="BM1102" s="7">
        <v>1</v>
      </c>
      <c r="BN1102" s="7">
        <v>1</v>
      </c>
      <c r="BO1102" s="4" t="s">
        <v>124</v>
      </c>
      <c r="BP1102" s="4" t="s">
        <v>124</v>
      </c>
      <c r="BQ1102" s="4" t="s">
        <v>124</v>
      </c>
      <c r="BR1102" s="7">
        <v>3.5443000000000002E-2</v>
      </c>
      <c r="BS1102" s="7">
        <v>50</v>
      </c>
      <c r="BT1102" s="7">
        <v>50</v>
      </c>
      <c r="BU1102" s="7">
        <v>9.0909000000000004E-2</v>
      </c>
      <c r="BV1102" s="7">
        <v>41.818182</v>
      </c>
      <c r="BW1102" s="7">
        <v>50</v>
      </c>
      <c r="BX1102" s="4" t="s">
        <v>124</v>
      </c>
      <c r="BY1102" s="4" t="s">
        <v>124</v>
      </c>
      <c r="BZ1102" s="4" t="s">
        <v>124</v>
      </c>
      <c r="CA1102" s="4" t="s">
        <v>124</v>
      </c>
      <c r="CB1102" s="4" t="s">
        <v>124</v>
      </c>
      <c r="CC1102" s="4" t="s">
        <v>124</v>
      </c>
      <c r="CD1102" s="4" t="s">
        <v>124</v>
      </c>
      <c r="CE1102" s="4" t="s">
        <v>124</v>
      </c>
      <c r="CF1102" s="4" t="s">
        <v>124</v>
      </c>
      <c r="CG1102" s="4" t="s">
        <v>124</v>
      </c>
      <c r="CH1102" s="4" t="s">
        <v>124</v>
      </c>
      <c r="CI1102" s="4" t="s">
        <v>124</v>
      </c>
      <c r="CJ1102" s="4" t="s">
        <v>124</v>
      </c>
      <c r="CK1102" s="4" t="s">
        <v>124</v>
      </c>
      <c r="CL1102" s="4" t="s">
        <v>124</v>
      </c>
      <c r="CM1102" s="4" t="s">
        <v>124</v>
      </c>
      <c r="CN1102" s="4" t="s">
        <v>124</v>
      </c>
      <c r="CO1102" s="4" t="s">
        <v>124</v>
      </c>
      <c r="CP1102" s="4" t="s">
        <v>124</v>
      </c>
      <c r="CQ1102" s="7">
        <v>0.49397600000000003</v>
      </c>
      <c r="CR1102" s="7">
        <v>0.98809499999999995</v>
      </c>
      <c r="CS1102" s="7">
        <v>32.931727000000002</v>
      </c>
      <c r="CT1102" s="7">
        <v>50</v>
      </c>
      <c r="CU1102" s="4" t="s">
        <v>124</v>
      </c>
      <c r="CV1102" s="4" t="s">
        <v>124</v>
      </c>
      <c r="CW1102" s="4" t="s">
        <v>124</v>
      </c>
      <c r="CX1102" s="4" t="s">
        <v>124</v>
      </c>
      <c r="CY1102" s="4" t="s">
        <v>124</v>
      </c>
      <c r="CZ1102" s="4" t="s">
        <v>124</v>
      </c>
      <c r="DA1102" s="7">
        <v>15.314097</v>
      </c>
      <c r="DB1102" s="7">
        <v>17.400950000000002</v>
      </c>
      <c r="DC1102" s="7">
        <v>16.332519999999999</v>
      </c>
      <c r="DD1102" s="4" t="s">
        <v>124</v>
      </c>
      <c r="DE1102" s="7">
        <v>0</v>
      </c>
      <c r="DF1102" s="6"/>
      <c r="DG1102" s="6"/>
      <c r="DH1102" s="6"/>
      <c r="DI1102" s="6"/>
      <c r="DJ1102" s="7">
        <v>0</v>
      </c>
      <c r="DK1102" s="7">
        <v>0</v>
      </c>
      <c r="DL1102" s="7">
        <v>0</v>
      </c>
      <c r="DM1102" s="7">
        <v>0</v>
      </c>
      <c r="DN1102" s="7">
        <v>0</v>
      </c>
      <c r="DO1102" s="7">
        <v>0</v>
      </c>
      <c r="DP1102" s="6"/>
      <c r="DQ1102" s="4" t="s">
        <v>125</v>
      </c>
    </row>
    <row r="1103" spans="1:121" ht="20" customHeight="1" x14ac:dyDescent="0.15">
      <c r="A1103" s="5">
        <v>2018</v>
      </c>
      <c r="B1103" s="3" t="s">
        <v>156</v>
      </c>
      <c r="C1103" s="4" t="str">
        <f t="shared" si="278"/>
        <v>2100012</v>
      </c>
      <c r="D1103" s="4" t="s">
        <v>1245</v>
      </c>
      <c r="E1103" s="4" t="str">
        <f>"2106112"</f>
        <v>2106112</v>
      </c>
      <c r="F1103" s="4" t="s">
        <v>1227</v>
      </c>
      <c r="G1103" s="7">
        <v>9</v>
      </c>
      <c r="H1103" s="7">
        <v>12</v>
      </c>
      <c r="I1103" s="4" t="s">
        <v>329</v>
      </c>
      <c r="J1103" s="4" t="s">
        <v>330</v>
      </c>
      <c r="K1103" s="7">
        <v>1198.7123630000001</v>
      </c>
      <c r="L1103" s="7">
        <v>1450</v>
      </c>
      <c r="M1103" s="7">
        <v>82.669818000000006</v>
      </c>
      <c r="N1103" s="7">
        <v>3</v>
      </c>
      <c r="O1103" s="7">
        <v>1</v>
      </c>
      <c r="P1103" s="7">
        <v>64.721491</v>
      </c>
      <c r="Q1103" s="7">
        <v>129.442982</v>
      </c>
      <c r="R1103" s="7">
        <v>150</v>
      </c>
      <c r="S1103" s="7">
        <v>54.435896999999997</v>
      </c>
      <c r="T1103" s="7">
        <v>66.843914999999996</v>
      </c>
      <c r="U1103" s="7">
        <v>108.87179500000001</v>
      </c>
      <c r="V1103" s="7">
        <v>150</v>
      </c>
      <c r="W1103" s="7">
        <v>59.675803999999999</v>
      </c>
      <c r="X1103" s="7">
        <v>119.351608</v>
      </c>
      <c r="Y1103" s="7">
        <v>150</v>
      </c>
      <c r="Z1103" s="7">
        <v>62.711640000000003</v>
      </c>
      <c r="AA1103" s="7">
        <v>44.963675000000002</v>
      </c>
      <c r="AB1103" s="7">
        <v>89.927350000000004</v>
      </c>
      <c r="AC1103" s="7">
        <v>150</v>
      </c>
      <c r="AD1103" s="7">
        <v>66.699517999999998</v>
      </c>
      <c r="AE1103" s="7">
        <v>88.932689999999994</v>
      </c>
      <c r="AF1103" s="7">
        <v>100</v>
      </c>
      <c r="AG1103" s="7">
        <v>56.360236999999998</v>
      </c>
      <c r="AH1103" s="7">
        <v>69.023852000000005</v>
      </c>
      <c r="AI1103" s="7">
        <v>75.146983000000006</v>
      </c>
      <c r="AJ1103" s="7">
        <v>100</v>
      </c>
      <c r="AK1103" s="7">
        <v>12.4</v>
      </c>
      <c r="AL1103" s="7">
        <v>17.739999999999998</v>
      </c>
      <c r="AM1103" s="7">
        <v>12.66</v>
      </c>
      <c r="AN1103" s="4" t="s">
        <v>124</v>
      </c>
      <c r="AO1103" s="4" t="s">
        <v>124</v>
      </c>
      <c r="AP1103" s="4" t="s">
        <v>124</v>
      </c>
      <c r="AQ1103" s="4" t="s">
        <v>124</v>
      </c>
      <c r="AR1103" s="4" t="s">
        <v>124</v>
      </c>
      <c r="AS1103" s="4" t="s">
        <v>124</v>
      </c>
      <c r="AT1103" s="4" t="s">
        <v>124</v>
      </c>
      <c r="AU1103" s="4" t="s">
        <v>124</v>
      </c>
      <c r="AV1103" s="4" t="s">
        <v>124</v>
      </c>
      <c r="AW1103" s="4" t="s">
        <v>124</v>
      </c>
      <c r="AX1103" s="4" t="s">
        <v>124</v>
      </c>
      <c r="AY1103" s="4" t="s">
        <v>124</v>
      </c>
      <c r="AZ1103" s="4" t="s">
        <v>124</v>
      </c>
      <c r="BA1103" s="4" t="s">
        <v>124</v>
      </c>
      <c r="BB1103" s="4" t="s">
        <v>124</v>
      </c>
      <c r="BC1103" s="4" t="s">
        <v>124</v>
      </c>
      <c r="BD1103" s="4" t="s">
        <v>124</v>
      </c>
      <c r="BE1103" s="4" t="s">
        <v>124</v>
      </c>
      <c r="BF1103" s="4" t="s">
        <v>124</v>
      </c>
      <c r="BG1103" s="4" t="s">
        <v>124</v>
      </c>
      <c r="BH1103" s="7">
        <v>1</v>
      </c>
      <c r="BI1103" s="7">
        <v>0.93902399999999997</v>
      </c>
      <c r="BJ1103" s="7">
        <v>0.84848500000000004</v>
      </c>
      <c r="BK1103" s="7">
        <v>0.96183200000000002</v>
      </c>
      <c r="BL1103" s="7">
        <v>0.93902399999999997</v>
      </c>
      <c r="BM1103" s="7">
        <v>0.84848500000000004</v>
      </c>
      <c r="BN1103" s="7">
        <v>0.96183200000000002</v>
      </c>
      <c r="BO1103" s="7">
        <v>0.96969700000000003</v>
      </c>
      <c r="BP1103" s="7">
        <v>0.93939399999999995</v>
      </c>
      <c r="BQ1103" s="7">
        <v>0.97727299999999995</v>
      </c>
      <c r="BR1103" s="7">
        <v>4.7682000000000002E-2</v>
      </c>
      <c r="BS1103" s="7">
        <v>50</v>
      </c>
      <c r="BT1103" s="7">
        <v>50</v>
      </c>
      <c r="BU1103" s="7">
        <v>0.2</v>
      </c>
      <c r="BV1103" s="7">
        <v>20</v>
      </c>
      <c r="BW1103" s="7">
        <v>50</v>
      </c>
      <c r="BX1103" s="7">
        <v>0.66481999999999997</v>
      </c>
      <c r="BY1103" s="7">
        <v>44.321330000000003</v>
      </c>
      <c r="BZ1103" s="7">
        <v>50</v>
      </c>
      <c r="CA1103" s="7">
        <v>0.60941800000000002</v>
      </c>
      <c r="CB1103" s="7">
        <v>40.627885999999997</v>
      </c>
      <c r="CC1103" s="7">
        <v>50</v>
      </c>
      <c r="CD1103" s="7">
        <v>0.97368399999999999</v>
      </c>
      <c r="CE1103" s="7">
        <v>50</v>
      </c>
      <c r="CF1103" s="7">
        <v>50</v>
      </c>
      <c r="CG1103" s="7">
        <v>0.964646</v>
      </c>
      <c r="CH1103" s="7">
        <v>100</v>
      </c>
      <c r="CI1103" s="7">
        <v>100</v>
      </c>
      <c r="CJ1103" s="7">
        <v>0</v>
      </c>
      <c r="CK1103" s="7">
        <v>0.89743600000000001</v>
      </c>
      <c r="CL1103" s="7">
        <v>95.471903999999995</v>
      </c>
      <c r="CM1103" s="7">
        <v>100</v>
      </c>
      <c r="CN1103" s="7">
        <v>0.82901599999999998</v>
      </c>
      <c r="CO1103" s="7">
        <v>100</v>
      </c>
      <c r="CP1103" s="7">
        <v>100</v>
      </c>
      <c r="CQ1103" s="7">
        <v>0.57575799999999999</v>
      </c>
      <c r="CR1103" s="7">
        <v>0.97058800000000001</v>
      </c>
      <c r="CS1103" s="7">
        <v>38.383837999999997</v>
      </c>
      <c r="CT1103" s="7">
        <v>50</v>
      </c>
      <c r="CU1103" s="7">
        <v>0.57880799999999999</v>
      </c>
      <c r="CV1103" s="7">
        <v>48.233995999999998</v>
      </c>
      <c r="CW1103" s="7">
        <v>50</v>
      </c>
      <c r="CX1103" s="7">
        <v>0.89743600000000001</v>
      </c>
      <c r="CY1103" s="7">
        <v>0.94</v>
      </c>
      <c r="CZ1103" s="7">
        <v>4.2563999999999998E-2</v>
      </c>
      <c r="DA1103" s="7">
        <v>15.314097</v>
      </c>
      <c r="DB1103" s="7">
        <v>17.400950000000002</v>
      </c>
      <c r="DC1103" s="7">
        <v>16.332519999999999</v>
      </c>
      <c r="DD1103" s="7">
        <v>7.9891730000000001</v>
      </c>
      <c r="DE1103" s="7">
        <v>1</v>
      </c>
      <c r="DF1103" s="6"/>
      <c r="DG1103" s="6"/>
      <c r="DH1103" s="6"/>
      <c r="DI1103" s="6"/>
      <c r="DJ1103" s="7">
        <v>0</v>
      </c>
      <c r="DK1103" s="7">
        <v>0</v>
      </c>
      <c r="DL1103" s="7">
        <v>0</v>
      </c>
      <c r="DM1103" s="7">
        <v>0</v>
      </c>
      <c r="DN1103" s="7">
        <v>0</v>
      </c>
      <c r="DO1103" s="7">
        <v>0</v>
      </c>
      <c r="DP1103" s="6"/>
      <c r="DQ1103" s="4" t="s">
        <v>125</v>
      </c>
    </row>
    <row r="1104" spans="1:121" ht="20" customHeight="1" x14ac:dyDescent="0.15">
      <c r="A1104" s="5">
        <v>2018</v>
      </c>
      <c r="B1104" s="3" t="s">
        <v>288</v>
      </c>
      <c r="C1104" s="4" t="str">
        <f t="shared" si="160"/>
        <v>2110012</v>
      </c>
      <c r="D1104" s="4" t="s">
        <v>1246</v>
      </c>
      <c r="E1104" s="4" t="str">
        <f>"2116112"</f>
        <v>2116112</v>
      </c>
      <c r="F1104" s="4" t="s">
        <v>1227</v>
      </c>
      <c r="G1104" s="7">
        <v>7</v>
      </c>
      <c r="H1104" s="7">
        <v>12</v>
      </c>
      <c r="I1104" s="4" t="s">
        <v>329</v>
      </c>
      <c r="J1104" s="4" t="s">
        <v>330</v>
      </c>
      <c r="K1104" s="7">
        <v>860.06986500000005</v>
      </c>
      <c r="L1104" s="7">
        <v>1250</v>
      </c>
      <c r="M1104" s="7">
        <v>68.805588999999998</v>
      </c>
      <c r="N1104" s="7">
        <v>4</v>
      </c>
      <c r="O1104" s="7">
        <v>1</v>
      </c>
      <c r="P1104" s="7">
        <v>67.785780000000003</v>
      </c>
      <c r="Q1104" s="7">
        <v>45.190519999999999</v>
      </c>
      <c r="R1104" s="7">
        <v>50</v>
      </c>
      <c r="S1104" s="7">
        <v>58.192709999999998</v>
      </c>
      <c r="T1104" s="7">
        <v>75</v>
      </c>
      <c r="U1104" s="7">
        <v>38.795140000000004</v>
      </c>
      <c r="V1104" s="7">
        <v>50</v>
      </c>
      <c r="W1104" s="7">
        <v>57.914122999999996</v>
      </c>
      <c r="X1104" s="7">
        <v>38.609414999999998</v>
      </c>
      <c r="Y1104" s="7">
        <v>50</v>
      </c>
      <c r="Z1104" s="7">
        <v>68.003724000000005</v>
      </c>
      <c r="AA1104" s="7">
        <v>46.682302</v>
      </c>
      <c r="AB1104" s="7">
        <v>31.121535000000002</v>
      </c>
      <c r="AC1104" s="7">
        <v>50</v>
      </c>
      <c r="AD1104" s="7">
        <v>66.828322999999997</v>
      </c>
      <c r="AE1104" s="7">
        <v>44.552214999999997</v>
      </c>
      <c r="AF1104" s="7">
        <v>50</v>
      </c>
      <c r="AG1104" s="7">
        <v>54.119667</v>
      </c>
      <c r="AH1104" s="7">
        <v>75</v>
      </c>
      <c r="AI1104" s="7">
        <v>36.079777999999997</v>
      </c>
      <c r="AJ1104" s="7">
        <v>50</v>
      </c>
      <c r="AK1104" s="7">
        <v>16.8</v>
      </c>
      <c r="AL1104" s="7">
        <v>21.32</v>
      </c>
      <c r="AM1104" s="7">
        <v>20.88</v>
      </c>
      <c r="AN1104" s="7">
        <v>0.40505799999999997</v>
      </c>
      <c r="AO1104" s="7">
        <v>40.505831999999998</v>
      </c>
      <c r="AP1104" s="7">
        <v>100</v>
      </c>
      <c r="AQ1104" s="7">
        <v>0.38202999999999998</v>
      </c>
      <c r="AR1104" s="7">
        <v>38.203048000000003</v>
      </c>
      <c r="AS1104" s="7">
        <v>100</v>
      </c>
      <c r="AT1104" s="7">
        <v>0.32396200000000003</v>
      </c>
      <c r="AU1104" s="7">
        <v>0.48813299999999998</v>
      </c>
      <c r="AV1104" s="7">
        <v>32.396158</v>
      </c>
      <c r="AW1104" s="7">
        <v>100</v>
      </c>
      <c r="AX1104" s="7">
        <v>0.280831</v>
      </c>
      <c r="AY1104" s="7">
        <v>0.48569800000000002</v>
      </c>
      <c r="AZ1104" s="7">
        <v>28.083102</v>
      </c>
      <c r="BA1104" s="7">
        <v>100</v>
      </c>
      <c r="BB1104" s="4" t="s">
        <v>124</v>
      </c>
      <c r="BC1104" s="4" t="s">
        <v>124</v>
      </c>
      <c r="BD1104" s="4" t="s">
        <v>124</v>
      </c>
      <c r="BE1104" s="4" t="s">
        <v>124</v>
      </c>
      <c r="BF1104" s="4" t="s">
        <v>124</v>
      </c>
      <c r="BG1104" s="4" t="s">
        <v>124</v>
      </c>
      <c r="BH1104" s="7">
        <v>0</v>
      </c>
      <c r="BI1104" s="7">
        <v>1</v>
      </c>
      <c r="BJ1104" s="7">
        <v>1</v>
      </c>
      <c r="BK1104" s="7">
        <v>1</v>
      </c>
      <c r="BL1104" s="7">
        <v>1</v>
      </c>
      <c r="BM1104" s="7">
        <v>1</v>
      </c>
      <c r="BN1104" s="7">
        <v>1</v>
      </c>
      <c r="BO1104" s="7">
        <v>1</v>
      </c>
      <c r="BP1104" s="7">
        <v>1</v>
      </c>
      <c r="BQ1104" s="7">
        <v>1</v>
      </c>
      <c r="BR1104" s="7">
        <v>6.4219999999999999E-2</v>
      </c>
      <c r="BS1104" s="7">
        <v>47.155963</v>
      </c>
      <c r="BT1104" s="7">
        <v>50</v>
      </c>
      <c r="BU1104" s="7">
        <v>8.6538000000000004E-2</v>
      </c>
      <c r="BV1104" s="7">
        <v>42.692307999999997</v>
      </c>
      <c r="BW1104" s="7">
        <v>50</v>
      </c>
      <c r="BX1104" s="7">
        <v>0.75384600000000002</v>
      </c>
      <c r="BY1104" s="7">
        <v>50</v>
      </c>
      <c r="BZ1104" s="7">
        <v>50</v>
      </c>
      <c r="CA1104" s="7">
        <v>0.43076900000000001</v>
      </c>
      <c r="CB1104" s="7">
        <v>28.717949000000001</v>
      </c>
      <c r="CC1104" s="7">
        <v>50</v>
      </c>
      <c r="CD1104" s="7">
        <v>1</v>
      </c>
      <c r="CE1104" s="7">
        <v>50</v>
      </c>
      <c r="CF1104" s="7">
        <v>50</v>
      </c>
      <c r="CG1104" s="7">
        <v>0.9</v>
      </c>
      <c r="CH1104" s="7">
        <v>95.744681</v>
      </c>
      <c r="CI1104" s="7">
        <v>100</v>
      </c>
      <c r="CJ1104" s="7">
        <v>0</v>
      </c>
      <c r="CK1104" s="4" t="s">
        <v>124</v>
      </c>
      <c r="CL1104" s="4" t="s">
        <v>124</v>
      </c>
      <c r="CM1104" s="4" t="s">
        <v>124</v>
      </c>
      <c r="CN1104" s="7">
        <v>0.65384600000000004</v>
      </c>
      <c r="CO1104" s="7">
        <v>87.179486999999995</v>
      </c>
      <c r="CP1104" s="7">
        <v>100</v>
      </c>
      <c r="CQ1104" s="7">
        <v>0.52564100000000002</v>
      </c>
      <c r="CR1104" s="7">
        <v>1</v>
      </c>
      <c r="CS1104" s="7">
        <v>35.042735</v>
      </c>
      <c r="CT1104" s="7">
        <v>50</v>
      </c>
      <c r="CU1104" s="7">
        <v>0.61832100000000001</v>
      </c>
      <c r="CV1104" s="7">
        <v>50</v>
      </c>
      <c r="CW1104" s="7">
        <v>50</v>
      </c>
      <c r="CX1104" s="4" t="s">
        <v>124</v>
      </c>
      <c r="CY1104" s="4" t="s">
        <v>124</v>
      </c>
      <c r="CZ1104" s="4" t="s">
        <v>124</v>
      </c>
      <c r="DA1104" s="7">
        <v>15.314097</v>
      </c>
      <c r="DB1104" s="7">
        <v>17.400950000000002</v>
      </c>
      <c r="DC1104" s="7">
        <v>16.332519999999999</v>
      </c>
      <c r="DD1104" s="7">
        <v>7.9891730000000001</v>
      </c>
      <c r="DE1104" s="7">
        <v>1</v>
      </c>
      <c r="DF1104" s="4" t="s">
        <v>384</v>
      </c>
      <c r="DG1104" s="4" t="s">
        <v>1247</v>
      </c>
      <c r="DH1104" s="6"/>
      <c r="DI1104" s="6"/>
      <c r="DJ1104" s="7">
        <v>0</v>
      </c>
      <c r="DK1104" s="7">
        <v>0</v>
      </c>
      <c r="DL1104" s="7">
        <v>0</v>
      </c>
      <c r="DM1104" s="7">
        <v>0</v>
      </c>
      <c r="DN1104" s="7">
        <v>0</v>
      </c>
      <c r="DO1104" s="7">
        <v>0</v>
      </c>
      <c r="DP1104" s="6"/>
      <c r="DQ1104" s="4" t="s">
        <v>125</v>
      </c>
    </row>
    <row r="1105" spans="1:121" ht="20" customHeight="1" x14ac:dyDescent="0.15">
      <c r="A1105" s="5">
        <v>2018</v>
      </c>
      <c r="B1105" s="3" t="s">
        <v>289</v>
      </c>
      <c r="C1105" s="4" t="str">
        <f t="shared" si="161"/>
        <v>2120012</v>
      </c>
      <c r="D1105" s="4" t="s">
        <v>1248</v>
      </c>
      <c r="E1105" s="4" t="str">
        <f>"2120212"</f>
        <v>2120212</v>
      </c>
      <c r="F1105" s="4" t="s">
        <v>1227</v>
      </c>
      <c r="G1105" s="4" t="s">
        <v>338</v>
      </c>
      <c r="H1105" s="7">
        <v>5</v>
      </c>
      <c r="I1105" s="6"/>
      <c r="J1105" s="4" t="s">
        <v>330</v>
      </c>
      <c r="K1105" s="7">
        <v>332.34828299999998</v>
      </c>
      <c r="L1105" s="7">
        <v>400</v>
      </c>
      <c r="M1105" s="7">
        <v>83.087070999999995</v>
      </c>
      <c r="N1105" s="7">
        <v>2</v>
      </c>
      <c r="O1105" s="7">
        <v>0</v>
      </c>
      <c r="P1105" s="7">
        <v>88.591465999999997</v>
      </c>
      <c r="Q1105" s="7">
        <v>50</v>
      </c>
      <c r="R1105" s="7">
        <v>50</v>
      </c>
      <c r="S1105" s="4" t="s">
        <v>124</v>
      </c>
      <c r="T1105" s="7">
        <v>75</v>
      </c>
      <c r="U1105" s="4" t="s">
        <v>124</v>
      </c>
      <c r="V1105" s="4" t="s">
        <v>124</v>
      </c>
      <c r="W1105" s="7">
        <v>82.972723999999999</v>
      </c>
      <c r="X1105" s="7">
        <v>50</v>
      </c>
      <c r="Y1105" s="7">
        <v>50</v>
      </c>
      <c r="Z1105" s="7">
        <v>75</v>
      </c>
      <c r="AA1105" s="4" t="s">
        <v>124</v>
      </c>
      <c r="AB1105" s="4" t="s">
        <v>124</v>
      </c>
      <c r="AC1105" s="4" t="s">
        <v>124</v>
      </c>
      <c r="AD1105" s="4" t="s">
        <v>124</v>
      </c>
      <c r="AE1105" s="4" t="s">
        <v>124</v>
      </c>
      <c r="AF1105" s="4" t="s">
        <v>124</v>
      </c>
      <c r="AG1105" s="4" t="s">
        <v>124</v>
      </c>
      <c r="AH1105" s="4" t="s">
        <v>124</v>
      </c>
      <c r="AI1105" s="4" t="s">
        <v>124</v>
      </c>
      <c r="AJ1105" s="4" t="s">
        <v>124</v>
      </c>
      <c r="AK1105" s="4" t="s">
        <v>124</v>
      </c>
      <c r="AL1105" s="4" t="s">
        <v>124</v>
      </c>
      <c r="AM1105" s="4" t="s">
        <v>124</v>
      </c>
      <c r="AN1105" s="7">
        <v>0.86556599999999995</v>
      </c>
      <c r="AO1105" s="7">
        <v>86.556607999999997</v>
      </c>
      <c r="AP1105" s="7">
        <v>100</v>
      </c>
      <c r="AQ1105" s="7">
        <v>0.76239800000000002</v>
      </c>
      <c r="AR1105" s="7">
        <v>76.239818</v>
      </c>
      <c r="AS1105" s="7">
        <v>100</v>
      </c>
      <c r="AT1105" s="4" t="s">
        <v>124</v>
      </c>
      <c r="AU1105" s="4" t="s">
        <v>124</v>
      </c>
      <c r="AV1105" s="4" t="s">
        <v>124</v>
      </c>
      <c r="AW1105" s="4" t="s">
        <v>124</v>
      </c>
      <c r="AX1105" s="4" t="s">
        <v>124</v>
      </c>
      <c r="AY1105" s="4" t="s">
        <v>124</v>
      </c>
      <c r="AZ1105" s="4" t="s">
        <v>124</v>
      </c>
      <c r="BA1105" s="4" t="s">
        <v>124</v>
      </c>
      <c r="BB1105" s="4" t="s">
        <v>124</v>
      </c>
      <c r="BC1105" s="4" t="s">
        <v>124</v>
      </c>
      <c r="BD1105" s="4" t="s">
        <v>124</v>
      </c>
      <c r="BE1105" s="4" t="s">
        <v>124</v>
      </c>
      <c r="BF1105" s="4" t="s">
        <v>124</v>
      </c>
      <c r="BG1105" s="4" t="s">
        <v>124</v>
      </c>
      <c r="BH1105" s="7">
        <v>0</v>
      </c>
      <c r="BI1105" s="7">
        <v>1</v>
      </c>
      <c r="BJ1105" s="4" t="s">
        <v>124</v>
      </c>
      <c r="BK1105" s="7">
        <v>1</v>
      </c>
      <c r="BL1105" s="7">
        <v>1</v>
      </c>
      <c r="BM1105" s="4" t="s">
        <v>124</v>
      </c>
      <c r="BN1105" s="7">
        <v>1</v>
      </c>
      <c r="BO1105" s="4" t="s">
        <v>124</v>
      </c>
      <c r="BP1105" s="4" t="s">
        <v>124</v>
      </c>
      <c r="BQ1105" s="4" t="s">
        <v>124</v>
      </c>
      <c r="BR1105" s="7">
        <v>7.0422999999999999E-2</v>
      </c>
      <c r="BS1105" s="7">
        <v>45.915492999999998</v>
      </c>
      <c r="BT1105" s="7">
        <v>50</v>
      </c>
      <c r="BU1105" s="7">
        <v>0.18181800000000001</v>
      </c>
      <c r="BV1105" s="7">
        <v>23.636364</v>
      </c>
      <c r="BW1105" s="7">
        <v>50</v>
      </c>
      <c r="BX1105" s="4" t="s">
        <v>124</v>
      </c>
      <c r="BY1105" s="4" t="s">
        <v>124</v>
      </c>
      <c r="BZ1105" s="4" t="s">
        <v>124</v>
      </c>
      <c r="CA1105" s="4" t="s">
        <v>124</v>
      </c>
      <c r="CB1105" s="4" t="s">
        <v>124</v>
      </c>
      <c r="CC1105" s="4" t="s">
        <v>124</v>
      </c>
      <c r="CD1105" s="4" t="s">
        <v>124</v>
      </c>
      <c r="CE1105" s="4" t="s">
        <v>124</v>
      </c>
      <c r="CF1105" s="4" t="s">
        <v>124</v>
      </c>
      <c r="CG1105" s="4" t="s">
        <v>124</v>
      </c>
      <c r="CH1105" s="4" t="s">
        <v>124</v>
      </c>
      <c r="CI1105" s="4" t="s">
        <v>124</v>
      </c>
      <c r="CJ1105" s="4" t="s">
        <v>124</v>
      </c>
      <c r="CK1105" s="4" t="s">
        <v>124</v>
      </c>
      <c r="CL1105" s="4" t="s">
        <v>124</v>
      </c>
      <c r="CM1105" s="4" t="s">
        <v>124</v>
      </c>
      <c r="CN1105" s="4" t="s">
        <v>124</v>
      </c>
      <c r="CO1105" s="4" t="s">
        <v>124</v>
      </c>
      <c r="CP1105" s="4" t="s">
        <v>124</v>
      </c>
      <c r="CQ1105" s="4" t="s">
        <v>124</v>
      </c>
      <c r="CR1105" s="4" t="s">
        <v>124</v>
      </c>
      <c r="CS1105" s="4" t="s">
        <v>124</v>
      </c>
      <c r="CT1105" s="4" t="s">
        <v>124</v>
      </c>
      <c r="CU1105" s="4" t="s">
        <v>124</v>
      </c>
      <c r="CV1105" s="4" t="s">
        <v>124</v>
      </c>
      <c r="CW1105" s="4" t="s">
        <v>124</v>
      </c>
      <c r="CX1105" s="4" t="s">
        <v>124</v>
      </c>
      <c r="CY1105" s="4" t="s">
        <v>124</v>
      </c>
      <c r="CZ1105" s="4" t="s">
        <v>124</v>
      </c>
      <c r="DA1105" s="7">
        <v>15.314097</v>
      </c>
      <c r="DB1105" s="7">
        <v>17.400950000000002</v>
      </c>
      <c r="DC1105" s="7">
        <v>16.332519999999999</v>
      </c>
      <c r="DD1105" s="4" t="s">
        <v>124</v>
      </c>
      <c r="DE1105" s="7">
        <v>0</v>
      </c>
      <c r="DF1105" s="6"/>
      <c r="DG1105" s="6"/>
      <c r="DH1105" s="4" t="s">
        <v>331</v>
      </c>
      <c r="DI1105" s="4" t="s">
        <v>500</v>
      </c>
      <c r="DJ1105" s="7">
        <v>0</v>
      </c>
      <c r="DK1105" s="7">
        <v>1</v>
      </c>
      <c r="DL1105" s="7">
        <v>0</v>
      </c>
      <c r="DM1105" s="7">
        <v>0</v>
      </c>
      <c r="DN1105" s="7">
        <v>0</v>
      </c>
      <c r="DO1105" s="7">
        <v>0</v>
      </c>
      <c r="DP1105" s="6"/>
      <c r="DQ1105" s="4" t="s">
        <v>125</v>
      </c>
    </row>
    <row r="1106" spans="1:121" ht="20" customHeight="1" x14ac:dyDescent="0.15">
      <c r="A1106" s="5">
        <v>2018</v>
      </c>
      <c r="B1106" s="3" t="s">
        <v>289</v>
      </c>
      <c r="C1106" s="4" t="str">
        <f t="shared" ref="C1106:C1107" si="279">"2120012"</f>
        <v>2120012</v>
      </c>
      <c r="D1106" s="4" t="s">
        <v>1249</v>
      </c>
      <c r="E1106" s="4" t="str">
        <f>"2120312"</f>
        <v>2120312</v>
      </c>
      <c r="F1106" s="4" t="s">
        <v>1227</v>
      </c>
      <c r="G1106" s="7">
        <v>6</v>
      </c>
      <c r="H1106" s="7">
        <v>12</v>
      </c>
      <c r="I1106" s="4" t="s">
        <v>329</v>
      </c>
      <c r="J1106" s="4" t="s">
        <v>330</v>
      </c>
      <c r="K1106" s="7">
        <v>962.37665000000004</v>
      </c>
      <c r="L1106" s="7">
        <v>1250</v>
      </c>
      <c r="M1106" s="7">
        <v>76.990132000000003</v>
      </c>
      <c r="N1106" s="7">
        <v>2</v>
      </c>
      <c r="O1106" s="7">
        <v>0</v>
      </c>
      <c r="P1106" s="7">
        <v>71.901820999999998</v>
      </c>
      <c r="Q1106" s="7">
        <v>47.934547000000002</v>
      </c>
      <c r="R1106" s="7">
        <v>50</v>
      </c>
      <c r="S1106" s="7">
        <v>63.638370999999999</v>
      </c>
      <c r="T1106" s="7">
        <v>75</v>
      </c>
      <c r="U1106" s="7">
        <v>42.425579999999997</v>
      </c>
      <c r="V1106" s="7">
        <v>50</v>
      </c>
      <c r="W1106" s="7">
        <v>67.744631999999996</v>
      </c>
      <c r="X1106" s="7">
        <v>45.163088000000002</v>
      </c>
      <c r="Y1106" s="7">
        <v>50</v>
      </c>
      <c r="Z1106" s="7">
        <v>73.831423000000001</v>
      </c>
      <c r="AA1106" s="7">
        <v>58.443468000000003</v>
      </c>
      <c r="AB1106" s="7">
        <v>38.962311999999997</v>
      </c>
      <c r="AC1106" s="7">
        <v>50</v>
      </c>
      <c r="AD1106" s="7">
        <v>68.014900999999995</v>
      </c>
      <c r="AE1106" s="7">
        <v>45.343266999999997</v>
      </c>
      <c r="AF1106" s="7">
        <v>50</v>
      </c>
      <c r="AG1106" s="7">
        <v>62.243519999999997</v>
      </c>
      <c r="AH1106" s="7">
        <v>71.602515999999994</v>
      </c>
      <c r="AI1106" s="7">
        <v>41.49568</v>
      </c>
      <c r="AJ1106" s="7">
        <v>50</v>
      </c>
      <c r="AK1106" s="7">
        <v>11.36</v>
      </c>
      <c r="AL1106" s="7">
        <v>15.38</v>
      </c>
      <c r="AM1106" s="7">
        <v>9.35</v>
      </c>
      <c r="AN1106" s="7">
        <v>0.55846700000000005</v>
      </c>
      <c r="AO1106" s="7">
        <v>55.846744000000001</v>
      </c>
      <c r="AP1106" s="7">
        <v>100</v>
      </c>
      <c r="AQ1106" s="7">
        <v>0.55197799999999997</v>
      </c>
      <c r="AR1106" s="7">
        <v>55.197797999999999</v>
      </c>
      <c r="AS1106" s="7">
        <v>100</v>
      </c>
      <c r="AT1106" s="7">
        <v>0.55092699999999994</v>
      </c>
      <c r="AU1106" s="7">
        <v>0.56346499999999999</v>
      </c>
      <c r="AV1106" s="7">
        <v>55.092744000000003</v>
      </c>
      <c r="AW1106" s="7">
        <v>100</v>
      </c>
      <c r="AX1106" s="7">
        <v>0.47008699999999998</v>
      </c>
      <c r="AY1106" s="7">
        <v>0.60530200000000001</v>
      </c>
      <c r="AZ1106" s="7">
        <v>47.008716</v>
      </c>
      <c r="BA1106" s="7">
        <v>100</v>
      </c>
      <c r="BB1106" s="4" t="s">
        <v>124</v>
      </c>
      <c r="BC1106" s="4" t="s">
        <v>124</v>
      </c>
      <c r="BD1106" s="4" t="s">
        <v>124</v>
      </c>
      <c r="BE1106" s="4" t="s">
        <v>124</v>
      </c>
      <c r="BF1106" s="4" t="s">
        <v>124</v>
      </c>
      <c r="BG1106" s="4" t="s">
        <v>124</v>
      </c>
      <c r="BH1106" s="7">
        <v>0</v>
      </c>
      <c r="BI1106" s="7">
        <v>0.99567099999999997</v>
      </c>
      <c r="BJ1106" s="7">
        <v>1</v>
      </c>
      <c r="BK1106" s="7">
        <v>0.99275400000000003</v>
      </c>
      <c r="BL1106" s="7">
        <v>0.99567099999999997</v>
      </c>
      <c r="BM1106" s="7">
        <v>1</v>
      </c>
      <c r="BN1106" s="7">
        <v>0.99275400000000003</v>
      </c>
      <c r="BO1106" s="7">
        <v>0.99199999999999999</v>
      </c>
      <c r="BP1106" s="7">
        <v>1</v>
      </c>
      <c r="BQ1106" s="7">
        <v>0.98666699999999996</v>
      </c>
      <c r="BR1106" s="7">
        <v>7.9518000000000005E-2</v>
      </c>
      <c r="BS1106" s="7">
        <v>44.096386000000003</v>
      </c>
      <c r="BT1106" s="7">
        <v>50</v>
      </c>
      <c r="BU1106" s="7">
        <v>0.122449</v>
      </c>
      <c r="BV1106" s="7">
        <v>35.510204000000002</v>
      </c>
      <c r="BW1106" s="7">
        <v>50</v>
      </c>
      <c r="BX1106" s="7">
        <v>0.72222200000000003</v>
      </c>
      <c r="BY1106" s="7">
        <v>48.148147999999999</v>
      </c>
      <c r="BZ1106" s="7">
        <v>50</v>
      </c>
      <c r="CA1106" s="7">
        <v>0.60416700000000001</v>
      </c>
      <c r="CB1106" s="7">
        <v>40.277777999999998</v>
      </c>
      <c r="CC1106" s="7">
        <v>50</v>
      </c>
      <c r="CD1106" s="7">
        <v>0.981132</v>
      </c>
      <c r="CE1106" s="7">
        <v>50</v>
      </c>
      <c r="CF1106" s="7">
        <v>50</v>
      </c>
      <c r="CG1106" s="7">
        <v>0.95238100000000003</v>
      </c>
      <c r="CH1106" s="7">
        <v>100</v>
      </c>
      <c r="CI1106" s="7">
        <v>100</v>
      </c>
      <c r="CJ1106" s="7">
        <v>0</v>
      </c>
      <c r="CK1106" s="4" t="s">
        <v>124</v>
      </c>
      <c r="CL1106" s="4" t="s">
        <v>124</v>
      </c>
      <c r="CM1106" s="4" t="s">
        <v>124</v>
      </c>
      <c r="CN1106" s="7">
        <v>0.73770500000000006</v>
      </c>
      <c r="CO1106" s="7">
        <v>98.360656000000006</v>
      </c>
      <c r="CP1106" s="7">
        <v>100</v>
      </c>
      <c r="CQ1106" s="7">
        <v>0.64539000000000002</v>
      </c>
      <c r="CR1106" s="7">
        <v>0.89808900000000003</v>
      </c>
      <c r="CS1106" s="7">
        <v>21.513002</v>
      </c>
      <c r="CT1106" s="7">
        <v>50</v>
      </c>
      <c r="CU1106" s="7">
        <v>0.75095800000000001</v>
      </c>
      <c r="CV1106" s="7">
        <v>50</v>
      </c>
      <c r="CW1106" s="7">
        <v>50</v>
      </c>
      <c r="CX1106" s="4" t="s">
        <v>124</v>
      </c>
      <c r="CY1106" s="4" t="s">
        <v>124</v>
      </c>
      <c r="CZ1106" s="4" t="s">
        <v>124</v>
      </c>
      <c r="DA1106" s="7">
        <v>15.314097</v>
      </c>
      <c r="DB1106" s="7">
        <v>17.400950000000002</v>
      </c>
      <c r="DC1106" s="7">
        <v>16.332519999999999</v>
      </c>
      <c r="DD1106" s="7">
        <v>7.9891730000000001</v>
      </c>
      <c r="DE1106" s="7">
        <v>0</v>
      </c>
      <c r="DF1106" s="6"/>
      <c r="DG1106" s="6"/>
      <c r="DH1106" s="6"/>
      <c r="DI1106" s="6"/>
      <c r="DJ1106" s="7">
        <v>0</v>
      </c>
      <c r="DK1106" s="7">
        <v>0</v>
      </c>
      <c r="DL1106" s="7">
        <v>0</v>
      </c>
      <c r="DM1106" s="7">
        <v>0</v>
      </c>
      <c r="DN1106" s="7">
        <v>0</v>
      </c>
      <c r="DO1106" s="7">
        <v>0</v>
      </c>
      <c r="DP1106" s="6"/>
      <c r="DQ1106" s="4" t="s">
        <v>125</v>
      </c>
    </row>
    <row r="1107" spans="1:121" ht="20" customHeight="1" x14ac:dyDescent="0.15">
      <c r="A1107" s="5">
        <v>2018</v>
      </c>
      <c r="B1107" s="3" t="s">
        <v>289</v>
      </c>
      <c r="C1107" s="4" t="str">
        <f t="shared" si="279"/>
        <v>2120012</v>
      </c>
      <c r="D1107" s="4" t="s">
        <v>1250</v>
      </c>
      <c r="E1107" s="4" t="str">
        <f>"2120112"</f>
        <v>2120112</v>
      </c>
      <c r="F1107" s="4" t="s">
        <v>1227</v>
      </c>
      <c r="G1107" s="4" t="s">
        <v>338</v>
      </c>
      <c r="H1107" s="7">
        <v>5</v>
      </c>
      <c r="I1107" s="6"/>
      <c r="J1107" s="4" t="s">
        <v>330</v>
      </c>
      <c r="K1107" s="7">
        <v>250</v>
      </c>
      <c r="L1107" s="7">
        <v>250</v>
      </c>
      <c r="M1107" s="7">
        <v>100</v>
      </c>
      <c r="N1107" s="7">
        <v>1</v>
      </c>
      <c r="O1107" s="7">
        <v>0</v>
      </c>
      <c r="P1107" s="7">
        <v>91.679069999999996</v>
      </c>
      <c r="Q1107" s="7">
        <v>100</v>
      </c>
      <c r="R1107" s="7">
        <v>100</v>
      </c>
      <c r="S1107" s="4" t="s">
        <v>124</v>
      </c>
      <c r="T1107" s="4" t="s">
        <v>124</v>
      </c>
      <c r="U1107" s="4" t="s">
        <v>124</v>
      </c>
      <c r="V1107" s="4" t="s">
        <v>124</v>
      </c>
      <c r="W1107" s="7">
        <v>90.831243999999998</v>
      </c>
      <c r="X1107" s="7">
        <v>100</v>
      </c>
      <c r="Y1107" s="7">
        <v>100</v>
      </c>
      <c r="Z1107" s="4" t="s">
        <v>124</v>
      </c>
      <c r="AA1107" s="4" t="s">
        <v>124</v>
      </c>
      <c r="AB1107" s="4" t="s">
        <v>124</v>
      </c>
      <c r="AC1107" s="4" t="s">
        <v>124</v>
      </c>
      <c r="AD1107" s="4" t="s">
        <v>124</v>
      </c>
      <c r="AE1107" s="4" t="s">
        <v>124</v>
      </c>
      <c r="AF1107" s="4" t="s">
        <v>124</v>
      </c>
      <c r="AG1107" s="4" t="s">
        <v>124</v>
      </c>
      <c r="AH1107" s="4" t="s">
        <v>124</v>
      </c>
      <c r="AI1107" s="4" t="s">
        <v>124</v>
      </c>
      <c r="AJ1107" s="4" t="s">
        <v>124</v>
      </c>
      <c r="AK1107" s="4" t="s">
        <v>124</v>
      </c>
      <c r="AL1107" s="4" t="s">
        <v>124</v>
      </c>
      <c r="AM1107" s="4" t="s">
        <v>124</v>
      </c>
      <c r="AN1107" s="4" t="s">
        <v>124</v>
      </c>
      <c r="AO1107" s="4" t="s">
        <v>124</v>
      </c>
      <c r="AP1107" s="4" t="s">
        <v>124</v>
      </c>
      <c r="AQ1107" s="4" t="s">
        <v>124</v>
      </c>
      <c r="AR1107" s="4" t="s">
        <v>124</v>
      </c>
      <c r="AS1107" s="4" t="s">
        <v>124</v>
      </c>
      <c r="AT1107" s="4" t="s">
        <v>124</v>
      </c>
      <c r="AU1107" s="4" t="s">
        <v>124</v>
      </c>
      <c r="AV1107" s="4" t="s">
        <v>124</v>
      </c>
      <c r="AW1107" s="4" t="s">
        <v>124</v>
      </c>
      <c r="AX1107" s="4" t="s">
        <v>124</v>
      </c>
      <c r="AY1107" s="4" t="s">
        <v>124</v>
      </c>
      <c r="AZ1107" s="4" t="s">
        <v>124</v>
      </c>
      <c r="BA1107" s="4" t="s">
        <v>124</v>
      </c>
      <c r="BB1107" s="4" t="s">
        <v>124</v>
      </c>
      <c r="BC1107" s="4" t="s">
        <v>124</v>
      </c>
      <c r="BD1107" s="4" t="s">
        <v>124</v>
      </c>
      <c r="BE1107" s="4" t="s">
        <v>124</v>
      </c>
      <c r="BF1107" s="4" t="s">
        <v>124</v>
      </c>
      <c r="BG1107" s="4" t="s">
        <v>124</v>
      </c>
      <c r="BH1107" s="7">
        <v>0</v>
      </c>
      <c r="BI1107" s="7">
        <v>0.961538</v>
      </c>
      <c r="BJ1107" s="4" t="s">
        <v>124</v>
      </c>
      <c r="BK1107" s="4" t="s">
        <v>124</v>
      </c>
      <c r="BL1107" s="7">
        <v>0.961538</v>
      </c>
      <c r="BM1107" s="4" t="s">
        <v>124</v>
      </c>
      <c r="BN1107" s="4" t="s">
        <v>124</v>
      </c>
      <c r="BO1107" s="4" t="s">
        <v>124</v>
      </c>
      <c r="BP1107" s="4" t="s">
        <v>124</v>
      </c>
      <c r="BQ1107" s="4" t="s">
        <v>124</v>
      </c>
      <c r="BR1107" s="7">
        <v>3.8462000000000003E-2</v>
      </c>
      <c r="BS1107" s="7">
        <v>50</v>
      </c>
      <c r="BT1107" s="7">
        <v>50</v>
      </c>
      <c r="BU1107" s="4" t="s">
        <v>124</v>
      </c>
      <c r="BV1107" s="4" t="s">
        <v>124</v>
      </c>
      <c r="BW1107" s="4" t="s">
        <v>124</v>
      </c>
      <c r="BX1107" s="4" t="s">
        <v>124</v>
      </c>
      <c r="BY1107" s="4" t="s">
        <v>124</v>
      </c>
      <c r="BZ1107" s="4" t="s">
        <v>124</v>
      </c>
      <c r="CA1107" s="4" t="s">
        <v>124</v>
      </c>
      <c r="CB1107" s="4" t="s">
        <v>124</v>
      </c>
      <c r="CC1107" s="4" t="s">
        <v>124</v>
      </c>
      <c r="CD1107" s="4" t="s">
        <v>124</v>
      </c>
      <c r="CE1107" s="4" t="s">
        <v>124</v>
      </c>
      <c r="CF1107" s="4" t="s">
        <v>124</v>
      </c>
      <c r="CG1107" s="4" t="s">
        <v>124</v>
      </c>
      <c r="CH1107" s="4" t="s">
        <v>124</v>
      </c>
      <c r="CI1107" s="4" t="s">
        <v>124</v>
      </c>
      <c r="CJ1107" s="4" t="s">
        <v>124</v>
      </c>
      <c r="CK1107" s="4" t="s">
        <v>124</v>
      </c>
      <c r="CL1107" s="4" t="s">
        <v>124</v>
      </c>
      <c r="CM1107" s="4" t="s">
        <v>124</v>
      </c>
      <c r="CN1107" s="4" t="s">
        <v>124</v>
      </c>
      <c r="CO1107" s="4" t="s">
        <v>124</v>
      </c>
      <c r="CP1107" s="4" t="s">
        <v>124</v>
      </c>
      <c r="CQ1107" s="4" t="s">
        <v>124</v>
      </c>
      <c r="CR1107" s="4" t="s">
        <v>124</v>
      </c>
      <c r="CS1107" s="4" t="s">
        <v>124</v>
      </c>
      <c r="CT1107" s="4" t="s">
        <v>124</v>
      </c>
      <c r="CU1107" s="4" t="s">
        <v>124</v>
      </c>
      <c r="CV1107" s="4" t="s">
        <v>124</v>
      </c>
      <c r="CW1107" s="4" t="s">
        <v>124</v>
      </c>
      <c r="CX1107" s="4" t="s">
        <v>124</v>
      </c>
      <c r="CY1107" s="4" t="s">
        <v>124</v>
      </c>
      <c r="CZ1107" s="4" t="s">
        <v>124</v>
      </c>
      <c r="DA1107" s="7">
        <v>15.314097</v>
      </c>
      <c r="DB1107" s="7">
        <v>17.400950000000002</v>
      </c>
      <c r="DC1107" s="7">
        <v>16.332519999999999</v>
      </c>
      <c r="DD1107" s="4" t="s">
        <v>124</v>
      </c>
      <c r="DE1107" s="7">
        <v>0</v>
      </c>
      <c r="DF1107" s="6"/>
      <c r="DG1107" s="6"/>
      <c r="DH1107" s="4" t="s">
        <v>331</v>
      </c>
      <c r="DI1107" s="4" t="s">
        <v>332</v>
      </c>
      <c r="DJ1107" s="7">
        <v>1</v>
      </c>
      <c r="DK1107" s="7">
        <v>0</v>
      </c>
      <c r="DL1107" s="7">
        <v>0</v>
      </c>
      <c r="DM1107" s="7">
        <v>0</v>
      </c>
      <c r="DN1107" s="7">
        <v>0</v>
      </c>
      <c r="DO1107" s="7">
        <v>0</v>
      </c>
      <c r="DP1107" s="6"/>
      <c r="DQ1107" s="4" t="s">
        <v>125</v>
      </c>
    </row>
    <row r="1108" spans="1:121" ht="20" customHeight="1" x14ac:dyDescent="0.15">
      <c r="A1108" s="5">
        <v>2018</v>
      </c>
      <c r="B1108" s="3" t="s">
        <v>289</v>
      </c>
      <c r="C1108" s="4" t="str">
        <f>"2120012"</f>
        <v>2120012</v>
      </c>
      <c r="D1108" s="4" t="s">
        <v>1251</v>
      </c>
      <c r="E1108" s="4" t="str">
        <f>"2120412"</f>
        <v>2120412</v>
      </c>
      <c r="F1108" s="4" t="s">
        <v>1227</v>
      </c>
      <c r="G1108" s="4" t="s">
        <v>328</v>
      </c>
      <c r="H1108" s="7">
        <v>5</v>
      </c>
      <c r="I1108" s="4" t="s">
        <v>329</v>
      </c>
      <c r="J1108" s="4" t="s">
        <v>330</v>
      </c>
      <c r="K1108" s="7">
        <v>397.46250400000002</v>
      </c>
      <c r="L1108" s="7">
        <v>450</v>
      </c>
      <c r="M1108" s="7">
        <v>88.325001</v>
      </c>
      <c r="N1108" s="7">
        <v>1</v>
      </c>
      <c r="O1108" s="7">
        <v>0</v>
      </c>
      <c r="P1108" s="7">
        <v>84.890968999999998</v>
      </c>
      <c r="Q1108" s="7">
        <v>50</v>
      </c>
      <c r="R1108" s="7">
        <v>50</v>
      </c>
      <c r="S1108" s="4" t="s">
        <v>124</v>
      </c>
      <c r="T1108" s="7">
        <v>75</v>
      </c>
      <c r="U1108" s="4" t="s">
        <v>124</v>
      </c>
      <c r="V1108" s="4" t="s">
        <v>124</v>
      </c>
      <c r="W1108" s="7">
        <v>83.653509999999997</v>
      </c>
      <c r="X1108" s="7">
        <v>50</v>
      </c>
      <c r="Y1108" s="7">
        <v>50</v>
      </c>
      <c r="Z1108" s="7">
        <v>75</v>
      </c>
      <c r="AA1108" s="4" t="s">
        <v>124</v>
      </c>
      <c r="AB1108" s="4" t="s">
        <v>124</v>
      </c>
      <c r="AC1108" s="4" t="s">
        <v>124</v>
      </c>
      <c r="AD1108" s="7">
        <v>82.193548000000007</v>
      </c>
      <c r="AE1108" s="7">
        <v>50</v>
      </c>
      <c r="AF1108" s="7">
        <v>50</v>
      </c>
      <c r="AG1108" s="4" t="s">
        <v>124</v>
      </c>
      <c r="AH1108" s="4" t="s">
        <v>124</v>
      </c>
      <c r="AI1108" s="4" t="s">
        <v>124</v>
      </c>
      <c r="AJ1108" s="4" t="s">
        <v>124</v>
      </c>
      <c r="AK1108" s="4" t="s">
        <v>124</v>
      </c>
      <c r="AL1108" s="4" t="s">
        <v>124</v>
      </c>
      <c r="AM1108" s="4" t="s">
        <v>124</v>
      </c>
      <c r="AN1108" s="7">
        <v>0.78619300000000003</v>
      </c>
      <c r="AO1108" s="7">
        <v>78.619304</v>
      </c>
      <c r="AP1108" s="7">
        <v>100</v>
      </c>
      <c r="AQ1108" s="7">
        <v>0.82866600000000001</v>
      </c>
      <c r="AR1108" s="7">
        <v>82.866602999999998</v>
      </c>
      <c r="AS1108" s="7">
        <v>100</v>
      </c>
      <c r="AT1108" s="4" t="s">
        <v>124</v>
      </c>
      <c r="AU1108" s="7">
        <v>0.82493799999999995</v>
      </c>
      <c r="AV1108" s="4" t="s">
        <v>124</v>
      </c>
      <c r="AW1108" s="4" t="s">
        <v>124</v>
      </c>
      <c r="AX1108" s="4" t="s">
        <v>124</v>
      </c>
      <c r="AY1108" s="7">
        <v>0.861487</v>
      </c>
      <c r="AZ1108" s="4" t="s">
        <v>124</v>
      </c>
      <c r="BA1108" s="4" t="s">
        <v>124</v>
      </c>
      <c r="BB1108" s="4" t="s">
        <v>124</v>
      </c>
      <c r="BC1108" s="4" t="s">
        <v>124</v>
      </c>
      <c r="BD1108" s="4" t="s">
        <v>124</v>
      </c>
      <c r="BE1108" s="4" t="s">
        <v>124</v>
      </c>
      <c r="BF1108" s="4" t="s">
        <v>124</v>
      </c>
      <c r="BG1108" s="4" t="s">
        <v>124</v>
      </c>
      <c r="BH1108" s="7">
        <v>0</v>
      </c>
      <c r="BI1108" s="7">
        <v>1</v>
      </c>
      <c r="BJ1108" s="4" t="s">
        <v>124</v>
      </c>
      <c r="BK1108" s="7">
        <v>1</v>
      </c>
      <c r="BL1108" s="7">
        <v>1</v>
      </c>
      <c r="BM1108" s="4" t="s">
        <v>124</v>
      </c>
      <c r="BN1108" s="7">
        <v>1</v>
      </c>
      <c r="BO1108" s="7">
        <v>1</v>
      </c>
      <c r="BP1108" s="4" t="s">
        <v>124</v>
      </c>
      <c r="BQ1108" s="4" t="s">
        <v>124</v>
      </c>
      <c r="BR1108" s="7">
        <v>7.9208000000000001E-2</v>
      </c>
      <c r="BS1108" s="7">
        <v>44.158416000000003</v>
      </c>
      <c r="BT1108" s="7">
        <v>50</v>
      </c>
      <c r="BU1108" s="7">
        <v>9.0909000000000004E-2</v>
      </c>
      <c r="BV1108" s="7">
        <v>41.818182</v>
      </c>
      <c r="BW1108" s="7">
        <v>50</v>
      </c>
      <c r="BX1108" s="4" t="s">
        <v>124</v>
      </c>
      <c r="BY1108" s="4" t="s">
        <v>124</v>
      </c>
      <c r="BZ1108" s="4" t="s">
        <v>124</v>
      </c>
      <c r="CA1108" s="4" t="s">
        <v>124</v>
      </c>
      <c r="CB1108" s="4" t="s">
        <v>124</v>
      </c>
      <c r="CC1108" s="4" t="s">
        <v>124</v>
      </c>
      <c r="CD1108" s="4" t="s">
        <v>124</v>
      </c>
      <c r="CE1108" s="4" t="s">
        <v>124</v>
      </c>
      <c r="CF1108" s="4" t="s">
        <v>124</v>
      </c>
      <c r="CG1108" s="4" t="s">
        <v>124</v>
      </c>
      <c r="CH1108" s="4" t="s">
        <v>124</v>
      </c>
      <c r="CI1108" s="4" t="s">
        <v>124</v>
      </c>
      <c r="CJ1108" s="4" t="s">
        <v>124</v>
      </c>
      <c r="CK1108" s="4" t="s">
        <v>124</v>
      </c>
      <c r="CL1108" s="4" t="s">
        <v>124</v>
      </c>
      <c r="CM1108" s="4" t="s">
        <v>124</v>
      </c>
      <c r="CN1108" s="4" t="s">
        <v>124</v>
      </c>
      <c r="CO1108" s="4" t="s">
        <v>124</v>
      </c>
      <c r="CP1108" s="4" t="s">
        <v>124</v>
      </c>
      <c r="CQ1108" s="4" t="s">
        <v>124</v>
      </c>
      <c r="CR1108" s="4" t="s">
        <v>124</v>
      </c>
      <c r="CS1108" s="4" t="s">
        <v>124</v>
      </c>
      <c r="CT1108" s="4" t="s">
        <v>124</v>
      </c>
      <c r="CU1108" s="4" t="s">
        <v>124</v>
      </c>
      <c r="CV1108" s="4" t="s">
        <v>124</v>
      </c>
      <c r="CW1108" s="4" t="s">
        <v>124</v>
      </c>
      <c r="CX1108" s="4" t="s">
        <v>124</v>
      </c>
      <c r="CY1108" s="4" t="s">
        <v>124</v>
      </c>
      <c r="CZ1108" s="4" t="s">
        <v>124</v>
      </c>
      <c r="DA1108" s="7">
        <v>15.314097</v>
      </c>
      <c r="DB1108" s="7">
        <v>17.400950000000002</v>
      </c>
      <c r="DC1108" s="7">
        <v>16.332519999999999</v>
      </c>
      <c r="DD1108" s="4" t="s">
        <v>124</v>
      </c>
      <c r="DE1108" s="7">
        <v>0</v>
      </c>
      <c r="DF1108" s="6"/>
      <c r="DG1108" s="6"/>
      <c r="DH1108" s="4" t="s">
        <v>331</v>
      </c>
      <c r="DI1108" s="4" t="s">
        <v>738</v>
      </c>
      <c r="DJ1108" s="7">
        <v>1</v>
      </c>
      <c r="DK1108" s="7">
        <v>1</v>
      </c>
      <c r="DL1108" s="7">
        <v>0</v>
      </c>
      <c r="DM1108" s="7">
        <v>0</v>
      </c>
      <c r="DN1108" s="7">
        <v>0</v>
      </c>
      <c r="DO1108" s="7">
        <v>0</v>
      </c>
      <c r="DP1108" s="6"/>
      <c r="DQ1108" s="4" t="s">
        <v>125</v>
      </c>
    </row>
    <row r="1109" spans="1:121" ht="20" customHeight="1" x14ac:dyDescent="0.15">
      <c r="A1109" s="5">
        <v>2018</v>
      </c>
      <c r="B1109" s="3" t="s">
        <v>290</v>
      </c>
      <c r="C1109" s="4" t="str">
        <f t="shared" si="162"/>
        <v>2130012</v>
      </c>
      <c r="D1109" s="4" t="s">
        <v>1252</v>
      </c>
      <c r="E1109" s="4" t="str">
        <f>"2136112"</f>
        <v>2136112</v>
      </c>
      <c r="F1109" s="4" t="s">
        <v>1227</v>
      </c>
      <c r="G1109" s="7">
        <v>9</v>
      </c>
      <c r="H1109" s="7">
        <v>12</v>
      </c>
      <c r="I1109" s="4" t="s">
        <v>329</v>
      </c>
      <c r="J1109" s="4" t="s">
        <v>330</v>
      </c>
      <c r="K1109" s="7">
        <v>1194.540923</v>
      </c>
      <c r="L1109" s="7">
        <v>1450</v>
      </c>
      <c r="M1109" s="7">
        <v>82.382132999999996</v>
      </c>
      <c r="N1109" s="7">
        <v>3</v>
      </c>
      <c r="O1109" s="7">
        <v>1</v>
      </c>
      <c r="P1109" s="7">
        <v>66.450819999999993</v>
      </c>
      <c r="Q1109" s="7">
        <v>132.90163899999999</v>
      </c>
      <c r="R1109" s="7">
        <v>150</v>
      </c>
      <c r="S1109" s="7">
        <v>52.511904999999999</v>
      </c>
      <c r="T1109" s="7">
        <v>70.602836999999994</v>
      </c>
      <c r="U1109" s="7">
        <v>105.02381</v>
      </c>
      <c r="V1109" s="7">
        <v>150</v>
      </c>
      <c r="W1109" s="7">
        <v>61.476776000000001</v>
      </c>
      <c r="X1109" s="7">
        <v>122.953552</v>
      </c>
      <c r="Y1109" s="7">
        <v>150</v>
      </c>
      <c r="Z1109" s="7">
        <v>64.73227</v>
      </c>
      <c r="AA1109" s="7">
        <v>50.547618999999997</v>
      </c>
      <c r="AB1109" s="7">
        <v>101.09523799999999</v>
      </c>
      <c r="AC1109" s="7">
        <v>150</v>
      </c>
      <c r="AD1109" s="7">
        <v>68.999189000000001</v>
      </c>
      <c r="AE1109" s="7">
        <v>91.998919000000001</v>
      </c>
      <c r="AF1109" s="7">
        <v>100</v>
      </c>
      <c r="AG1109" s="7">
        <v>54.516483999999998</v>
      </c>
      <c r="AH1109" s="7">
        <v>73.515302000000005</v>
      </c>
      <c r="AI1109" s="7">
        <v>72.688644999999994</v>
      </c>
      <c r="AJ1109" s="7">
        <v>100</v>
      </c>
      <c r="AK1109" s="7">
        <v>18.09</v>
      </c>
      <c r="AL1109" s="7">
        <v>14.18</v>
      </c>
      <c r="AM1109" s="7">
        <v>18.989999999999998</v>
      </c>
      <c r="AN1109" s="4" t="s">
        <v>124</v>
      </c>
      <c r="AO1109" s="4" t="s">
        <v>124</v>
      </c>
      <c r="AP1109" s="4" t="s">
        <v>124</v>
      </c>
      <c r="AQ1109" s="4" t="s">
        <v>124</v>
      </c>
      <c r="AR1109" s="4" t="s">
        <v>124</v>
      </c>
      <c r="AS1109" s="4" t="s">
        <v>124</v>
      </c>
      <c r="AT1109" s="4" t="s">
        <v>124</v>
      </c>
      <c r="AU1109" s="4" t="s">
        <v>124</v>
      </c>
      <c r="AV1109" s="4" t="s">
        <v>124</v>
      </c>
      <c r="AW1109" s="4" t="s">
        <v>124</v>
      </c>
      <c r="AX1109" s="4" t="s">
        <v>124</v>
      </c>
      <c r="AY1109" s="4" t="s">
        <v>124</v>
      </c>
      <c r="AZ1109" s="4" t="s">
        <v>124</v>
      </c>
      <c r="BA1109" s="4" t="s">
        <v>124</v>
      </c>
      <c r="BB1109" s="4" t="s">
        <v>124</v>
      </c>
      <c r="BC1109" s="4" t="s">
        <v>124</v>
      </c>
      <c r="BD1109" s="4" t="s">
        <v>124</v>
      </c>
      <c r="BE1109" s="4" t="s">
        <v>124</v>
      </c>
      <c r="BF1109" s="4" t="s">
        <v>124</v>
      </c>
      <c r="BG1109" s="4" t="s">
        <v>124</v>
      </c>
      <c r="BH1109" s="7">
        <v>1</v>
      </c>
      <c r="BI1109" s="7">
        <v>0.98412699999999997</v>
      </c>
      <c r="BJ1109" s="7">
        <v>0.93333299999999997</v>
      </c>
      <c r="BK1109" s="7">
        <v>1</v>
      </c>
      <c r="BL1109" s="7">
        <v>0.98412699999999997</v>
      </c>
      <c r="BM1109" s="7">
        <v>0.93333299999999997</v>
      </c>
      <c r="BN1109" s="7">
        <v>1</v>
      </c>
      <c r="BO1109" s="7">
        <v>0.98412699999999997</v>
      </c>
      <c r="BP1109" s="7">
        <v>0.96666700000000005</v>
      </c>
      <c r="BQ1109" s="7">
        <v>0.98958299999999999</v>
      </c>
      <c r="BR1109" s="7">
        <v>8.7549000000000002E-2</v>
      </c>
      <c r="BS1109" s="7">
        <v>42.490271999999997</v>
      </c>
      <c r="BT1109" s="7">
        <v>50</v>
      </c>
      <c r="BU1109" s="7">
        <v>0.170543</v>
      </c>
      <c r="BV1109" s="7">
        <v>25.891473000000001</v>
      </c>
      <c r="BW1109" s="7">
        <v>50</v>
      </c>
      <c r="BX1109" s="7">
        <v>0.97358500000000003</v>
      </c>
      <c r="BY1109" s="7">
        <v>50</v>
      </c>
      <c r="BZ1109" s="7">
        <v>50</v>
      </c>
      <c r="CA1109" s="7">
        <v>0.53584900000000002</v>
      </c>
      <c r="CB1109" s="7">
        <v>35.723269999999999</v>
      </c>
      <c r="CC1109" s="7">
        <v>50</v>
      </c>
      <c r="CD1109" s="7">
        <v>0.96521699999999999</v>
      </c>
      <c r="CE1109" s="7">
        <v>50</v>
      </c>
      <c r="CF1109" s="7">
        <v>50</v>
      </c>
      <c r="CG1109" s="7">
        <v>0.98425200000000002</v>
      </c>
      <c r="CH1109" s="7">
        <v>100</v>
      </c>
      <c r="CI1109" s="7">
        <v>100</v>
      </c>
      <c r="CJ1109" s="7">
        <v>0</v>
      </c>
      <c r="CK1109" s="7">
        <v>0.97222200000000003</v>
      </c>
      <c r="CL1109" s="7">
        <v>100</v>
      </c>
      <c r="CM1109" s="7">
        <v>100</v>
      </c>
      <c r="CN1109" s="7">
        <v>0.872</v>
      </c>
      <c r="CO1109" s="7">
        <v>100</v>
      </c>
      <c r="CP1109" s="7">
        <v>100</v>
      </c>
      <c r="CQ1109" s="7">
        <v>0.41322300000000001</v>
      </c>
      <c r="CR1109" s="7">
        <v>0.89629599999999998</v>
      </c>
      <c r="CS1109" s="7">
        <v>13.774105</v>
      </c>
      <c r="CT1109" s="7">
        <v>50</v>
      </c>
      <c r="CU1109" s="7">
        <v>0.60505799999999998</v>
      </c>
      <c r="CV1109" s="7">
        <v>50</v>
      </c>
      <c r="CW1109" s="7">
        <v>50</v>
      </c>
      <c r="CX1109" s="7">
        <v>0.97222200000000003</v>
      </c>
      <c r="CY1109" s="7">
        <v>0.94</v>
      </c>
      <c r="CZ1109" s="7">
        <v>-3.2222000000000001E-2</v>
      </c>
      <c r="DA1109" s="7">
        <v>15.314097</v>
      </c>
      <c r="DB1109" s="7">
        <v>17.400950000000002</v>
      </c>
      <c r="DC1109" s="7">
        <v>16.332519999999999</v>
      </c>
      <c r="DD1109" s="7">
        <v>7.9891730000000001</v>
      </c>
      <c r="DE1109" s="7">
        <v>1</v>
      </c>
      <c r="DF1109" s="6"/>
      <c r="DG1109" s="6"/>
      <c r="DH1109" s="6"/>
      <c r="DI1109" s="6"/>
      <c r="DJ1109" s="7">
        <v>0</v>
      </c>
      <c r="DK1109" s="7">
        <v>0</v>
      </c>
      <c r="DL1109" s="7">
        <v>0</v>
      </c>
      <c r="DM1109" s="7">
        <v>0</v>
      </c>
      <c r="DN1109" s="7">
        <v>0</v>
      </c>
      <c r="DO1109" s="7">
        <v>0</v>
      </c>
      <c r="DP1109" s="6"/>
      <c r="DQ1109" s="4" t="s">
        <v>125</v>
      </c>
    </row>
    <row r="1110" spans="1:121" ht="20" customHeight="1" x14ac:dyDescent="0.15">
      <c r="A1110" s="5">
        <v>2018</v>
      </c>
      <c r="B1110" s="3" t="s">
        <v>290</v>
      </c>
      <c r="C1110" s="4" t="str">
        <f t="shared" ref="C1110:C1113" si="280">"2130012"</f>
        <v>2130012</v>
      </c>
      <c r="D1110" s="4" t="s">
        <v>1253</v>
      </c>
      <c r="E1110" s="4" t="str">
        <f>"2135112"</f>
        <v>2135112</v>
      </c>
      <c r="F1110" s="4" t="s">
        <v>1227</v>
      </c>
      <c r="G1110" s="7">
        <v>7</v>
      </c>
      <c r="H1110" s="7">
        <v>8</v>
      </c>
      <c r="I1110" s="4" t="s">
        <v>329</v>
      </c>
      <c r="J1110" s="4" t="s">
        <v>330</v>
      </c>
      <c r="K1110" s="7">
        <v>712.04211399999997</v>
      </c>
      <c r="L1110" s="7">
        <v>900</v>
      </c>
      <c r="M1110" s="7">
        <v>79.115790000000004</v>
      </c>
      <c r="N1110" s="7">
        <v>2</v>
      </c>
      <c r="O1110" s="7">
        <v>0</v>
      </c>
      <c r="P1110" s="7">
        <v>74.927147000000005</v>
      </c>
      <c r="Q1110" s="7">
        <v>49.951430999999999</v>
      </c>
      <c r="R1110" s="7">
        <v>50</v>
      </c>
      <c r="S1110" s="7">
        <v>61.014015000000001</v>
      </c>
      <c r="T1110" s="7">
        <v>75</v>
      </c>
      <c r="U1110" s="7">
        <v>40.676009999999998</v>
      </c>
      <c r="V1110" s="7">
        <v>50</v>
      </c>
      <c r="W1110" s="7">
        <v>72.059593000000007</v>
      </c>
      <c r="X1110" s="7">
        <v>48.039727999999997</v>
      </c>
      <c r="Y1110" s="7">
        <v>50</v>
      </c>
      <c r="Z1110" s="7">
        <v>75</v>
      </c>
      <c r="AA1110" s="7">
        <v>58.131917999999999</v>
      </c>
      <c r="AB1110" s="7">
        <v>38.754612000000002</v>
      </c>
      <c r="AC1110" s="7">
        <v>50</v>
      </c>
      <c r="AD1110" s="7">
        <v>74.177781999999993</v>
      </c>
      <c r="AE1110" s="7">
        <v>49.451853999999997</v>
      </c>
      <c r="AF1110" s="7">
        <v>50</v>
      </c>
      <c r="AG1110" s="7">
        <v>64.009974999999997</v>
      </c>
      <c r="AH1110" s="7">
        <v>75</v>
      </c>
      <c r="AI1110" s="7">
        <v>42.673316999999997</v>
      </c>
      <c r="AJ1110" s="7">
        <v>50</v>
      </c>
      <c r="AK1110" s="7">
        <v>13.98</v>
      </c>
      <c r="AL1110" s="7">
        <v>16.86</v>
      </c>
      <c r="AM1110" s="7">
        <v>10.99</v>
      </c>
      <c r="AN1110" s="7">
        <v>0.67002300000000004</v>
      </c>
      <c r="AO1110" s="7">
        <v>67.002302999999998</v>
      </c>
      <c r="AP1110" s="7">
        <v>100</v>
      </c>
      <c r="AQ1110" s="7">
        <v>0.79167699999999996</v>
      </c>
      <c r="AR1110" s="7">
        <v>79.167687000000001</v>
      </c>
      <c r="AS1110" s="7">
        <v>100</v>
      </c>
      <c r="AT1110" s="7">
        <v>0.586503</v>
      </c>
      <c r="AU1110" s="7">
        <v>0.70315099999999997</v>
      </c>
      <c r="AV1110" s="7">
        <v>58.650270999999996</v>
      </c>
      <c r="AW1110" s="7">
        <v>100</v>
      </c>
      <c r="AX1110" s="7">
        <v>0.64461199999999996</v>
      </c>
      <c r="AY1110" s="7">
        <v>0.85001000000000004</v>
      </c>
      <c r="AZ1110" s="7">
        <v>64.461150000000004</v>
      </c>
      <c r="BA1110" s="7">
        <v>100</v>
      </c>
      <c r="BB1110" s="4" t="s">
        <v>124</v>
      </c>
      <c r="BC1110" s="4" t="s">
        <v>124</v>
      </c>
      <c r="BD1110" s="4" t="s">
        <v>124</v>
      </c>
      <c r="BE1110" s="4" t="s">
        <v>124</v>
      </c>
      <c r="BF1110" s="4" t="s">
        <v>124</v>
      </c>
      <c r="BG1110" s="4" t="s">
        <v>124</v>
      </c>
      <c r="BH1110" s="7">
        <v>0</v>
      </c>
      <c r="BI1110" s="7">
        <v>0.98846199999999995</v>
      </c>
      <c r="BJ1110" s="7">
        <v>1</v>
      </c>
      <c r="BK1110" s="7">
        <v>0.98369600000000001</v>
      </c>
      <c r="BL1110" s="7">
        <v>0.98846199999999995</v>
      </c>
      <c r="BM1110" s="7">
        <v>1</v>
      </c>
      <c r="BN1110" s="7">
        <v>0.98369600000000001</v>
      </c>
      <c r="BO1110" s="7">
        <v>0.98639500000000002</v>
      </c>
      <c r="BP1110" s="7">
        <v>1</v>
      </c>
      <c r="BQ1110" s="7">
        <v>0.98130799999999996</v>
      </c>
      <c r="BR1110" s="7">
        <v>6.1538000000000002E-2</v>
      </c>
      <c r="BS1110" s="7">
        <v>47.692307999999997</v>
      </c>
      <c r="BT1110" s="7">
        <v>50</v>
      </c>
      <c r="BU1110" s="7">
        <v>0.105263</v>
      </c>
      <c r="BV1110" s="7">
        <v>38.947367999999997</v>
      </c>
      <c r="BW1110" s="7">
        <v>50</v>
      </c>
      <c r="BX1110" s="4" t="s">
        <v>124</v>
      </c>
      <c r="BY1110" s="4" t="s">
        <v>124</v>
      </c>
      <c r="BZ1110" s="4" t="s">
        <v>124</v>
      </c>
      <c r="CA1110" s="4" t="s">
        <v>124</v>
      </c>
      <c r="CB1110" s="4" t="s">
        <v>124</v>
      </c>
      <c r="CC1110" s="4" t="s">
        <v>124</v>
      </c>
      <c r="CD1110" s="7">
        <v>0.98333300000000001</v>
      </c>
      <c r="CE1110" s="7">
        <v>50</v>
      </c>
      <c r="CF1110" s="7">
        <v>50</v>
      </c>
      <c r="CG1110" s="4" t="s">
        <v>124</v>
      </c>
      <c r="CH1110" s="4" t="s">
        <v>124</v>
      </c>
      <c r="CI1110" s="4" t="s">
        <v>124</v>
      </c>
      <c r="CJ1110" s="4" t="s">
        <v>124</v>
      </c>
      <c r="CK1110" s="4" t="s">
        <v>124</v>
      </c>
      <c r="CL1110" s="4" t="s">
        <v>124</v>
      </c>
      <c r="CM1110" s="4" t="s">
        <v>124</v>
      </c>
      <c r="CN1110" s="4" t="s">
        <v>124</v>
      </c>
      <c r="CO1110" s="4" t="s">
        <v>124</v>
      </c>
      <c r="CP1110" s="4" t="s">
        <v>124</v>
      </c>
      <c r="CQ1110" s="7">
        <v>0.54861099999999996</v>
      </c>
      <c r="CR1110" s="7">
        <v>0.97959200000000002</v>
      </c>
      <c r="CS1110" s="7">
        <v>36.574074000000003</v>
      </c>
      <c r="CT1110" s="7">
        <v>50</v>
      </c>
      <c r="CU1110" s="4" t="s">
        <v>124</v>
      </c>
      <c r="CV1110" s="4" t="s">
        <v>124</v>
      </c>
      <c r="CW1110" s="4" t="s">
        <v>124</v>
      </c>
      <c r="CX1110" s="4" t="s">
        <v>124</v>
      </c>
      <c r="CY1110" s="4" t="s">
        <v>124</v>
      </c>
      <c r="CZ1110" s="4" t="s">
        <v>124</v>
      </c>
      <c r="DA1110" s="7">
        <v>15.314097</v>
      </c>
      <c r="DB1110" s="7">
        <v>17.400950000000002</v>
      </c>
      <c r="DC1110" s="7">
        <v>16.332519999999999</v>
      </c>
      <c r="DD1110" s="4" t="s">
        <v>124</v>
      </c>
      <c r="DE1110" s="7">
        <v>0</v>
      </c>
      <c r="DF1110" s="6"/>
      <c r="DG1110" s="6"/>
      <c r="DH1110" s="6"/>
      <c r="DI1110" s="6"/>
      <c r="DJ1110" s="7">
        <v>0</v>
      </c>
      <c r="DK1110" s="7">
        <v>0</v>
      </c>
      <c r="DL1110" s="7">
        <v>0</v>
      </c>
      <c r="DM1110" s="7">
        <v>0</v>
      </c>
      <c r="DN1110" s="7">
        <v>0</v>
      </c>
      <c r="DO1110" s="7">
        <v>0</v>
      </c>
      <c r="DP1110" s="6"/>
      <c r="DQ1110" s="4" t="s">
        <v>125</v>
      </c>
    </row>
    <row r="1111" spans="1:121" ht="20" customHeight="1" x14ac:dyDescent="0.15">
      <c r="A1111" s="5">
        <v>2018</v>
      </c>
      <c r="B1111" s="3" t="s">
        <v>290</v>
      </c>
      <c r="C1111" s="4" t="str">
        <f t="shared" si="280"/>
        <v>2130012</v>
      </c>
      <c r="D1111" s="4" t="s">
        <v>1254</v>
      </c>
      <c r="E1111" s="4" t="str">
        <f>"2130112"</f>
        <v>2130112</v>
      </c>
      <c r="F1111" s="4" t="s">
        <v>1227</v>
      </c>
      <c r="G1111" s="4" t="s">
        <v>328</v>
      </c>
      <c r="H1111" s="7">
        <v>3</v>
      </c>
      <c r="I1111" s="4" t="s">
        <v>329</v>
      </c>
      <c r="J1111" s="4" t="s">
        <v>330</v>
      </c>
      <c r="K1111" s="7">
        <v>413.62412799999998</v>
      </c>
      <c r="L1111" s="7">
        <v>500</v>
      </c>
      <c r="M1111" s="7">
        <v>82.724825999999993</v>
      </c>
      <c r="N1111" s="7">
        <v>3</v>
      </c>
      <c r="O1111" s="7">
        <v>1</v>
      </c>
      <c r="P1111" s="7">
        <v>68.434692999999996</v>
      </c>
      <c r="Q1111" s="7">
        <v>91.246257</v>
      </c>
      <c r="R1111" s="7">
        <v>100</v>
      </c>
      <c r="S1111" s="7">
        <v>55.503897000000002</v>
      </c>
      <c r="T1111" s="7">
        <v>75</v>
      </c>
      <c r="U1111" s="7">
        <v>74.005195000000001</v>
      </c>
      <c r="V1111" s="7">
        <v>100</v>
      </c>
      <c r="W1111" s="7">
        <v>65.646636000000001</v>
      </c>
      <c r="X1111" s="7">
        <v>87.528848999999994</v>
      </c>
      <c r="Y1111" s="7">
        <v>100</v>
      </c>
      <c r="Z1111" s="7">
        <v>74.966475000000003</v>
      </c>
      <c r="AA1111" s="7">
        <v>52.132869999999997</v>
      </c>
      <c r="AB1111" s="7">
        <v>69.510493999999994</v>
      </c>
      <c r="AC1111" s="7">
        <v>100</v>
      </c>
      <c r="AD1111" s="4" t="s">
        <v>124</v>
      </c>
      <c r="AE1111" s="4" t="s">
        <v>124</v>
      </c>
      <c r="AF1111" s="4" t="s">
        <v>124</v>
      </c>
      <c r="AG1111" s="4" t="s">
        <v>124</v>
      </c>
      <c r="AH1111" s="4" t="s">
        <v>124</v>
      </c>
      <c r="AI1111" s="4" t="s">
        <v>124</v>
      </c>
      <c r="AJ1111" s="4" t="s">
        <v>124</v>
      </c>
      <c r="AK1111" s="7">
        <v>19.489999999999998</v>
      </c>
      <c r="AL1111" s="7">
        <v>22.83</v>
      </c>
      <c r="AM1111" s="4" t="s">
        <v>124</v>
      </c>
      <c r="AN1111" s="4" t="s">
        <v>124</v>
      </c>
      <c r="AO1111" s="4" t="s">
        <v>124</v>
      </c>
      <c r="AP1111" s="4" t="s">
        <v>124</v>
      </c>
      <c r="AQ1111" s="4" t="s">
        <v>124</v>
      </c>
      <c r="AR1111" s="4" t="s">
        <v>124</v>
      </c>
      <c r="AS1111" s="4" t="s">
        <v>124</v>
      </c>
      <c r="AT1111" s="4" t="s">
        <v>124</v>
      </c>
      <c r="AU1111" s="4" t="s">
        <v>124</v>
      </c>
      <c r="AV1111" s="4" t="s">
        <v>124</v>
      </c>
      <c r="AW1111" s="4" t="s">
        <v>124</v>
      </c>
      <c r="AX1111" s="4" t="s">
        <v>124</v>
      </c>
      <c r="AY1111" s="4" t="s">
        <v>124</v>
      </c>
      <c r="AZ1111" s="4" t="s">
        <v>124</v>
      </c>
      <c r="BA1111" s="4" t="s">
        <v>124</v>
      </c>
      <c r="BB1111" s="4" t="s">
        <v>124</v>
      </c>
      <c r="BC1111" s="4" t="s">
        <v>124</v>
      </c>
      <c r="BD1111" s="4" t="s">
        <v>124</v>
      </c>
      <c r="BE1111" s="4" t="s">
        <v>124</v>
      </c>
      <c r="BF1111" s="4" t="s">
        <v>124</v>
      </c>
      <c r="BG1111" s="4" t="s">
        <v>124</v>
      </c>
      <c r="BH1111" s="7">
        <v>0</v>
      </c>
      <c r="BI1111" s="7">
        <v>1</v>
      </c>
      <c r="BJ1111" s="7">
        <v>1</v>
      </c>
      <c r="BK1111" s="7">
        <v>1</v>
      </c>
      <c r="BL1111" s="7">
        <v>1</v>
      </c>
      <c r="BM1111" s="7">
        <v>1</v>
      </c>
      <c r="BN1111" s="7">
        <v>1</v>
      </c>
      <c r="BO1111" s="4" t="s">
        <v>124</v>
      </c>
      <c r="BP1111" s="4" t="s">
        <v>124</v>
      </c>
      <c r="BQ1111" s="4" t="s">
        <v>124</v>
      </c>
      <c r="BR1111" s="7">
        <v>3.8793000000000001E-2</v>
      </c>
      <c r="BS1111" s="7">
        <v>50</v>
      </c>
      <c r="BT1111" s="7">
        <v>50</v>
      </c>
      <c r="BU1111" s="7">
        <v>9.3332999999999999E-2</v>
      </c>
      <c r="BV1111" s="7">
        <v>41.333333000000003</v>
      </c>
      <c r="BW1111" s="7">
        <v>50</v>
      </c>
      <c r="BX1111" s="4" t="s">
        <v>124</v>
      </c>
      <c r="BY1111" s="4" t="s">
        <v>124</v>
      </c>
      <c r="BZ1111" s="4" t="s">
        <v>124</v>
      </c>
      <c r="CA1111" s="4" t="s">
        <v>124</v>
      </c>
      <c r="CB1111" s="4" t="s">
        <v>124</v>
      </c>
      <c r="CC1111" s="4" t="s">
        <v>124</v>
      </c>
      <c r="CD1111" s="4" t="s">
        <v>124</v>
      </c>
      <c r="CE1111" s="4" t="s">
        <v>124</v>
      </c>
      <c r="CF1111" s="4" t="s">
        <v>124</v>
      </c>
      <c r="CG1111" s="4" t="s">
        <v>124</v>
      </c>
      <c r="CH1111" s="4" t="s">
        <v>124</v>
      </c>
      <c r="CI1111" s="4" t="s">
        <v>124</v>
      </c>
      <c r="CJ1111" s="4" t="s">
        <v>124</v>
      </c>
      <c r="CK1111" s="4" t="s">
        <v>124</v>
      </c>
      <c r="CL1111" s="4" t="s">
        <v>124</v>
      </c>
      <c r="CM1111" s="4" t="s">
        <v>124</v>
      </c>
      <c r="CN1111" s="4" t="s">
        <v>124</v>
      </c>
      <c r="CO1111" s="4" t="s">
        <v>124</v>
      </c>
      <c r="CP1111" s="4" t="s">
        <v>124</v>
      </c>
      <c r="CQ1111" s="4" t="s">
        <v>124</v>
      </c>
      <c r="CR1111" s="4" t="s">
        <v>124</v>
      </c>
      <c r="CS1111" s="4" t="s">
        <v>124</v>
      </c>
      <c r="CT1111" s="4" t="s">
        <v>124</v>
      </c>
      <c r="CU1111" s="4" t="s">
        <v>124</v>
      </c>
      <c r="CV1111" s="4" t="s">
        <v>124</v>
      </c>
      <c r="CW1111" s="4" t="s">
        <v>124</v>
      </c>
      <c r="CX1111" s="4" t="s">
        <v>124</v>
      </c>
      <c r="CY1111" s="4" t="s">
        <v>124</v>
      </c>
      <c r="CZ1111" s="4" t="s">
        <v>124</v>
      </c>
      <c r="DA1111" s="7">
        <v>15.314097</v>
      </c>
      <c r="DB1111" s="7">
        <v>17.400950000000002</v>
      </c>
      <c r="DC1111" s="7">
        <v>16.332519999999999</v>
      </c>
      <c r="DD1111" s="4" t="s">
        <v>124</v>
      </c>
      <c r="DE1111" s="7">
        <v>1</v>
      </c>
      <c r="DF1111" s="6"/>
      <c r="DG1111" s="6"/>
      <c r="DH1111" s="6"/>
      <c r="DI1111" s="6"/>
      <c r="DJ1111" s="7">
        <v>0</v>
      </c>
      <c r="DK1111" s="7">
        <v>0</v>
      </c>
      <c r="DL1111" s="7">
        <v>0</v>
      </c>
      <c r="DM1111" s="7">
        <v>0</v>
      </c>
      <c r="DN1111" s="7">
        <v>0</v>
      </c>
      <c r="DO1111" s="7">
        <v>0</v>
      </c>
      <c r="DP1111" s="6"/>
      <c r="DQ1111" s="4" t="s">
        <v>125</v>
      </c>
    </row>
    <row r="1112" spans="1:121" ht="20" customHeight="1" x14ac:dyDescent="0.15">
      <c r="A1112" s="5">
        <v>2018</v>
      </c>
      <c r="B1112" s="3" t="s">
        <v>290</v>
      </c>
      <c r="C1112" s="4" t="str">
        <f t="shared" si="280"/>
        <v>2130012</v>
      </c>
      <c r="D1112" s="4" t="s">
        <v>1255</v>
      </c>
      <c r="E1112" s="4" t="str">
        <f>"2130512"</f>
        <v>2130512</v>
      </c>
      <c r="F1112" s="4" t="s">
        <v>1227</v>
      </c>
      <c r="G1112" s="4" t="s">
        <v>338</v>
      </c>
      <c r="H1112" s="7">
        <v>4</v>
      </c>
      <c r="I1112" s="4" t="s">
        <v>329</v>
      </c>
      <c r="J1112" s="4" t="s">
        <v>330</v>
      </c>
      <c r="K1112" s="7">
        <v>488.12533999999999</v>
      </c>
      <c r="L1112" s="7">
        <v>550</v>
      </c>
      <c r="M1112" s="7">
        <v>88.750062</v>
      </c>
      <c r="N1112" s="7">
        <v>1</v>
      </c>
      <c r="O1112" s="7">
        <v>0</v>
      </c>
      <c r="P1112" s="7">
        <v>80.397769999999994</v>
      </c>
      <c r="Q1112" s="7">
        <v>50</v>
      </c>
      <c r="R1112" s="7">
        <v>50</v>
      </c>
      <c r="S1112" s="7">
        <v>67.922022999999996</v>
      </c>
      <c r="T1112" s="7">
        <v>75</v>
      </c>
      <c r="U1112" s="7">
        <v>45.281348999999999</v>
      </c>
      <c r="V1112" s="7">
        <v>50</v>
      </c>
      <c r="W1112" s="7">
        <v>72.896462</v>
      </c>
      <c r="X1112" s="7">
        <v>48.597641000000003</v>
      </c>
      <c r="Y1112" s="7">
        <v>50</v>
      </c>
      <c r="Z1112" s="7">
        <v>75</v>
      </c>
      <c r="AA1112" s="7">
        <v>59.637735999999997</v>
      </c>
      <c r="AB1112" s="7">
        <v>39.758490000000002</v>
      </c>
      <c r="AC1112" s="7">
        <v>50</v>
      </c>
      <c r="AD1112" s="4" t="s">
        <v>124</v>
      </c>
      <c r="AE1112" s="4" t="s">
        <v>124</v>
      </c>
      <c r="AF1112" s="4" t="s">
        <v>124</v>
      </c>
      <c r="AG1112" s="4" t="s">
        <v>124</v>
      </c>
      <c r="AH1112" s="4" t="s">
        <v>124</v>
      </c>
      <c r="AI1112" s="4" t="s">
        <v>124</v>
      </c>
      <c r="AJ1112" s="4" t="s">
        <v>124</v>
      </c>
      <c r="AK1112" s="7">
        <v>7.07</v>
      </c>
      <c r="AL1112" s="7">
        <v>15.36</v>
      </c>
      <c r="AM1112" s="4" t="s">
        <v>124</v>
      </c>
      <c r="AN1112" s="7">
        <v>0.85350300000000001</v>
      </c>
      <c r="AO1112" s="7">
        <v>85.350326999999993</v>
      </c>
      <c r="AP1112" s="7">
        <v>100</v>
      </c>
      <c r="AQ1112" s="7">
        <v>0.76174600000000003</v>
      </c>
      <c r="AR1112" s="7">
        <v>76.174567999999994</v>
      </c>
      <c r="AS1112" s="7">
        <v>100</v>
      </c>
      <c r="AT1112" s="4" t="s">
        <v>124</v>
      </c>
      <c r="AU1112" s="7">
        <v>0.90850799999999998</v>
      </c>
      <c r="AV1112" s="4" t="s">
        <v>124</v>
      </c>
      <c r="AW1112" s="4" t="s">
        <v>124</v>
      </c>
      <c r="AX1112" s="4" t="s">
        <v>124</v>
      </c>
      <c r="AY1112" s="7">
        <v>0.80801299999999998</v>
      </c>
      <c r="AZ1112" s="4" t="s">
        <v>124</v>
      </c>
      <c r="BA1112" s="4" t="s">
        <v>124</v>
      </c>
      <c r="BB1112" s="4" t="s">
        <v>124</v>
      </c>
      <c r="BC1112" s="4" t="s">
        <v>124</v>
      </c>
      <c r="BD1112" s="4" t="s">
        <v>124</v>
      </c>
      <c r="BE1112" s="4" t="s">
        <v>124</v>
      </c>
      <c r="BF1112" s="4" t="s">
        <v>124</v>
      </c>
      <c r="BG1112" s="4" t="s">
        <v>124</v>
      </c>
      <c r="BH1112" s="7">
        <v>0</v>
      </c>
      <c r="BI1112" s="7">
        <v>0.98958299999999999</v>
      </c>
      <c r="BJ1112" s="7">
        <v>0.97058800000000001</v>
      </c>
      <c r="BK1112" s="7">
        <v>1</v>
      </c>
      <c r="BL1112" s="7">
        <v>0.98958299999999999</v>
      </c>
      <c r="BM1112" s="7">
        <v>0.97058800000000001</v>
      </c>
      <c r="BN1112" s="7">
        <v>1</v>
      </c>
      <c r="BO1112" s="4" t="s">
        <v>124</v>
      </c>
      <c r="BP1112" s="4" t="s">
        <v>124</v>
      </c>
      <c r="BQ1112" s="4" t="s">
        <v>124</v>
      </c>
      <c r="BR1112" s="7">
        <v>2.5862E-2</v>
      </c>
      <c r="BS1112" s="7">
        <v>50</v>
      </c>
      <c r="BT1112" s="7">
        <v>50</v>
      </c>
      <c r="BU1112" s="7">
        <v>3.8961000000000003E-2</v>
      </c>
      <c r="BV1112" s="7">
        <v>50</v>
      </c>
      <c r="BW1112" s="7">
        <v>50</v>
      </c>
      <c r="BX1112" s="4" t="s">
        <v>124</v>
      </c>
      <c r="BY1112" s="4" t="s">
        <v>124</v>
      </c>
      <c r="BZ1112" s="4" t="s">
        <v>124</v>
      </c>
      <c r="CA1112" s="4" t="s">
        <v>124</v>
      </c>
      <c r="CB1112" s="4" t="s">
        <v>124</v>
      </c>
      <c r="CC1112" s="4" t="s">
        <v>124</v>
      </c>
      <c r="CD1112" s="4" t="s">
        <v>124</v>
      </c>
      <c r="CE1112" s="4" t="s">
        <v>124</v>
      </c>
      <c r="CF1112" s="4" t="s">
        <v>124</v>
      </c>
      <c r="CG1112" s="4" t="s">
        <v>124</v>
      </c>
      <c r="CH1112" s="4" t="s">
        <v>124</v>
      </c>
      <c r="CI1112" s="4" t="s">
        <v>124</v>
      </c>
      <c r="CJ1112" s="4" t="s">
        <v>124</v>
      </c>
      <c r="CK1112" s="4" t="s">
        <v>124</v>
      </c>
      <c r="CL1112" s="4" t="s">
        <v>124</v>
      </c>
      <c r="CM1112" s="4" t="s">
        <v>124</v>
      </c>
      <c r="CN1112" s="4" t="s">
        <v>124</v>
      </c>
      <c r="CO1112" s="4" t="s">
        <v>124</v>
      </c>
      <c r="CP1112" s="4" t="s">
        <v>124</v>
      </c>
      <c r="CQ1112" s="7">
        <v>0.64444400000000002</v>
      </c>
      <c r="CR1112" s="7">
        <v>1</v>
      </c>
      <c r="CS1112" s="7">
        <v>42.962963000000002</v>
      </c>
      <c r="CT1112" s="7">
        <v>50</v>
      </c>
      <c r="CU1112" s="4" t="s">
        <v>124</v>
      </c>
      <c r="CV1112" s="4" t="s">
        <v>124</v>
      </c>
      <c r="CW1112" s="4" t="s">
        <v>124</v>
      </c>
      <c r="CX1112" s="4" t="s">
        <v>124</v>
      </c>
      <c r="CY1112" s="4" t="s">
        <v>124</v>
      </c>
      <c r="CZ1112" s="4" t="s">
        <v>124</v>
      </c>
      <c r="DA1112" s="7">
        <v>15.314097</v>
      </c>
      <c r="DB1112" s="7">
        <v>17.400950000000002</v>
      </c>
      <c r="DC1112" s="7">
        <v>16.332519999999999</v>
      </c>
      <c r="DD1112" s="4" t="s">
        <v>124</v>
      </c>
      <c r="DE1112" s="7">
        <v>0</v>
      </c>
      <c r="DF1112" s="6"/>
      <c r="DG1112" s="6"/>
      <c r="DH1112" s="4" t="s">
        <v>331</v>
      </c>
      <c r="DI1112" s="4" t="s">
        <v>738</v>
      </c>
      <c r="DJ1112" s="7">
        <v>1</v>
      </c>
      <c r="DK1112" s="7">
        <v>1</v>
      </c>
      <c r="DL1112" s="7">
        <v>0</v>
      </c>
      <c r="DM1112" s="7">
        <v>0</v>
      </c>
      <c r="DN1112" s="7">
        <v>0</v>
      </c>
      <c r="DO1112" s="7">
        <v>0</v>
      </c>
      <c r="DP1112" s="6"/>
      <c r="DQ1112" s="4" t="s">
        <v>125</v>
      </c>
    </row>
    <row r="1113" spans="1:121" ht="20" customHeight="1" x14ac:dyDescent="0.15">
      <c r="A1113" s="5">
        <v>2018</v>
      </c>
      <c r="B1113" s="3" t="s">
        <v>290</v>
      </c>
      <c r="C1113" s="4" t="str">
        <f t="shared" si="280"/>
        <v>2130012</v>
      </c>
      <c r="D1113" s="4" t="s">
        <v>1256</v>
      </c>
      <c r="E1113" s="4" t="str">
        <f>"2130412"</f>
        <v>2130412</v>
      </c>
      <c r="F1113" s="4" t="s">
        <v>1227</v>
      </c>
      <c r="G1113" s="7">
        <v>4</v>
      </c>
      <c r="H1113" s="7">
        <v>6</v>
      </c>
      <c r="I1113" s="4" t="s">
        <v>329</v>
      </c>
      <c r="J1113" s="4" t="s">
        <v>330</v>
      </c>
      <c r="K1113" s="7">
        <v>656.43548399999997</v>
      </c>
      <c r="L1113" s="7">
        <v>850</v>
      </c>
      <c r="M1113" s="7">
        <v>77.227704000000003</v>
      </c>
      <c r="N1113" s="7">
        <v>2</v>
      </c>
      <c r="O1113" s="7">
        <v>0</v>
      </c>
      <c r="P1113" s="7">
        <v>78.855470999999994</v>
      </c>
      <c r="Q1113" s="7">
        <v>50</v>
      </c>
      <c r="R1113" s="7">
        <v>50</v>
      </c>
      <c r="S1113" s="7">
        <v>64.800145999999998</v>
      </c>
      <c r="T1113" s="7">
        <v>75</v>
      </c>
      <c r="U1113" s="7">
        <v>43.200097</v>
      </c>
      <c r="V1113" s="7">
        <v>50</v>
      </c>
      <c r="W1113" s="7">
        <v>73.423748000000003</v>
      </c>
      <c r="X1113" s="7">
        <v>48.949165000000001</v>
      </c>
      <c r="Y1113" s="7">
        <v>50</v>
      </c>
      <c r="Z1113" s="7">
        <v>75</v>
      </c>
      <c r="AA1113" s="7">
        <v>57.840949000000002</v>
      </c>
      <c r="AB1113" s="7">
        <v>38.560631999999998</v>
      </c>
      <c r="AC1113" s="7">
        <v>50</v>
      </c>
      <c r="AD1113" s="7">
        <v>79.900124000000005</v>
      </c>
      <c r="AE1113" s="7">
        <v>50</v>
      </c>
      <c r="AF1113" s="7">
        <v>50</v>
      </c>
      <c r="AG1113" s="7">
        <v>67.752015999999998</v>
      </c>
      <c r="AH1113" s="7">
        <v>75</v>
      </c>
      <c r="AI1113" s="7">
        <v>45.168011</v>
      </c>
      <c r="AJ1113" s="7">
        <v>50</v>
      </c>
      <c r="AK1113" s="7">
        <v>10.19</v>
      </c>
      <c r="AL1113" s="7">
        <v>17.149999999999999</v>
      </c>
      <c r="AM1113" s="7">
        <v>7.24</v>
      </c>
      <c r="AN1113" s="7">
        <v>0.68289100000000003</v>
      </c>
      <c r="AO1113" s="7">
        <v>68.289061000000004</v>
      </c>
      <c r="AP1113" s="7">
        <v>100</v>
      </c>
      <c r="AQ1113" s="7">
        <v>0.72199199999999997</v>
      </c>
      <c r="AR1113" s="7">
        <v>72.199196000000001</v>
      </c>
      <c r="AS1113" s="7">
        <v>100</v>
      </c>
      <c r="AT1113" s="7">
        <v>0.56881000000000004</v>
      </c>
      <c r="AU1113" s="7">
        <v>0.72652499999999998</v>
      </c>
      <c r="AV1113" s="7">
        <v>56.881011000000001</v>
      </c>
      <c r="AW1113" s="7">
        <v>100</v>
      </c>
      <c r="AX1113" s="7">
        <v>0.56015199999999998</v>
      </c>
      <c r="AY1113" s="7">
        <v>0.78389399999999998</v>
      </c>
      <c r="AZ1113" s="7">
        <v>56.015152</v>
      </c>
      <c r="BA1113" s="7">
        <v>100</v>
      </c>
      <c r="BB1113" s="4" t="s">
        <v>124</v>
      </c>
      <c r="BC1113" s="4" t="s">
        <v>124</v>
      </c>
      <c r="BD1113" s="4" t="s">
        <v>124</v>
      </c>
      <c r="BE1113" s="4" t="s">
        <v>124</v>
      </c>
      <c r="BF1113" s="4" t="s">
        <v>124</v>
      </c>
      <c r="BG1113" s="4" t="s">
        <v>124</v>
      </c>
      <c r="BH1113" s="7">
        <v>0</v>
      </c>
      <c r="BI1113" s="7">
        <v>1</v>
      </c>
      <c r="BJ1113" s="7">
        <v>1</v>
      </c>
      <c r="BK1113" s="7">
        <v>1</v>
      </c>
      <c r="BL1113" s="7">
        <v>1</v>
      </c>
      <c r="BM1113" s="7">
        <v>1</v>
      </c>
      <c r="BN1113" s="7">
        <v>1</v>
      </c>
      <c r="BO1113" s="7">
        <v>1</v>
      </c>
      <c r="BP1113" s="7">
        <v>1</v>
      </c>
      <c r="BQ1113" s="7">
        <v>1</v>
      </c>
      <c r="BR1113" s="7">
        <v>6.1889E-2</v>
      </c>
      <c r="BS1113" s="7">
        <v>47.622149999999998</v>
      </c>
      <c r="BT1113" s="7">
        <v>50</v>
      </c>
      <c r="BU1113" s="7">
        <v>0.119565</v>
      </c>
      <c r="BV1113" s="7">
        <v>36.086956999999998</v>
      </c>
      <c r="BW1113" s="7">
        <v>50</v>
      </c>
      <c r="BX1113" s="4" t="s">
        <v>124</v>
      </c>
      <c r="BY1113" s="4" t="s">
        <v>124</v>
      </c>
      <c r="BZ1113" s="4" t="s">
        <v>124</v>
      </c>
      <c r="CA1113" s="4" t="s">
        <v>124</v>
      </c>
      <c r="CB1113" s="4" t="s">
        <v>124</v>
      </c>
      <c r="CC1113" s="4" t="s">
        <v>124</v>
      </c>
      <c r="CD1113" s="4" t="s">
        <v>124</v>
      </c>
      <c r="CE1113" s="4" t="s">
        <v>124</v>
      </c>
      <c r="CF1113" s="4" t="s">
        <v>124</v>
      </c>
      <c r="CG1113" s="4" t="s">
        <v>124</v>
      </c>
      <c r="CH1113" s="4" t="s">
        <v>124</v>
      </c>
      <c r="CI1113" s="4" t="s">
        <v>124</v>
      </c>
      <c r="CJ1113" s="4" t="s">
        <v>124</v>
      </c>
      <c r="CK1113" s="4" t="s">
        <v>124</v>
      </c>
      <c r="CL1113" s="4" t="s">
        <v>124</v>
      </c>
      <c r="CM1113" s="4" t="s">
        <v>124</v>
      </c>
      <c r="CN1113" s="4" t="s">
        <v>124</v>
      </c>
      <c r="CO1113" s="4" t="s">
        <v>124</v>
      </c>
      <c r="CP1113" s="4" t="s">
        <v>124</v>
      </c>
      <c r="CQ1113" s="7">
        <v>0.65196100000000001</v>
      </c>
      <c r="CR1113" s="7">
        <v>1</v>
      </c>
      <c r="CS1113" s="7">
        <v>43.464052000000002</v>
      </c>
      <c r="CT1113" s="7">
        <v>50</v>
      </c>
      <c r="CU1113" s="4" t="s">
        <v>124</v>
      </c>
      <c r="CV1113" s="4" t="s">
        <v>124</v>
      </c>
      <c r="CW1113" s="4" t="s">
        <v>124</v>
      </c>
      <c r="CX1113" s="4" t="s">
        <v>124</v>
      </c>
      <c r="CY1113" s="4" t="s">
        <v>124</v>
      </c>
      <c r="CZ1113" s="4" t="s">
        <v>124</v>
      </c>
      <c r="DA1113" s="7">
        <v>15.314097</v>
      </c>
      <c r="DB1113" s="7">
        <v>17.400950000000002</v>
      </c>
      <c r="DC1113" s="7">
        <v>16.332519999999999</v>
      </c>
      <c r="DD1113" s="4" t="s">
        <v>124</v>
      </c>
      <c r="DE1113" s="7">
        <v>0</v>
      </c>
      <c r="DF1113" s="6"/>
      <c r="DG1113" s="6"/>
      <c r="DH1113" s="6"/>
      <c r="DI1113" s="6"/>
      <c r="DJ1113" s="7">
        <v>0</v>
      </c>
      <c r="DK1113" s="7">
        <v>0</v>
      </c>
      <c r="DL1113" s="7">
        <v>0</v>
      </c>
      <c r="DM1113" s="7">
        <v>0</v>
      </c>
      <c r="DN1113" s="7">
        <v>0</v>
      </c>
      <c r="DO1113" s="7">
        <v>0</v>
      </c>
      <c r="DP1113" s="6"/>
      <c r="DQ1113" s="4" t="s">
        <v>125</v>
      </c>
    </row>
    <row r="1114" spans="1:121" ht="20" customHeight="1" x14ac:dyDescent="0.15">
      <c r="A1114" s="5">
        <v>2018</v>
      </c>
      <c r="B1114" s="3" t="s">
        <v>291</v>
      </c>
      <c r="C1114" s="4" t="str">
        <f t="shared" si="163"/>
        <v>2140012</v>
      </c>
      <c r="D1114" s="4" t="s">
        <v>1257</v>
      </c>
      <c r="E1114" s="4" t="str">
        <f>"2140112"</f>
        <v>2140112</v>
      </c>
      <c r="F1114" s="4" t="s">
        <v>1227</v>
      </c>
      <c r="G1114" s="4" t="s">
        <v>328</v>
      </c>
      <c r="H1114" s="7">
        <v>5</v>
      </c>
      <c r="I1114" s="4" t="s">
        <v>329</v>
      </c>
      <c r="J1114" s="4" t="s">
        <v>330</v>
      </c>
      <c r="K1114" s="7">
        <v>639.22857099999999</v>
      </c>
      <c r="L1114" s="7">
        <v>800</v>
      </c>
      <c r="M1114" s="7">
        <v>79.903570999999999</v>
      </c>
      <c r="N1114" s="7">
        <v>2</v>
      </c>
      <c r="O1114" s="7">
        <v>0</v>
      </c>
      <c r="P1114" s="7">
        <v>73.419376</v>
      </c>
      <c r="Q1114" s="7">
        <v>48.946250999999997</v>
      </c>
      <c r="R1114" s="7">
        <v>50</v>
      </c>
      <c r="S1114" s="7">
        <v>64.600828000000007</v>
      </c>
      <c r="T1114" s="7">
        <v>75</v>
      </c>
      <c r="U1114" s="7">
        <v>43.067219000000001</v>
      </c>
      <c r="V1114" s="7">
        <v>50</v>
      </c>
      <c r="W1114" s="7">
        <v>71.545277999999996</v>
      </c>
      <c r="X1114" s="7">
        <v>47.696852</v>
      </c>
      <c r="Y1114" s="7">
        <v>50</v>
      </c>
      <c r="Z1114" s="7">
        <v>75</v>
      </c>
      <c r="AA1114" s="7">
        <v>61.979258999999999</v>
      </c>
      <c r="AB1114" s="7">
        <v>41.319505999999997</v>
      </c>
      <c r="AC1114" s="7">
        <v>50</v>
      </c>
      <c r="AD1114" s="7">
        <v>73.168346999999997</v>
      </c>
      <c r="AE1114" s="7">
        <v>48.778897999999998</v>
      </c>
      <c r="AF1114" s="7">
        <v>50</v>
      </c>
      <c r="AG1114" s="4" t="s">
        <v>124</v>
      </c>
      <c r="AH1114" s="7">
        <v>75</v>
      </c>
      <c r="AI1114" s="4" t="s">
        <v>124</v>
      </c>
      <c r="AJ1114" s="4" t="s">
        <v>124</v>
      </c>
      <c r="AK1114" s="7">
        <v>10.39</v>
      </c>
      <c r="AL1114" s="7">
        <v>13.02</v>
      </c>
      <c r="AM1114" s="4" t="s">
        <v>124</v>
      </c>
      <c r="AN1114" s="7">
        <v>0.56918999999999997</v>
      </c>
      <c r="AO1114" s="7">
        <v>56.918968</v>
      </c>
      <c r="AP1114" s="7">
        <v>100</v>
      </c>
      <c r="AQ1114" s="7">
        <v>0.94820800000000005</v>
      </c>
      <c r="AR1114" s="7">
        <v>94.820826999999994</v>
      </c>
      <c r="AS1114" s="7">
        <v>100</v>
      </c>
      <c r="AT1114" s="7">
        <v>0.49966100000000002</v>
      </c>
      <c r="AU1114" s="7">
        <v>0.61343499999999995</v>
      </c>
      <c r="AV1114" s="7">
        <v>49.966054999999997</v>
      </c>
      <c r="AW1114" s="7">
        <v>100</v>
      </c>
      <c r="AX1114" s="7">
        <v>0.88554999999999995</v>
      </c>
      <c r="AY1114" s="7">
        <v>0.98808200000000002</v>
      </c>
      <c r="AZ1114" s="7">
        <v>88.554993999999994</v>
      </c>
      <c r="BA1114" s="7">
        <v>100</v>
      </c>
      <c r="BB1114" s="4" t="s">
        <v>124</v>
      </c>
      <c r="BC1114" s="4" t="s">
        <v>124</v>
      </c>
      <c r="BD1114" s="4" t="s">
        <v>124</v>
      </c>
      <c r="BE1114" s="4" t="s">
        <v>124</v>
      </c>
      <c r="BF1114" s="4" t="s">
        <v>124</v>
      </c>
      <c r="BG1114" s="4" t="s">
        <v>124</v>
      </c>
      <c r="BH1114" s="7">
        <v>0</v>
      </c>
      <c r="BI1114" s="7">
        <v>0.97826100000000005</v>
      </c>
      <c r="BJ1114" s="7">
        <v>0.98</v>
      </c>
      <c r="BK1114" s="7">
        <v>0.97727299999999995</v>
      </c>
      <c r="BL1114" s="7">
        <v>0.97826100000000005</v>
      </c>
      <c r="BM1114" s="7">
        <v>0.98</v>
      </c>
      <c r="BN1114" s="7">
        <v>0.97727299999999995</v>
      </c>
      <c r="BO1114" s="7">
        <v>0.97959200000000002</v>
      </c>
      <c r="BP1114" s="4" t="s">
        <v>124</v>
      </c>
      <c r="BQ1114" s="7">
        <v>1</v>
      </c>
      <c r="BR1114" s="7">
        <v>6.8701999999999999E-2</v>
      </c>
      <c r="BS1114" s="7">
        <v>46.259542000000003</v>
      </c>
      <c r="BT1114" s="7">
        <v>50</v>
      </c>
      <c r="BU1114" s="7">
        <v>0.141176</v>
      </c>
      <c r="BV1114" s="7">
        <v>31.764706</v>
      </c>
      <c r="BW1114" s="7">
        <v>50</v>
      </c>
      <c r="BX1114" s="4" t="s">
        <v>124</v>
      </c>
      <c r="BY1114" s="4" t="s">
        <v>124</v>
      </c>
      <c r="BZ1114" s="4" t="s">
        <v>124</v>
      </c>
      <c r="CA1114" s="4" t="s">
        <v>124</v>
      </c>
      <c r="CB1114" s="4" t="s">
        <v>124</v>
      </c>
      <c r="CC1114" s="4" t="s">
        <v>124</v>
      </c>
      <c r="CD1114" s="4" t="s">
        <v>124</v>
      </c>
      <c r="CE1114" s="4" t="s">
        <v>124</v>
      </c>
      <c r="CF1114" s="4" t="s">
        <v>124</v>
      </c>
      <c r="CG1114" s="4" t="s">
        <v>124</v>
      </c>
      <c r="CH1114" s="4" t="s">
        <v>124</v>
      </c>
      <c r="CI1114" s="4" t="s">
        <v>124</v>
      </c>
      <c r="CJ1114" s="4" t="s">
        <v>124</v>
      </c>
      <c r="CK1114" s="4" t="s">
        <v>124</v>
      </c>
      <c r="CL1114" s="4" t="s">
        <v>124</v>
      </c>
      <c r="CM1114" s="4" t="s">
        <v>124</v>
      </c>
      <c r="CN1114" s="4" t="s">
        <v>124</v>
      </c>
      <c r="CO1114" s="4" t="s">
        <v>124</v>
      </c>
      <c r="CP1114" s="4" t="s">
        <v>124</v>
      </c>
      <c r="CQ1114" s="7">
        <v>0.61702100000000004</v>
      </c>
      <c r="CR1114" s="7">
        <v>1</v>
      </c>
      <c r="CS1114" s="7">
        <v>41.134751999999999</v>
      </c>
      <c r="CT1114" s="7">
        <v>50</v>
      </c>
      <c r="CU1114" s="4" t="s">
        <v>124</v>
      </c>
      <c r="CV1114" s="4" t="s">
        <v>124</v>
      </c>
      <c r="CW1114" s="4" t="s">
        <v>124</v>
      </c>
      <c r="CX1114" s="4" t="s">
        <v>124</v>
      </c>
      <c r="CY1114" s="4" t="s">
        <v>124</v>
      </c>
      <c r="CZ1114" s="4" t="s">
        <v>124</v>
      </c>
      <c r="DA1114" s="7">
        <v>15.314097</v>
      </c>
      <c r="DB1114" s="7">
        <v>17.400950000000002</v>
      </c>
      <c r="DC1114" s="7">
        <v>16.332519999999999</v>
      </c>
      <c r="DD1114" s="4" t="s">
        <v>124</v>
      </c>
      <c r="DE1114" s="7">
        <v>0</v>
      </c>
      <c r="DF1114" s="6"/>
      <c r="DG1114" s="6"/>
      <c r="DH1114" s="4" t="s">
        <v>331</v>
      </c>
      <c r="DI1114" s="4" t="s">
        <v>452</v>
      </c>
      <c r="DJ1114" s="7">
        <v>0</v>
      </c>
      <c r="DK1114" s="7">
        <v>0</v>
      </c>
      <c r="DL1114" s="7">
        <v>1</v>
      </c>
      <c r="DM1114" s="7">
        <v>0</v>
      </c>
      <c r="DN1114" s="7">
        <v>1</v>
      </c>
      <c r="DO1114" s="7">
        <v>0</v>
      </c>
      <c r="DP1114" s="6"/>
      <c r="DQ1114" s="4" t="s">
        <v>125</v>
      </c>
    </row>
    <row r="1115" spans="1:121" ht="20" customHeight="1" x14ac:dyDescent="0.15">
      <c r="A1115" s="5">
        <v>2018</v>
      </c>
      <c r="B1115" s="3" t="s">
        <v>291</v>
      </c>
      <c r="C1115" s="4" t="str">
        <f t="shared" ref="C1115:C1117" si="281">"2140012"</f>
        <v>2140012</v>
      </c>
      <c r="D1115" s="4" t="s">
        <v>1258</v>
      </c>
      <c r="E1115" s="4" t="str">
        <f>"2140212"</f>
        <v>2140212</v>
      </c>
      <c r="F1115" s="4" t="s">
        <v>1227</v>
      </c>
      <c r="G1115" s="4" t="s">
        <v>328</v>
      </c>
      <c r="H1115" s="7">
        <v>5</v>
      </c>
      <c r="I1115" s="4" t="s">
        <v>329</v>
      </c>
      <c r="J1115" s="4" t="s">
        <v>330</v>
      </c>
      <c r="K1115" s="7">
        <v>709.92712400000005</v>
      </c>
      <c r="L1115" s="7">
        <v>850</v>
      </c>
      <c r="M1115" s="7">
        <v>83.520837999999998</v>
      </c>
      <c r="N1115" s="7">
        <v>2</v>
      </c>
      <c r="O1115" s="7">
        <v>0</v>
      </c>
      <c r="P1115" s="7">
        <v>75.486863</v>
      </c>
      <c r="Q1115" s="7">
        <v>50</v>
      </c>
      <c r="R1115" s="7">
        <v>50</v>
      </c>
      <c r="S1115" s="7">
        <v>69.805577999999997</v>
      </c>
      <c r="T1115" s="7">
        <v>75</v>
      </c>
      <c r="U1115" s="7">
        <v>46.537052000000003</v>
      </c>
      <c r="V1115" s="7">
        <v>50</v>
      </c>
      <c r="W1115" s="7">
        <v>70.914792000000006</v>
      </c>
      <c r="X1115" s="7">
        <v>47.276527999999999</v>
      </c>
      <c r="Y1115" s="7">
        <v>50</v>
      </c>
      <c r="Z1115" s="7">
        <v>74.703683999999996</v>
      </c>
      <c r="AA1115" s="7">
        <v>64.269658000000007</v>
      </c>
      <c r="AB1115" s="7">
        <v>42.846438999999997</v>
      </c>
      <c r="AC1115" s="7">
        <v>50</v>
      </c>
      <c r="AD1115" s="7">
        <v>76.741934999999998</v>
      </c>
      <c r="AE1115" s="7">
        <v>50</v>
      </c>
      <c r="AF1115" s="7">
        <v>50</v>
      </c>
      <c r="AG1115" s="7">
        <v>69.795231000000001</v>
      </c>
      <c r="AH1115" s="7">
        <v>75</v>
      </c>
      <c r="AI1115" s="7">
        <v>46.530154000000003</v>
      </c>
      <c r="AJ1115" s="7">
        <v>50</v>
      </c>
      <c r="AK1115" s="7">
        <v>5.19</v>
      </c>
      <c r="AL1115" s="7">
        <v>10.43</v>
      </c>
      <c r="AM1115" s="7">
        <v>5.2</v>
      </c>
      <c r="AN1115" s="7">
        <v>0.71251299999999995</v>
      </c>
      <c r="AO1115" s="7">
        <v>71.251343000000006</v>
      </c>
      <c r="AP1115" s="7">
        <v>100</v>
      </c>
      <c r="AQ1115" s="7">
        <v>0.781802</v>
      </c>
      <c r="AR1115" s="7">
        <v>78.180194</v>
      </c>
      <c r="AS1115" s="7">
        <v>100</v>
      </c>
      <c r="AT1115" s="7">
        <v>0.69930199999999998</v>
      </c>
      <c r="AU1115" s="7">
        <v>0.71895399999999998</v>
      </c>
      <c r="AV1115" s="7">
        <v>69.930178999999995</v>
      </c>
      <c r="AW1115" s="7">
        <v>100</v>
      </c>
      <c r="AX1115" s="7">
        <v>0.71254399999999996</v>
      </c>
      <c r="AY1115" s="7">
        <v>0.81556499999999998</v>
      </c>
      <c r="AZ1115" s="7">
        <v>71.254375999999993</v>
      </c>
      <c r="BA1115" s="7">
        <v>100</v>
      </c>
      <c r="BB1115" s="4" t="s">
        <v>124</v>
      </c>
      <c r="BC1115" s="4" t="s">
        <v>124</v>
      </c>
      <c r="BD1115" s="4" t="s">
        <v>124</v>
      </c>
      <c r="BE1115" s="4" t="s">
        <v>124</v>
      </c>
      <c r="BF1115" s="4" t="s">
        <v>124</v>
      </c>
      <c r="BG1115" s="4" t="s">
        <v>124</v>
      </c>
      <c r="BH1115" s="7">
        <v>0</v>
      </c>
      <c r="BI1115" s="7">
        <v>0.98912999999999995</v>
      </c>
      <c r="BJ1115" s="7">
        <v>0.985294</v>
      </c>
      <c r="BK1115" s="7">
        <v>0.99137900000000001</v>
      </c>
      <c r="BL1115" s="7">
        <v>0.98912999999999995</v>
      </c>
      <c r="BM1115" s="7">
        <v>0.985294</v>
      </c>
      <c r="BN1115" s="7">
        <v>0.99137900000000001</v>
      </c>
      <c r="BO1115" s="7">
        <v>1</v>
      </c>
      <c r="BP1115" s="7">
        <v>1</v>
      </c>
      <c r="BQ1115" s="7">
        <v>1</v>
      </c>
      <c r="BR1115" s="7">
        <v>3.8348E-2</v>
      </c>
      <c r="BS1115" s="7">
        <v>50</v>
      </c>
      <c r="BT1115" s="7">
        <v>50</v>
      </c>
      <c r="BU1115" s="7">
        <v>7.4074000000000001E-2</v>
      </c>
      <c r="BV1115" s="7">
        <v>45.185184999999997</v>
      </c>
      <c r="BW1115" s="7">
        <v>50</v>
      </c>
      <c r="BX1115" s="4" t="s">
        <v>124</v>
      </c>
      <c r="BY1115" s="4" t="s">
        <v>124</v>
      </c>
      <c r="BZ1115" s="4" t="s">
        <v>124</v>
      </c>
      <c r="CA1115" s="4" t="s">
        <v>124</v>
      </c>
      <c r="CB1115" s="4" t="s">
        <v>124</v>
      </c>
      <c r="CC1115" s="4" t="s">
        <v>124</v>
      </c>
      <c r="CD1115" s="4" t="s">
        <v>124</v>
      </c>
      <c r="CE1115" s="4" t="s">
        <v>124</v>
      </c>
      <c r="CF1115" s="4" t="s">
        <v>124</v>
      </c>
      <c r="CG1115" s="4" t="s">
        <v>124</v>
      </c>
      <c r="CH1115" s="4" t="s">
        <v>124</v>
      </c>
      <c r="CI1115" s="4" t="s">
        <v>124</v>
      </c>
      <c r="CJ1115" s="4" t="s">
        <v>124</v>
      </c>
      <c r="CK1115" s="4" t="s">
        <v>124</v>
      </c>
      <c r="CL1115" s="4" t="s">
        <v>124</v>
      </c>
      <c r="CM1115" s="4" t="s">
        <v>124</v>
      </c>
      <c r="CN1115" s="4" t="s">
        <v>124</v>
      </c>
      <c r="CO1115" s="4" t="s">
        <v>124</v>
      </c>
      <c r="CP1115" s="4" t="s">
        <v>124</v>
      </c>
      <c r="CQ1115" s="7">
        <v>0.614035</v>
      </c>
      <c r="CR1115" s="7">
        <v>1.017857</v>
      </c>
      <c r="CS1115" s="7">
        <v>40.935673000000001</v>
      </c>
      <c r="CT1115" s="7">
        <v>50</v>
      </c>
      <c r="CU1115" s="4" t="s">
        <v>124</v>
      </c>
      <c r="CV1115" s="4" t="s">
        <v>124</v>
      </c>
      <c r="CW1115" s="4" t="s">
        <v>124</v>
      </c>
      <c r="CX1115" s="4" t="s">
        <v>124</v>
      </c>
      <c r="CY1115" s="4" t="s">
        <v>124</v>
      </c>
      <c r="CZ1115" s="4" t="s">
        <v>124</v>
      </c>
      <c r="DA1115" s="7">
        <v>15.314097</v>
      </c>
      <c r="DB1115" s="7">
        <v>17.400950000000002</v>
      </c>
      <c r="DC1115" s="7">
        <v>16.332519999999999</v>
      </c>
      <c r="DD1115" s="4" t="s">
        <v>124</v>
      </c>
      <c r="DE1115" s="7">
        <v>0</v>
      </c>
      <c r="DF1115" s="6"/>
      <c r="DG1115" s="6"/>
      <c r="DH1115" s="6"/>
      <c r="DI1115" s="6"/>
      <c r="DJ1115" s="7">
        <v>0</v>
      </c>
      <c r="DK1115" s="7">
        <v>0</v>
      </c>
      <c r="DL1115" s="7">
        <v>0</v>
      </c>
      <c r="DM1115" s="7">
        <v>0</v>
      </c>
      <c r="DN1115" s="7">
        <v>0</v>
      </c>
      <c r="DO1115" s="7">
        <v>0</v>
      </c>
      <c r="DP1115" s="6"/>
      <c r="DQ1115" s="4" t="s">
        <v>125</v>
      </c>
    </row>
    <row r="1116" spans="1:121" ht="20" customHeight="1" x14ac:dyDescent="0.15">
      <c r="A1116" s="5">
        <v>2018</v>
      </c>
      <c r="B1116" s="3" t="s">
        <v>291</v>
      </c>
      <c r="C1116" s="4" t="str">
        <f t="shared" si="281"/>
        <v>2140012</v>
      </c>
      <c r="D1116" s="4" t="s">
        <v>1259</v>
      </c>
      <c r="E1116" s="4" t="str">
        <f>"2146112"</f>
        <v>2146112</v>
      </c>
      <c r="F1116" s="4" t="s">
        <v>1227</v>
      </c>
      <c r="G1116" s="7">
        <v>9</v>
      </c>
      <c r="H1116" s="7">
        <v>12</v>
      </c>
      <c r="I1116" s="4" t="s">
        <v>329</v>
      </c>
      <c r="J1116" s="4" t="s">
        <v>330</v>
      </c>
      <c r="K1116" s="7">
        <v>1100.7725579999999</v>
      </c>
      <c r="L1116" s="7">
        <v>1450</v>
      </c>
      <c r="M1116" s="7">
        <v>75.915349000000006</v>
      </c>
      <c r="N1116" s="7">
        <v>3</v>
      </c>
      <c r="O1116" s="7">
        <v>1</v>
      </c>
      <c r="P1116" s="7">
        <v>59.787770000000002</v>
      </c>
      <c r="Q1116" s="7">
        <v>119.57554</v>
      </c>
      <c r="R1116" s="7">
        <v>150</v>
      </c>
      <c r="S1116" s="7">
        <v>46.72963</v>
      </c>
      <c r="T1116" s="7">
        <v>66.039006999999998</v>
      </c>
      <c r="U1116" s="7">
        <v>93.459259000000003</v>
      </c>
      <c r="V1116" s="7">
        <v>150</v>
      </c>
      <c r="W1116" s="7">
        <v>55.567146000000001</v>
      </c>
      <c r="X1116" s="7">
        <v>111.134293</v>
      </c>
      <c r="Y1116" s="7">
        <v>150</v>
      </c>
      <c r="Z1116" s="7">
        <v>60.968085000000002</v>
      </c>
      <c r="AA1116" s="7">
        <v>44.285184999999998</v>
      </c>
      <c r="AB1116" s="7">
        <v>88.570369999999997</v>
      </c>
      <c r="AC1116" s="7">
        <v>150</v>
      </c>
      <c r="AD1116" s="7">
        <v>59.420847000000002</v>
      </c>
      <c r="AE1116" s="7">
        <v>79.227795999999998</v>
      </c>
      <c r="AF1116" s="7">
        <v>100</v>
      </c>
      <c r="AG1116" s="7">
        <v>48.543478</v>
      </c>
      <c r="AH1116" s="7">
        <v>64.859532000000002</v>
      </c>
      <c r="AI1116" s="7">
        <v>64.724637999999999</v>
      </c>
      <c r="AJ1116" s="7">
        <v>100</v>
      </c>
      <c r="AK1116" s="7">
        <v>19.3</v>
      </c>
      <c r="AL1116" s="7">
        <v>16.68</v>
      </c>
      <c r="AM1116" s="7">
        <v>16.309999999999999</v>
      </c>
      <c r="AN1116" s="4" t="s">
        <v>124</v>
      </c>
      <c r="AO1116" s="4" t="s">
        <v>124</v>
      </c>
      <c r="AP1116" s="4" t="s">
        <v>124</v>
      </c>
      <c r="AQ1116" s="4" t="s">
        <v>124</v>
      </c>
      <c r="AR1116" s="4" t="s">
        <v>124</v>
      </c>
      <c r="AS1116" s="4" t="s">
        <v>124</v>
      </c>
      <c r="AT1116" s="4" t="s">
        <v>124</v>
      </c>
      <c r="AU1116" s="4" t="s">
        <v>124</v>
      </c>
      <c r="AV1116" s="4" t="s">
        <v>124</v>
      </c>
      <c r="AW1116" s="4" t="s">
        <v>124</v>
      </c>
      <c r="AX1116" s="4" t="s">
        <v>124</v>
      </c>
      <c r="AY1116" s="4" t="s">
        <v>124</v>
      </c>
      <c r="AZ1116" s="4" t="s">
        <v>124</v>
      </c>
      <c r="BA1116" s="4" t="s">
        <v>124</v>
      </c>
      <c r="BB1116" s="4" t="s">
        <v>124</v>
      </c>
      <c r="BC1116" s="4" t="s">
        <v>124</v>
      </c>
      <c r="BD1116" s="4" t="s">
        <v>124</v>
      </c>
      <c r="BE1116" s="4" t="s">
        <v>124</v>
      </c>
      <c r="BF1116" s="4" t="s">
        <v>124</v>
      </c>
      <c r="BG1116" s="4" t="s">
        <v>124</v>
      </c>
      <c r="BH1116" s="7">
        <v>0</v>
      </c>
      <c r="BI1116" s="7">
        <v>0.97916700000000001</v>
      </c>
      <c r="BJ1116" s="7">
        <v>0.95833299999999999</v>
      </c>
      <c r="BK1116" s="7">
        <v>0.98958299999999999</v>
      </c>
      <c r="BL1116" s="7">
        <v>0.97916700000000001</v>
      </c>
      <c r="BM1116" s="7">
        <v>0.95833299999999999</v>
      </c>
      <c r="BN1116" s="7">
        <v>0.98958299999999999</v>
      </c>
      <c r="BO1116" s="7">
        <v>0.97222200000000003</v>
      </c>
      <c r="BP1116" s="7">
        <v>0.97916700000000001</v>
      </c>
      <c r="BQ1116" s="7">
        <v>0.96875</v>
      </c>
      <c r="BR1116" s="7">
        <v>7.8831999999999999E-2</v>
      </c>
      <c r="BS1116" s="7">
        <v>44.233576999999997</v>
      </c>
      <c r="BT1116" s="7">
        <v>50</v>
      </c>
      <c r="BU1116" s="7">
        <v>0.158974</v>
      </c>
      <c r="BV1116" s="7">
        <v>28.205127999999998</v>
      </c>
      <c r="BW1116" s="7">
        <v>50</v>
      </c>
      <c r="BX1116" s="7">
        <v>0.88427299999999998</v>
      </c>
      <c r="BY1116" s="7">
        <v>50</v>
      </c>
      <c r="BZ1116" s="7">
        <v>50</v>
      </c>
      <c r="CA1116" s="7">
        <v>0.52819000000000005</v>
      </c>
      <c r="CB1116" s="7">
        <v>35.212660999999997</v>
      </c>
      <c r="CC1116" s="7">
        <v>50</v>
      </c>
      <c r="CD1116" s="7">
        <v>0.98863599999999996</v>
      </c>
      <c r="CE1116" s="7">
        <v>50</v>
      </c>
      <c r="CF1116" s="7">
        <v>50</v>
      </c>
      <c r="CG1116" s="7">
        <v>0.97382199999999997</v>
      </c>
      <c r="CH1116" s="7">
        <v>100</v>
      </c>
      <c r="CI1116" s="7">
        <v>100</v>
      </c>
      <c r="CJ1116" s="7">
        <v>0</v>
      </c>
      <c r="CK1116" s="7">
        <v>0.96969700000000003</v>
      </c>
      <c r="CL1116" s="7">
        <v>100</v>
      </c>
      <c r="CM1116" s="7">
        <v>100</v>
      </c>
      <c r="CN1116" s="7">
        <v>0.78947400000000001</v>
      </c>
      <c r="CO1116" s="7">
        <v>100</v>
      </c>
      <c r="CP1116" s="7">
        <v>100</v>
      </c>
      <c r="CQ1116" s="7">
        <v>0.472441</v>
      </c>
      <c r="CR1116" s="7">
        <v>0.73837200000000003</v>
      </c>
      <c r="CS1116" s="7">
        <v>15.748030999999999</v>
      </c>
      <c r="CT1116" s="7">
        <v>50</v>
      </c>
      <c r="CU1116" s="7">
        <v>0.24817500000000001</v>
      </c>
      <c r="CV1116" s="7">
        <v>20.681265</v>
      </c>
      <c r="CW1116" s="7">
        <v>50</v>
      </c>
      <c r="CX1116" s="7">
        <v>0.96969700000000003</v>
      </c>
      <c r="CY1116" s="7">
        <v>0.94</v>
      </c>
      <c r="CZ1116" s="7">
        <v>-2.9697000000000001E-2</v>
      </c>
      <c r="DA1116" s="7">
        <v>15.314097</v>
      </c>
      <c r="DB1116" s="7">
        <v>17.400950000000002</v>
      </c>
      <c r="DC1116" s="7">
        <v>16.332519999999999</v>
      </c>
      <c r="DD1116" s="7">
        <v>7.9891730000000001</v>
      </c>
      <c r="DE1116" s="7">
        <v>1</v>
      </c>
      <c r="DF1116" s="6"/>
      <c r="DG1116" s="6"/>
      <c r="DH1116" s="6"/>
      <c r="DI1116" s="6"/>
      <c r="DJ1116" s="7">
        <v>0</v>
      </c>
      <c r="DK1116" s="7">
        <v>0</v>
      </c>
      <c r="DL1116" s="7">
        <v>0</v>
      </c>
      <c r="DM1116" s="7">
        <v>0</v>
      </c>
      <c r="DN1116" s="7">
        <v>0</v>
      </c>
      <c r="DO1116" s="7">
        <v>0</v>
      </c>
      <c r="DP1116" s="6"/>
      <c r="DQ1116" s="4" t="s">
        <v>125</v>
      </c>
    </row>
    <row r="1117" spans="1:121" ht="20" customHeight="1" x14ac:dyDescent="0.15">
      <c r="A1117" s="5">
        <v>2018</v>
      </c>
      <c r="B1117" s="3" t="s">
        <v>291</v>
      </c>
      <c r="C1117" s="4" t="str">
        <f t="shared" si="281"/>
        <v>2140012</v>
      </c>
      <c r="D1117" s="4" t="s">
        <v>1260</v>
      </c>
      <c r="E1117" s="4" t="str">
        <f>"2145112"</f>
        <v>2145112</v>
      </c>
      <c r="F1117" s="4" t="s">
        <v>1227</v>
      </c>
      <c r="G1117" s="7">
        <v>6</v>
      </c>
      <c r="H1117" s="7">
        <v>8</v>
      </c>
      <c r="I1117" s="4" t="s">
        <v>329</v>
      </c>
      <c r="J1117" s="4" t="s">
        <v>330</v>
      </c>
      <c r="K1117" s="7">
        <v>556.30087800000001</v>
      </c>
      <c r="L1117" s="7">
        <v>900</v>
      </c>
      <c r="M1117" s="7">
        <v>61.811208999999998</v>
      </c>
      <c r="N1117" s="7">
        <v>3</v>
      </c>
      <c r="O1117" s="7">
        <v>1</v>
      </c>
      <c r="P1117" s="7">
        <v>68.818862999999993</v>
      </c>
      <c r="Q1117" s="7">
        <v>45.879241999999998</v>
      </c>
      <c r="R1117" s="7">
        <v>50</v>
      </c>
      <c r="S1117" s="7">
        <v>56.719647000000002</v>
      </c>
      <c r="T1117" s="7">
        <v>75</v>
      </c>
      <c r="U1117" s="7">
        <v>37.813097999999997</v>
      </c>
      <c r="V1117" s="7">
        <v>50</v>
      </c>
      <c r="W1117" s="7">
        <v>60.177349999999997</v>
      </c>
      <c r="X1117" s="7">
        <v>40.118232999999996</v>
      </c>
      <c r="Y1117" s="7">
        <v>50</v>
      </c>
      <c r="Z1117" s="7">
        <v>67.197196000000005</v>
      </c>
      <c r="AA1117" s="7">
        <v>48.036468999999997</v>
      </c>
      <c r="AB1117" s="7">
        <v>32.024312999999999</v>
      </c>
      <c r="AC1117" s="7">
        <v>50</v>
      </c>
      <c r="AD1117" s="7">
        <v>62.495004999999999</v>
      </c>
      <c r="AE1117" s="7">
        <v>41.663336999999999</v>
      </c>
      <c r="AF1117" s="7">
        <v>50</v>
      </c>
      <c r="AG1117" s="7">
        <v>52.653618000000002</v>
      </c>
      <c r="AH1117" s="7">
        <v>67.936713999999995</v>
      </c>
      <c r="AI1117" s="7">
        <v>35.102412000000001</v>
      </c>
      <c r="AJ1117" s="7">
        <v>50</v>
      </c>
      <c r="AK1117" s="7">
        <v>18.28</v>
      </c>
      <c r="AL1117" s="7">
        <v>19.16</v>
      </c>
      <c r="AM1117" s="7">
        <v>15.28</v>
      </c>
      <c r="AN1117" s="7">
        <v>0.48177199999999998</v>
      </c>
      <c r="AO1117" s="7">
        <v>48.177176000000003</v>
      </c>
      <c r="AP1117" s="7">
        <v>100</v>
      </c>
      <c r="AQ1117" s="7">
        <v>0.54314700000000005</v>
      </c>
      <c r="AR1117" s="7">
        <v>54.314686000000002</v>
      </c>
      <c r="AS1117" s="7">
        <v>100</v>
      </c>
      <c r="AT1117" s="7">
        <v>0.43190200000000001</v>
      </c>
      <c r="AU1117" s="7">
        <v>0.50936999999999999</v>
      </c>
      <c r="AV1117" s="7">
        <v>43.190212000000002</v>
      </c>
      <c r="AW1117" s="7">
        <v>100</v>
      </c>
      <c r="AX1117" s="7">
        <v>0.48717100000000002</v>
      </c>
      <c r="AY1117" s="7">
        <v>0.57412399999999997</v>
      </c>
      <c r="AZ1117" s="7">
        <v>48.717125000000003</v>
      </c>
      <c r="BA1117" s="7">
        <v>100</v>
      </c>
      <c r="BB1117" s="4" t="s">
        <v>124</v>
      </c>
      <c r="BC1117" s="4" t="s">
        <v>124</v>
      </c>
      <c r="BD1117" s="4" t="s">
        <v>124</v>
      </c>
      <c r="BE1117" s="4" t="s">
        <v>124</v>
      </c>
      <c r="BF1117" s="4" t="s">
        <v>124</v>
      </c>
      <c r="BG1117" s="4" t="s">
        <v>124</v>
      </c>
      <c r="BH1117" s="7">
        <v>0</v>
      </c>
      <c r="BI1117" s="7">
        <v>1</v>
      </c>
      <c r="BJ1117" s="7">
        <v>1</v>
      </c>
      <c r="BK1117" s="7">
        <v>1</v>
      </c>
      <c r="BL1117" s="7">
        <v>1</v>
      </c>
      <c r="BM1117" s="7">
        <v>1</v>
      </c>
      <c r="BN1117" s="7">
        <v>1</v>
      </c>
      <c r="BO1117" s="7">
        <v>1</v>
      </c>
      <c r="BP1117" s="7">
        <v>1</v>
      </c>
      <c r="BQ1117" s="7">
        <v>1</v>
      </c>
      <c r="BR1117" s="7">
        <v>0.11976000000000001</v>
      </c>
      <c r="BS1117" s="7">
        <v>36.047904000000003</v>
      </c>
      <c r="BT1117" s="7">
        <v>50</v>
      </c>
      <c r="BU1117" s="7">
        <v>0.21551699999999999</v>
      </c>
      <c r="BV1117" s="7">
        <v>16.896552</v>
      </c>
      <c r="BW1117" s="7">
        <v>50</v>
      </c>
      <c r="BX1117" s="4" t="s">
        <v>124</v>
      </c>
      <c r="BY1117" s="4" t="s">
        <v>124</v>
      </c>
      <c r="BZ1117" s="4" t="s">
        <v>124</v>
      </c>
      <c r="CA1117" s="4" t="s">
        <v>124</v>
      </c>
      <c r="CB1117" s="4" t="s">
        <v>124</v>
      </c>
      <c r="CC1117" s="4" t="s">
        <v>124</v>
      </c>
      <c r="CD1117" s="7">
        <v>0.99099099999999996</v>
      </c>
      <c r="CE1117" s="7">
        <v>50</v>
      </c>
      <c r="CF1117" s="7">
        <v>50</v>
      </c>
      <c r="CG1117" s="4" t="s">
        <v>124</v>
      </c>
      <c r="CH1117" s="4" t="s">
        <v>124</v>
      </c>
      <c r="CI1117" s="4" t="s">
        <v>124</v>
      </c>
      <c r="CJ1117" s="4" t="s">
        <v>124</v>
      </c>
      <c r="CK1117" s="4" t="s">
        <v>124</v>
      </c>
      <c r="CL1117" s="4" t="s">
        <v>124</v>
      </c>
      <c r="CM1117" s="4" t="s">
        <v>124</v>
      </c>
      <c r="CN1117" s="4" t="s">
        <v>124</v>
      </c>
      <c r="CO1117" s="4" t="s">
        <v>124</v>
      </c>
      <c r="CP1117" s="4" t="s">
        <v>124</v>
      </c>
      <c r="CQ1117" s="7">
        <v>0.39534900000000001</v>
      </c>
      <c r="CR1117" s="7">
        <v>0.95132700000000003</v>
      </c>
      <c r="CS1117" s="7">
        <v>26.356589</v>
      </c>
      <c r="CT1117" s="7">
        <v>50</v>
      </c>
      <c r="CU1117" s="4" t="s">
        <v>124</v>
      </c>
      <c r="CV1117" s="4" t="s">
        <v>124</v>
      </c>
      <c r="CW1117" s="4" t="s">
        <v>124</v>
      </c>
      <c r="CX1117" s="4" t="s">
        <v>124</v>
      </c>
      <c r="CY1117" s="4" t="s">
        <v>124</v>
      </c>
      <c r="CZ1117" s="4" t="s">
        <v>124</v>
      </c>
      <c r="DA1117" s="7">
        <v>15.314097</v>
      </c>
      <c r="DB1117" s="7">
        <v>17.400950000000002</v>
      </c>
      <c r="DC1117" s="7">
        <v>16.332519999999999</v>
      </c>
      <c r="DD1117" s="4" t="s">
        <v>124</v>
      </c>
      <c r="DE1117" s="7">
        <v>1</v>
      </c>
      <c r="DF1117" s="6"/>
      <c r="DG1117" s="6"/>
      <c r="DH1117" s="6"/>
      <c r="DI1117" s="6"/>
      <c r="DJ1117" s="7">
        <v>0</v>
      </c>
      <c r="DK1117" s="7">
        <v>0</v>
      </c>
      <c r="DL1117" s="7">
        <v>0</v>
      </c>
      <c r="DM1117" s="7">
        <v>0</v>
      </c>
      <c r="DN1117" s="7">
        <v>0</v>
      </c>
      <c r="DO1117" s="7">
        <v>0</v>
      </c>
      <c r="DP1117" s="6"/>
      <c r="DQ1117" s="4" t="s">
        <v>125</v>
      </c>
    </row>
    <row r="1118" spans="1:121" ht="20" customHeight="1" x14ac:dyDescent="0.15">
      <c r="A1118" s="5">
        <v>2018</v>
      </c>
      <c r="B1118" s="3" t="s">
        <v>292</v>
      </c>
      <c r="C1118" s="4" t="str">
        <f>"2150012"</f>
        <v>2150012</v>
      </c>
      <c r="D1118" s="4" t="s">
        <v>1261</v>
      </c>
      <c r="E1118" s="4" t="str">
        <f>"2150412"</f>
        <v>2150412</v>
      </c>
      <c r="F1118" s="4" t="s">
        <v>1227</v>
      </c>
      <c r="G1118" s="4" t="s">
        <v>328</v>
      </c>
      <c r="H1118" s="7">
        <v>5</v>
      </c>
      <c r="I1118" s="4" t="s">
        <v>329</v>
      </c>
      <c r="J1118" s="4" t="s">
        <v>330</v>
      </c>
      <c r="K1118" s="7">
        <v>722.11404800000003</v>
      </c>
      <c r="L1118" s="7">
        <v>800</v>
      </c>
      <c r="M1118" s="7">
        <v>90.264256000000003</v>
      </c>
      <c r="N1118" s="7">
        <v>1</v>
      </c>
      <c r="O1118" s="7">
        <v>0</v>
      </c>
      <c r="P1118" s="7">
        <v>80.832824000000002</v>
      </c>
      <c r="Q1118" s="7">
        <v>50</v>
      </c>
      <c r="R1118" s="7">
        <v>50</v>
      </c>
      <c r="S1118" s="7">
        <v>74.031118000000006</v>
      </c>
      <c r="T1118" s="7">
        <v>75</v>
      </c>
      <c r="U1118" s="7">
        <v>49.354078999999999</v>
      </c>
      <c r="V1118" s="7">
        <v>50</v>
      </c>
      <c r="W1118" s="7">
        <v>80.490241999999995</v>
      </c>
      <c r="X1118" s="7">
        <v>50</v>
      </c>
      <c r="Y1118" s="7">
        <v>50</v>
      </c>
      <c r="Z1118" s="7">
        <v>75</v>
      </c>
      <c r="AA1118" s="7">
        <v>72.553809000000001</v>
      </c>
      <c r="AB1118" s="7">
        <v>48.369205999999998</v>
      </c>
      <c r="AC1118" s="7">
        <v>50</v>
      </c>
      <c r="AD1118" s="7">
        <v>75.517551999999995</v>
      </c>
      <c r="AE1118" s="7">
        <v>50</v>
      </c>
      <c r="AF1118" s="7">
        <v>50</v>
      </c>
      <c r="AG1118" s="4" t="s">
        <v>124</v>
      </c>
      <c r="AH1118" s="7">
        <v>75</v>
      </c>
      <c r="AI1118" s="4" t="s">
        <v>124</v>
      </c>
      <c r="AJ1118" s="4" t="s">
        <v>124</v>
      </c>
      <c r="AK1118" s="7">
        <v>0.96</v>
      </c>
      <c r="AL1118" s="7">
        <v>2.44</v>
      </c>
      <c r="AM1118" s="4" t="s">
        <v>124</v>
      </c>
      <c r="AN1118" s="7">
        <v>0.785547</v>
      </c>
      <c r="AO1118" s="7">
        <v>78.554678999999993</v>
      </c>
      <c r="AP1118" s="7">
        <v>100</v>
      </c>
      <c r="AQ1118" s="7">
        <v>0.88472499999999998</v>
      </c>
      <c r="AR1118" s="7">
        <v>88.472463000000005</v>
      </c>
      <c r="AS1118" s="7">
        <v>100</v>
      </c>
      <c r="AT1118" s="7">
        <v>0.81991000000000003</v>
      </c>
      <c r="AU1118" s="7">
        <v>0.77032900000000004</v>
      </c>
      <c r="AV1118" s="7">
        <v>81.991024999999993</v>
      </c>
      <c r="AW1118" s="7">
        <v>100</v>
      </c>
      <c r="AX1118" s="7">
        <v>0.79652900000000004</v>
      </c>
      <c r="AY1118" s="7">
        <v>0.92378300000000002</v>
      </c>
      <c r="AZ1118" s="7">
        <v>79.652882000000005</v>
      </c>
      <c r="BA1118" s="7">
        <v>100</v>
      </c>
      <c r="BB1118" s="4" t="s">
        <v>124</v>
      </c>
      <c r="BC1118" s="4" t="s">
        <v>124</v>
      </c>
      <c r="BD1118" s="4" t="s">
        <v>124</v>
      </c>
      <c r="BE1118" s="4" t="s">
        <v>124</v>
      </c>
      <c r="BF1118" s="4" t="s">
        <v>124</v>
      </c>
      <c r="BG1118" s="4" t="s">
        <v>124</v>
      </c>
      <c r="BH1118" s="7">
        <v>0</v>
      </c>
      <c r="BI1118" s="7">
        <v>0.98823499999999997</v>
      </c>
      <c r="BJ1118" s="7">
        <v>1</v>
      </c>
      <c r="BK1118" s="7">
        <v>0.98290599999999995</v>
      </c>
      <c r="BL1118" s="7">
        <v>0.98823499999999997</v>
      </c>
      <c r="BM1118" s="7">
        <v>1</v>
      </c>
      <c r="BN1118" s="7">
        <v>0.98290599999999995</v>
      </c>
      <c r="BO1118" s="7">
        <v>0.981132</v>
      </c>
      <c r="BP1118" s="7">
        <v>1</v>
      </c>
      <c r="BQ1118" s="7">
        <v>0.96969700000000003</v>
      </c>
      <c r="BR1118" s="7">
        <v>2.9412000000000001E-2</v>
      </c>
      <c r="BS1118" s="7">
        <v>50</v>
      </c>
      <c r="BT1118" s="7">
        <v>50</v>
      </c>
      <c r="BU1118" s="7">
        <v>6.9766999999999996E-2</v>
      </c>
      <c r="BV1118" s="7">
        <v>46.046512</v>
      </c>
      <c r="BW1118" s="7">
        <v>50</v>
      </c>
      <c r="BX1118" s="4" t="s">
        <v>124</v>
      </c>
      <c r="BY1118" s="4" t="s">
        <v>124</v>
      </c>
      <c r="BZ1118" s="4" t="s">
        <v>124</v>
      </c>
      <c r="CA1118" s="4" t="s">
        <v>124</v>
      </c>
      <c r="CB1118" s="4" t="s">
        <v>124</v>
      </c>
      <c r="CC1118" s="4" t="s">
        <v>124</v>
      </c>
      <c r="CD1118" s="4" t="s">
        <v>124</v>
      </c>
      <c r="CE1118" s="4" t="s">
        <v>124</v>
      </c>
      <c r="CF1118" s="4" t="s">
        <v>124</v>
      </c>
      <c r="CG1118" s="4" t="s">
        <v>124</v>
      </c>
      <c r="CH1118" s="4" t="s">
        <v>124</v>
      </c>
      <c r="CI1118" s="4" t="s">
        <v>124</v>
      </c>
      <c r="CJ1118" s="4" t="s">
        <v>124</v>
      </c>
      <c r="CK1118" s="4" t="s">
        <v>124</v>
      </c>
      <c r="CL1118" s="4" t="s">
        <v>124</v>
      </c>
      <c r="CM1118" s="4" t="s">
        <v>124</v>
      </c>
      <c r="CN1118" s="4" t="s">
        <v>124</v>
      </c>
      <c r="CO1118" s="4" t="s">
        <v>124</v>
      </c>
      <c r="CP1118" s="4" t="s">
        <v>124</v>
      </c>
      <c r="CQ1118" s="7">
        <v>0.74509800000000004</v>
      </c>
      <c r="CR1118" s="7">
        <v>0.94444399999999995</v>
      </c>
      <c r="CS1118" s="7">
        <v>49.673203000000001</v>
      </c>
      <c r="CT1118" s="7">
        <v>50</v>
      </c>
      <c r="CU1118" s="4" t="s">
        <v>124</v>
      </c>
      <c r="CV1118" s="4" t="s">
        <v>124</v>
      </c>
      <c r="CW1118" s="4" t="s">
        <v>124</v>
      </c>
      <c r="CX1118" s="4" t="s">
        <v>124</v>
      </c>
      <c r="CY1118" s="4" t="s">
        <v>124</v>
      </c>
      <c r="CZ1118" s="4" t="s">
        <v>124</v>
      </c>
      <c r="DA1118" s="7">
        <v>15.314097</v>
      </c>
      <c r="DB1118" s="7">
        <v>17.400950000000002</v>
      </c>
      <c r="DC1118" s="7">
        <v>16.332519999999999</v>
      </c>
      <c r="DD1118" s="4" t="s">
        <v>124</v>
      </c>
      <c r="DE1118" s="7">
        <v>0</v>
      </c>
      <c r="DF1118" s="6"/>
      <c r="DG1118" s="6"/>
      <c r="DH1118" s="4" t="s">
        <v>331</v>
      </c>
      <c r="DI1118" s="4" t="s">
        <v>614</v>
      </c>
      <c r="DJ1118" s="7">
        <v>1</v>
      </c>
      <c r="DK1118" s="7">
        <v>1</v>
      </c>
      <c r="DL1118" s="7">
        <v>1</v>
      </c>
      <c r="DM1118" s="7">
        <v>1</v>
      </c>
      <c r="DN1118" s="7">
        <v>1</v>
      </c>
      <c r="DO1118" s="7">
        <v>0</v>
      </c>
      <c r="DP1118" s="6"/>
      <c r="DQ1118" s="4" t="s">
        <v>125</v>
      </c>
    </row>
    <row r="1119" spans="1:121" ht="20" customHeight="1" x14ac:dyDescent="0.15">
      <c r="A1119" s="5">
        <v>2018</v>
      </c>
      <c r="B1119" s="3" t="s">
        <v>292</v>
      </c>
      <c r="C1119" s="4" t="str">
        <f t="shared" si="164"/>
        <v>2150012</v>
      </c>
      <c r="D1119" s="4" t="s">
        <v>1262</v>
      </c>
      <c r="E1119" s="4" t="str">
        <f>"2150712"</f>
        <v>2150712</v>
      </c>
      <c r="F1119" s="4" t="s">
        <v>1227</v>
      </c>
      <c r="G1119" s="4" t="s">
        <v>328</v>
      </c>
      <c r="H1119" s="7">
        <v>5</v>
      </c>
      <c r="I1119" s="4" t="s">
        <v>329</v>
      </c>
      <c r="J1119" s="4" t="s">
        <v>330</v>
      </c>
      <c r="K1119" s="7">
        <v>671.78995399999997</v>
      </c>
      <c r="L1119" s="7">
        <v>800</v>
      </c>
      <c r="M1119" s="7">
        <v>83.973743999999996</v>
      </c>
      <c r="N1119" s="7">
        <v>2</v>
      </c>
      <c r="O1119" s="7">
        <v>0</v>
      </c>
      <c r="P1119" s="7">
        <v>79.231316000000007</v>
      </c>
      <c r="Q1119" s="7">
        <v>50</v>
      </c>
      <c r="R1119" s="7">
        <v>50</v>
      </c>
      <c r="S1119" s="7">
        <v>69.807723999999993</v>
      </c>
      <c r="T1119" s="7">
        <v>75</v>
      </c>
      <c r="U1119" s="7">
        <v>46.538482000000002</v>
      </c>
      <c r="V1119" s="7">
        <v>50</v>
      </c>
      <c r="W1119" s="7">
        <v>80.195611</v>
      </c>
      <c r="X1119" s="7">
        <v>50</v>
      </c>
      <c r="Y1119" s="7">
        <v>50</v>
      </c>
      <c r="Z1119" s="7">
        <v>75</v>
      </c>
      <c r="AA1119" s="7">
        <v>70.351872</v>
      </c>
      <c r="AB1119" s="7">
        <v>46.901248000000002</v>
      </c>
      <c r="AC1119" s="7">
        <v>50</v>
      </c>
      <c r="AD1119" s="7">
        <v>75.120304000000004</v>
      </c>
      <c r="AE1119" s="7">
        <v>50</v>
      </c>
      <c r="AF1119" s="7">
        <v>50</v>
      </c>
      <c r="AG1119" s="4" t="s">
        <v>124</v>
      </c>
      <c r="AH1119" s="7">
        <v>75</v>
      </c>
      <c r="AI1119" s="4" t="s">
        <v>124</v>
      </c>
      <c r="AJ1119" s="4" t="s">
        <v>124</v>
      </c>
      <c r="AK1119" s="7">
        <v>5.19</v>
      </c>
      <c r="AL1119" s="7">
        <v>4.6399999999999997</v>
      </c>
      <c r="AM1119" s="4" t="s">
        <v>124</v>
      </c>
      <c r="AN1119" s="7">
        <v>0.71576700000000004</v>
      </c>
      <c r="AO1119" s="7">
        <v>71.576745000000003</v>
      </c>
      <c r="AP1119" s="7">
        <v>100</v>
      </c>
      <c r="AQ1119" s="7">
        <v>0.76077799999999995</v>
      </c>
      <c r="AR1119" s="7">
        <v>76.077793999999997</v>
      </c>
      <c r="AS1119" s="7">
        <v>100</v>
      </c>
      <c r="AT1119" s="7">
        <v>0.65113399999999999</v>
      </c>
      <c r="AU1119" s="7">
        <v>0.73415900000000001</v>
      </c>
      <c r="AV1119" s="7">
        <v>65.113377</v>
      </c>
      <c r="AW1119" s="7">
        <v>100</v>
      </c>
      <c r="AX1119" s="7">
        <v>0.67953399999999997</v>
      </c>
      <c r="AY1119" s="7">
        <v>0.78389600000000004</v>
      </c>
      <c r="AZ1119" s="7">
        <v>67.953440999999998</v>
      </c>
      <c r="BA1119" s="7">
        <v>100</v>
      </c>
      <c r="BB1119" s="4" t="s">
        <v>124</v>
      </c>
      <c r="BC1119" s="4" t="s">
        <v>124</v>
      </c>
      <c r="BD1119" s="4" t="s">
        <v>124</v>
      </c>
      <c r="BE1119" s="4" t="s">
        <v>124</v>
      </c>
      <c r="BF1119" s="4" t="s">
        <v>124</v>
      </c>
      <c r="BG1119" s="4" t="s">
        <v>124</v>
      </c>
      <c r="BH1119" s="7">
        <v>0</v>
      </c>
      <c r="BI1119" s="7">
        <v>0.99173599999999995</v>
      </c>
      <c r="BJ1119" s="7">
        <v>0.98275900000000005</v>
      </c>
      <c r="BK1119" s="7">
        <v>0.99456500000000003</v>
      </c>
      <c r="BL1119" s="7">
        <v>0.99173599999999995</v>
      </c>
      <c r="BM1119" s="7">
        <v>0.98275900000000005</v>
      </c>
      <c r="BN1119" s="7">
        <v>0.99456500000000003</v>
      </c>
      <c r="BO1119" s="7">
        <v>1</v>
      </c>
      <c r="BP1119" s="4" t="s">
        <v>124</v>
      </c>
      <c r="BQ1119" s="7">
        <v>1</v>
      </c>
      <c r="BR1119" s="7">
        <v>3.2822999999999998E-2</v>
      </c>
      <c r="BS1119" s="7">
        <v>50</v>
      </c>
      <c r="BT1119" s="7">
        <v>50</v>
      </c>
      <c r="BU1119" s="7">
        <v>6.1856000000000001E-2</v>
      </c>
      <c r="BV1119" s="7">
        <v>47.628866000000002</v>
      </c>
      <c r="BW1119" s="7">
        <v>50</v>
      </c>
      <c r="BX1119" s="4" t="s">
        <v>124</v>
      </c>
      <c r="BY1119" s="4" t="s">
        <v>124</v>
      </c>
      <c r="BZ1119" s="4" t="s">
        <v>124</v>
      </c>
      <c r="CA1119" s="4" t="s">
        <v>124</v>
      </c>
      <c r="CB1119" s="4" t="s">
        <v>124</v>
      </c>
      <c r="CC1119" s="4" t="s">
        <v>124</v>
      </c>
      <c r="CD1119" s="4" t="s">
        <v>124</v>
      </c>
      <c r="CE1119" s="4" t="s">
        <v>124</v>
      </c>
      <c r="CF1119" s="4" t="s">
        <v>124</v>
      </c>
      <c r="CG1119" s="4" t="s">
        <v>124</v>
      </c>
      <c r="CH1119" s="4" t="s">
        <v>124</v>
      </c>
      <c r="CI1119" s="4" t="s">
        <v>124</v>
      </c>
      <c r="CJ1119" s="4" t="s">
        <v>124</v>
      </c>
      <c r="CK1119" s="4" t="s">
        <v>124</v>
      </c>
      <c r="CL1119" s="4" t="s">
        <v>124</v>
      </c>
      <c r="CM1119" s="4" t="s">
        <v>124</v>
      </c>
      <c r="CN1119" s="4" t="s">
        <v>124</v>
      </c>
      <c r="CO1119" s="4" t="s">
        <v>124</v>
      </c>
      <c r="CP1119" s="4" t="s">
        <v>124</v>
      </c>
      <c r="CQ1119" s="7">
        <v>0.81012700000000004</v>
      </c>
      <c r="CR1119" s="7">
        <v>0.98750000000000004</v>
      </c>
      <c r="CS1119" s="7">
        <v>50</v>
      </c>
      <c r="CT1119" s="7">
        <v>50</v>
      </c>
      <c r="CU1119" s="4" t="s">
        <v>124</v>
      </c>
      <c r="CV1119" s="4" t="s">
        <v>124</v>
      </c>
      <c r="CW1119" s="4" t="s">
        <v>124</v>
      </c>
      <c r="CX1119" s="4" t="s">
        <v>124</v>
      </c>
      <c r="CY1119" s="4" t="s">
        <v>124</v>
      </c>
      <c r="CZ1119" s="4" t="s">
        <v>124</v>
      </c>
      <c r="DA1119" s="7">
        <v>15.314097</v>
      </c>
      <c r="DB1119" s="7">
        <v>17.400950000000002</v>
      </c>
      <c r="DC1119" s="7">
        <v>16.332519999999999</v>
      </c>
      <c r="DD1119" s="4" t="s">
        <v>124</v>
      </c>
      <c r="DE1119" s="7">
        <v>0</v>
      </c>
      <c r="DF1119" s="6"/>
      <c r="DG1119" s="6"/>
      <c r="DH1119" s="6"/>
      <c r="DI1119" s="6"/>
      <c r="DJ1119" s="7">
        <v>0</v>
      </c>
      <c r="DK1119" s="7">
        <v>0</v>
      </c>
      <c r="DL1119" s="7">
        <v>0</v>
      </c>
      <c r="DM1119" s="7">
        <v>0</v>
      </c>
      <c r="DN1119" s="7">
        <v>0</v>
      </c>
      <c r="DO1119" s="7">
        <v>0</v>
      </c>
      <c r="DP1119" s="6"/>
      <c r="DQ1119" s="4" t="s">
        <v>125</v>
      </c>
    </row>
    <row r="1120" spans="1:121" ht="20" customHeight="1" x14ac:dyDescent="0.15">
      <c r="A1120" s="5">
        <v>2018</v>
      </c>
      <c r="B1120" s="3" t="s">
        <v>292</v>
      </c>
      <c r="C1120" s="4" t="str">
        <f t="shared" ref="C1120:C1124" si="282">"2150012"</f>
        <v>2150012</v>
      </c>
      <c r="D1120" s="4" t="s">
        <v>1263</v>
      </c>
      <c r="E1120" s="4" t="str">
        <f>"2155212"</f>
        <v>2155212</v>
      </c>
      <c r="F1120" s="4" t="s">
        <v>1227</v>
      </c>
      <c r="G1120" s="7">
        <v>6</v>
      </c>
      <c r="H1120" s="7">
        <v>8</v>
      </c>
      <c r="I1120" s="4" t="s">
        <v>329</v>
      </c>
      <c r="J1120" s="4" t="s">
        <v>330</v>
      </c>
      <c r="K1120" s="7">
        <v>637.27279299999998</v>
      </c>
      <c r="L1120" s="7">
        <v>900</v>
      </c>
      <c r="M1120" s="7">
        <v>70.808087999999998</v>
      </c>
      <c r="N1120" s="7">
        <v>2</v>
      </c>
      <c r="O1120" s="7">
        <v>0</v>
      </c>
      <c r="P1120" s="7">
        <v>73.817547000000005</v>
      </c>
      <c r="Q1120" s="7">
        <v>49.211697999999998</v>
      </c>
      <c r="R1120" s="7">
        <v>50</v>
      </c>
      <c r="S1120" s="7">
        <v>62.562908999999998</v>
      </c>
      <c r="T1120" s="7">
        <v>75</v>
      </c>
      <c r="U1120" s="7">
        <v>41.708606000000003</v>
      </c>
      <c r="V1120" s="7">
        <v>50</v>
      </c>
      <c r="W1120" s="7">
        <v>71.014322000000007</v>
      </c>
      <c r="X1120" s="7">
        <v>47.342880999999998</v>
      </c>
      <c r="Y1120" s="7">
        <v>50</v>
      </c>
      <c r="Z1120" s="7">
        <v>75</v>
      </c>
      <c r="AA1120" s="7">
        <v>58.380274</v>
      </c>
      <c r="AB1120" s="7">
        <v>38.920181999999997</v>
      </c>
      <c r="AC1120" s="7">
        <v>50</v>
      </c>
      <c r="AD1120" s="7">
        <v>70.461833999999996</v>
      </c>
      <c r="AE1120" s="7">
        <v>46.974556</v>
      </c>
      <c r="AF1120" s="7">
        <v>50</v>
      </c>
      <c r="AG1120" s="7">
        <v>64.839596</v>
      </c>
      <c r="AH1120" s="7">
        <v>72.721238</v>
      </c>
      <c r="AI1120" s="7">
        <v>43.226396999999999</v>
      </c>
      <c r="AJ1120" s="7">
        <v>50</v>
      </c>
      <c r="AK1120" s="7">
        <v>12.43</v>
      </c>
      <c r="AL1120" s="7">
        <v>16.61</v>
      </c>
      <c r="AM1120" s="7">
        <v>7.88</v>
      </c>
      <c r="AN1120" s="7">
        <v>0.520347</v>
      </c>
      <c r="AO1120" s="7">
        <v>52.034748999999998</v>
      </c>
      <c r="AP1120" s="7">
        <v>100</v>
      </c>
      <c r="AQ1120" s="7">
        <v>0.57916699999999999</v>
      </c>
      <c r="AR1120" s="7">
        <v>57.916716999999998</v>
      </c>
      <c r="AS1120" s="7">
        <v>100</v>
      </c>
      <c r="AT1120" s="7">
        <v>0.46563300000000002</v>
      </c>
      <c r="AU1120" s="7">
        <v>0.54039099999999995</v>
      </c>
      <c r="AV1120" s="7">
        <v>46.563347</v>
      </c>
      <c r="AW1120" s="7">
        <v>100</v>
      </c>
      <c r="AX1120" s="7">
        <v>0.43766100000000002</v>
      </c>
      <c r="AY1120" s="7">
        <v>0.63100599999999996</v>
      </c>
      <c r="AZ1120" s="7">
        <v>43.766050999999997</v>
      </c>
      <c r="BA1120" s="7">
        <v>100</v>
      </c>
      <c r="BB1120" s="4" t="s">
        <v>124</v>
      </c>
      <c r="BC1120" s="4" t="s">
        <v>124</v>
      </c>
      <c r="BD1120" s="4" t="s">
        <v>124</v>
      </c>
      <c r="BE1120" s="4" t="s">
        <v>124</v>
      </c>
      <c r="BF1120" s="4" t="s">
        <v>124</v>
      </c>
      <c r="BG1120" s="4" t="s">
        <v>124</v>
      </c>
      <c r="BH1120" s="7">
        <v>0</v>
      </c>
      <c r="BI1120" s="7">
        <v>0.99086799999999997</v>
      </c>
      <c r="BJ1120" s="7">
        <v>0.97777800000000004</v>
      </c>
      <c r="BK1120" s="7">
        <v>0.99670000000000003</v>
      </c>
      <c r="BL1120" s="7">
        <v>0.99086799999999997</v>
      </c>
      <c r="BM1120" s="7">
        <v>0.97777800000000004</v>
      </c>
      <c r="BN1120" s="7">
        <v>0.99670000000000003</v>
      </c>
      <c r="BO1120" s="7">
        <v>0.98064499999999999</v>
      </c>
      <c r="BP1120" s="7">
        <v>0.95744700000000005</v>
      </c>
      <c r="BQ1120" s="7">
        <v>0.99074099999999998</v>
      </c>
      <c r="BR1120" s="7">
        <v>4.1096000000000001E-2</v>
      </c>
      <c r="BS1120" s="7">
        <v>50</v>
      </c>
      <c r="BT1120" s="7">
        <v>50</v>
      </c>
      <c r="BU1120" s="7">
        <v>9.1603000000000004E-2</v>
      </c>
      <c r="BV1120" s="7">
        <v>41.679389</v>
      </c>
      <c r="BW1120" s="7">
        <v>50</v>
      </c>
      <c r="BX1120" s="4" t="s">
        <v>124</v>
      </c>
      <c r="BY1120" s="4" t="s">
        <v>124</v>
      </c>
      <c r="BZ1120" s="4" t="s">
        <v>124</v>
      </c>
      <c r="CA1120" s="4" t="s">
        <v>124</v>
      </c>
      <c r="CB1120" s="4" t="s">
        <v>124</v>
      </c>
      <c r="CC1120" s="4" t="s">
        <v>124</v>
      </c>
      <c r="CD1120" s="7">
        <v>0.93333299999999997</v>
      </c>
      <c r="CE1120" s="7">
        <v>49.645389999999999</v>
      </c>
      <c r="CF1120" s="7">
        <v>50</v>
      </c>
      <c r="CG1120" s="4" t="s">
        <v>124</v>
      </c>
      <c r="CH1120" s="4" t="s">
        <v>124</v>
      </c>
      <c r="CI1120" s="4" t="s">
        <v>124</v>
      </c>
      <c r="CJ1120" s="4" t="s">
        <v>124</v>
      </c>
      <c r="CK1120" s="4" t="s">
        <v>124</v>
      </c>
      <c r="CL1120" s="4" t="s">
        <v>124</v>
      </c>
      <c r="CM1120" s="4" t="s">
        <v>124</v>
      </c>
      <c r="CN1120" s="4" t="s">
        <v>124</v>
      </c>
      <c r="CO1120" s="4" t="s">
        <v>124</v>
      </c>
      <c r="CP1120" s="4" t="s">
        <v>124</v>
      </c>
      <c r="CQ1120" s="7">
        <v>0.42424200000000001</v>
      </c>
      <c r="CR1120" s="7">
        <v>0.99664399999999997</v>
      </c>
      <c r="CS1120" s="7">
        <v>28.282827999999999</v>
      </c>
      <c r="CT1120" s="7">
        <v>50</v>
      </c>
      <c r="CU1120" s="4" t="s">
        <v>124</v>
      </c>
      <c r="CV1120" s="4" t="s">
        <v>124</v>
      </c>
      <c r="CW1120" s="4" t="s">
        <v>124</v>
      </c>
      <c r="CX1120" s="4" t="s">
        <v>124</v>
      </c>
      <c r="CY1120" s="4" t="s">
        <v>124</v>
      </c>
      <c r="CZ1120" s="4" t="s">
        <v>124</v>
      </c>
      <c r="DA1120" s="7">
        <v>15.314097</v>
      </c>
      <c r="DB1120" s="7">
        <v>17.400950000000002</v>
      </c>
      <c r="DC1120" s="7">
        <v>16.332519999999999</v>
      </c>
      <c r="DD1120" s="4" t="s">
        <v>124</v>
      </c>
      <c r="DE1120" s="7">
        <v>0</v>
      </c>
      <c r="DF1120" s="6"/>
      <c r="DG1120" s="6"/>
      <c r="DH1120" s="6"/>
      <c r="DI1120" s="6"/>
      <c r="DJ1120" s="7">
        <v>0</v>
      </c>
      <c r="DK1120" s="7">
        <v>0</v>
      </c>
      <c r="DL1120" s="7">
        <v>0</v>
      </c>
      <c r="DM1120" s="7">
        <v>0</v>
      </c>
      <c r="DN1120" s="7">
        <v>0</v>
      </c>
      <c r="DO1120" s="7">
        <v>0</v>
      </c>
      <c r="DP1120" s="6"/>
      <c r="DQ1120" s="4" t="s">
        <v>125</v>
      </c>
    </row>
    <row r="1121" spans="1:121" ht="20" customHeight="1" x14ac:dyDescent="0.15">
      <c r="A1121" s="5">
        <v>2018</v>
      </c>
      <c r="B1121" s="3" t="s">
        <v>292</v>
      </c>
      <c r="C1121" s="4" t="str">
        <f t="shared" si="282"/>
        <v>2150012</v>
      </c>
      <c r="D1121" s="4" t="s">
        <v>1264</v>
      </c>
      <c r="E1121" s="4" t="str">
        <f>"2150612"</f>
        <v>2150612</v>
      </c>
      <c r="F1121" s="4" t="s">
        <v>1227</v>
      </c>
      <c r="G1121" s="4" t="s">
        <v>328</v>
      </c>
      <c r="H1121" s="7">
        <v>5</v>
      </c>
      <c r="I1121" s="4" t="s">
        <v>329</v>
      </c>
      <c r="J1121" s="4" t="s">
        <v>330</v>
      </c>
      <c r="K1121" s="7">
        <v>681.95528100000001</v>
      </c>
      <c r="L1121" s="7">
        <v>850</v>
      </c>
      <c r="M1121" s="7">
        <v>80.230033000000006</v>
      </c>
      <c r="N1121" s="7">
        <v>2</v>
      </c>
      <c r="O1121" s="7">
        <v>0</v>
      </c>
      <c r="P1121" s="7">
        <v>76.718781000000007</v>
      </c>
      <c r="Q1121" s="7">
        <v>50</v>
      </c>
      <c r="R1121" s="7">
        <v>50</v>
      </c>
      <c r="S1121" s="7">
        <v>69.200659999999999</v>
      </c>
      <c r="T1121" s="7">
        <v>75</v>
      </c>
      <c r="U1121" s="7">
        <v>46.133772999999998</v>
      </c>
      <c r="V1121" s="7">
        <v>50</v>
      </c>
      <c r="W1121" s="7">
        <v>76.585735</v>
      </c>
      <c r="X1121" s="7">
        <v>50</v>
      </c>
      <c r="Y1121" s="7">
        <v>50</v>
      </c>
      <c r="Z1121" s="7">
        <v>75</v>
      </c>
      <c r="AA1121" s="7">
        <v>67.614129000000005</v>
      </c>
      <c r="AB1121" s="7">
        <v>45.076085999999997</v>
      </c>
      <c r="AC1121" s="7">
        <v>50</v>
      </c>
      <c r="AD1121" s="7">
        <v>66.890103999999994</v>
      </c>
      <c r="AE1121" s="7">
        <v>44.593403000000002</v>
      </c>
      <c r="AF1121" s="7">
        <v>50</v>
      </c>
      <c r="AG1121" s="7">
        <v>58.970813999999997</v>
      </c>
      <c r="AH1121" s="7">
        <v>71.266553000000002</v>
      </c>
      <c r="AI1121" s="7">
        <v>39.313876</v>
      </c>
      <c r="AJ1121" s="7">
        <v>50</v>
      </c>
      <c r="AK1121" s="7">
        <v>5.79</v>
      </c>
      <c r="AL1121" s="7">
        <v>7.38</v>
      </c>
      <c r="AM1121" s="7">
        <v>12.29</v>
      </c>
      <c r="AN1121" s="7">
        <v>0.71011199999999997</v>
      </c>
      <c r="AO1121" s="7">
        <v>71.011189000000002</v>
      </c>
      <c r="AP1121" s="7">
        <v>100</v>
      </c>
      <c r="AQ1121" s="7">
        <v>0.74806799999999996</v>
      </c>
      <c r="AR1121" s="7">
        <v>74.806798000000001</v>
      </c>
      <c r="AS1121" s="7">
        <v>100</v>
      </c>
      <c r="AT1121" s="7">
        <v>0.65647699999999998</v>
      </c>
      <c r="AU1121" s="7">
        <v>0.736541</v>
      </c>
      <c r="AV1121" s="7">
        <v>65.647734</v>
      </c>
      <c r="AW1121" s="7">
        <v>100</v>
      </c>
      <c r="AX1121" s="7">
        <v>0.58203800000000006</v>
      </c>
      <c r="AY1121" s="7">
        <v>0.82987999999999995</v>
      </c>
      <c r="AZ1121" s="7">
        <v>58.203845999999999</v>
      </c>
      <c r="BA1121" s="7">
        <v>100</v>
      </c>
      <c r="BB1121" s="4" t="s">
        <v>124</v>
      </c>
      <c r="BC1121" s="4" t="s">
        <v>124</v>
      </c>
      <c r="BD1121" s="4" t="s">
        <v>124</v>
      </c>
      <c r="BE1121" s="4" t="s">
        <v>124</v>
      </c>
      <c r="BF1121" s="4" t="s">
        <v>124</v>
      </c>
      <c r="BG1121" s="4" t="s">
        <v>124</v>
      </c>
      <c r="BH1121" s="7">
        <v>0</v>
      </c>
      <c r="BI1121" s="7">
        <v>1</v>
      </c>
      <c r="BJ1121" s="7">
        <v>1</v>
      </c>
      <c r="BK1121" s="7">
        <v>1</v>
      </c>
      <c r="BL1121" s="7">
        <v>1</v>
      </c>
      <c r="BM1121" s="7">
        <v>1</v>
      </c>
      <c r="BN1121" s="7">
        <v>1</v>
      </c>
      <c r="BO1121" s="7">
        <v>1</v>
      </c>
      <c r="BP1121" s="7">
        <v>1</v>
      </c>
      <c r="BQ1121" s="7">
        <v>1</v>
      </c>
      <c r="BR1121" s="7">
        <v>2.6402999999999999E-2</v>
      </c>
      <c r="BS1121" s="7">
        <v>50</v>
      </c>
      <c r="BT1121" s="7">
        <v>50</v>
      </c>
      <c r="BU1121" s="7">
        <v>7.6923000000000005E-2</v>
      </c>
      <c r="BV1121" s="7">
        <v>44.615385000000003</v>
      </c>
      <c r="BW1121" s="7">
        <v>50</v>
      </c>
      <c r="BX1121" s="4" t="s">
        <v>124</v>
      </c>
      <c r="BY1121" s="4" t="s">
        <v>124</v>
      </c>
      <c r="BZ1121" s="4" t="s">
        <v>124</v>
      </c>
      <c r="CA1121" s="4" t="s">
        <v>124</v>
      </c>
      <c r="CB1121" s="4" t="s">
        <v>124</v>
      </c>
      <c r="CC1121" s="4" t="s">
        <v>124</v>
      </c>
      <c r="CD1121" s="4" t="s">
        <v>124</v>
      </c>
      <c r="CE1121" s="4" t="s">
        <v>124</v>
      </c>
      <c r="CF1121" s="4" t="s">
        <v>124</v>
      </c>
      <c r="CG1121" s="4" t="s">
        <v>124</v>
      </c>
      <c r="CH1121" s="4" t="s">
        <v>124</v>
      </c>
      <c r="CI1121" s="4" t="s">
        <v>124</v>
      </c>
      <c r="CJ1121" s="4" t="s">
        <v>124</v>
      </c>
      <c r="CK1121" s="4" t="s">
        <v>124</v>
      </c>
      <c r="CL1121" s="4" t="s">
        <v>124</v>
      </c>
      <c r="CM1121" s="4" t="s">
        <v>124</v>
      </c>
      <c r="CN1121" s="4" t="s">
        <v>124</v>
      </c>
      <c r="CO1121" s="4" t="s">
        <v>124</v>
      </c>
      <c r="CP1121" s="4" t="s">
        <v>124</v>
      </c>
      <c r="CQ1121" s="7">
        <v>0.63829800000000003</v>
      </c>
      <c r="CR1121" s="7">
        <v>0.97916700000000001</v>
      </c>
      <c r="CS1121" s="7">
        <v>42.553190999999998</v>
      </c>
      <c r="CT1121" s="7">
        <v>50</v>
      </c>
      <c r="CU1121" s="4" t="s">
        <v>124</v>
      </c>
      <c r="CV1121" s="4" t="s">
        <v>124</v>
      </c>
      <c r="CW1121" s="4" t="s">
        <v>124</v>
      </c>
      <c r="CX1121" s="4" t="s">
        <v>124</v>
      </c>
      <c r="CY1121" s="4" t="s">
        <v>124</v>
      </c>
      <c r="CZ1121" s="4" t="s">
        <v>124</v>
      </c>
      <c r="DA1121" s="7">
        <v>15.314097</v>
      </c>
      <c r="DB1121" s="7">
        <v>17.400950000000002</v>
      </c>
      <c r="DC1121" s="7">
        <v>16.332519999999999</v>
      </c>
      <c r="DD1121" s="4" t="s">
        <v>124</v>
      </c>
      <c r="DE1121" s="7">
        <v>0</v>
      </c>
      <c r="DF1121" s="6"/>
      <c r="DG1121" s="6"/>
      <c r="DH1121" s="6"/>
      <c r="DI1121" s="6"/>
      <c r="DJ1121" s="7">
        <v>0</v>
      </c>
      <c r="DK1121" s="7">
        <v>0</v>
      </c>
      <c r="DL1121" s="7">
        <v>0</v>
      </c>
      <c r="DM1121" s="7">
        <v>0</v>
      </c>
      <c r="DN1121" s="7">
        <v>0</v>
      </c>
      <c r="DO1121" s="7">
        <v>0</v>
      </c>
      <c r="DP1121" s="6"/>
      <c r="DQ1121" s="4" t="s">
        <v>125</v>
      </c>
    </row>
    <row r="1122" spans="1:121" ht="20" customHeight="1" x14ac:dyDescent="0.15">
      <c r="A1122" s="5">
        <v>2018</v>
      </c>
      <c r="B1122" s="3" t="s">
        <v>292</v>
      </c>
      <c r="C1122" s="4" t="str">
        <f t="shared" si="282"/>
        <v>2150012</v>
      </c>
      <c r="D1122" s="4" t="s">
        <v>1265</v>
      </c>
      <c r="E1122" s="4" t="str">
        <f>"2156212"</f>
        <v>2156212</v>
      </c>
      <c r="F1122" s="4" t="s">
        <v>1227</v>
      </c>
      <c r="G1122" s="7">
        <v>9</v>
      </c>
      <c r="H1122" s="7">
        <v>12</v>
      </c>
      <c r="I1122" s="6"/>
      <c r="J1122" s="4" t="s">
        <v>330</v>
      </c>
      <c r="K1122" s="7">
        <v>1251.990552</v>
      </c>
      <c r="L1122" s="7">
        <v>1450</v>
      </c>
      <c r="M1122" s="7">
        <v>86.344176000000004</v>
      </c>
      <c r="N1122" s="7">
        <v>2</v>
      </c>
      <c r="O1122" s="7">
        <v>1</v>
      </c>
      <c r="P1122" s="7">
        <v>66.820071999999996</v>
      </c>
      <c r="Q1122" s="7">
        <v>133.64014299999999</v>
      </c>
      <c r="R1122" s="7">
        <v>150</v>
      </c>
      <c r="S1122" s="7">
        <v>53.713450000000002</v>
      </c>
      <c r="T1122" s="7">
        <v>71.076922999999994</v>
      </c>
      <c r="U1122" s="7">
        <v>107.426901</v>
      </c>
      <c r="V1122" s="7">
        <v>150</v>
      </c>
      <c r="W1122" s="7">
        <v>67.795878000000002</v>
      </c>
      <c r="X1122" s="7">
        <v>135.591756</v>
      </c>
      <c r="Y1122" s="7">
        <v>150</v>
      </c>
      <c r="Z1122" s="7">
        <v>72.267805999999993</v>
      </c>
      <c r="AA1122" s="7">
        <v>54.027047000000003</v>
      </c>
      <c r="AB1122" s="7">
        <v>108.05409400000001</v>
      </c>
      <c r="AC1122" s="7">
        <v>150</v>
      </c>
      <c r="AD1122" s="7">
        <v>72.168432999999993</v>
      </c>
      <c r="AE1122" s="7">
        <v>96.224576999999996</v>
      </c>
      <c r="AF1122" s="7">
        <v>100</v>
      </c>
      <c r="AG1122" s="7">
        <v>59.916030999999997</v>
      </c>
      <c r="AH1122" s="7">
        <v>75</v>
      </c>
      <c r="AI1122" s="7">
        <v>79.888041000000001</v>
      </c>
      <c r="AJ1122" s="7">
        <v>100</v>
      </c>
      <c r="AK1122" s="7">
        <v>17.36</v>
      </c>
      <c r="AL1122" s="7">
        <v>18.239999999999998</v>
      </c>
      <c r="AM1122" s="7">
        <v>15.08</v>
      </c>
      <c r="AN1122" s="4" t="s">
        <v>124</v>
      </c>
      <c r="AO1122" s="4" t="s">
        <v>124</v>
      </c>
      <c r="AP1122" s="4" t="s">
        <v>124</v>
      </c>
      <c r="AQ1122" s="4" t="s">
        <v>124</v>
      </c>
      <c r="AR1122" s="4" t="s">
        <v>124</v>
      </c>
      <c r="AS1122" s="4" t="s">
        <v>124</v>
      </c>
      <c r="AT1122" s="4" t="s">
        <v>124</v>
      </c>
      <c r="AU1122" s="4" t="s">
        <v>124</v>
      </c>
      <c r="AV1122" s="4" t="s">
        <v>124</v>
      </c>
      <c r="AW1122" s="4" t="s">
        <v>124</v>
      </c>
      <c r="AX1122" s="4" t="s">
        <v>124</v>
      </c>
      <c r="AY1122" s="4" t="s">
        <v>124</v>
      </c>
      <c r="AZ1122" s="4" t="s">
        <v>124</v>
      </c>
      <c r="BA1122" s="4" t="s">
        <v>124</v>
      </c>
      <c r="BB1122" s="4" t="s">
        <v>124</v>
      </c>
      <c r="BC1122" s="4" t="s">
        <v>124</v>
      </c>
      <c r="BD1122" s="4" t="s">
        <v>124</v>
      </c>
      <c r="BE1122" s="4" t="s">
        <v>124</v>
      </c>
      <c r="BF1122" s="4" t="s">
        <v>124</v>
      </c>
      <c r="BG1122" s="4" t="s">
        <v>124</v>
      </c>
      <c r="BH1122" s="7">
        <v>1</v>
      </c>
      <c r="BI1122" s="7">
        <v>0.97805600000000004</v>
      </c>
      <c r="BJ1122" s="7">
        <v>0.95</v>
      </c>
      <c r="BK1122" s="7">
        <v>0.98744799999999999</v>
      </c>
      <c r="BL1122" s="7">
        <v>0.97805600000000004</v>
      </c>
      <c r="BM1122" s="7">
        <v>0.95</v>
      </c>
      <c r="BN1122" s="7">
        <v>0.98744799999999999</v>
      </c>
      <c r="BO1122" s="7">
        <v>0.97169799999999995</v>
      </c>
      <c r="BP1122" s="7">
        <v>0.91139199999999998</v>
      </c>
      <c r="BQ1122" s="7">
        <v>0.99163199999999996</v>
      </c>
      <c r="BR1122" s="7">
        <v>5.4681E-2</v>
      </c>
      <c r="BS1122" s="7">
        <v>49.063794999999999</v>
      </c>
      <c r="BT1122" s="7">
        <v>50</v>
      </c>
      <c r="BU1122" s="7">
        <v>0.122581</v>
      </c>
      <c r="BV1122" s="7">
        <v>35.483871000000001</v>
      </c>
      <c r="BW1122" s="7">
        <v>50</v>
      </c>
      <c r="BX1122" s="7">
        <v>0.70879999999999999</v>
      </c>
      <c r="BY1122" s="7">
        <v>47.253332999999998</v>
      </c>
      <c r="BZ1122" s="7">
        <v>50</v>
      </c>
      <c r="CA1122" s="7">
        <v>0.69120000000000004</v>
      </c>
      <c r="CB1122" s="7">
        <v>46.08</v>
      </c>
      <c r="CC1122" s="7">
        <v>50</v>
      </c>
      <c r="CD1122" s="7">
        <v>0.94983300000000004</v>
      </c>
      <c r="CE1122" s="7">
        <v>50</v>
      </c>
      <c r="CF1122" s="7">
        <v>50</v>
      </c>
      <c r="CG1122" s="7">
        <v>0.96797200000000005</v>
      </c>
      <c r="CH1122" s="7">
        <v>100</v>
      </c>
      <c r="CI1122" s="7">
        <v>100</v>
      </c>
      <c r="CJ1122" s="7">
        <v>0</v>
      </c>
      <c r="CK1122" s="7">
        <v>0.94642899999999996</v>
      </c>
      <c r="CL1122" s="7">
        <v>100</v>
      </c>
      <c r="CM1122" s="7">
        <v>100</v>
      </c>
      <c r="CN1122" s="7">
        <v>0.82481800000000005</v>
      </c>
      <c r="CO1122" s="7">
        <v>100</v>
      </c>
      <c r="CP1122" s="7">
        <v>100</v>
      </c>
      <c r="CQ1122" s="7">
        <v>0.30303000000000002</v>
      </c>
      <c r="CR1122" s="7">
        <v>0.93286199999999997</v>
      </c>
      <c r="CS1122" s="7">
        <v>20.202020000000001</v>
      </c>
      <c r="CT1122" s="7">
        <v>50</v>
      </c>
      <c r="CU1122" s="7">
        <v>0.516984</v>
      </c>
      <c r="CV1122" s="7">
        <v>43.082022000000002</v>
      </c>
      <c r="CW1122" s="7">
        <v>50</v>
      </c>
      <c r="CX1122" s="7">
        <v>0.94642899999999996</v>
      </c>
      <c r="CY1122" s="7">
        <v>0.94</v>
      </c>
      <c r="CZ1122" s="7">
        <v>-6.4289999999999998E-3</v>
      </c>
      <c r="DA1122" s="7">
        <v>15.314097</v>
      </c>
      <c r="DB1122" s="7">
        <v>17.400950000000002</v>
      </c>
      <c r="DC1122" s="7">
        <v>16.332519999999999</v>
      </c>
      <c r="DD1122" s="7">
        <v>7.9891730000000001</v>
      </c>
      <c r="DE1122" s="7">
        <v>1</v>
      </c>
      <c r="DF1122" s="6"/>
      <c r="DG1122" s="6"/>
      <c r="DH1122" s="6"/>
      <c r="DI1122" s="6"/>
      <c r="DJ1122" s="7">
        <v>0</v>
      </c>
      <c r="DK1122" s="7">
        <v>0</v>
      </c>
      <c r="DL1122" s="7">
        <v>0</v>
      </c>
      <c r="DM1122" s="7">
        <v>0</v>
      </c>
      <c r="DN1122" s="7">
        <v>0</v>
      </c>
      <c r="DO1122" s="7">
        <v>0</v>
      </c>
      <c r="DP1122" s="6"/>
      <c r="DQ1122" s="4" t="s">
        <v>125</v>
      </c>
    </row>
    <row r="1123" spans="1:121" ht="20" customHeight="1" x14ac:dyDescent="0.15">
      <c r="A1123" s="5">
        <v>2018</v>
      </c>
      <c r="B1123" s="3" t="s">
        <v>292</v>
      </c>
      <c r="C1123" s="4" t="str">
        <f t="shared" si="282"/>
        <v>2150012</v>
      </c>
      <c r="D1123" s="4" t="s">
        <v>1266</v>
      </c>
      <c r="E1123" s="4" t="str">
        <f>"2150512"</f>
        <v>2150512</v>
      </c>
      <c r="F1123" s="4" t="s">
        <v>1227</v>
      </c>
      <c r="G1123" s="4" t="s">
        <v>328</v>
      </c>
      <c r="H1123" s="7">
        <v>5</v>
      </c>
      <c r="I1123" s="4" t="s">
        <v>329</v>
      </c>
      <c r="J1123" s="4" t="s">
        <v>330</v>
      </c>
      <c r="K1123" s="7">
        <v>719.57810400000005</v>
      </c>
      <c r="L1123" s="7">
        <v>850</v>
      </c>
      <c r="M1123" s="7">
        <v>84.656248000000005</v>
      </c>
      <c r="N1123" s="7">
        <v>3</v>
      </c>
      <c r="O1123" s="7">
        <v>0</v>
      </c>
      <c r="P1123" s="7">
        <v>78.819445000000002</v>
      </c>
      <c r="Q1123" s="7">
        <v>50</v>
      </c>
      <c r="R1123" s="7">
        <v>50</v>
      </c>
      <c r="S1123" s="7">
        <v>63.758591000000003</v>
      </c>
      <c r="T1123" s="7">
        <v>75</v>
      </c>
      <c r="U1123" s="7">
        <v>42.505727</v>
      </c>
      <c r="V1123" s="7">
        <v>50</v>
      </c>
      <c r="W1123" s="7">
        <v>79.735237999999995</v>
      </c>
      <c r="X1123" s="7">
        <v>50</v>
      </c>
      <c r="Y1123" s="7">
        <v>50</v>
      </c>
      <c r="Z1123" s="7">
        <v>75</v>
      </c>
      <c r="AA1123" s="7">
        <v>64.924564000000004</v>
      </c>
      <c r="AB1123" s="7">
        <v>43.283042000000002</v>
      </c>
      <c r="AC1123" s="7">
        <v>50</v>
      </c>
      <c r="AD1123" s="7">
        <v>79.955645000000004</v>
      </c>
      <c r="AE1123" s="7">
        <v>50</v>
      </c>
      <c r="AF1123" s="7">
        <v>50</v>
      </c>
      <c r="AG1123" s="7">
        <v>63.450077</v>
      </c>
      <c r="AH1123" s="7">
        <v>75</v>
      </c>
      <c r="AI1123" s="7">
        <v>42.300051000000003</v>
      </c>
      <c r="AJ1123" s="7">
        <v>50</v>
      </c>
      <c r="AK1123" s="7">
        <v>11.24</v>
      </c>
      <c r="AL1123" s="7">
        <v>10.07</v>
      </c>
      <c r="AM1123" s="7">
        <v>11.54</v>
      </c>
      <c r="AN1123" s="7">
        <v>0.80052299999999998</v>
      </c>
      <c r="AO1123" s="7">
        <v>80.052256</v>
      </c>
      <c r="AP1123" s="7">
        <v>100</v>
      </c>
      <c r="AQ1123" s="7">
        <v>0.82491899999999996</v>
      </c>
      <c r="AR1123" s="7">
        <v>82.491900999999999</v>
      </c>
      <c r="AS1123" s="7">
        <v>100</v>
      </c>
      <c r="AT1123" s="7">
        <v>0.72320799999999996</v>
      </c>
      <c r="AU1123" s="7">
        <v>0.82199900000000004</v>
      </c>
      <c r="AV1123" s="7">
        <v>72.320762000000002</v>
      </c>
      <c r="AW1123" s="7">
        <v>100</v>
      </c>
      <c r="AX1123" s="7">
        <v>0.73211899999999996</v>
      </c>
      <c r="AY1123" s="7">
        <v>0.85069700000000004</v>
      </c>
      <c r="AZ1123" s="7">
        <v>73.211907999999994</v>
      </c>
      <c r="BA1123" s="7">
        <v>100</v>
      </c>
      <c r="BB1123" s="4" t="s">
        <v>124</v>
      </c>
      <c r="BC1123" s="4" t="s">
        <v>124</v>
      </c>
      <c r="BD1123" s="4" t="s">
        <v>124</v>
      </c>
      <c r="BE1123" s="4" t="s">
        <v>124</v>
      </c>
      <c r="BF1123" s="4" t="s">
        <v>124</v>
      </c>
      <c r="BG1123" s="4" t="s">
        <v>124</v>
      </c>
      <c r="BH1123" s="7">
        <v>1</v>
      </c>
      <c r="BI1123" s="7">
        <v>0.98870100000000005</v>
      </c>
      <c r="BJ1123" s="7">
        <v>0.96078399999999997</v>
      </c>
      <c r="BK1123" s="7">
        <v>1</v>
      </c>
      <c r="BL1123" s="7">
        <v>0.98305100000000001</v>
      </c>
      <c r="BM1123" s="7">
        <v>0.96078399999999997</v>
      </c>
      <c r="BN1123" s="7">
        <v>0.99206300000000003</v>
      </c>
      <c r="BO1123" s="7">
        <v>0.95652199999999998</v>
      </c>
      <c r="BP1123" s="7">
        <v>0.92</v>
      </c>
      <c r="BQ1123" s="7">
        <v>0.97727299999999995</v>
      </c>
      <c r="BR1123" s="7">
        <v>3.6312999999999998E-2</v>
      </c>
      <c r="BS1123" s="7">
        <v>50</v>
      </c>
      <c r="BT1123" s="7">
        <v>50</v>
      </c>
      <c r="BU1123" s="7">
        <v>9.6773999999999999E-2</v>
      </c>
      <c r="BV1123" s="7">
        <v>40.645161000000002</v>
      </c>
      <c r="BW1123" s="7">
        <v>50</v>
      </c>
      <c r="BX1123" s="4" t="s">
        <v>124</v>
      </c>
      <c r="BY1123" s="4" t="s">
        <v>124</v>
      </c>
      <c r="BZ1123" s="4" t="s">
        <v>124</v>
      </c>
      <c r="CA1123" s="4" t="s">
        <v>124</v>
      </c>
      <c r="CB1123" s="4" t="s">
        <v>124</v>
      </c>
      <c r="CC1123" s="4" t="s">
        <v>124</v>
      </c>
      <c r="CD1123" s="4" t="s">
        <v>124</v>
      </c>
      <c r="CE1123" s="4" t="s">
        <v>124</v>
      </c>
      <c r="CF1123" s="4" t="s">
        <v>124</v>
      </c>
      <c r="CG1123" s="4" t="s">
        <v>124</v>
      </c>
      <c r="CH1123" s="4" t="s">
        <v>124</v>
      </c>
      <c r="CI1123" s="4" t="s">
        <v>124</v>
      </c>
      <c r="CJ1123" s="4" t="s">
        <v>124</v>
      </c>
      <c r="CK1123" s="4" t="s">
        <v>124</v>
      </c>
      <c r="CL1123" s="4" t="s">
        <v>124</v>
      </c>
      <c r="CM1123" s="4" t="s">
        <v>124</v>
      </c>
      <c r="CN1123" s="4" t="s">
        <v>124</v>
      </c>
      <c r="CO1123" s="4" t="s">
        <v>124</v>
      </c>
      <c r="CP1123" s="4" t="s">
        <v>124</v>
      </c>
      <c r="CQ1123" s="7">
        <v>0.641509</v>
      </c>
      <c r="CR1123" s="7">
        <v>0.91379299999999997</v>
      </c>
      <c r="CS1123" s="7">
        <v>42.767296000000002</v>
      </c>
      <c r="CT1123" s="7">
        <v>50</v>
      </c>
      <c r="CU1123" s="4" t="s">
        <v>124</v>
      </c>
      <c r="CV1123" s="4" t="s">
        <v>124</v>
      </c>
      <c r="CW1123" s="4" t="s">
        <v>124</v>
      </c>
      <c r="CX1123" s="4" t="s">
        <v>124</v>
      </c>
      <c r="CY1123" s="4" t="s">
        <v>124</v>
      </c>
      <c r="CZ1123" s="4" t="s">
        <v>124</v>
      </c>
      <c r="DA1123" s="7">
        <v>15.314097</v>
      </c>
      <c r="DB1123" s="7">
        <v>17.400950000000002</v>
      </c>
      <c r="DC1123" s="7">
        <v>16.332519999999999</v>
      </c>
      <c r="DD1123" s="4" t="s">
        <v>124</v>
      </c>
      <c r="DE1123" s="7">
        <v>1</v>
      </c>
      <c r="DF1123" s="6"/>
      <c r="DG1123" s="6"/>
      <c r="DH1123" s="6"/>
      <c r="DI1123" s="6"/>
      <c r="DJ1123" s="7">
        <v>0</v>
      </c>
      <c r="DK1123" s="7">
        <v>0</v>
      </c>
      <c r="DL1123" s="7">
        <v>0</v>
      </c>
      <c r="DM1123" s="7">
        <v>0</v>
      </c>
      <c r="DN1123" s="7">
        <v>0</v>
      </c>
      <c r="DO1123" s="7">
        <v>0</v>
      </c>
      <c r="DP1123" s="6"/>
      <c r="DQ1123" s="4" t="s">
        <v>125</v>
      </c>
    </row>
    <row r="1124" spans="1:121" ht="20" customHeight="1" x14ac:dyDescent="0.15">
      <c r="A1124" s="5">
        <v>2018</v>
      </c>
      <c r="B1124" s="3" t="s">
        <v>292</v>
      </c>
      <c r="C1124" s="4" t="str">
        <f t="shared" si="282"/>
        <v>2150012</v>
      </c>
      <c r="D1124" s="4" t="s">
        <v>1267</v>
      </c>
      <c r="E1124" s="4" t="str">
        <f>"2155112"</f>
        <v>2155112</v>
      </c>
      <c r="F1124" s="4" t="s">
        <v>1227</v>
      </c>
      <c r="G1124" s="7">
        <v>6</v>
      </c>
      <c r="H1124" s="7">
        <v>8</v>
      </c>
      <c r="I1124" s="6"/>
      <c r="J1124" s="4" t="s">
        <v>330</v>
      </c>
      <c r="K1124" s="7">
        <v>720.665753</v>
      </c>
      <c r="L1124" s="7">
        <v>900</v>
      </c>
      <c r="M1124" s="7">
        <v>80.073972999999995</v>
      </c>
      <c r="N1124" s="7">
        <v>3</v>
      </c>
      <c r="O1124" s="7">
        <v>0</v>
      </c>
      <c r="P1124" s="7">
        <v>80.177921999999995</v>
      </c>
      <c r="Q1124" s="7">
        <v>50</v>
      </c>
      <c r="R1124" s="7">
        <v>50</v>
      </c>
      <c r="S1124" s="7">
        <v>68.608779999999996</v>
      </c>
      <c r="T1124" s="7">
        <v>75</v>
      </c>
      <c r="U1124" s="7">
        <v>45.739187000000001</v>
      </c>
      <c r="V1124" s="7">
        <v>50</v>
      </c>
      <c r="W1124" s="7">
        <v>75.495988999999994</v>
      </c>
      <c r="X1124" s="7">
        <v>50</v>
      </c>
      <c r="Y1124" s="7">
        <v>50</v>
      </c>
      <c r="Z1124" s="7">
        <v>75</v>
      </c>
      <c r="AA1124" s="7">
        <v>60.975012999999997</v>
      </c>
      <c r="AB1124" s="7">
        <v>40.650008999999997</v>
      </c>
      <c r="AC1124" s="7">
        <v>50</v>
      </c>
      <c r="AD1124" s="7">
        <v>75.390589000000006</v>
      </c>
      <c r="AE1124" s="7">
        <v>50</v>
      </c>
      <c r="AF1124" s="7">
        <v>50</v>
      </c>
      <c r="AG1124" s="7">
        <v>64.067058000000003</v>
      </c>
      <c r="AH1124" s="7">
        <v>75</v>
      </c>
      <c r="AI1124" s="7">
        <v>42.711371999999997</v>
      </c>
      <c r="AJ1124" s="7">
        <v>50</v>
      </c>
      <c r="AK1124" s="7">
        <v>6.39</v>
      </c>
      <c r="AL1124" s="7">
        <v>14.02</v>
      </c>
      <c r="AM1124" s="7">
        <v>10.93</v>
      </c>
      <c r="AN1124" s="7">
        <v>0.64618100000000001</v>
      </c>
      <c r="AO1124" s="7">
        <v>64.618123999999995</v>
      </c>
      <c r="AP1124" s="7">
        <v>100</v>
      </c>
      <c r="AQ1124" s="7">
        <v>0.69104200000000005</v>
      </c>
      <c r="AR1124" s="7">
        <v>69.104155000000006</v>
      </c>
      <c r="AS1124" s="7">
        <v>100</v>
      </c>
      <c r="AT1124" s="7">
        <v>0.61825300000000005</v>
      </c>
      <c r="AU1124" s="7">
        <v>0.65530600000000006</v>
      </c>
      <c r="AV1124" s="7">
        <v>61.825296000000002</v>
      </c>
      <c r="AW1124" s="7">
        <v>100</v>
      </c>
      <c r="AX1124" s="7">
        <v>0.58508300000000002</v>
      </c>
      <c r="AY1124" s="7">
        <v>0.72566200000000003</v>
      </c>
      <c r="AZ1124" s="7">
        <v>58.508266999999996</v>
      </c>
      <c r="BA1124" s="7">
        <v>100</v>
      </c>
      <c r="BB1124" s="4" t="s">
        <v>124</v>
      </c>
      <c r="BC1124" s="4" t="s">
        <v>124</v>
      </c>
      <c r="BD1124" s="4" t="s">
        <v>124</v>
      </c>
      <c r="BE1124" s="4" t="s">
        <v>124</v>
      </c>
      <c r="BF1124" s="4" t="s">
        <v>124</v>
      </c>
      <c r="BG1124" s="4" t="s">
        <v>124</v>
      </c>
      <c r="BH1124" s="7">
        <v>1</v>
      </c>
      <c r="BI1124" s="7">
        <v>0.97429900000000003</v>
      </c>
      <c r="BJ1124" s="7">
        <v>0.94782599999999995</v>
      </c>
      <c r="BK1124" s="7">
        <v>0.98402599999999996</v>
      </c>
      <c r="BL1124" s="7">
        <v>0.97196300000000002</v>
      </c>
      <c r="BM1124" s="7">
        <v>0.93913000000000002</v>
      </c>
      <c r="BN1124" s="7">
        <v>0.98402599999999996</v>
      </c>
      <c r="BO1124" s="7">
        <v>0.99305600000000005</v>
      </c>
      <c r="BP1124" s="7">
        <v>0.97142899999999999</v>
      </c>
      <c r="BQ1124" s="7">
        <v>1</v>
      </c>
      <c r="BR1124" s="7">
        <v>2.1176E-2</v>
      </c>
      <c r="BS1124" s="7">
        <v>50</v>
      </c>
      <c r="BT1124" s="7">
        <v>50</v>
      </c>
      <c r="BU1124" s="7">
        <v>5.5045999999999998E-2</v>
      </c>
      <c r="BV1124" s="7">
        <v>48.990825999999998</v>
      </c>
      <c r="BW1124" s="7">
        <v>50</v>
      </c>
      <c r="BX1124" s="4" t="s">
        <v>124</v>
      </c>
      <c r="BY1124" s="4" t="s">
        <v>124</v>
      </c>
      <c r="BZ1124" s="4" t="s">
        <v>124</v>
      </c>
      <c r="CA1124" s="4" t="s">
        <v>124</v>
      </c>
      <c r="CB1124" s="4" t="s">
        <v>124</v>
      </c>
      <c r="CC1124" s="4" t="s">
        <v>124</v>
      </c>
      <c r="CD1124" s="7">
        <v>0.95882400000000001</v>
      </c>
      <c r="CE1124" s="7">
        <v>50</v>
      </c>
      <c r="CF1124" s="7">
        <v>50</v>
      </c>
      <c r="CG1124" s="4" t="s">
        <v>124</v>
      </c>
      <c r="CH1124" s="4" t="s">
        <v>124</v>
      </c>
      <c r="CI1124" s="4" t="s">
        <v>124</v>
      </c>
      <c r="CJ1124" s="4" t="s">
        <v>124</v>
      </c>
      <c r="CK1124" s="4" t="s">
        <v>124</v>
      </c>
      <c r="CL1124" s="4" t="s">
        <v>124</v>
      </c>
      <c r="CM1124" s="4" t="s">
        <v>124</v>
      </c>
      <c r="CN1124" s="4" t="s">
        <v>124</v>
      </c>
      <c r="CO1124" s="4" t="s">
        <v>124</v>
      </c>
      <c r="CP1124" s="4" t="s">
        <v>124</v>
      </c>
      <c r="CQ1124" s="7">
        <v>0.57777800000000001</v>
      </c>
      <c r="CR1124" s="7">
        <v>0.97472899999999996</v>
      </c>
      <c r="CS1124" s="7">
        <v>38.518518999999998</v>
      </c>
      <c r="CT1124" s="7">
        <v>50</v>
      </c>
      <c r="CU1124" s="4" t="s">
        <v>124</v>
      </c>
      <c r="CV1124" s="4" t="s">
        <v>124</v>
      </c>
      <c r="CW1124" s="4" t="s">
        <v>124</v>
      </c>
      <c r="CX1124" s="4" t="s">
        <v>124</v>
      </c>
      <c r="CY1124" s="4" t="s">
        <v>124</v>
      </c>
      <c r="CZ1124" s="4" t="s">
        <v>124</v>
      </c>
      <c r="DA1124" s="7">
        <v>15.314097</v>
      </c>
      <c r="DB1124" s="7">
        <v>17.400950000000002</v>
      </c>
      <c r="DC1124" s="7">
        <v>16.332519999999999</v>
      </c>
      <c r="DD1124" s="4" t="s">
        <v>124</v>
      </c>
      <c r="DE1124" s="7">
        <v>1</v>
      </c>
      <c r="DF1124" s="6"/>
      <c r="DG1124" s="6"/>
      <c r="DH1124" s="6"/>
      <c r="DI1124" s="6"/>
      <c r="DJ1124" s="7">
        <v>0</v>
      </c>
      <c r="DK1124" s="7">
        <v>0</v>
      </c>
      <c r="DL1124" s="7">
        <v>0</v>
      </c>
      <c r="DM1124" s="7">
        <v>0</v>
      </c>
      <c r="DN1124" s="7">
        <v>0</v>
      </c>
      <c r="DO1124" s="7">
        <v>0</v>
      </c>
      <c r="DP1124" s="6"/>
      <c r="DQ1124" s="4" t="s">
        <v>125</v>
      </c>
    </row>
    <row r="1125" spans="1:121" ht="20" customHeight="1" x14ac:dyDescent="0.15">
      <c r="A1125" s="5">
        <v>2018</v>
      </c>
      <c r="B1125" s="3" t="s">
        <v>293</v>
      </c>
      <c r="C1125" s="4" t="str">
        <f t="shared" si="165"/>
        <v>2160012</v>
      </c>
      <c r="D1125" s="4" t="s">
        <v>1268</v>
      </c>
      <c r="E1125" s="4" t="str">
        <f>"2160112"</f>
        <v>2160112</v>
      </c>
      <c r="F1125" s="4" t="s">
        <v>1227</v>
      </c>
      <c r="G1125" s="4" t="s">
        <v>338</v>
      </c>
      <c r="H1125" s="7">
        <v>5</v>
      </c>
      <c r="I1125" s="4" t="s">
        <v>329</v>
      </c>
      <c r="J1125" s="4" t="s">
        <v>330</v>
      </c>
      <c r="K1125" s="7">
        <v>646.32144800000003</v>
      </c>
      <c r="L1125" s="7">
        <v>800</v>
      </c>
      <c r="M1125" s="7">
        <v>80.790181000000004</v>
      </c>
      <c r="N1125" s="7">
        <v>2</v>
      </c>
      <c r="O1125" s="7">
        <v>0</v>
      </c>
      <c r="P1125" s="7">
        <v>77.457302999999996</v>
      </c>
      <c r="Q1125" s="7">
        <v>50</v>
      </c>
      <c r="R1125" s="7">
        <v>50</v>
      </c>
      <c r="S1125" s="7">
        <v>74.084108000000001</v>
      </c>
      <c r="T1125" s="7">
        <v>75</v>
      </c>
      <c r="U1125" s="7">
        <v>49.389406000000001</v>
      </c>
      <c r="V1125" s="7">
        <v>50</v>
      </c>
      <c r="W1125" s="7">
        <v>70.919015000000002</v>
      </c>
      <c r="X1125" s="7">
        <v>47.279342999999997</v>
      </c>
      <c r="Y1125" s="7">
        <v>50</v>
      </c>
      <c r="Z1125" s="7">
        <v>73.230144999999993</v>
      </c>
      <c r="AA1125" s="7">
        <v>66.626914999999997</v>
      </c>
      <c r="AB1125" s="7">
        <v>44.417943999999999</v>
      </c>
      <c r="AC1125" s="7">
        <v>50</v>
      </c>
      <c r="AD1125" s="7">
        <v>81.942396000000002</v>
      </c>
      <c r="AE1125" s="7">
        <v>50</v>
      </c>
      <c r="AF1125" s="7">
        <v>50</v>
      </c>
      <c r="AG1125" s="4" t="s">
        <v>124</v>
      </c>
      <c r="AH1125" s="7">
        <v>75</v>
      </c>
      <c r="AI1125" s="4" t="s">
        <v>124</v>
      </c>
      <c r="AJ1125" s="4" t="s">
        <v>124</v>
      </c>
      <c r="AK1125" s="7">
        <v>0.91</v>
      </c>
      <c r="AL1125" s="7">
        <v>6.6</v>
      </c>
      <c r="AM1125" s="4" t="s">
        <v>124</v>
      </c>
      <c r="AN1125" s="7">
        <v>0.74317900000000003</v>
      </c>
      <c r="AO1125" s="7">
        <v>74.317896000000005</v>
      </c>
      <c r="AP1125" s="7">
        <v>100</v>
      </c>
      <c r="AQ1125" s="7">
        <v>0.66057399999999999</v>
      </c>
      <c r="AR1125" s="7">
        <v>66.057382000000004</v>
      </c>
      <c r="AS1125" s="7">
        <v>100</v>
      </c>
      <c r="AT1125" s="7">
        <v>0.75612999999999997</v>
      </c>
      <c r="AU1125" s="7">
        <v>0.73651800000000001</v>
      </c>
      <c r="AV1125" s="7">
        <v>75.613028999999997</v>
      </c>
      <c r="AW1125" s="7">
        <v>100</v>
      </c>
      <c r="AX1125" s="7">
        <v>0.62323399999999995</v>
      </c>
      <c r="AY1125" s="7">
        <v>0.67977699999999996</v>
      </c>
      <c r="AZ1125" s="7">
        <v>62.323371000000002</v>
      </c>
      <c r="BA1125" s="7">
        <v>100</v>
      </c>
      <c r="BB1125" s="4" t="s">
        <v>124</v>
      </c>
      <c r="BC1125" s="4" t="s">
        <v>124</v>
      </c>
      <c r="BD1125" s="4" t="s">
        <v>124</v>
      </c>
      <c r="BE1125" s="4" t="s">
        <v>124</v>
      </c>
      <c r="BF1125" s="4" t="s">
        <v>124</v>
      </c>
      <c r="BG1125" s="4" t="s">
        <v>124</v>
      </c>
      <c r="BH1125" s="7">
        <v>0</v>
      </c>
      <c r="BI1125" s="7">
        <v>0.98802400000000001</v>
      </c>
      <c r="BJ1125" s="7">
        <v>0.98360700000000001</v>
      </c>
      <c r="BK1125" s="7">
        <v>0.99056599999999995</v>
      </c>
      <c r="BL1125" s="7">
        <v>0.98802400000000001</v>
      </c>
      <c r="BM1125" s="7">
        <v>0.98360700000000001</v>
      </c>
      <c r="BN1125" s="7">
        <v>0.99056599999999995</v>
      </c>
      <c r="BO1125" s="7">
        <v>0.98305100000000001</v>
      </c>
      <c r="BP1125" s="7">
        <v>0.95</v>
      </c>
      <c r="BQ1125" s="7">
        <v>1</v>
      </c>
      <c r="BR1125" s="7">
        <v>1.3559E-2</v>
      </c>
      <c r="BS1125" s="7">
        <v>50</v>
      </c>
      <c r="BT1125" s="7">
        <v>50</v>
      </c>
      <c r="BU1125" s="7">
        <v>2.6549E-2</v>
      </c>
      <c r="BV1125" s="7">
        <v>50</v>
      </c>
      <c r="BW1125" s="7">
        <v>50</v>
      </c>
      <c r="BX1125" s="4" t="s">
        <v>124</v>
      </c>
      <c r="BY1125" s="4" t="s">
        <v>124</v>
      </c>
      <c r="BZ1125" s="4" t="s">
        <v>124</v>
      </c>
      <c r="CA1125" s="4" t="s">
        <v>124</v>
      </c>
      <c r="CB1125" s="4" t="s">
        <v>124</v>
      </c>
      <c r="CC1125" s="4" t="s">
        <v>124</v>
      </c>
      <c r="CD1125" s="4" t="s">
        <v>124</v>
      </c>
      <c r="CE1125" s="4" t="s">
        <v>124</v>
      </c>
      <c r="CF1125" s="4" t="s">
        <v>124</v>
      </c>
      <c r="CG1125" s="4" t="s">
        <v>124</v>
      </c>
      <c r="CH1125" s="4" t="s">
        <v>124</v>
      </c>
      <c r="CI1125" s="4" t="s">
        <v>124</v>
      </c>
      <c r="CJ1125" s="4" t="s">
        <v>124</v>
      </c>
      <c r="CK1125" s="4" t="s">
        <v>124</v>
      </c>
      <c r="CL1125" s="4" t="s">
        <v>124</v>
      </c>
      <c r="CM1125" s="4" t="s">
        <v>124</v>
      </c>
      <c r="CN1125" s="4" t="s">
        <v>124</v>
      </c>
      <c r="CO1125" s="4" t="s">
        <v>124</v>
      </c>
      <c r="CP1125" s="4" t="s">
        <v>124</v>
      </c>
      <c r="CQ1125" s="7">
        <v>0.40384599999999998</v>
      </c>
      <c r="CR1125" s="7">
        <v>1</v>
      </c>
      <c r="CS1125" s="7">
        <v>26.923076999999999</v>
      </c>
      <c r="CT1125" s="7">
        <v>50</v>
      </c>
      <c r="CU1125" s="4" t="s">
        <v>124</v>
      </c>
      <c r="CV1125" s="4" t="s">
        <v>124</v>
      </c>
      <c r="CW1125" s="4" t="s">
        <v>124</v>
      </c>
      <c r="CX1125" s="4" t="s">
        <v>124</v>
      </c>
      <c r="CY1125" s="4" t="s">
        <v>124</v>
      </c>
      <c r="CZ1125" s="4" t="s">
        <v>124</v>
      </c>
      <c r="DA1125" s="7">
        <v>15.314097</v>
      </c>
      <c r="DB1125" s="7">
        <v>17.400950000000002</v>
      </c>
      <c r="DC1125" s="7">
        <v>16.332519999999999</v>
      </c>
      <c r="DD1125" s="4" t="s">
        <v>124</v>
      </c>
      <c r="DE1125" s="7">
        <v>0</v>
      </c>
      <c r="DF1125" s="6"/>
      <c r="DG1125" s="6"/>
      <c r="DH1125" s="4" t="s">
        <v>331</v>
      </c>
      <c r="DI1125" s="4" t="s">
        <v>523</v>
      </c>
      <c r="DJ1125" s="7">
        <v>0</v>
      </c>
      <c r="DK1125" s="7">
        <v>0</v>
      </c>
      <c r="DL1125" s="7">
        <v>0</v>
      </c>
      <c r="DM1125" s="7">
        <v>1</v>
      </c>
      <c r="DN1125" s="7">
        <v>0</v>
      </c>
      <c r="DO1125" s="7">
        <v>0</v>
      </c>
      <c r="DP1125" s="6"/>
      <c r="DQ1125" s="4" t="s">
        <v>125</v>
      </c>
    </row>
    <row r="1126" spans="1:121" ht="20" customHeight="1" x14ac:dyDescent="0.15">
      <c r="A1126" s="5">
        <v>2018</v>
      </c>
      <c r="B1126" s="3" t="s">
        <v>293</v>
      </c>
      <c r="C1126" s="4" t="str">
        <f t="shared" ref="C1126:C1128" si="283">"2160012"</f>
        <v>2160012</v>
      </c>
      <c r="D1126" s="4" t="s">
        <v>1269</v>
      </c>
      <c r="E1126" s="4" t="str">
        <f>"2165112"</f>
        <v>2165112</v>
      </c>
      <c r="F1126" s="4" t="s">
        <v>1227</v>
      </c>
      <c r="G1126" s="7">
        <v>6</v>
      </c>
      <c r="H1126" s="7">
        <v>8</v>
      </c>
      <c r="I1126" s="4" t="s">
        <v>329</v>
      </c>
      <c r="J1126" s="4" t="s">
        <v>330</v>
      </c>
      <c r="K1126" s="7">
        <v>645.27091800000005</v>
      </c>
      <c r="L1126" s="7">
        <v>900</v>
      </c>
      <c r="M1126" s="7">
        <v>71.696769000000003</v>
      </c>
      <c r="N1126" s="7">
        <v>3</v>
      </c>
      <c r="O1126" s="7">
        <v>1</v>
      </c>
      <c r="P1126" s="7">
        <v>73.957279999999997</v>
      </c>
      <c r="Q1126" s="7">
        <v>49.304853000000001</v>
      </c>
      <c r="R1126" s="7">
        <v>50</v>
      </c>
      <c r="S1126" s="7">
        <v>58.543425999999997</v>
      </c>
      <c r="T1126" s="7">
        <v>75</v>
      </c>
      <c r="U1126" s="7">
        <v>39.028950999999999</v>
      </c>
      <c r="V1126" s="7">
        <v>50</v>
      </c>
      <c r="W1126" s="7">
        <v>69.707476999999997</v>
      </c>
      <c r="X1126" s="7">
        <v>46.471651999999999</v>
      </c>
      <c r="Y1126" s="7">
        <v>50</v>
      </c>
      <c r="Z1126" s="7">
        <v>75</v>
      </c>
      <c r="AA1126" s="7">
        <v>53.197378</v>
      </c>
      <c r="AB1126" s="7">
        <v>35.464917999999997</v>
      </c>
      <c r="AC1126" s="7">
        <v>50</v>
      </c>
      <c r="AD1126" s="7">
        <v>66.274764000000005</v>
      </c>
      <c r="AE1126" s="7">
        <v>44.183176000000003</v>
      </c>
      <c r="AF1126" s="7">
        <v>50</v>
      </c>
      <c r="AG1126" s="7">
        <v>54.976120999999999</v>
      </c>
      <c r="AH1126" s="7">
        <v>71.607724000000005</v>
      </c>
      <c r="AI1126" s="7">
        <v>36.650747000000003</v>
      </c>
      <c r="AJ1126" s="7">
        <v>50</v>
      </c>
      <c r="AK1126" s="7">
        <v>16.45</v>
      </c>
      <c r="AL1126" s="7">
        <v>21.8</v>
      </c>
      <c r="AM1126" s="7">
        <v>16.63</v>
      </c>
      <c r="AN1126" s="7">
        <v>0.55958600000000003</v>
      </c>
      <c r="AO1126" s="7">
        <v>55.958596</v>
      </c>
      <c r="AP1126" s="7">
        <v>100</v>
      </c>
      <c r="AQ1126" s="7">
        <v>0.62482000000000004</v>
      </c>
      <c r="AR1126" s="7">
        <v>62.482013999999999</v>
      </c>
      <c r="AS1126" s="7">
        <v>100</v>
      </c>
      <c r="AT1126" s="7">
        <v>0.51189099999999998</v>
      </c>
      <c r="AU1126" s="7">
        <v>0.57819200000000004</v>
      </c>
      <c r="AV1126" s="7">
        <v>51.189070999999998</v>
      </c>
      <c r="AW1126" s="7">
        <v>100</v>
      </c>
      <c r="AX1126" s="7">
        <v>0.46662500000000001</v>
      </c>
      <c r="AY1126" s="7">
        <v>0.68653399999999998</v>
      </c>
      <c r="AZ1126" s="7">
        <v>46.662520000000001</v>
      </c>
      <c r="BA1126" s="7">
        <v>100</v>
      </c>
      <c r="BB1126" s="4" t="s">
        <v>124</v>
      </c>
      <c r="BC1126" s="4" t="s">
        <v>124</v>
      </c>
      <c r="BD1126" s="4" t="s">
        <v>124</v>
      </c>
      <c r="BE1126" s="4" t="s">
        <v>124</v>
      </c>
      <c r="BF1126" s="4" t="s">
        <v>124</v>
      </c>
      <c r="BG1126" s="4" t="s">
        <v>124</v>
      </c>
      <c r="BH1126" s="7">
        <v>0</v>
      </c>
      <c r="BI1126" s="7">
        <v>0.98696499999999998</v>
      </c>
      <c r="BJ1126" s="7">
        <v>0.981707</v>
      </c>
      <c r="BK1126" s="7">
        <v>0.98927600000000004</v>
      </c>
      <c r="BL1126" s="7">
        <v>0.98696499999999998</v>
      </c>
      <c r="BM1126" s="7">
        <v>0.981707</v>
      </c>
      <c r="BN1126" s="7">
        <v>0.98927600000000004</v>
      </c>
      <c r="BO1126" s="7">
        <v>1</v>
      </c>
      <c r="BP1126" s="7">
        <v>1</v>
      </c>
      <c r="BQ1126" s="7">
        <v>1</v>
      </c>
      <c r="BR1126" s="7">
        <v>5.2336000000000001E-2</v>
      </c>
      <c r="BS1126" s="7">
        <v>49.532710000000002</v>
      </c>
      <c r="BT1126" s="7">
        <v>50</v>
      </c>
      <c r="BU1126" s="7">
        <v>0.110429</v>
      </c>
      <c r="BV1126" s="7">
        <v>37.914110000000001</v>
      </c>
      <c r="BW1126" s="7">
        <v>50</v>
      </c>
      <c r="BX1126" s="4" t="s">
        <v>124</v>
      </c>
      <c r="BY1126" s="4" t="s">
        <v>124</v>
      </c>
      <c r="BZ1126" s="4" t="s">
        <v>124</v>
      </c>
      <c r="CA1126" s="4" t="s">
        <v>124</v>
      </c>
      <c r="CB1126" s="4" t="s">
        <v>124</v>
      </c>
      <c r="CC1126" s="4" t="s">
        <v>124</v>
      </c>
      <c r="CD1126" s="7">
        <v>0.96938800000000003</v>
      </c>
      <c r="CE1126" s="7">
        <v>50</v>
      </c>
      <c r="CF1126" s="7">
        <v>50</v>
      </c>
      <c r="CG1126" s="4" t="s">
        <v>124</v>
      </c>
      <c r="CH1126" s="4" t="s">
        <v>124</v>
      </c>
      <c r="CI1126" s="4" t="s">
        <v>124</v>
      </c>
      <c r="CJ1126" s="4" t="s">
        <v>124</v>
      </c>
      <c r="CK1126" s="4" t="s">
        <v>124</v>
      </c>
      <c r="CL1126" s="4" t="s">
        <v>124</v>
      </c>
      <c r="CM1126" s="4" t="s">
        <v>124</v>
      </c>
      <c r="CN1126" s="4" t="s">
        <v>124</v>
      </c>
      <c r="CO1126" s="4" t="s">
        <v>124</v>
      </c>
      <c r="CP1126" s="4" t="s">
        <v>124</v>
      </c>
      <c r="CQ1126" s="7">
        <v>0.60641400000000001</v>
      </c>
      <c r="CR1126" s="7">
        <v>0.94490399999999997</v>
      </c>
      <c r="CS1126" s="7">
        <v>40.427599999999998</v>
      </c>
      <c r="CT1126" s="7">
        <v>50</v>
      </c>
      <c r="CU1126" s="4" t="s">
        <v>124</v>
      </c>
      <c r="CV1126" s="4" t="s">
        <v>124</v>
      </c>
      <c r="CW1126" s="4" t="s">
        <v>124</v>
      </c>
      <c r="CX1126" s="4" t="s">
        <v>124</v>
      </c>
      <c r="CY1126" s="4" t="s">
        <v>124</v>
      </c>
      <c r="CZ1126" s="4" t="s">
        <v>124</v>
      </c>
      <c r="DA1126" s="7">
        <v>15.314097</v>
      </c>
      <c r="DB1126" s="7">
        <v>17.400950000000002</v>
      </c>
      <c r="DC1126" s="7">
        <v>16.332519999999999</v>
      </c>
      <c r="DD1126" s="4" t="s">
        <v>124</v>
      </c>
      <c r="DE1126" s="7">
        <v>1</v>
      </c>
      <c r="DF1126" s="6"/>
      <c r="DG1126" s="6"/>
      <c r="DH1126" s="6"/>
      <c r="DI1126" s="6"/>
      <c r="DJ1126" s="7">
        <v>0</v>
      </c>
      <c r="DK1126" s="7">
        <v>0</v>
      </c>
      <c r="DL1126" s="7">
        <v>0</v>
      </c>
      <c r="DM1126" s="7">
        <v>0</v>
      </c>
      <c r="DN1126" s="7">
        <v>0</v>
      </c>
      <c r="DO1126" s="7">
        <v>0</v>
      </c>
      <c r="DP1126" s="6"/>
      <c r="DQ1126" s="4" t="s">
        <v>125</v>
      </c>
    </row>
    <row r="1127" spans="1:121" ht="20" customHeight="1" x14ac:dyDescent="0.15">
      <c r="A1127" s="5">
        <v>2018</v>
      </c>
      <c r="B1127" s="3" t="s">
        <v>293</v>
      </c>
      <c r="C1127" s="4" t="str">
        <f t="shared" si="283"/>
        <v>2160012</v>
      </c>
      <c r="D1127" s="4" t="s">
        <v>1270</v>
      </c>
      <c r="E1127" s="4" t="str">
        <f>"2160512"</f>
        <v>2160512</v>
      </c>
      <c r="F1127" s="4" t="s">
        <v>1227</v>
      </c>
      <c r="G1127" s="4" t="s">
        <v>328</v>
      </c>
      <c r="H1127" s="7">
        <v>5</v>
      </c>
      <c r="I1127" s="6"/>
      <c r="J1127" s="4" t="s">
        <v>330</v>
      </c>
      <c r="K1127" s="7">
        <v>652.45985399999995</v>
      </c>
      <c r="L1127" s="7">
        <v>850</v>
      </c>
      <c r="M1127" s="7">
        <v>76.759983000000005</v>
      </c>
      <c r="N1127" s="7">
        <v>3</v>
      </c>
      <c r="O1127" s="7">
        <v>1</v>
      </c>
      <c r="P1127" s="7">
        <v>80.339837000000003</v>
      </c>
      <c r="Q1127" s="7">
        <v>50</v>
      </c>
      <c r="R1127" s="7">
        <v>50</v>
      </c>
      <c r="S1127" s="7">
        <v>68.297484999999995</v>
      </c>
      <c r="T1127" s="7">
        <v>75</v>
      </c>
      <c r="U1127" s="7">
        <v>45.531657000000003</v>
      </c>
      <c r="V1127" s="7">
        <v>50</v>
      </c>
      <c r="W1127" s="7">
        <v>74.329032999999995</v>
      </c>
      <c r="X1127" s="7">
        <v>49.552689000000001</v>
      </c>
      <c r="Y1127" s="7">
        <v>50</v>
      </c>
      <c r="Z1127" s="7">
        <v>75</v>
      </c>
      <c r="AA1127" s="7">
        <v>60.934922999999998</v>
      </c>
      <c r="AB1127" s="7">
        <v>40.623282000000003</v>
      </c>
      <c r="AC1127" s="7">
        <v>50</v>
      </c>
      <c r="AD1127" s="7">
        <v>71.813562000000005</v>
      </c>
      <c r="AE1127" s="7">
        <v>47.875708000000003</v>
      </c>
      <c r="AF1127" s="7">
        <v>50</v>
      </c>
      <c r="AG1127" s="7">
        <v>58.243797000000001</v>
      </c>
      <c r="AH1127" s="7">
        <v>75</v>
      </c>
      <c r="AI1127" s="7">
        <v>38.829197999999998</v>
      </c>
      <c r="AJ1127" s="7">
        <v>50</v>
      </c>
      <c r="AK1127" s="7">
        <v>6.7</v>
      </c>
      <c r="AL1127" s="7">
        <v>14.06</v>
      </c>
      <c r="AM1127" s="7">
        <v>16.75</v>
      </c>
      <c r="AN1127" s="7">
        <v>0.66913999999999996</v>
      </c>
      <c r="AO1127" s="7">
        <v>66.913990999999996</v>
      </c>
      <c r="AP1127" s="7">
        <v>100</v>
      </c>
      <c r="AQ1127" s="7">
        <v>0.61367099999999997</v>
      </c>
      <c r="AR1127" s="7">
        <v>61.367131999999998</v>
      </c>
      <c r="AS1127" s="7">
        <v>100</v>
      </c>
      <c r="AT1127" s="7">
        <v>0.58891099999999996</v>
      </c>
      <c r="AU1127" s="7">
        <v>0.69506000000000001</v>
      </c>
      <c r="AV1127" s="7">
        <v>58.891091000000003</v>
      </c>
      <c r="AW1127" s="7">
        <v>100</v>
      </c>
      <c r="AX1127" s="7">
        <v>0.52928699999999995</v>
      </c>
      <c r="AY1127" s="7">
        <v>0.640934</v>
      </c>
      <c r="AZ1127" s="7">
        <v>52.928747000000001</v>
      </c>
      <c r="BA1127" s="7">
        <v>100</v>
      </c>
      <c r="BB1127" s="4" t="s">
        <v>124</v>
      </c>
      <c r="BC1127" s="4" t="s">
        <v>124</v>
      </c>
      <c r="BD1127" s="4" t="s">
        <v>124</v>
      </c>
      <c r="BE1127" s="4" t="s">
        <v>124</v>
      </c>
      <c r="BF1127" s="4" t="s">
        <v>124</v>
      </c>
      <c r="BG1127" s="4" t="s">
        <v>124</v>
      </c>
      <c r="BH1127" s="7">
        <v>1</v>
      </c>
      <c r="BI1127" s="7">
        <v>0.98932399999999998</v>
      </c>
      <c r="BJ1127" s="7">
        <v>0.95774599999999999</v>
      </c>
      <c r="BK1127" s="7">
        <v>1</v>
      </c>
      <c r="BL1127" s="7">
        <v>0.98936199999999996</v>
      </c>
      <c r="BM1127" s="7">
        <v>0.95833299999999999</v>
      </c>
      <c r="BN1127" s="7">
        <v>1</v>
      </c>
      <c r="BO1127" s="7">
        <v>0.97938099999999995</v>
      </c>
      <c r="BP1127" s="7">
        <v>0.93333299999999997</v>
      </c>
      <c r="BQ1127" s="7">
        <v>1</v>
      </c>
      <c r="BR1127" s="7">
        <v>1.9504000000000001E-2</v>
      </c>
      <c r="BS1127" s="7">
        <v>50</v>
      </c>
      <c r="BT1127" s="7">
        <v>50</v>
      </c>
      <c r="BU1127" s="7">
        <v>5.3332999999999998E-2</v>
      </c>
      <c r="BV1127" s="7">
        <v>49.333333000000003</v>
      </c>
      <c r="BW1127" s="7">
        <v>50</v>
      </c>
      <c r="BX1127" s="4" t="s">
        <v>124</v>
      </c>
      <c r="BY1127" s="4" t="s">
        <v>124</v>
      </c>
      <c r="BZ1127" s="4" t="s">
        <v>124</v>
      </c>
      <c r="CA1127" s="4" t="s">
        <v>124</v>
      </c>
      <c r="CB1127" s="4" t="s">
        <v>124</v>
      </c>
      <c r="CC1127" s="4" t="s">
        <v>124</v>
      </c>
      <c r="CD1127" s="4" t="s">
        <v>124</v>
      </c>
      <c r="CE1127" s="4" t="s">
        <v>124</v>
      </c>
      <c r="CF1127" s="4" t="s">
        <v>124</v>
      </c>
      <c r="CG1127" s="4" t="s">
        <v>124</v>
      </c>
      <c r="CH1127" s="4" t="s">
        <v>124</v>
      </c>
      <c r="CI1127" s="4" t="s">
        <v>124</v>
      </c>
      <c r="CJ1127" s="4" t="s">
        <v>124</v>
      </c>
      <c r="CK1127" s="4" t="s">
        <v>124</v>
      </c>
      <c r="CL1127" s="4" t="s">
        <v>124</v>
      </c>
      <c r="CM1127" s="4" t="s">
        <v>124</v>
      </c>
      <c r="CN1127" s="4" t="s">
        <v>124</v>
      </c>
      <c r="CO1127" s="4" t="s">
        <v>124</v>
      </c>
      <c r="CP1127" s="4" t="s">
        <v>124</v>
      </c>
      <c r="CQ1127" s="7">
        <v>0.60919500000000004</v>
      </c>
      <c r="CR1127" s="7">
        <v>1</v>
      </c>
      <c r="CS1127" s="7">
        <v>40.613027000000002</v>
      </c>
      <c r="CT1127" s="7">
        <v>50</v>
      </c>
      <c r="CU1127" s="4" t="s">
        <v>124</v>
      </c>
      <c r="CV1127" s="4" t="s">
        <v>124</v>
      </c>
      <c r="CW1127" s="4" t="s">
        <v>124</v>
      </c>
      <c r="CX1127" s="4" t="s">
        <v>124</v>
      </c>
      <c r="CY1127" s="4" t="s">
        <v>124</v>
      </c>
      <c r="CZ1127" s="4" t="s">
        <v>124</v>
      </c>
      <c r="DA1127" s="7">
        <v>15.314097</v>
      </c>
      <c r="DB1127" s="7">
        <v>17.400950000000002</v>
      </c>
      <c r="DC1127" s="7">
        <v>16.332519999999999</v>
      </c>
      <c r="DD1127" s="4" t="s">
        <v>124</v>
      </c>
      <c r="DE1127" s="7">
        <v>1</v>
      </c>
      <c r="DF1127" s="6"/>
      <c r="DG1127" s="6"/>
      <c r="DH1127" s="6"/>
      <c r="DI1127" s="6"/>
      <c r="DJ1127" s="7">
        <v>0</v>
      </c>
      <c r="DK1127" s="7">
        <v>0</v>
      </c>
      <c r="DL1127" s="7">
        <v>0</v>
      </c>
      <c r="DM1127" s="7">
        <v>0</v>
      </c>
      <c r="DN1127" s="7">
        <v>0</v>
      </c>
      <c r="DO1127" s="7">
        <v>0</v>
      </c>
      <c r="DP1127" s="6"/>
      <c r="DQ1127" s="4" t="s">
        <v>125</v>
      </c>
    </row>
    <row r="1128" spans="1:121" ht="20" customHeight="1" x14ac:dyDescent="0.15">
      <c r="A1128" s="5">
        <v>2018</v>
      </c>
      <c r="B1128" s="3" t="s">
        <v>293</v>
      </c>
      <c r="C1128" s="4" t="str">
        <f t="shared" si="283"/>
        <v>2160012</v>
      </c>
      <c r="D1128" s="4" t="s">
        <v>1271</v>
      </c>
      <c r="E1128" s="4" t="str">
        <f>"2166012"</f>
        <v>2166012</v>
      </c>
      <c r="F1128" s="4" t="s">
        <v>1227</v>
      </c>
      <c r="G1128" s="7">
        <v>9</v>
      </c>
      <c r="H1128" s="7">
        <v>12</v>
      </c>
      <c r="I1128" s="4" t="s">
        <v>329</v>
      </c>
      <c r="J1128" s="4" t="s">
        <v>330</v>
      </c>
      <c r="K1128" s="7">
        <v>1203.767912</v>
      </c>
      <c r="L1128" s="7">
        <v>1450</v>
      </c>
      <c r="M1128" s="7">
        <v>83.018477000000004</v>
      </c>
      <c r="N1128" s="7">
        <v>3</v>
      </c>
      <c r="O1128" s="7">
        <v>1</v>
      </c>
      <c r="P1128" s="7">
        <v>63.040160999999998</v>
      </c>
      <c r="Q1128" s="7">
        <v>126.080321</v>
      </c>
      <c r="R1128" s="7">
        <v>150</v>
      </c>
      <c r="S1128" s="7">
        <v>50.796748000000001</v>
      </c>
      <c r="T1128" s="7">
        <v>67.055999999999997</v>
      </c>
      <c r="U1128" s="7">
        <v>101.593496</v>
      </c>
      <c r="V1128" s="7">
        <v>150</v>
      </c>
      <c r="W1128" s="7">
        <v>63.032798</v>
      </c>
      <c r="X1128" s="7">
        <v>126.065596</v>
      </c>
      <c r="Y1128" s="7">
        <v>150</v>
      </c>
      <c r="Z1128" s="7">
        <v>67.349333000000001</v>
      </c>
      <c r="AA1128" s="7">
        <v>49.872629000000003</v>
      </c>
      <c r="AB1128" s="7">
        <v>99.745256999999995</v>
      </c>
      <c r="AC1128" s="7">
        <v>150</v>
      </c>
      <c r="AD1128" s="7">
        <v>59.242857000000001</v>
      </c>
      <c r="AE1128" s="7">
        <v>78.990476000000001</v>
      </c>
      <c r="AF1128" s="7">
        <v>100</v>
      </c>
      <c r="AG1128" s="7">
        <v>52.035513000000002</v>
      </c>
      <c r="AH1128" s="7">
        <v>61.625931000000001</v>
      </c>
      <c r="AI1128" s="7">
        <v>69.380684000000002</v>
      </c>
      <c r="AJ1128" s="7">
        <v>100</v>
      </c>
      <c r="AK1128" s="7">
        <v>16.25</v>
      </c>
      <c r="AL1128" s="7">
        <v>17.47</v>
      </c>
      <c r="AM1128" s="7">
        <v>9.59</v>
      </c>
      <c r="AN1128" s="4" t="s">
        <v>124</v>
      </c>
      <c r="AO1128" s="4" t="s">
        <v>124</v>
      </c>
      <c r="AP1128" s="4" t="s">
        <v>124</v>
      </c>
      <c r="AQ1128" s="4" t="s">
        <v>124</v>
      </c>
      <c r="AR1128" s="4" t="s">
        <v>124</v>
      </c>
      <c r="AS1128" s="4" t="s">
        <v>124</v>
      </c>
      <c r="AT1128" s="4" t="s">
        <v>124</v>
      </c>
      <c r="AU1128" s="4" t="s">
        <v>124</v>
      </c>
      <c r="AV1128" s="4" t="s">
        <v>124</v>
      </c>
      <c r="AW1128" s="4" t="s">
        <v>124</v>
      </c>
      <c r="AX1128" s="4" t="s">
        <v>124</v>
      </c>
      <c r="AY1128" s="4" t="s">
        <v>124</v>
      </c>
      <c r="AZ1128" s="4" t="s">
        <v>124</v>
      </c>
      <c r="BA1128" s="4" t="s">
        <v>124</v>
      </c>
      <c r="BB1128" s="4" t="s">
        <v>124</v>
      </c>
      <c r="BC1128" s="4" t="s">
        <v>124</v>
      </c>
      <c r="BD1128" s="4" t="s">
        <v>124</v>
      </c>
      <c r="BE1128" s="4" t="s">
        <v>124</v>
      </c>
      <c r="BF1128" s="4" t="s">
        <v>124</v>
      </c>
      <c r="BG1128" s="4" t="s">
        <v>124</v>
      </c>
      <c r="BH1128" s="7">
        <v>0</v>
      </c>
      <c r="BI1128" s="7">
        <v>1</v>
      </c>
      <c r="BJ1128" s="7">
        <v>1</v>
      </c>
      <c r="BK1128" s="7">
        <v>1</v>
      </c>
      <c r="BL1128" s="7">
        <v>1</v>
      </c>
      <c r="BM1128" s="7">
        <v>1</v>
      </c>
      <c r="BN1128" s="7">
        <v>1</v>
      </c>
      <c r="BO1128" s="7">
        <v>0.99411799999999995</v>
      </c>
      <c r="BP1128" s="7">
        <v>1</v>
      </c>
      <c r="BQ1128" s="7">
        <v>0.99199999999999999</v>
      </c>
      <c r="BR1128" s="7">
        <v>4.1175999999999997E-2</v>
      </c>
      <c r="BS1128" s="7">
        <v>50</v>
      </c>
      <c r="BT1128" s="7">
        <v>50</v>
      </c>
      <c r="BU1128" s="7">
        <v>8.0924999999999997E-2</v>
      </c>
      <c r="BV1128" s="7">
        <v>43.815029000000003</v>
      </c>
      <c r="BW1128" s="7">
        <v>50</v>
      </c>
      <c r="BX1128" s="7">
        <v>0.75588200000000005</v>
      </c>
      <c r="BY1128" s="7">
        <v>50</v>
      </c>
      <c r="BZ1128" s="7">
        <v>50</v>
      </c>
      <c r="CA1128" s="7">
        <v>0.60294099999999995</v>
      </c>
      <c r="CB1128" s="7">
        <v>40.196078</v>
      </c>
      <c r="CC1128" s="7">
        <v>50</v>
      </c>
      <c r="CD1128" s="7">
        <v>0.96216199999999996</v>
      </c>
      <c r="CE1128" s="7">
        <v>50</v>
      </c>
      <c r="CF1128" s="7">
        <v>50</v>
      </c>
      <c r="CG1128" s="7">
        <v>0.98192800000000002</v>
      </c>
      <c r="CH1128" s="7">
        <v>100</v>
      </c>
      <c r="CI1128" s="7">
        <v>100</v>
      </c>
      <c r="CJ1128" s="7">
        <v>0</v>
      </c>
      <c r="CK1128" s="7">
        <v>0.980769</v>
      </c>
      <c r="CL1128" s="7">
        <v>100</v>
      </c>
      <c r="CM1128" s="7">
        <v>100</v>
      </c>
      <c r="CN1128" s="7">
        <v>0.78313299999999997</v>
      </c>
      <c r="CO1128" s="7">
        <v>100</v>
      </c>
      <c r="CP1128" s="7">
        <v>100</v>
      </c>
      <c r="CQ1128" s="7">
        <v>0.65467600000000004</v>
      </c>
      <c r="CR1128" s="7">
        <v>0.89677399999999996</v>
      </c>
      <c r="CS1128" s="7">
        <v>21.822541999999999</v>
      </c>
      <c r="CT1128" s="7">
        <v>50</v>
      </c>
      <c r="CU1128" s="7">
        <v>0.55294100000000002</v>
      </c>
      <c r="CV1128" s="7">
        <v>46.078431000000002</v>
      </c>
      <c r="CW1128" s="7">
        <v>50</v>
      </c>
      <c r="CX1128" s="7">
        <v>0.980769</v>
      </c>
      <c r="CY1128" s="7">
        <v>0.94</v>
      </c>
      <c r="CZ1128" s="7">
        <v>-4.0769E-2</v>
      </c>
      <c r="DA1128" s="7">
        <v>15.314097</v>
      </c>
      <c r="DB1128" s="7">
        <v>17.400950000000002</v>
      </c>
      <c r="DC1128" s="7">
        <v>16.332519999999999</v>
      </c>
      <c r="DD1128" s="7">
        <v>7.9891730000000001</v>
      </c>
      <c r="DE1128" s="7">
        <v>1</v>
      </c>
      <c r="DF1128" s="6"/>
      <c r="DG1128" s="6"/>
      <c r="DH1128" s="6"/>
      <c r="DI1128" s="6"/>
      <c r="DJ1128" s="7">
        <v>0</v>
      </c>
      <c r="DK1128" s="7">
        <v>0</v>
      </c>
      <c r="DL1128" s="7">
        <v>0</v>
      </c>
      <c r="DM1128" s="7">
        <v>0</v>
      </c>
      <c r="DN1128" s="7">
        <v>0</v>
      </c>
      <c r="DO1128" s="7">
        <v>0</v>
      </c>
      <c r="DP1128" s="6"/>
      <c r="DQ1128" s="4" t="s">
        <v>125</v>
      </c>
    </row>
    <row r="1129" spans="1:121" ht="20" customHeight="1" x14ac:dyDescent="0.15">
      <c r="A1129" s="5">
        <v>2018</v>
      </c>
      <c r="B1129" s="3" t="s">
        <v>294</v>
      </c>
      <c r="C1129" s="4" t="str">
        <f t="shared" si="166"/>
        <v>2170012</v>
      </c>
      <c r="D1129" s="4" t="s">
        <v>1272</v>
      </c>
      <c r="E1129" s="4" t="str">
        <f>"2170212"</f>
        <v>2170212</v>
      </c>
      <c r="F1129" s="4" t="s">
        <v>1227</v>
      </c>
      <c r="G1129" s="4" t="s">
        <v>328</v>
      </c>
      <c r="H1129" s="7">
        <v>4</v>
      </c>
      <c r="I1129" s="6"/>
      <c r="J1129" s="4" t="s">
        <v>330</v>
      </c>
      <c r="K1129" s="7">
        <v>477.74976199999998</v>
      </c>
      <c r="L1129" s="7">
        <v>550</v>
      </c>
      <c r="M1129" s="7">
        <v>86.863592999999995</v>
      </c>
      <c r="N1129" s="7">
        <v>2</v>
      </c>
      <c r="O1129" s="7">
        <v>1</v>
      </c>
      <c r="P1129" s="7">
        <v>77.900632999999999</v>
      </c>
      <c r="Q1129" s="7">
        <v>50</v>
      </c>
      <c r="R1129" s="7">
        <v>50</v>
      </c>
      <c r="S1129" s="7">
        <v>61.741098999999998</v>
      </c>
      <c r="T1129" s="7">
        <v>75</v>
      </c>
      <c r="U1129" s="7">
        <v>41.160733</v>
      </c>
      <c r="V1129" s="7">
        <v>50</v>
      </c>
      <c r="W1129" s="7">
        <v>76.439532</v>
      </c>
      <c r="X1129" s="7">
        <v>50</v>
      </c>
      <c r="Y1129" s="7">
        <v>50</v>
      </c>
      <c r="Z1129" s="7">
        <v>75</v>
      </c>
      <c r="AA1129" s="7">
        <v>53.616909</v>
      </c>
      <c r="AB1129" s="7">
        <v>35.744605999999997</v>
      </c>
      <c r="AC1129" s="7">
        <v>50</v>
      </c>
      <c r="AD1129" s="4" t="s">
        <v>124</v>
      </c>
      <c r="AE1129" s="4" t="s">
        <v>124</v>
      </c>
      <c r="AF1129" s="4" t="s">
        <v>124</v>
      </c>
      <c r="AG1129" s="4" t="s">
        <v>124</v>
      </c>
      <c r="AH1129" s="4" t="s">
        <v>124</v>
      </c>
      <c r="AI1129" s="4" t="s">
        <v>124</v>
      </c>
      <c r="AJ1129" s="4" t="s">
        <v>124</v>
      </c>
      <c r="AK1129" s="7">
        <v>13.25</v>
      </c>
      <c r="AL1129" s="7">
        <v>21.38</v>
      </c>
      <c r="AM1129" s="4" t="s">
        <v>124</v>
      </c>
      <c r="AN1129" s="7">
        <v>0.82013899999999995</v>
      </c>
      <c r="AO1129" s="7">
        <v>82.013936000000001</v>
      </c>
      <c r="AP1129" s="7">
        <v>100</v>
      </c>
      <c r="AQ1129" s="7">
        <v>0.71916899999999995</v>
      </c>
      <c r="AR1129" s="7">
        <v>71.916906999999995</v>
      </c>
      <c r="AS1129" s="7">
        <v>100</v>
      </c>
      <c r="AT1129" s="4" t="s">
        <v>124</v>
      </c>
      <c r="AU1129" s="7">
        <v>0.92531699999999995</v>
      </c>
      <c r="AV1129" s="4" t="s">
        <v>124</v>
      </c>
      <c r="AW1129" s="4" t="s">
        <v>124</v>
      </c>
      <c r="AX1129" s="4" t="s">
        <v>124</v>
      </c>
      <c r="AY1129" s="7">
        <v>0.81213900000000006</v>
      </c>
      <c r="AZ1129" s="4" t="s">
        <v>124</v>
      </c>
      <c r="BA1129" s="4" t="s">
        <v>124</v>
      </c>
      <c r="BB1129" s="4" t="s">
        <v>124</v>
      </c>
      <c r="BC1129" s="4" t="s">
        <v>124</v>
      </c>
      <c r="BD1129" s="4" t="s">
        <v>124</v>
      </c>
      <c r="BE1129" s="4" t="s">
        <v>124</v>
      </c>
      <c r="BF1129" s="4" t="s">
        <v>124</v>
      </c>
      <c r="BG1129" s="4" t="s">
        <v>124</v>
      </c>
      <c r="BH1129" s="7">
        <v>0</v>
      </c>
      <c r="BI1129" s="7">
        <v>0.98888900000000002</v>
      </c>
      <c r="BJ1129" s="7">
        <v>0.96</v>
      </c>
      <c r="BK1129" s="7">
        <v>1</v>
      </c>
      <c r="BL1129" s="7">
        <v>0.98888900000000002</v>
      </c>
      <c r="BM1129" s="7">
        <v>0.96</v>
      </c>
      <c r="BN1129" s="7">
        <v>1</v>
      </c>
      <c r="BO1129" s="4" t="s">
        <v>124</v>
      </c>
      <c r="BP1129" s="4" t="s">
        <v>124</v>
      </c>
      <c r="BQ1129" s="4" t="s">
        <v>124</v>
      </c>
      <c r="BR1129" s="7">
        <v>1.4019E-2</v>
      </c>
      <c r="BS1129" s="7">
        <v>50</v>
      </c>
      <c r="BT1129" s="7">
        <v>50</v>
      </c>
      <c r="BU1129" s="7">
        <v>3.4483E-2</v>
      </c>
      <c r="BV1129" s="7">
        <v>50</v>
      </c>
      <c r="BW1129" s="7">
        <v>50</v>
      </c>
      <c r="BX1129" s="4" t="s">
        <v>124</v>
      </c>
      <c r="BY1129" s="4" t="s">
        <v>124</v>
      </c>
      <c r="BZ1129" s="4" t="s">
        <v>124</v>
      </c>
      <c r="CA1129" s="4" t="s">
        <v>124</v>
      </c>
      <c r="CB1129" s="4" t="s">
        <v>124</v>
      </c>
      <c r="CC1129" s="4" t="s">
        <v>124</v>
      </c>
      <c r="CD1129" s="4" t="s">
        <v>124</v>
      </c>
      <c r="CE1129" s="4" t="s">
        <v>124</v>
      </c>
      <c r="CF1129" s="4" t="s">
        <v>124</v>
      </c>
      <c r="CG1129" s="4" t="s">
        <v>124</v>
      </c>
      <c r="CH1129" s="4" t="s">
        <v>124</v>
      </c>
      <c r="CI1129" s="4" t="s">
        <v>124</v>
      </c>
      <c r="CJ1129" s="4" t="s">
        <v>124</v>
      </c>
      <c r="CK1129" s="4" t="s">
        <v>124</v>
      </c>
      <c r="CL1129" s="4" t="s">
        <v>124</v>
      </c>
      <c r="CM1129" s="4" t="s">
        <v>124</v>
      </c>
      <c r="CN1129" s="4" t="s">
        <v>124</v>
      </c>
      <c r="CO1129" s="4" t="s">
        <v>124</v>
      </c>
      <c r="CP1129" s="4" t="s">
        <v>124</v>
      </c>
      <c r="CQ1129" s="7">
        <v>0.703704</v>
      </c>
      <c r="CR1129" s="7">
        <v>1</v>
      </c>
      <c r="CS1129" s="7">
        <v>46.913580000000003</v>
      </c>
      <c r="CT1129" s="7">
        <v>50</v>
      </c>
      <c r="CU1129" s="4" t="s">
        <v>124</v>
      </c>
      <c r="CV1129" s="4" t="s">
        <v>124</v>
      </c>
      <c r="CW1129" s="4" t="s">
        <v>124</v>
      </c>
      <c r="CX1129" s="4" t="s">
        <v>124</v>
      </c>
      <c r="CY1129" s="4" t="s">
        <v>124</v>
      </c>
      <c r="CZ1129" s="4" t="s">
        <v>124</v>
      </c>
      <c r="DA1129" s="7">
        <v>15.314097</v>
      </c>
      <c r="DB1129" s="7">
        <v>17.400950000000002</v>
      </c>
      <c r="DC1129" s="7">
        <v>16.332519999999999</v>
      </c>
      <c r="DD1129" s="4" t="s">
        <v>124</v>
      </c>
      <c r="DE1129" s="7">
        <v>1</v>
      </c>
      <c r="DF1129" s="6"/>
      <c r="DG1129" s="6"/>
      <c r="DH1129" s="6"/>
      <c r="DI1129" s="6"/>
      <c r="DJ1129" s="7">
        <v>0</v>
      </c>
      <c r="DK1129" s="7">
        <v>0</v>
      </c>
      <c r="DL1129" s="7">
        <v>0</v>
      </c>
      <c r="DM1129" s="7">
        <v>0</v>
      </c>
      <c r="DN1129" s="7">
        <v>0</v>
      </c>
      <c r="DO1129" s="7">
        <v>0</v>
      </c>
      <c r="DP1129" s="6"/>
      <c r="DQ1129" s="4" t="s">
        <v>125</v>
      </c>
    </row>
    <row r="1130" spans="1:121" ht="20" customHeight="1" x14ac:dyDescent="0.15">
      <c r="A1130" s="5">
        <v>2018</v>
      </c>
      <c r="B1130" s="3" t="s">
        <v>294</v>
      </c>
      <c r="C1130" s="4" t="str">
        <f t="shared" ref="C1130:C1133" si="284">"2170012"</f>
        <v>2170012</v>
      </c>
      <c r="D1130" s="4" t="s">
        <v>1273</v>
      </c>
      <c r="E1130" s="4" t="str">
        <f>"2170112"</f>
        <v>2170112</v>
      </c>
      <c r="F1130" s="4" t="s">
        <v>1227</v>
      </c>
      <c r="G1130" s="4" t="s">
        <v>338</v>
      </c>
      <c r="H1130" s="7">
        <v>4</v>
      </c>
      <c r="I1130" s="6"/>
      <c r="J1130" s="4" t="s">
        <v>330</v>
      </c>
      <c r="K1130" s="7">
        <v>508.76857100000001</v>
      </c>
      <c r="L1130" s="7">
        <v>550</v>
      </c>
      <c r="M1130" s="7">
        <v>92.503377</v>
      </c>
      <c r="N1130" s="7">
        <v>1</v>
      </c>
      <c r="O1130" s="7">
        <v>0</v>
      </c>
      <c r="P1130" s="7">
        <v>82.030039000000002</v>
      </c>
      <c r="Q1130" s="7">
        <v>50</v>
      </c>
      <c r="R1130" s="7">
        <v>50</v>
      </c>
      <c r="S1130" s="7">
        <v>74.331833000000003</v>
      </c>
      <c r="T1130" s="7">
        <v>75</v>
      </c>
      <c r="U1130" s="7">
        <v>49.554555000000001</v>
      </c>
      <c r="V1130" s="7">
        <v>50</v>
      </c>
      <c r="W1130" s="7">
        <v>79.749161000000001</v>
      </c>
      <c r="X1130" s="7">
        <v>50</v>
      </c>
      <c r="Y1130" s="7">
        <v>50</v>
      </c>
      <c r="Z1130" s="7">
        <v>75</v>
      </c>
      <c r="AA1130" s="7">
        <v>72.817845000000005</v>
      </c>
      <c r="AB1130" s="7">
        <v>48.545229999999997</v>
      </c>
      <c r="AC1130" s="7">
        <v>50</v>
      </c>
      <c r="AD1130" s="4" t="s">
        <v>124</v>
      </c>
      <c r="AE1130" s="4" t="s">
        <v>124</v>
      </c>
      <c r="AF1130" s="4" t="s">
        <v>124</v>
      </c>
      <c r="AG1130" s="4" t="s">
        <v>124</v>
      </c>
      <c r="AH1130" s="4" t="s">
        <v>124</v>
      </c>
      <c r="AI1130" s="4" t="s">
        <v>124</v>
      </c>
      <c r="AJ1130" s="4" t="s">
        <v>124</v>
      </c>
      <c r="AK1130" s="7">
        <v>0.66</v>
      </c>
      <c r="AL1130" s="7">
        <v>2.1800000000000002</v>
      </c>
      <c r="AM1130" s="4" t="s">
        <v>124</v>
      </c>
      <c r="AN1130" s="7">
        <v>0.84131400000000001</v>
      </c>
      <c r="AO1130" s="7">
        <v>84.131422999999998</v>
      </c>
      <c r="AP1130" s="7">
        <v>100</v>
      </c>
      <c r="AQ1130" s="7">
        <v>0.85796600000000001</v>
      </c>
      <c r="AR1130" s="7">
        <v>85.796621999999999</v>
      </c>
      <c r="AS1130" s="7">
        <v>100</v>
      </c>
      <c r="AT1130" s="4" t="s">
        <v>124</v>
      </c>
      <c r="AU1130" s="7">
        <v>0.87755099999999997</v>
      </c>
      <c r="AV1130" s="4" t="s">
        <v>124</v>
      </c>
      <c r="AW1130" s="4" t="s">
        <v>124</v>
      </c>
      <c r="AX1130" s="4" t="s">
        <v>124</v>
      </c>
      <c r="AY1130" s="7">
        <v>0.91057200000000005</v>
      </c>
      <c r="AZ1130" s="4" t="s">
        <v>124</v>
      </c>
      <c r="BA1130" s="4" t="s">
        <v>124</v>
      </c>
      <c r="BB1130" s="4" t="s">
        <v>124</v>
      </c>
      <c r="BC1130" s="4" t="s">
        <v>124</v>
      </c>
      <c r="BD1130" s="4" t="s">
        <v>124</v>
      </c>
      <c r="BE1130" s="4" t="s">
        <v>124</v>
      </c>
      <c r="BF1130" s="4" t="s">
        <v>124</v>
      </c>
      <c r="BG1130" s="4" t="s">
        <v>124</v>
      </c>
      <c r="BH1130" s="7">
        <v>0</v>
      </c>
      <c r="BI1130" s="7">
        <v>0.95588200000000001</v>
      </c>
      <c r="BJ1130" s="7">
        <v>1</v>
      </c>
      <c r="BK1130" s="7">
        <v>0.93181800000000004</v>
      </c>
      <c r="BL1130" s="7">
        <v>0.95588200000000001</v>
      </c>
      <c r="BM1130" s="7">
        <v>1</v>
      </c>
      <c r="BN1130" s="7">
        <v>0.93181800000000004</v>
      </c>
      <c r="BO1130" s="4" t="s">
        <v>124</v>
      </c>
      <c r="BP1130" s="4" t="s">
        <v>124</v>
      </c>
      <c r="BQ1130" s="4" t="s">
        <v>124</v>
      </c>
      <c r="BR1130" s="7">
        <v>5.6820000000000004E-3</v>
      </c>
      <c r="BS1130" s="7">
        <v>50</v>
      </c>
      <c r="BT1130" s="7">
        <v>50</v>
      </c>
      <c r="BU1130" s="7">
        <v>1.9231000000000002E-2</v>
      </c>
      <c r="BV1130" s="7">
        <v>50</v>
      </c>
      <c r="BW1130" s="7">
        <v>50</v>
      </c>
      <c r="BX1130" s="4" t="s">
        <v>124</v>
      </c>
      <c r="BY1130" s="4" t="s">
        <v>124</v>
      </c>
      <c r="BZ1130" s="4" t="s">
        <v>124</v>
      </c>
      <c r="CA1130" s="4" t="s">
        <v>124</v>
      </c>
      <c r="CB1130" s="4" t="s">
        <v>124</v>
      </c>
      <c r="CC1130" s="4" t="s">
        <v>124</v>
      </c>
      <c r="CD1130" s="4" t="s">
        <v>124</v>
      </c>
      <c r="CE1130" s="4" t="s">
        <v>124</v>
      </c>
      <c r="CF1130" s="4" t="s">
        <v>124</v>
      </c>
      <c r="CG1130" s="4" t="s">
        <v>124</v>
      </c>
      <c r="CH1130" s="4" t="s">
        <v>124</v>
      </c>
      <c r="CI1130" s="4" t="s">
        <v>124</v>
      </c>
      <c r="CJ1130" s="4" t="s">
        <v>124</v>
      </c>
      <c r="CK1130" s="4" t="s">
        <v>124</v>
      </c>
      <c r="CL1130" s="4" t="s">
        <v>124</v>
      </c>
      <c r="CM1130" s="4" t="s">
        <v>124</v>
      </c>
      <c r="CN1130" s="4" t="s">
        <v>124</v>
      </c>
      <c r="CO1130" s="4" t="s">
        <v>124</v>
      </c>
      <c r="CP1130" s="4" t="s">
        <v>124</v>
      </c>
      <c r="CQ1130" s="7">
        <v>0.61111099999999996</v>
      </c>
      <c r="CR1130" s="7">
        <v>0.97297299999999998</v>
      </c>
      <c r="CS1130" s="7">
        <v>40.740741</v>
      </c>
      <c r="CT1130" s="7">
        <v>50</v>
      </c>
      <c r="CU1130" s="4" t="s">
        <v>124</v>
      </c>
      <c r="CV1130" s="4" t="s">
        <v>124</v>
      </c>
      <c r="CW1130" s="4" t="s">
        <v>124</v>
      </c>
      <c r="CX1130" s="4" t="s">
        <v>124</v>
      </c>
      <c r="CY1130" s="4" t="s">
        <v>124</v>
      </c>
      <c r="CZ1130" s="4" t="s">
        <v>124</v>
      </c>
      <c r="DA1130" s="7">
        <v>15.314097</v>
      </c>
      <c r="DB1130" s="7">
        <v>17.400950000000002</v>
      </c>
      <c r="DC1130" s="7">
        <v>16.332519999999999</v>
      </c>
      <c r="DD1130" s="4" t="s">
        <v>124</v>
      </c>
      <c r="DE1130" s="7">
        <v>0</v>
      </c>
      <c r="DF1130" s="6"/>
      <c r="DG1130" s="6"/>
      <c r="DH1130" s="4" t="s">
        <v>331</v>
      </c>
      <c r="DI1130" s="4" t="s">
        <v>497</v>
      </c>
      <c r="DJ1130" s="7">
        <v>1</v>
      </c>
      <c r="DK1130" s="7">
        <v>1</v>
      </c>
      <c r="DL1130" s="7">
        <v>1</v>
      </c>
      <c r="DM1130" s="7">
        <v>0</v>
      </c>
      <c r="DN1130" s="7">
        <v>0</v>
      </c>
      <c r="DO1130" s="7">
        <v>0</v>
      </c>
      <c r="DP1130" s="6"/>
      <c r="DQ1130" s="4" t="s">
        <v>125</v>
      </c>
    </row>
    <row r="1131" spans="1:121" ht="20" customHeight="1" x14ac:dyDescent="0.15">
      <c r="A1131" s="5">
        <v>2018</v>
      </c>
      <c r="B1131" s="3" t="s">
        <v>294</v>
      </c>
      <c r="C1131" s="4" t="str">
        <f t="shared" si="284"/>
        <v>2170012</v>
      </c>
      <c r="D1131" s="4" t="s">
        <v>1274</v>
      </c>
      <c r="E1131" s="4" t="str">
        <f>"2176112"</f>
        <v>2176112</v>
      </c>
      <c r="F1131" s="4" t="s">
        <v>1227</v>
      </c>
      <c r="G1131" s="7">
        <v>9</v>
      </c>
      <c r="H1131" s="7">
        <v>12</v>
      </c>
      <c r="I1131" s="6"/>
      <c r="J1131" s="4" t="s">
        <v>330</v>
      </c>
      <c r="K1131" s="7">
        <v>1219.3377210000001</v>
      </c>
      <c r="L1131" s="7">
        <v>1450</v>
      </c>
      <c r="M1131" s="7">
        <v>84.092257000000004</v>
      </c>
      <c r="N1131" s="7">
        <v>3</v>
      </c>
      <c r="O1131" s="7">
        <v>1</v>
      </c>
      <c r="P1131" s="7">
        <v>65.315400999999994</v>
      </c>
      <c r="Q1131" s="7">
        <v>130.63080199999999</v>
      </c>
      <c r="R1131" s="7">
        <v>150</v>
      </c>
      <c r="S1131" s="7">
        <v>50.848039</v>
      </c>
      <c r="T1131" s="7">
        <v>69.282257999999999</v>
      </c>
      <c r="U1131" s="7">
        <v>101.696078</v>
      </c>
      <c r="V1131" s="7">
        <v>150</v>
      </c>
      <c r="W1131" s="7">
        <v>63.493670999999999</v>
      </c>
      <c r="X1131" s="7">
        <v>126.987342</v>
      </c>
      <c r="Y1131" s="7">
        <v>150</v>
      </c>
      <c r="Z1131" s="7">
        <v>67.212366000000003</v>
      </c>
      <c r="AA1131" s="7">
        <v>49.931373000000001</v>
      </c>
      <c r="AB1131" s="7">
        <v>99.862745000000004</v>
      </c>
      <c r="AC1131" s="7">
        <v>150</v>
      </c>
      <c r="AD1131" s="7">
        <v>70.188194999999993</v>
      </c>
      <c r="AE1131" s="7">
        <v>93.584260999999998</v>
      </c>
      <c r="AF1131" s="7">
        <v>100</v>
      </c>
      <c r="AG1131" s="7">
        <v>54.564835000000002</v>
      </c>
      <c r="AH1131" s="7">
        <v>74.598015000000004</v>
      </c>
      <c r="AI1131" s="7">
        <v>72.753113999999997</v>
      </c>
      <c r="AJ1131" s="7">
        <v>100</v>
      </c>
      <c r="AK1131" s="7">
        <v>18.43</v>
      </c>
      <c r="AL1131" s="7">
        <v>17.28</v>
      </c>
      <c r="AM1131" s="7">
        <v>20.03</v>
      </c>
      <c r="AN1131" s="4" t="s">
        <v>124</v>
      </c>
      <c r="AO1131" s="4" t="s">
        <v>124</v>
      </c>
      <c r="AP1131" s="4" t="s">
        <v>124</v>
      </c>
      <c r="AQ1131" s="4" t="s">
        <v>124</v>
      </c>
      <c r="AR1131" s="4" t="s">
        <v>124</v>
      </c>
      <c r="AS1131" s="4" t="s">
        <v>124</v>
      </c>
      <c r="AT1131" s="4" t="s">
        <v>124</v>
      </c>
      <c r="AU1131" s="4" t="s">
        <v>124</v>
      </c>
      <c r="AV1131" s="4" t="s">
        <v>124</v>
      </c>
      <c r="AW1131" s="4" t="s">
        <v>124</v>
      </c>
      <c r="AX1131" s="4" t="s">
        <v>124</v>
      </c>
      <c r="AY1131" s="4" t="s">
        <v>124</v>
      </c>
      <c r="AZ1131" s="4" t="s">
        <v>124</v>
      </c>
      <c r="BA1131" s="4" t="s">
        <v>124</v>
      </c>
      <c r="BB1131" s="4" t="s">
        <v>124</v>
      </c>
      <c r="BC1131" s="4" t="s">
        <v>124</v>
      </c>
      <c r="BD1131" s="4" t="s">
        <v>124</v>
      </c>
      <c r="BE1131" s="4" t="s">
        <v>124</v>
      </c>
      <c r="BF1131" s="4" t="s">
        <v>124</v>
      </c>
      <c r="BG1131" s="4" t="s">
        <v>124</v>
      </c>
      <c r="BH1131" s="7">
        <v>0</v>
      </c>
      <c r="BI1131" s="7">
        <v>0.99371100000000001</v>
      </c>
      <c r="BJ1131" s="7">
        <v>0.97142899999999999</v>
      </c>
      <c r="BK1131" s="7">
        <v>1</v>
      </c>
      <c r="BL1131" s="7">
        <v>0.99371100000000001</v>
      </c>
      <c r="BM1131" s="7">
        <v>0.97142899999999999</v>
      </c>
      <c r="BN1131" s="7">
        <v>1</v>
      </c>
      <c r="BO1131" s="7">
        <v>1</v>
      </c>
      <c r="BP1131" s="7">
        <v>1</v>
      </c>
      <c r="BQ1131" s="7">
        <v>1</v>
      </c>
      <c r="BR1131" s="7">
        <v>5.9655E-2</v>
      </c>
      <c r="BS1131" s="7">
        <v>48.069074000000001</v>
      </c>
      <c r="BT1131" s="7">
        <v>50</v>
      </c>
      <c r="BU1131" s="7">
        <v>0.10958900000000001</v>
      </c>
      <c r="BV1131" s="7">
        <v>38.082191999999999</v>
      </c>
      <c r="BW1131" s="7">
        <v>50</v>
      </c>
      <c r="BX1131" s="7">
        <v>0.91482600000000003</v>
      </c>
      <c r="BY1131" s="7">
        <v>50</v>
      </c>
      <c r="BZ1131" s="7">
        <v>50</v>
      </c>
      <c r="CA1131" s="7">
        <v>0.59936900000000004</v>
      </c>
      <c r="CB1131" s="7">
        <v>39.957939000000003</v>
      </c>
      <c r="CC1131" s="7">
        <v>50</v>
      </c>
      <c r="CD1131" s="7">
        <v>0.99290800000000001</v>
      </c>
      <c r="CE1131" s="7">
        <v>50</v>
      </c>
      <c r="CF1131" s="7">
        <v>50</v>
      </c>
      <c r="CG1131" s="7">
        <v>0.95731699999999997</v>
      </c>
      <c r="CH1131" s="7">
        <v>100</v>
      </c>
      <c r="CI1131" s="7">
        <v>100</v>
      </c>
      <c r="CJ1131" s="7">
        <v>0</v>
      </c>
      <c r="CK1131" s="7">
        <v>0.93939399999999995</v>
      </c>
      <c r="CL1131" s="7">
        <v>99.935524999999998</v>
      </c>
      <c r="CM1131" s="7">
        <v>100</v>
      </c>
      <c r="CN1131" s="7">
        <v>0.8125</v>
      </c>
      <c r="CO1131" s="7">
        <v>100</v>
      </c>
      <c r="CP1131" s="7">
        <v>100</v>
      </c>
      <c r="CQ1131" s="7">
        <v>0.78417300000000001</v>
      </c>
      <c r="CR1131" s="7">
        <v>0.776536</v>
      </c>
      <c r="CS1131" s="7">
        <v>25</v>
      </c>
      <c r="CT1131" s="7">
        <v>50</v>
      </c>
      <c r="CU1131" s="7">
        <v>0.51334400000000002</v>
      </c>
      <c r="CV1131" s="7">
        <v>42.778649999999999</v>
      </c>
      <c r="CW1131" s="7">
        <v>50</v>
      </c>
      <c r="CX1131" s="7">
        <v>0.93939399999999995</v>
      </c>
      <c r="CY1131" s="7">
        <v>0.94</v>
      </c>
      <c r="CZ1131" s="7">
        <v>6.0599999999999998E-4</v>
      </c>
      <c r="DA1131" s="7">
        <v>15.314097</v>
      </c>
      <c r="DB1131" s="7">
        <v>17.400950000000002</v>
      </c>
      <c r="DC1131" s="7">
        <v>16.332519999999999</v>
      </c>
      <c r="DD1131" s="7">
        <v>7.9891730000000001</v>
      </c>
      <c r="DE1131" s="7">
        <v>1</v>
      </c>
      <c r="DF1131" s="6"/>
      <c r="DG1131" s="6"/>
      <c r="DH1131" s="6"/>
      <c r="DI1131" s="6"/>
      <c r="DJ1131" s="7">
        <v>0</v>
      </c>
      <c r="DK1131" s="7">
        <v>0</v>
      </c>
      <c r="DL1131" s="7">
        <v>0</v>
      </c>
      <c r="DM1131" s="7">
        <v>0</v>
      </c>
      <c r="DN1131" s="7">
        <v>0</v>
      </c>
      <c r="DO1131" s="7">
        <v>0</v>
      </c>
      <c r="DP1131" s="6"/>
      <c r="DQ1131" s="4" t="s">
        <v>125</v>
      </c>
    </row>
    <row r="1132" spans="1:121" ht="20" customHeight="1" x14ac:dyDescent="0.15">
      <c r="A1132" s="5">
        <v>2018</v>
      </c>
      <c r="B1132" s="3" t="s">
        <v>294</v>
      </c>
      <c r="C1132" s="4" t="str">
        <f t="shared" si="284"/>
        <v>2170012</v>
      </c>
      <c r="D1132" s="4" t="s">
        <v>1275</v>
      </c>
      <c r="E1132" s="4" t="str">
        <f>"2175112"</f>
        <v>2175112</v>
      </c>
      <c r="F1132" s="4" t="s">
        <v>1227</v>
      </c>
      <c r="G1132" s="7">
        <v>5</v>
      </c>
      <c r="H1132" s="7">
        <v>8</v>
      </c>
      <c r="I1132" s="4" t="s">
        <v>329</v>
      </c>
      <c r="J1132" s="4" t="s">
        <v>330</v>
      </c>
      <c r="K1132" s="7">
        <v>667.780935</v>
      </c>
      <c r="L1132" s="7">
        <v>900</v>
      </c>
      <c r="M1132" s="7">
        <v>74.197882000000007</v>
      </c>
      <c r="N1132" s="7">
        <v>3</v>
      </c>
      <c r="O1132" s="7">
        <v>1</v>
      </c>
      <c r="P1132" s="7">
        <v>75.975160000000002</v>
      </c>
      <c r="Q1132" s="7">
        <v>50</v>
      </c>
      <c r="R1132" s="7">
        <v>50</v>
      </c>
      <c r="S1132" s="7">
        <v>62.983966000000002</v>
      </c>
      <c r="T1132" s="7">
        <v>75</v>
      </c>
      <c r="U1132" s="7">
        <v>41.989311000000001</v>
      </c>
      <c r="V1132" s="7">
        <v>50</v>
      </c>
      <c r="W1132" s="7">
        <v>69.489395000000002</v>
      </c>
      <c r="X1132" s="7">
        <v>46.326264000000002</v>
      </c>
      <c r="Y1132" s="7">
        <v>50</v>
      </c>
      <c r="Z1132" s="7">
        <v>74.448955999999995</v>
      </c>
      <c r="AA1132" s="7">
        <v>55.786102</v>
      </c>
      <c r="AB1132" s="7">
        <v>37.190734999999997</v>
      </c>
      <c r="AC1132" s="7">
        <v>50</v>
      </c>
      <c r="AD1132" s="7">
        <v>74.700652000000005</v>
      </c>
      <c r="AE1132" s="7">
        <v>49.800435</v>
      </c>
      <c r="AF1132" s="7">
        <v>50</v>
      </c>
      <c r="AG1132" s="7">
        <v>63.752733999999997</v>
      </c>
      <c r="AH1132" s="7">
        <v>75</v>
      </c>
      <c r="AI1132" s="7">
        <v>42.501823000000002</v>
      </c>
      <c r="AJ1132" s="7">
        <v>50</v>
      </c>
      <c r="AK1132" s="7">
        <v>12.01</v>
      </c>
      <c r="AL1132" s="7">
        <v>18.66</v>
      </c>
      <c r="AM1132" s="7">
        <v>11.24</v>
      </c>
      <c r="AN1132" s="7">
        <v>0.57422300000000004</v>
      </c>
      <c r="AO1132" s="7">
        <v>57.422263999999998</v>
      </c>
      <c r="AP1132" s="7">
        <v>100</v>
      </c>
      <c r="AQ1132" s="7">
        <v>0.56992200000000004</v>
      </c>
      <c r="AR1132" s="7">
        <v>56.992162</v>
      </c>
      <c r="AS1132" s="7">
        <v>100</v>
      </c>
      <c r="AT1132" s="7">
        <v>0.52975099999999997</v>
      </c>
      <c r="AU1132" s="7">
        <v>0.59018000000000004</v>
      </c>
      <c r="AV1132" s="7">
        <v>52.975065000000001</v>
      </c>
      <c r="AW1132" s="7">
        <v>100</v>
      </c>
      <c r="AX1132" s="7">
        <v>0.41772799999999999</v>
      </c>
      <c r="AY1132" s="7">
        <v>0.62388399999999999</v>
      </c>
      <c r="AZ1132" s="7">
        <v>41.772846999999999</v>
      </c>
      <c r="BA1132" s="7">
        <v>100</v>
      </c>
      <c r="BB1132" s="4" t="s">
        <v>124</v>
      </c>
      <c r="BC1132" s="4" t="s">
        <v>124</v>
      </c>
      <c r="BD1132" s="4" t="s">
        <v>124</v>
      </c>
      <c r="BE1132" s="4" t="s">
        <v>124</v>
      </c>
      <c r="BF1132" s="4" t="s">
        <v>124</v>
      </c>
      <c r="BG1132" s="4" t="s">
        <v>124</v>
      </c>
      <c r="BH1132" s="7">
        <v>0</v>
      </c>
      <c r="BI1132" s="7">
        <v>0.98807699999999998</v>
      </c>
      <c r="BJ1132" s="7">
        <v>0.98895</v>
      </c>
      <c r="BK1132" s="7">
        <v>0.98775500000000005</v>
      </c>
      <c r="BL1132" s="7">
        <v>0.985097</v>
      </c>
      <c r="BM1132" s="7">
        <v>0.97790100000000002</v>
      </c>
      <c r="BN1132" s="7">
        <v>0.98775500000000005</v>
      </c>
      <c r="BO1132" s="7">
        <v>0.98837200000000003</v>
      </c>
      <c r="BP1132" s="7">
        <v>0.98924699999999999</v>
      </c>
      <c r="BQ1132" s="7">
        <v>0.98804800000000004</v>
      </c>
      <c r="BR1132" s="7">
        <v>3.5768000000000001E-2</v>
      </c>
      <c r="BS1132" s="7">
        <v>50</v>
      </c>
      <c r="BT1132" s="7">
        <v>50</v>
      </c>
      <c r="BU1132" s="7">
        <v>8.2873000000000002E-2</v>
      </c>
      <c r="BV1132" s="7">
        <v>43.425414000000004</v>
      </c>
      <c r="BW1132" s="7">
        <v>50</v>
      </c>
      <c r="BX1132" s="4" t="s">
        <v>124</v>
      </c>
      <c r="BY1132" s="4" t="s">
        <v>124</v>
      </c>
      <c r="BZ1132" s="4" t="s">
        <v>124</v>
      </c>
      <c r="CA1132" s="4" t="s">
        <v>124</v>
      </c>
      <c r="CB1132" s="4" t="s">
        <v>124</v>
      </c>
      <c r="CC1132" s="4" t="s">
        <v>124</v>
      </c>
      <c r="CD1132" s="7">
        <v>0.98620699999999994</v>
      </c>
      <c r="CE1132" s="7">
        <v>50</v>
      </c>
      <c r="CF1132" s="7">
        <v>50</v>
      </c>
      <c r="CG1132" s="4" t="s">
        <v>124</v>
      </c>
      <c r="CH1132" s="4" t="s">
        <v>124</v>
      </c>
      <c r="CI1132" s="4" t="s">
        <v>124</v>
      </c>
      <c r="CJ1132" s="4" t="s">
        <v>124</v>
      </c>
      <c r="CK1132" s="4" t="s">
        <v>124</v>
      </c>
      <c r="CL1132" s="4" t="s">
        <v>124</v>
      </c>
      <c r="CM1132" s="4" t="s">
        <v>124</v>
      </c>
      <c r="CN1132" s="4" t="s">
        <v>124</v>
      </c>
      <c r="CO1132" s="4" t="s">
        <v>124</v>
      </c>
      <c r="CP1132" s="4" t="s">
        <v>124</v>
      </c>
      <c r="CQ1132" s="7">
        <v>0.71076899999999998</v>
      </c>
      <c r="CR1132" s="7">
        <v>0.961538</v>
      </c>
      <c r="CS1132" s="7">
        <v>47.384614999999997</v>
      </c>
      <c r="CT1132" s="7">
        <v>50</v>
      </c>
      <c r="CU1132" s="4" t="s">
        <v>124</v>
      </c>
      <c r="CV1132" s="4" t="s">
        <v>124</v>
      </c>
      <c r="CW1132" s="4" t="s">
        <v>124</v>
      </c>
      <c r="CX1132" s="4" t="s">
        <v>124</v>
      </c>
      <c r="CY1132" s="4" t="s">
        <v>124</v>
      </c>
      <c r="CZ1132" s="4" t="s">
        <v>124</v>
      </c>
      <c r="DA1132" s="7">
        <v>15.314097</v>
      </c>
      <c r="DB1132" s="7">
        <v>17.400950000000002</v>
      </c>
      <c r="DC1132" s="7">
        <v>16.332519999999999</v>
      </c>
      <c r="DD1132" s="4" t="s">
        <v>124</v>
      </c>
      <c r="DE1132" s="7">
        <v>1</v>
      </c>
      <c r="DF1132" s="6"/>
      <c r="DG1132" s="6"/>
      <c r="DH1132" s="6"/>
      <c r="DI1132" s="6"/>
      <c r="DJ1132" s="7">
        <v>0</v>
      </c>
      <c r="DK1132" s="7">
        <v>0</v>
      </c>
      <c r="DL1132" s="7">
        <v>0</v>
      </c>
      <c r="DM1132" s="7">
        <v>0</v>
      </c>
      <c r="DN1132" s="7">
        <v>0</v>
      </c>
      <c r="DO1132" s="7">
        <v>0</v>
      </c>
      <c r="DP1132" s="6"/>
      <c r="DQ1132" s="4" t="s">
        <v>125</v>
      </c>
    </row>
    <row r="1133" spans="1:121" ht="20" customHeight="1" x14ac:dyDescent="0.15">
      <c r="A1133" s="5">
        <v>2018</v>
      </c>
      <c r="B1133" s="3" t="s">
        <v>294</v>
      </c>
      <c r="C1133" s="4" t="str">
        <f t="shared" si="284"/>
        <v>2170012</v>
      </c>
      <c r="D1133" s="4" t="s">
        <v>1276</v>
      </c>
      <c r="E1133" s="4" t="str">
        <f>"2170312"</f>
        <v>2170312</v>
      </c>
      <c r="F1133" s="4" t="s">
        <v>1227</v>
      </c>
      <c r="G1133" s="4" t="s">
        <v>328</v>
      </c>
      <c r="H1133" s="7">
        <v>4</v>
      </c>
      <c r="I1133" s="6"/>
      <c r="J1133" s="4" t="s">
        <v>330</v>
      </c>
      <c r="K1133" s="7">
        <v>476.22199599999999</v>
      </c>
      <c r="L1133" s="7">
        <v>550</v>
      </c>
      <c r="M1133" s="7">
        <v>86.585817000000006</v>
      </c>
      <c r="N1133" s="7">
        <v>2</v>
      </c>
      <c r="O1133" s="7">
        <v>0</v>
      </c>
      <c r="P1133" s="7">
        <v>78.785033999999996</v>
      </c>
      <c r="Q1133" s="7">
        <v>50</v>
      </c>
      <c r="R1133" s="7">
        <v>50</v>
      </c>
      <c r="S1133" s="7">
        <v>69.417946999999998</v>
      </c>
      <c r="T1133" s="7">
        <v>75</v>
      </c>
      <c r="U1133" s="7">
        <v>46.278630999999997</v>
      </c>
      <c r="V1133" s="7">
        <v>50</v>
      </c>
      <c r="W1133" s="7">
        <v>75.667077000000006</v>
      </c>
      <c r="X1133" s="7">
        <v>50</v>
      </c>
      <c r="Y1133" s="7">
        <v>50</v>
      </c>
      <c r="Z1133" s="7">
        <v>75</v>
      </c>
      <c r="AA1133" s="7">
        <v>61.743277999999997</v>
      </c>
      <c r="AB1133" s="7">
        <v>41.162185000000001</v>
      </c>
      <c r="AC1133" s="7">
        <v>50</v>
      </c>
      <c r="AD1133" s="4" t="s">
        <v>124</v>
      </c>
      <c r="AE1133" s="4" t="s">
        <v>124</v>
      </c>
      <c r="AF1133" s="4" t="s">
        <v>124</v>
      </c>
      <c r="AG1133" s="4" t="s">
        <v>124</v>
      </c>
      <c r="AH1133" s="4" t="s">
        <v>124</v>
      </c>
      <c r="AI1133" s="4" t="s">
        <v>124</v>
      </c>
      <c r="AJ1133" s="4" t="s">
        <v>124</v>
      </c>
      <c r="AK1133" s="7">
        <v>5.58</v>
      </c>
      <c r="AL1133" s="7">
        <v>13.25</v>
      </c>
      <c r="AM1133" s="4" t="s">
        <v>124</v>
      </c>
      <c r="AN1133" s="7">
        <v>0.81098400000000004</v>
      </c>
      <c r="AO1133" s="7">
        <v>81.098440999999994</v>
      </c>
      <c r="AP1133" s="7">
        <v>100</v>
      </c>
      <c r="AQ1133" s="7">
        <v>0.66730400000000001</v>
      </c>
      <c r="AR1133" s="7">
        <v>66.730356999999998</v>
      </c>
      <c r="AS1133" s="7">
        <v>100</v>
      </c>
      <c r="AT1133" s="4" t="s">
        <v>124</v>
      </c>
      <c r="AU1133" s="7">
        <v>0.81997699999999996</v>
      </c>
      <c r="AV1133" s="4" t="s">
        <v>124</v>
      </c>
      <c r="AW1133" s="4" t="s">
        <v>124</v>
      </c>
      <c r="AX1133" s="4" t="s">
        <v>124</v>
      </c>
      <c r="AY1133" s="7">
        <v>0.70419799999999999</v>
      </c>
      <c r="AZ1133" s="4" t="s">
        <v>124</v>
      </c>
      <c r="BA1133" s="4" t="s">
        <v>124</v>
      </c>
      <c r="BB1133" s="4" t="s">
        <v>124</v>
      </c>
      <c r="BC1133" s="4" t="s">
        <v>124</v>
      </c>
      <c r="BD1133" s="4" t="s">
        <v>124</v>
      </c>
      <c r="BE1133" s="4" t="s">
        <v>124</v>
      </c>
      <c r="BF1133" s="4" t="s">
        <v>124</v>
      </c>
      <c r="BG1133" s="4" t="s">
        <v>124</v>
      </c>
      <c r="BH1133" s="7">
        <v>1</v>
      </c>
      <c r="BI1133" s="7">
        <v>0.96969700000000003</v>
      </c>
      <c r="BJ1133" s="7">
        <v>0.92307700000000004</v>
      </c>
      <c r="BK1133" s="7">
        <v>0.98630099999999998</v>
      </c>
      <c r="BL1133" s="7">
        <v>0.96969700000000003</v>
      </c>
      <c r="BM1133" s="7">
        <v>0.92307700000000004</v>
      </c>
      <c r="BN1133" s="7">
        <v>0.98630099999999998</v>
      </c>
      <c r="BO1133" s="4" t="s">
        <v>124</v>
      </c>
      <c r="BP1133" s="4" t="s">
        <v>124</v>
      </c>
      <c r="BQ1133" s="4" t="s">
        <v>124</v>
      </c>
      <c r="BR1133" s="7">
        <v>4.1985000000000001E-2</v>
      </c>
      <c r="BS1133" s="7">
        <v>50</v>
      </c>
      <c r="BT1133" s="7">
        <v>50</v>
      </c>
      <c r="BU1133" s="7">
        <v>8.3333000000000004E-2</v>
      </c>
      <c r="BV1133" s="7">
        <v>43.333333000000003</v>
      </c>
      <c r="BW1133" s="7">
        <v>50</v>
      </c>
      <c r="BX1133" s="4" t="s">
        <v>124</v>
      </c>
      <c r="BY1133" s="4" t="s">
        <v>124</v>
      </c>
      <c r="BZ1133" s="4" t="s">
        <v>124</v>
      </c>
      <c r="CA1133" s="4" t="s">
        <v>124</v>
      </c>
      <c r="CB1133" s="4" t="s">
        <v>124</v>
      </c>
      <c r="CC1133" s="4" t="s">
        <v>124</v>
      </c>
      <c r="CD1133" s="4" t="s">
        <v>124</v>
      </c>
      <c r="CE1133" s="4" t="s">
        <v>124</v>
      </c>
      <c r="CF1133" s="4" t="s">
        <v>124</v>
      </c>
      <c r="CG1133" s="4" t="s">
        <v>124</v>
      </c>
      <c r="CH1133" s="4" t="s">
        <v>124</v>
      </c>
      <c r="CI1133" s="4" t="s">
        <v>124</v>
      </c>
      <c r="CJ1133" s="4" t="s">
        <v>124</v>
      </c>
      <c r="CK1133" s="4" t="s">
        <v>124</v>
      </c>
      <c r="CL1133" s="4" t="s">
        <v>124</v>
      </c>
      <c r="CM1133" s="4" t="s">
        <v>124</v>
      </c>
      <c r="CN1133" s="4" t="s">
        <v>124</v>
      </c>
      <c r="CO1133" s="4" t="s">
        <v>124</v>
      </c>
      <c r="CP1133" s="4" t="s">
        <v>124</v>
      </c>
      <c r="CQ1133" s="7">
        <v>0.71428599999999998</v>
      </c>
      <c r="CR1133" s="7">
        <v>0.98</v>
      </c>
      <c r="CS1133" s="7">
        <v>47.619047999999999</v>
      </c>
      <c r="CT1133" s="7">
        <v>50</v>
      </c>
      <c r="CU1133" s="4" t="s">
        <v>124</v>
      </c>
      <c r="CV1133" s="4" t="s">
        <v>124</v>
      </c>
      <c r="CW1133" s="4" t="s">
        <v>124</v>
      </c>
      <c r="CX1133" s="4" t="s">
        <v>124</v>
      </c>
      <c r="CY1133" s="4" t="s">
        <v>124</v>
      </c>
      <c r="CZ1133" s="4" t="s">
        <v>124</v>
      </c>
      <c r="DA1133" s="7">
        <v>15.314097</v>
      </c>
      <c r="DB1133" s="7">
        <v>17.400950000000002</v>
      </c>
      <c r="DC1133" s="7">
        <v>16.332519999999999</v>
      </c>
      <c r="DD1133" s="4" t="s">
        <v>124</v>
      </c>
      <c r="DE1133" s="7">
        <v>1</v>
      </c>
      <c r="DF1133" s="6"/>
      <c r="DG1133" s="6"/>
      <c r="DH1133" s="6"/>
      <c r="DI1133" s="6"/>
      <c r="DJ1133" s="7">
        <v>0</v>
      </c>
      <c r="DK1133" s="7">
        <v>0</v>
      </c>
      <c r="DL1133" s="7">
        <v>0</v>
      </c>
      <c r="DM1133" s="7">
        <v>0</v>
      </c>
      <c r="DN1133" s="7">
        <v>0</v>
      </c>
      <c r="DO1133" s="7">
        <v>0</v>
      </c>
      <c r="DP1133" s="6"/>
      <c r="DQ1133" s="4" t="s">
        <v>125</v>
      </c>
    </row>
    <row r="1134" spans="1:121" ht="20" customHeight="1" x14ac:dyDescent="0.15">
      <c r="A1134" s="5">
        <v>2018</v>
      </c>
      <c r="B1134" s="3" t="s">
        <v>295</v>
      </c>
      <c r="C1134" s="4" t="str">
        <f t="shared" si="167"/>
        <v>2180012</v>
      </c>
      <c r="D1134" s="4" t="s">
        <v>1277</v>
      </c>
      <c r="E1134" s="4" t="str">
        <f>"2180112"</f>
        <v>2180112</v>
      </c>
      <c r="F1134" s="4" t="s">
        <v>1227</v>
      </c>
      <c r="G1134" s="4" t="s">
        <v>338</v>
      </c>
      <c r="H1134" s="7">
        <v>5</v>
      </c>
      <c r="I1134" s="4" t="s">
        <v>329</v>
      </c>
      <c r="J1134" s="4" t="s">
        <v>330</v>
      </c>
      <c r="K1134" s="7">
        <v>688.53778799999998</v>
      </c>
      <c r="L1134" s="7">
        <v>800</v>
      </c>
      <c r="M1134" s="7">
        <v>86.067222999999998</v>
      </c>
      <c r="N1134" s="7">
        <v>1</v>
      </c>
      <c r="O1134" s="7">
        <v>0</v>
      </c>
      <c r="P1134" s="7">
        <v>84.446175999999994</v>
      </c>
      <c r="Q1134" s="7">
        <v>50</v>
      </c>
      <c r="R1134" s="7">
        <v>50</v>
      </c>
      <c r="S1134" s="7">
        <v>74.921311000000003</v>
      </c>
      <c r="T1134" s="7">
        <v>75</v>
      </c>
      <c r="U1134" s="7">
        <v>49.947541000000001</v>
      </c>
      <c r="V1134" s="7">
        <v>50</v>
      </c>
      <c r="W1134" s="7">
        <v>85.701851000000005</v>
      </c>
      <c r="X1134" s="7">
        <v>50</v>
      </c>
      <c r="Y1134" s="7">
        <v>50</v>
      </c>
      <c r="Z1134" s="7">
        <v>75</v>
      </c>
      <c r="AA1134" s="7">
        <v>74.811282000000006</v>
      </c>
      <c r="AB1134" s="7">
        <v>49.874187999999997</v>
      </c>
      <c r="AC1134" s="7">
        <v>50</v>
      </c>
      <c r="AD1134" s="7">
        <v>85.096773999999996</v>
      </c>
      <c r="AE1134" s="7">
        <v>50</v>
      </c>
      <c r="AF1134" s="7">
        <v>50</v>
      </c>
      <c r="AG1134" s="4" t="s">
        <v>124</v>
      </c>
      <c r="AH1134" s="7">
        <v>75</v>
      </c>
      <c r="AI1134" s="4" t="s">
        <v>124</v>
      </c>
      <c r="AJ1134" s="4" t="s">
        <v>124</v>
      </c>
      <c r="AK1134" s="7">
        <v>7.0000000000000007E-2</v>
      </c>
      <c r="AL1134" s="7">
        <v>0.18</v>
      </c>
      <c r="AM1134" s="4" t="s">
        <v>124</v>
      </c>
      <c r="AN1134" s="7">
        <v>0.69084800000000002</v>
      </c>
      <c r="AO1134" s="7">
        <v>69.084816000000004</v>
      </c>
      <c r="AP1134" s="7">
        <v>100</v>
      </c>
      <c r="AQ1134" s="7">
        <v>0.87796300000000005</v>
      </c>
      <c r="AR1134" s="7">
        <v>87.796256999999997</v>
      </c>
      <c r="AS1134" s="7">
        <v>100</v>
      </c>
      <c r="AT1134" s="7">
        <v>0.51856500000000005</v>
      </c>
      <c r="AU1134" s="7">
        <v>0.77009799999999995</v>
      </c>
      <c r="AV1134" s="7">
        <v>51.856535000000001</v>
      </c>
      <c r="AW1134" s="7">
        <v>100</v>
      </c>
      <c r="AX1134" s="7">
        <v>0.87638700000000003</v>
      </c>
      <c r="AY1134" s="7">
        <v>0.87868800000000002</v>
      </c>
      <c r="AZ1134" s="7">
        <v>87.638660000000002</v>
      </c>
      <c r="BA1134" s="7">
        <v>100</v>
      </c>
      <c r="BB1134" s="4" t="s">
        <v>124</v>
      </c>
      <c r="BC1134" s="4" t="s">
        <v>124</v>
      </c>
      <c r="BD1134" s="4" t="s">
        <v>124</v>
      </c>
      <c r="BE1134" s="4" t="s">
        <v>124</v>
      </c>
      <c r="BF1134" s="4" t="s">
        <v>124</v>
      </c>
      <c r="BG1134" s="4" t="s">
        <v>124</v>
      </c>
      <c r="BH1134" s="7">
        <v>0</v>
      </c>
      <c r="BI1134" s="7">
        <v>1</v>
      </c>
      <c r="BJ1134" s="7">
        <v>1</v>
      </c>
      <c r="BK1134" s="7">
        <v>1</v>
      </c>
      <c r="BL1134" s="7">
        <v>1</v>
      </c>
      <c r="BM1134" s="7">
        <v>1</v>
      </c>
      <c r="BN1134" s="7">
        <v>1</v>
      </c>
      <c r="BO1134" s="7">
        <v>1</v>
      </c>
      <c r="BP1134" s="4" t="s">
        <v>124</v>
      </c>
      <c r="BQ1134" s="7">
        <v>1</v>
      </c>
      <c r="BR1134" s="7">
        <v>2.9267999999999999E-2</v>
      </c>
      <c r="BS1134" s="7">
        <v>50</v>
      </c>
      <c r="BT1134" s="7">
        <v>50</v>
      </c>
      <c r="BU1134" s="7">
        <v>6.5573999999999993E-2</v>
      </c>
      <c r="BV1134" s="7">
        <v>46.885246000000002</v>
      </c>
      <c r="BW1134" s="7">
        <v>50</v>
      </c>
      <c r="BX1134" s="4" t="s">
        <v>124</v>
      </c>
      <c r="BY1134" s="4" t="s">
        <v>124</v>
      </c>
      <c r="BZ1134" s="4" t="s">
        <v>124</v>
      </c>
      <c r="CA1134" s="4" t="s">
        <v>124</v>
      </c>
      <c r="CB1134" s="4" t="s">
        <v>124</v>
      </c>
      <c r="CC1134" s="4" t="s">
        <v>124</v>
      </c>
      <c r="CD1134" s="4" t="s">
        <v>124</v>
      </c>
      <c r="CE1134" s="4" t="s">
        <v>124</v>
      </c>
      <c r="CF1134" s="4" t="s">
        <v>124</v>
      </c>
      <c r="CG1134" s="4" t="s">
        <v>124</v>
      </c>
      <c r="CH1134" s="4" t="s">
        <v>124</v>
      </c>
      <c r="CI1134" s="4" t="s">
        <v>124</v>
      </c>
      <c r="CJ1134" s="4" t="s">
        <v>124</v>
      </c>
      <c r="CK1134" s="4" t="s">
        <v>124</v>
      </c>
      <c r="CL1134" s="4" t="s">
        <v>124</v>
      </c>
      <c r="CM1134" s="4" t="s">
        <v>124</v>
      </c>
      <c r="CN1134" s="4" t="s">
        <v>124</v>
      </c>
      <c r="CO1134" s="4" t="s">
        <v>124</v>
      </c>
      <c r="CP1134" s="4" t="s">
        <v>124</v>
      </c>
      <c r="CQ1134" s="7">
        <v>0.68181800000000004</v>
      </c>
      <c r="CR1134" s="7">
        <v>0.97777800000000004</v>
      </c>
      <c r="CS1134" s="7">
        <v>45.454545000000003</v>
      </c>
      <c r="CT1134" s="7">
        <v>50</v>
      </c>
      <c r="CU1134" s="4" t="s">
        <v>124</v>
      </c>
      <c r="CV1134" s="4" t="s">
        <v>124</v>
      </c>
      <c r="CW1134" s="4" t="s">
        <v>124</v>
      </c>
      <c r="CX1134" s="4" t="s">
        <v>124</v>
      </c>
      <c r="CY1134" s="4" t="s">
        <v>124</v>
      </c>
      <c r="CZ1134" s="4" t="s">
        <v>124</v>
      </c>
      <c r="DA1134" s="7">
        <v>15.314097</v>
      </c>
      <c r="DB1134" s="7">
        <v>17.400950000000002</v>
      </c>
      <c r="DC1134" s="7">
        <v>16.332519999999999</v>
      </c>
      <c r="DD1134" s="4" t="s">
        <v>124</v>
      </c>
      <c r="DE1134" s="7">
        <v>0</v>
      </c>
      <c r="DF1134" s="6"/>
      <c r="DG1134" s="6"/>
      <c r="DH1134" s="4" t="s">
        <v>331</v>
      </c>
      <c r="DI1134" s="4" t="s">
        <v>452</v>
      </c>
      <c r="DJ1134" s="7">
        <v>0</v>
      </c>
      <c r="DK1134" s="7">
        <v>0</v>
      </c>
      <c r="DL1134" s="7">
        <v>1</v>
      </c>
      <c r="DM1134" s="7">
        <v>0</v>
      </c>
      <c r="DN1134" s="7">
        <v>1</v>
      </c>
      <c r="DO1134" s="7">
        <v>0</v>
      </c>
      <c r="DP1134" s="6"/>
      <c r="DQ1134" s="4" t="s">
        <v>125</v>
      </c>
    </row>
    <row r="1135" spans="1:121" ht="20" customHeight="1" x14ac:dyDescent="0.15">
      <c r="A1135" s="5">
        <v>2018</v>
      </c>
      <c r="B1135" s="3" t="s">
        <v>295</v>
      </c>
      <c r="C1135" s="4" t="str">
        <f t="shared" ref="C1135:C1137" si="285">"2180012"</f>
        <v>2180012</v>
      </c>
      <c r="D1135" s="4" t="s">
        <v>1278</v>
      </c>
      <c r="E1135" s="4" t="str">
        <f>"2186112"</f>
        <v>2186112</v>
      </c>
      <c r="F1135" s="4" t="s">
        <v>1227</v>
      </c>
      <c r="G1135" s="7">
        <v>9</v>
      </c>
      <c r="H1135" s="7">
        <v>12</v>
      </c>
      <c r="I1135" s="6"/>
      <c r="J1135" s="4" t="s">
        <v>330</v>
      </c>
      <c r="K1135" s="7">
        <v>1185.539573</v>
      </c>
      <c r="L1135" s="7">
        <v>1350</v>
      </c>
      <c r="M1135" s="7">
        <v>87.817746</v>
      </c>
      <c r="N1135" s="7">
        <v>2</v>
      </c>
      <c r="O1135" s="7">
        <v>1</v>
      </c>
      <c r="P1135" s="7">
        <v>70.799458000000001</v>
      </c>
      <c r="Q1135" s="7">
        <v>141.598916</v>
      </c>
      <c r="R1135" s="7">
        <v>150</v>
      </c>
      <c r="S1135" s="7">
        <v>58.833333000000003</v>
      </c>
      <c r="T1135" s="7">
        <v>73.405940999999999</v>
      </c>
      <c r="U1135" s="7">
        <v>117.666667</v>
      </c>
      <c r="V1135" s="7">
        <v>150</v>
      </c>
      <c r="W1135" s="7">
        <v>71.231707</v>
      </c>
      <c r="X1135" s="7">
        <v>142.463415</v>
      </c>
      <c r="Y1135" s="7">
        <v>150</v>
      </c>
      <c r="Z1135" s="7">
        <v>73.841583999999997</v>
      </c>
      <c r="AA1135" s="7">
        <v>59.25</v>
      </c>
      <c r="AB1135" s="7">
        <v>118.5</v>
      </c>
      <c r="AC1135" s="7">
        <v>150</v>
      </c>
      <c r="AD1135" s="7">
        <v>72.837468999999999</v>
      </c>
      <c r="AE1135" s="7">
        <v>97.116624999999999</v>
      </c>
      <c r="AF1135" s="7">
        <v>100</v>
      </c>
      <c r="AG1135" s="7">
        <v>56.250836</v>
      </c>
      <c r="AH1135" s="7">
        <v>75</v>
      </c>
      <c r="AI1135" s="7">
        <v>75.001114999999999</v>
      </c>
      <c r="AJ1135" s="7">
        <v>100</v>
      </c>
      <c r="AK1135" s="7">
        <v>14.57</v>
      </c>
      <c r="AL1135" s="7">
        <v>14.59</v>
      </c>
      <c r="AM1135" s="7">
        <v>18.739999999999998</v>
      </c>
      <c r="AN1135" s="4" t="s">
        <v>124</v>
      </c>
      <c r="AO1135" s="4" t="s">
        <v>124</v>
      </c>
      <c r="AP1135" s="4" t="s">
        <v>124</v>
      </c>
      <c r="AQ1135" s="4" t="s">
        <v>124</v>
      </c>
      <c r="AR1135" s="4" t="s">
        <v>124</v>
      </c>
      <c r="AS1135" s="4" t="s">
        <v>124</v>
      </c>
      <c r="AT1135" s="4" t="s">
        <v>124</v>
      </c>
      <c r="AU1135" s="4" t="s">
        <v>124</v>
      </c>
      <c r="AV1135" s="4" t="s">
        <v>124</v>
      </c>
      <c r="AW1135" s="4" t="s">
        <v>124</v>
      </c>
      <c r="AX1135" s="4" t="s">
        <v>124</v>
      </c>
      <c r="AY1135" s="4" t="s">
        <v>124</v>
      </c>
      <c r="AZ1135" s="4" t="s">
        <v>124</v>
      </c>
      <c r="BA1135" s="4" t="s">
        <v>124</v>
      </c>
      <c r="BB1135" s="4" t="s">
        <v>124</v>
      </c>
      <c r="BC1135" s="4" t="s">
        <v>124</v>
      </c>
      <c r="BD1135" s="4" t="s">
        <v>124</v>
      </c>
      <c r="BE1135" s="4" t="s">
        <v>124</v>
      </c>
      <c r="BF1135" s="4" t="s">
        <v>124</v>
      </c>
      <c r="BG1135" s="4" t="s">
        <v>124</v>
      </c>
      <c r="BH1135" s="7">
        <v>0</v>
      </c>
      <c r="BI1135" s="7">
        <v>0.99206300000000003</v>
      </c>
      <c r="BJ1135" s="7">
        <v>0.96</v>
      </c>
      <c r="BK1135" s="7">
        <v>1</v>
      </c>
      <c r="BL1135" s="7">
        <v>0.99206300000000003</v>
      </c>
      <c r="BM1135" s="7">
        <v>0.96</v>
      </c>
      <c r="BN1135" s="7">
        <v>1</v>
      </c>
      <c r="BO1135" s="7">
        <v>1</v>
      </c>
      <c r="BP1135" s="7">
        <v>1</v>
      </c>
      <c r="BQ1135" s="7">
        <v>1</v>
      </c>
      <c r="BR1135" s="7">
        <v>7.9665E-2</v>
      </c>
      <c r="BS1135" s="7">
        <v>44.067086000000003</v>
      </c>
      <c r="BT1135" s="7">
        <v>50</v>
      </c>
      <c r="BU1135" s="7">
        <v>0.16831699999999999</v>
      </c>
      <c r="BV1135" s="7">
        <v>26.336634</v>
      </c>
      <c r="BW1135" s="7">
        <v>50</v>
      </c>
      <c r="BX1135" s="7">
        <v>0.96652700000000003</v>
      </c>
      <c r="BY1135" s="7">
        <v>50</v>
      </c>
      <c r="BZ1135" s="7">
        <v>50</v>
      </c>
      <c r="CA1135" s="7">
        <v>0.76150600000000002</v>
      </c>
      <c r="CB1135" s="7">
        <v>50</v>
      </c>
      <c r="CC1135" s="7">
        <v>50</v>
      </c>
      <c r="CD1135" s="7">
        <v>0.96</v>
      </c>
      <c r="CE1135" s="7">
        <v>50</v>
      </c>
      <c r="CF1135" s="7">
        <v>50</v>
      </c>
      <c r="CG1135" s="7">
        <v>0.97368399999999999</v>
      </c>
      <c r="CH1135" s="7">
        <v>100</v>
      </c>
      <c r="CI1135" s="7">
        <v>100</v>
      </c>
      <c r="CJ1135" s="7">
        <v>0</v>
      </c>
      <c r="CK1135" s="4" t="s">
        <v>124</v>
      </c>
      <c r="CL1135" s="4" t="s">
        <v>124</v>
      </c>
      <c r="CM1135" s="4" t="s">
        <v>124</v>
      </c>
      <c r="CN1135" s="7">
        <v>0.83333299999999999</v>
      </c>
      <c r="CO1135" s="7">
        <v>100</v>
      </c>
      <c r="CP1135" s="7">
        <v>100</v>
      </c>
      <c r="CQ1135" s="7">
        <v>0.68367299999999998</v>
      </c>
      <c r="CR1135" s="7">
        <v>0.86725699999999994</v>
      </c>
      <c r="CS1135" s="7">
        <v>22.789116</v>
      </c>
      <c r="CT1135" s="7">
        <v>50</v>
      </c>
      <c r="CU1135" s="7">
        <v>0.61635200000000001</v>
      </c>
      <c r="CV1135" s="7">
        <v>50</v>
      </c>
      <c r="CW1135" s="7">
        <v>50</v>
      </c>
      <c r="CX1135" s="4" t="s">
        <v>124</v>
      </c>
      <c r="CY1135" s="4" t="s">
        <v>124</v>
      </c>
      <c r="CZ1135" s="4" t="s">
        <v>124</v>
      </c>
      <c r="DA1135" s="7">
        <v>15.314097</v>
      </c>
      <c r="DB1135" s="7">
        <v>17.400950000000002</v>
      </c>
      <c r="DC1135" s="7">
        <v>16.332519999999999</v>
      </c>
      <c r="DD1135" s="7">
        <v>7.9891730000000001</v>
      </c>
      <c r="DE1135" s="7">
        <v>1</v>
      </c>
      <c r="DF1135" s="6"/>
      <c r="DG1135" s="6"/>
      <c r="DH1135" s="6"/>
      <c r="DI1135" s="6"/>
      <c r="DJ1135" s="7">
        <v>0</v>
      </c>
      <c r="DK1135" s="7">
        <v>0</v>
      </c>
      <c r="DL1135" s="7">
        <v>0</v>
      </c>
      <c r="DM1135" s="7">
        <v>0</v>
      </c>
      <c r="DN1135" s="7">
        <v>0</v>
      </c>
      <c r="DO1135" s="7">
        <v>0</v>
      </c>
      <c r="DP1135" s="6"/>
      <c r="DQ1135" s="4" t="s">
        <v>125</v>
      </c>
    </row>
    <row r="1136" spans="1:121" ht="20" customHeight="1" x14ac:dyDescent="0.15">
      <c r="A1136" s="5">
        <v>2018</v>
      </c>
      <c r="B1136" s="3" t="s">
        <v>295</v>
      </c>
      <c r="C1136" s="4" t="str">
        <f t="shared" si="285"/>
        <v>2180012</v>
      </c>
      <c r="D1136" s="4" t="s">
        <v>1279</v>
      </c>
      <c r="E1136" s="4" t="str">
        <f>"2185112"</f>
        <v>2185112</v>
      </c>
      <c r="F1136" s="4" t="s">
        <v>1227</v>
      </c>
      <c r="G1136" s="7">
        <v>6</v>
      </c>
      <c r="H1136" s="7">
        <v>8</v>
      </c>
      <c r="I1136" s="4" t="s">
        <v>329</v>
      </c>
      <c r="J1136" s="4" t="s">
        <v>330</v>
      </c>
      <c r="K1136" s="7">
        <v>716.51765899999998</v>
      </c>
      <c r="L1136" s="7">
        <v>900</v>
      </c>
      <c r="M1136" s="7">
        <v>79.613073</v>
      </c>
      <c r="N1136" s="7">
        <v>2</v>
      </c>
      <c r="O1136" s="7">
        <v>0</v>
      </c>
      <c r="P1136" s="7">
        <v>80.906199000000001</v>
      </c>
      <c r="Q1136" s="7">
        <v>50</v>
      </c>
      <c r="R1136" s="7">
        <v>50</v>
      </c>
      <c r="S1136" s="7">
        <v>70.145815999999996</v>
      </c>
      <c r="T1136" s="7">
        <v>75</v>
      </c>
      <c r="U1136" s="7">
        <v>46.763877000000001</v>
      </c>
      <c r="V1136" s="7">
        <v>50</v>
      </c>
      <c r="W1136" s="7">
        <v>76.040756000000002</v>
      </c>
      <c r="X1136" s="7">
        <v>50</v>
      </c>
      <c r="Y1136" s="7">
        <v>50</v>
      </c>
      <c r="Z1136" s="7">
        <v>75</v>
      </c>
      <c r="AA1136" s="7">
        <v>67.335109000000003</v>
      </c>
      <c r="AB1136" s="7">
        <v>44.890073000000001</v>
      </c>
      <c r="AC1136" s="7">
        <v>50</v>
      </c>
      <c r="AD1136" s="7">
        <v>79.858054999999993</v>
      </c>
      <c r="AE1136" s="7">
        <v>50</v>
      </c>
      <c r="AF1136" s="7">
        <v>50</v>
      </c>
      <c r="AG1136" s="7">
        <v>70.332196999999994</v>
      </c>
      <c r="AH1136" s="7">
        <v>75</v>
      </c>
      <c r="AI1136" s="7">
        <v>46.888131000000001</v>
      </c>
      <c r="AJ1136" s="7">
        <v>50</v>
      </c>
      <c r="AK1136" s="7">
        <v>4.8499999999999996</v>
      </c>
      <c r="AL1136" s="7">
        <v>7.66</v>
      </c>
      <c r="AM1136" s="7">
        <v>4.66</v>
      </c>
      <c r="AN1136" s="7">
        <v>0.64341199999999998</v>
      </c>
      <c r="AO1136" s="7">
        <v>64.341156999999995</v>
      </c>
      <c r="AP1136" s="7">
        <v>100</v>
      </c>
      <c r="AQ1136" s="7">
        <v>0.66260699999999995</v>
      </c>
      <c r="AR1136" s="7">
        <v>66.260733999999999</v>
      </c>
      <c r="AS1136" s="7">
        <v>100</v>
      </c>
      <c r="AT1136" s="7">
        <v>0.61448000000000003</v>
      </c>
      <c r="AU1136" s="7">
        <v>0.65488999999999997</v>
      </c>
      <c r="AV1136" s="7">
        <v>61.447977000000002</v>
      </c>
      <c r="AW1136" s="7">
        <v>100</v>
      </c>
      <c r="AX1136" s="7">
        <v>0.60613799999999995</v>
      </c>
      <c r="AY1136" s="7">
        <v>0.68482500000000002</v>
      </c>
      <c r="AZ1136" s="7">
        <v>60.613767000000003</v>
      </c>
      <c r="BA1136" s="7">
        <v>100</v>
      </c>
      <c r="BB1136" s="4" t="s">
        <v>124</v>
      </c>
      <c r="BC1136" s="4" t="s">
        <v>124</v>
      </c>
      <c r="BD1136" s="4" t="s">
        <v>124</v>
      </c>
      <c r="BE1136" s="4" t="s">
        <v>124</v>
      </c>
      <c r="BF1136" s="4" t="s">
        <v>124</v>
      </c>
      <c r="BG1136" s="4" t="s">
        <v>124</v>
      </c>
      <c r="BH1136" s="7">
        <v>0</v>
      </c>
      <c r="BI1136" s="7">
        <v>0.99305600000000005</v>
      </c>
      <c r="BJ1136" s="7">
        <v>0.98888900000000002</v>
      </c>
      <c r="BK1136" s="7">
        <v>0.99494899999999997</v>
      </c>
      <c r="BL1136" s="7">
        <v>0.99305600000000005</v>
      </c>
      <c r="BM1136" s="7">
        <v>0.98888900000000002</v>
      </c>
      <c r="BN1136" s="7">
        <v>0.99494899999999997</v>
      </c>
      <c r="BO1136" s="7">
        <v>0.98058299999999998</v>
      </c>
      <c r="BP1136" s="7">
        <v>1</v>
      </c>
      <c r="BQ1136" s="7">
        <v>0.97368399999999999</v>
      </c>
      <c r="BR1136" s="7">
        <v>3.8193999999999999E-2</v>
      </c>
      <c r="BS1136" s="7">
        <v>50</v>
      </c>
      <c r="BT1136" s="7">
        <v>50</v>
      </c>
      <c r="BU1136" s="7">
        <v>4.5976999999999997E-2</v>
      </c>
      <c r="BV1136" s="7">
        <v>50</v>
      </c>
      <c r="BW1136" s="7">
        <v>50</v>
      </c>
      <c r="BX1136" s="4" t="s">
        <v>124</v>
      </c>
      <c r="BY1136" s="4" t="s">
        <v>124</v>
      </c>
      <c r="BZ1136" s="4" t="s">
        <v>124</v>
      </c>
      <c r="CA1136" s="4" t="s">
        <v>124</v>
      </c>
      <c r="CB1136" s="4" t="s">
        <v>124</v>
      </c>
      <c r="CC1136" s="4" t="s">
        <v>124</v>
      </c>
      <c r="CD1136" s="7">
        <v>0.98260899999999995</v>
      </c>
      <c r="CE1136" s="7">
        <v>50</v>
      </c>
      <c r="CF1136" s="7">
        <v>50</v>
      </c>
      <c r="CG1136" s="4" t="s">
        <v>124</v>
      </c>
      <c r="CH1136" s="4" t="s">
        <v>124</v>
      </c>
      <c r="CI1136" s="4" t="s">
        <v>124</v>
      </c>
      <c r="CJ1136" s="4" t="s">
        <v>124</v>
      </c>
      <c r="CK1136" s="4" t="s">
        <v>124</v>
      </c>
      <c r="CL1136" s="4" t="s">
        <v>124</v>
      </c>
      <c r="CM1136" s="4" t="s">
        <v>124</v>
      </c>
      <c r="CN1136" s="4" t="s">
        <v>124</v>
      </c>
      <c r="CO1136" s="4" t="s">
        <v>124</v>
      </c>
      <c r="CP1136" s="4" t="s">
        <v>124</v>
      </c>
      <c r="CQ1136" s="7">
        <v>0.37967899999999999</v>
      </c>
      <c r="CR1136" s="7">
        <v>0.94923900000000005</v>
      </c>
      <c r="CS1136" s="7">
        <v>25.311942999999999</v>
      </c>
      <c r="CT1136" s="7">
        <v>50</v>
      </c>
      <c r="CU1136" s="4" t="s">
        <v>124</v>
      </c>
      <c r="CV1136" s="4" t="s">
        <v>124</v>
      </c>
      <c r="CW1136" s="4" t="s">
        <v>124</v>
      </c>
      <c r="CX1136" s="4" t="s">
        <v>124</v>
      </c>
      <c r="CY1136" s="4" t="s">
        <v>124</v>
      </c>
      <c r="CZ1136" s="4" t="s">
        <v>124</v>
      </c>
      <c r="DA1136" s="7">
        <v>15.314097</v>
      </c>
      <c r="DB1136" s="7">
        <v>17.400950000000002</v>
      </c>
      <c r="DC1136" s="7">
        <v>16.332519999999999</v>
      </c>
      <c r="DD1136" s="4" t="s">
        <v>124</v>
      </c>
      <c r="DE1136" s="7">
        <v>0</v>
      </c>
      <c r="DF1136" s="6"/>
      <c r="DG1136" s="6"/>
      <c r="DH1136" s="6"/>
      <c r="DI1136" s="6"/>
      <c r="DJ1136" s="7">
        <v>0</v>
      </c>
      <c r="DK1136" s="7">
        <v>0</v>
      </c>
      <c r="DL1136" s="7">
        <v>0</v>
      </c>
      <c r="DM1136" s="7">
        <v>0</v>
      </c>
      <c r="DN1136" s="7">
        <v>0</v>
      </c>
      <c r="DO1136" s="7">
        <v>0</v>
      </c>
      <c r="DP1136" s="6"/>
      <c r="DQ1136" s="4" t="s">
        <v>125</v>
      </c>
    </row>
    <row r="1137" spans="1:121" ht="20" customHeight="1" x14ac:dyDescent="0.15">
      <c r="A1137" s="5">
        <v>2018</v>
      </c>
      <c r="B1137" s="3" t="s">
        <v>295</v>
      </c>
      <c r="C1137" s="4" t="str">
        <f t="shared" si="285"/>
        <v>2180012</v>
      </c>
      <c r="D1137" s="4" t="s">
        <v>1280</v>
      </c>
      <c r="E1137" s="4" t="str">
        <f>"2180212"</f>
        <v>2180212</v>
      </c>
      <c r="F1137" s="4" t="s">
        <v>1227</v>
      </c>
      <c r="G1137" s="4" t="s">
        <v>338</v>
      </c>
      <c r="H1137" s="7">
        <v>5</v>
      </c>
      <c r="I1137" s="4" t="s">
        <v>329</v>
      </c>
      <c r="J1137" s="4" t="s">
        <v>330</v>
      </c>
      <c r="K1137" s="7">
        <v>736.36784799999998</v>
      </c>
      <c r="L1137" s="7">
        <v>850</v>
      </c>
      <c r="M1137" s="7">
        <v>86.631512000000001</v>
      </c>
      <c r="N1137" s="7">
        <v>1</v>
      </c>
      <c r="O1137" s="7">
        <v>0</v>
      </c>
      <c r="P1137" s="7">
        <v>83.621472999999995</v>
      </c>
      <c r="Q1137" s="7">
        <v>50</v>
      </c>
      <c r="R1137" s="7">
        <v>50</v>
      </c>
      <c r="S1137" s="7">
        <v>74.044414000000003</v>
      </c>
      <c r="T1137" s="7">
        <v>75</v>
      </c>
      <c r="U1137" s="7">
        <v>49.362941999999997</v>
      </c>
      <c r="V1137" s="7">
        <v>50</v>
      </c>
      <c r="W1137" s="7">
        <v>83.469633000000002</v>
      </c>
      <c r="X1137" s="7">
        <v>50</v>
      </c>
      <c r="Y1137" s="7">
        <v>50</v>
      </c>
      <c r="Z1137" s="7">
        <v>75</v>
      </c>
      <c r="AA1137" s="7">
        <v>72.145943000000003</v>
      </c>
      <c r="AB1137" s="7">
        <v>48.097295000000003</v>
      </c>
      <c r="AC1137" s="7">
        <v>50</v>
      </c>
      <c r="AD1137" s="7">
        <v>84.054516000000007</v>
      </c>
      <c r="AE1137" s="7">
        <v>50</v>
      </c>
      <c r="AF1137" s="7">
        <v>50</v>
      </c>
      <c r="AG1137" s="7">
        <v>73.523387</v>
      </c>
      <c r="AH1137" s="7">
        <v>75</v>
      </c>
      <c r="AI1137" s="7">
        <v>49.015591000000001</v>
      </c>
      <c r="AJ1137" s="7">
        <v>50</v>
      </c>
      <c r="AK1137" s="7">
        <v>0.95</v>
      </c>
      <c r="AL1137" s="7">
        <v>2.85</v>
      </c>
      <c r="AM1137" s="7">
        <v>1.47</v>
      </c>
      <c r="AN1137" s="7">
        <v>0.74769099999999999</v>
      </c>
      <c r="AO1137" s="7">
        <v>74.769126</v>
      </c>
      <c r="AP1137" s="7">
        <v>100</v>
      </c>
      <c r="AQ1137" s="7">
        <v>0.80183499999999996</v>
      </c>
      <c r="AR1137" s="7">
        <v>80.183524000000006</v>
      </c>
      <c r="AS1137" s="7">
        <v>100</v>
      </c>
      <c r="AT1137" s="7">
        <v>0.69535499999999995</v>
      </c>
      <c r="AU1137" s="7">
        <v>0.77676699999999999</v>
      </c>
      <c r="AV1137" s="7">
        <v>69.535465000000002</v>
      </c>
      <c r="AW1137" s="7">
        <v>100</v>
      </c>
      <c r="AX1137" s="7">
        <v>0.65403900000000004</v>
      </c>
      <c r="AY1137" s="7">
        <v>0.88394399999999995</v>
      </c>
      <c r="AZ1137" s="7">
        <v>65.403903999999997</v>
      </c>
      <c r="BA1137" s="7">
        <v>100</v>
      </c>
      <c r="BB1137" s="4" t="s">
        <v>124</v>
      </c>
      <c r="BC1137" s="4" t="s">
        <v>124</v>
      </c>
      <c r="BD1137" s="4" t="s">
        <v>124</v>
      </c>
      <c r="BE1137" s="4" t="s">
        <v>124</v>
      </c>
      <c r="BF1137" s="4" t="s">
        <v>124</v>
      </c>
      <c r="BG1137" s="4" t="s">
        <v>124</v>
      </c>
      <c r="BH1137" s="7">
        <v>0</v>
      </c>
      <c r="BI1137" s="7">
        <v>1</v>
      </c>
      <c r="BJ1137" s="7">
        <v>1</v>
      </c>
      <c r="BK1137" s="7">
        <v>1</v>
      </c>
      <c r="BL1137" s="7">
        <v>1</v>
      </c>
      <c r="BM1137" s="7">
        <v>1</v>
      </c>
      <c r="BN1137" s="7">
        <v>1</v>
      </c>
      <c r="BO1137" s="7">
        <v>1</v>
      </c>
      <c r="BP1137" s="7">
        <v>1</v>
      </c>
      <c r="BQ1137" s="7">
        <v>1</v>
      </c>
      <c r="BR1137" s="7">
        <v>2.8000000000000001E-2</v>
      </c>
      <c r="BS1137" s="7">
        <v>50</v>
      </c>
      <c r="BT1137" s="7">
        <v>50</v>
      </c>
      <c r="BU1137" s="7">
        <v>3.5714000000000003E-2</v>
      </c>
      <c r="BV1137" s="7">
        <v>50</v>
      </c>
      <c r="BW1137" s="7">
        <v>50</v>
      </c>
      <c r="BX1137" s="4" t="s">
        <v>124</v>
      </c>
      <c r="BY1137" s="4" t="s">
        <v>124</v>
      </c>
      <c r="BZ1137" s="4" t="s">
        <v>124</v>
      </c>
      <c r="CA1137" s="4" t="s">
        <v>124</v>
      </c>
      <c r="CB1137" s="4" t="s">
        <v>124</v>
      </c>
      <c r="CC1137" s="4" t="s">
        <v>124</v>
      </c>
      <c r="CD1137" s="4" t="s">
        <v>124</v>
      </c>
      <c r="CE1137" s="4" t="s">
        <v>124</v>
      </c>
      <c r="CF1137" s="4" t="s">
        <v>124</v>
      </c>
      <c r="CG1137" s="4" t="s">
        <v>124</v>
      </c>
      <c r="CH1137" s="4" t="s">
        <v>124</v>
      </c>
      <c r="CI1137" s="4" t="s">
        <v>124</v>
      </c>
      <c r="CJ1137" s="4" t="s">
        <v>124</v>
      </c>
      <c r="CK1137" s="4" t="s">
        <v>124</v>
      </c>
      <c r="CL1137" s="4" t="s">
        <v>124</v>
      </c>
      <c r="CM1137" s="4" t="s">
        <v>124</v>
      </c>
      <c r="CN1137" s="4" t="s">
        <v>124</v>
      </c>
      <c r="CO1137" s="4" t="s">
        <v>124</v>
      </c>
      <c r="CP1137" s="4" t="s">
        <v>124</v>
      </c>
      <c r="CQ1137" s="7">
        <v>0.769231</v>
      </c>
      <c r="CR1137" s="7">
        <v>0.95121999999999995</v>
      </c>
      <c r="CS1137" s="7">
        <v>50</v>
      </c>
      <c r="CT1137" s="7">
        <v>50</v>
      </c>
      <c r="CU1137" s="4" t="s">
        <v>124</v>
      </c>
      <c r="CV1137" s="4" t="s">
        <v>124</v>
      </c>
      <c r="CW1137" s="4" t="s">
        <v>124</v>
      </c>
      <c r="CX1137" s="4" t="s">
        <v>124</v>
      </c>
      <c r="CY1137" s="4" t="s">
        <v>124</v>
      </c>
      <c r="CZ1137" s="4" t="s">
        <v>124</v>
      </c>
      <c r="DA1137" s="7">
        <v>15.314097</v>
      </c>
      <c r="DB1137" s="7">
        <v>17.400950000000002</v>
      </c>
      <c r="DC1137" s="7">
        <v>16.332519999999999</v>
      </c>
      <c r="DD1137" s="4" t="s">
        <v>124</v>
      </c>
      <c r="DE1137" s="7">
        <v>0</v>
      </c>
      <c r="DF1137" s="6"/>
      <c r="DG1137" s="6"/>
      <c r="DH1137" s="4" t="s">
        <v>331</v>
      </c>
      <c r="DI1137" s="4" t="s">
        <v>332</v>
      </c>
      <c r="DJ1137" s="7">
        <v>1</v>
      </c>
      <c r="DK1137" s="7">
        <v>0</v>
      </c>
      <c r="DL1137" s="7">
        <v>0</v>
      </c>
      <c r="DM1137" s="7">
        <v>0</v>
      </c>
      <c r="DN1137" s="7">
        <v>0</v>
      </c>
      <c r="DO1137" s="7">
        <v>0</v>
      </c>
      <c r="DP1137" s="6"/>
      <c r="DQ1137" s="4" t="s">
        <v>125</v>
      </c>
    </row>
    <row r="1138" spans="1:121" ht="20" customHeight="1" x14ac:dyDescent="0.15">
      <c r="A1138" s="5">
        <v>2018</v>
      </c>
      <c r="B1138" s="3" t="s">
        <v>247</v>
      </c>
      <c r="C1138" s="4" t="str">
        <f t="shared" si="122"/>
        <v>2190012</v>
      </c>
      <c r="D1138" s="4" t="s">
        <v>1281</v>
      </c>
      <c r="E1138" s="4" t="str">
        <f>"2196112"</f>
        <v>2196112</v>
      </c>
      <c r="F1138" s="4" t="s">
        <v>1227</v>
      </c>
      <c r="G1138" s="7">
        <v>9</v>
      </c>
      <c r="H1138" s="7">
        <v>12</v>
      </c>
      <c r="I1138" s="4" t="s">
        <v>329</v>
      </c>
      <c r="J1138" s="4" t="s">
        <v>330</v>
      </c>
      <c r="K1138" s="7">
        <v>1272.3921459999999</v>
      </c>
      <c r="L1138" s="7">
        <v>1450</v>
      </c>
      <c r="M1138" s="7">
        <v>87.751182</v>
      </c>
      <c r="N1138" s="7">
        <v>1</v>
      </c>
      <c r="O1138" s="7">
        <v>0</v>
      </c>
      <c r="P1138" s="7">
        <v>65.794105999999999</v>
      </c>
      <c r="Q1138" s="7">
        <v>131.588212</v>
      </c>
      <c r="R1138" s="7">
        <v>150</v>
      </c>
      <c r="S1138" s="7">
        <v>55.854083000000003</v>
      </c>
      <c r="T1138" s="7">
        <v>70.003400999999997</v>
      </c>
      <c r="U1138" s="7">
        <v>111.70816600000001</v>
      </c>
      <c r="V1138" s="7">
        <v>150</v>
      </c>
      <c r="W1138" s="7">
        <v>68.869375000000005</v>
      </c>
      <c r="X1138" s="7">
        <v>137.73875000000001</v>
      </c>
      <c r="Y1138" s="7">
        <v>150</v>
      </c>
      <c r="Z1138" s="7">
        <v>73.913264999999996</v>
      </c>
      <c r="AA1138" s="7">
        <v>56.958500999999998</v>
      </c>
      <c r="AB1138" s="7">
        <v>113.917001</v>
      </c>
      <c r="AC1138" s="7">
        <v>150</v>
      </c>
      <c r="AD1138" s="7">
        <v>65.582628</v>
      </c>
      <c r="AE1138" s="7">
        <v>87.443504000000004</v>
      </c>
      <c r="AF1138" s="7">
        <v>100</v>
      </c>
      <c r="AG1138" s="7">
        <v>56.796878</v>
      </c>
      <c r="AH1138" s="7">
        <v>69.367258000000007</v>
      </c>
      <c r="AI1138" s="7">
        <v>75.729169999999996</v>
      </c>
      <c r="AJ1138" s="7">
        <v>100</v>
      </c>
      <c r="AK1138" s="7">
        <v>14.14</v>
      </c>
      <c r="AL1138" s="7">
        <v>16.95</v>
      </c>
      <c r="AM1138" s="7">
        <v>12.57</v>
      </c>
      <c r="AN1138" s="4" t="s">
        <v>124</v>
      </c>
      <c r="AO1138" s="4" t="s">
        <v>124</v>
      </c>
      <c r="AP1138" s="4" t="s">
        <v>124</v>
      </c>
      <c r="AQ1138" s="4" t="s">
        <v>124</v>
      </c>
      <c r="AR1138" s="4" t="s">
        <v>124</v>
      </c>
      <c r="AS1138" s="4" t="s">
        <v>124</v>
      </c>
      <c r="AT1138" s="4" t="s">
        <v>124</v>
      </c>
      <c r="AU1138" s="4" t="s">
        <v>124</v>
      </c>
      <c r="AV1138" s="4" t="s">
        <v>124</v>
      </c>
      <c r="AW1138" s="4" t="s">
        <v>124</v>
      </c>
      <c r="AX1138" s="4" t="s">
        <v>124</v>
      </c>
      <c r="AY1138" s="4" t="s">
        <v>124</v>
      </c>
      <c r="AZ1138" s="4" t="s">
        <v>124</v>
      </c>
      <c r="BA1138" s="4" t="s">
        <v>124</v>
      </c>
      <c r="BB1138" s="4" t="s">
        <v>124</v>
      </c>
      <c r="BC1138" s="4" t="s">
        <v>124</v>
      </c>
      <c r="BD1138" s="4" t="s">
        <v>124</v>
      </c>
      <c r="BE1138" s="4" t="s">
        <v>124</v>
      </c>
      <c r="BF1138" s="4" t="s">
        <v>124</v>
      </c>
      <c r="BG1138" s="4" t="s">
        <v>124</v>
      </c>
      <c r="BH1138" s="7">
        <v>0</v>
      </c>
      <c r="BI1138" s="7">
        <v>0.98611099999999996</v>
      </c>
      <c r="BJ1138" s="7">
        <v>0.96666700000000005</v>
      </c>
      <c r="BK1138" s="7">
        <v>0.99494899999999997</v>
      </c>
      <c r="BL1138" s="7">
        <v>0.98611099999999996</v>
      </c>
      <c r="BM1138" s="7">
        <v>0.96666700000000005</v>
      </c>
      <c r="BN1138" s="7">
        <v>0.99494899999999997</v>
      </c>
      <c r="BO1138" s="7">
        <v>0.97916700000000001</v>
      </c>
      <c r="BP1138" s="7">
        <v>0.95555599999999996</v>
      </c>
      <c r="BQ1138" s="7">
        <v>0.98989899999999997</v>
      </c>
      <c r="BR1138" s="7">
        <v>2.5950000000000001E-2</v>
      </c>
      <c r="BS1138" s="7">
        <v>50</v>
      </c>
      <c r="BT1138" s="7">
        <v>50</v>
      </c>
      <c r="BU1138" s="7">
        <v>6.1281000000000002E-2</v>
      </c>
      <c r="BV1138" s="7">
        <v>47.743732999999999</v>
      </c>
      <c r="BW1138" s="7">
        <v>50</v>
      </c>
      <c r="BX1138" s="7">
        <v>0.75178599999999995</v>
      </c>
      <c r="BY1138" s="7">
        <v>50</v>
      </c>
      <c r="BZ1138" s="7">
        <v>50</v>
      </c>
      <c r="CA1138" s="7">
        <v>0.63392899999999996</v>
      </c>
      <c r="CB1138" s="7">
        <v>42.261904999999999</v>
      </c>
      <c r="CC1138" s="7">
        <v>50</v>
      </c>
      <c r="CD1138" s="7">
        <v>0.90322599999999997</v>
      </c>
      <c r="CE1138" s="7">
        <v>48.043925999999999</v>
      </c>
      <c r="CF1138" s="7">
        <v>50</v>
      </c>
      <c r="CG1138" s="7">
        <v>0.96028899999999995</v>
      </c>
      <c r="CH1138" s="7">
        <v>100</v>
      </c>
      <c r="CI1138" s="7">
        <v>100</v>
      </c>
      <c r="CJ1138" s="7">
        <v>0</v>
      </c>
      <c r="CK1138" s="7">
        <v>0.87323899999999999</v>
      </c>
      <c r="CL1138" s="7">
        <v>92.897812000000002</v>
      </c>
      <c r="CM1138" s="7">
        <v>100</v>
      </c>
      <c r="CN1138" s="7">
        <v>0.8</v>
      </c>
      <c r="CO1138" s="7">
        <v>100</v>
      </c>
      <c r="CP1138" s="7">
        <v>100</v>
      </c>
      <c r="CQ1138" s="7">
        <v>0.583673</v>
      </c>
      <c r="CR1138" s="7">
        <v>0.90405899999999995</v>
      </c>
      <c r="CS1138" s="7">
        <v>38.911565000000003</v>
      </c>
      <c r="CT1138" s="7">
        <v>50</v>
      </c>
      <c r="CU1138" s="7">
        <v>0.53290099999999996</v>
      </c>
      <c r="CV1138" s="7">
        <v>44.408403</v>
      </c>
      <c r="CW1138" s="7">
        <v>50</v>
      </c>
      <c r="CX1138" s="7">
        <v>0.87323899999999999</v>
      </c>
      <c r="CY1138" s="7">
        <v>0.94</v>
      </c>
      <c r="CZ1138" s="7">
        <v>6.6761000000000001E-2</v>
      </c>
      <c r="DA1138" s="7">
        <v>15.314097</v>
      </c>
      <c r="DB1138" s="7">
        <v>17.400950000000002</v>
      </c>
      <c r="DC1138" s="7">
        <v>16.332519999999999</v>
      </c>
      <c r="DD1138" s="7">
        <v>7.9891730000000001</v>
      </c>
      <c r="DE1138" s="7">
        <v>0</v>
      </c>
      <c r="DF1138" s="6"/>
      <c r="DG1138" s="6"/>
      <c r="DH1138" s="4" t="s">
        <v>331</v>
      </c>
      <c r="DI1138" s="4" t="s">
        <v>332</v>
      </c>
      <c r="DJ1138" s="7">
        <v>1</v>
      </c>
      <c r="DK1138" s="7">
        <v>0</v>
      </c>
      <c r="DL1138" s="7">
        <v>0</v>
      </c>
      <c r="DM1138" s="7">
        <v>0</v>
      </c>
      <c r="DN1138" s="7">
        <v>0</v>
      </c>
      <c r="DO1138" s="7">
        <v>0</v>
      </c>
      <c r="DP1138" s="6"/>
      <c r="DQ1138" s="4" t="s">
        <v>125</v>
      </c>
    </row>
    <row r="1139" spans="1:121" ht="20" customHeight="1" x14ac:dyDescent="0.15">
      <c r="A1139" s="5">
        <v>2018</v>
      </c>
      <c r="B1139" s="3" t="s">
        <v>248</v>
      </c>
      <c r="C1139" s="4" t="str">
        <f t="shared" si="123"/>
        <v>2410014</v>
      </c>
      <c r="D1139" s="4" t="s">
        <v>1282</v>
      </c>
      <c r="E1139" s="4" t="str">
        <f>"2410714"</f>
        <v>2410714</v>
      </c>
      <c r="F1139" s="4" t="s">
        <v>1283</v>
      </c>
      <c r="G1139" s="4" t="s">
        <v>328</v>
      </c>
      <c r="H1139" s="7">
        <v>5</v>
      </c>
      <c r="I1139" s="4" t="s">
        <v>335</v>
      </c>
      <c r="J1139" s="4" t="s">
        <v>330</v>
      </c>
      <c r="K1139" s="7">
        <v>666.67374400000006</v>
      </c>
      <c r="L1139" s="7">
        <v>950</v>
      </c>
      <c r="M1139" s="7">
        <v>70.176184000000006</v>
      </c>
      <c r="N1139" s="7">
        <v>3</v>
      </c>
      <c r="O1139" s="7">
        <v>1</v>
      </c>
      <c r="P1139" s="7">
        <v>70.481673000000001</v>
      </c>
      <c r="Q1139" s="7">
        <v>46.987782000000003</v>
      </c>
      <c r="R1139" s="7">
        <v>50</v>
      </c>
      <c r="S1139" s="7">
        <v>64.951678000000001</v>
      </c>
      <c r="T1139" s="7">
        <v>75</v>
      </c>
      <c r="U1139" s="7">
        <v>43.301118000000002</v>
      </c>
      <c r="V1139" s="7">
        <v>50</v>
      </c>
      <c r="W1139" s="7">
        <v>67.674363</v>
      </c>
      <c r="X1139" s="7">
        <v>45.116242</v>
      </c>
      <c r="Y1139" s="7">
        <v>50</v>
      </c>
      <c r="Z1139" s="7">
        <v>75</v>
      </c>
      <c r="AA1139" s="7">
        <v>60.714258999999998</v>
      </c>
      <c r="AB1139" s="7">
        <v>40.476173000000003</v>
      </c>
      <c r="AC1139" s="7">
        <v>50</v>
      </c>
      <c r="AD1139" s="7">
        <v>66.675476000000003</v>
      </c>
      <c r="AE1139" s="7">
        <v>44.450316999999998</v>
      </c>
      <c r="AF1139" s="7">
        <v>50</v>
      </c>
      <c r="AG1139" s="7">
        <v>58.43871</v>
      </c>
      <c r="AH1139" s="7">
        <v>75</v>
      </c>
      <c r="AI1139" s="7">
        <v>38.959139999999998</v>
      </c>
      <c r="AJ1139" s="7">
        <v>50</v>
      </c>
      <c r="AK1139" s="7">
        <v>10.039999999999999</v>
      </c>
      <c r="AL1139" s="7">
        <v>14.28</v>
      </c>
      <c r="AM1139" s="7">
        <v>16.559999999999999</v>
      </c>
      <c r="AN1139" s="7">
        <v>0.71421599999999996</v>
      </c>
      <c r="AO1139" s="7">
        <v>71.421588</v>
      </c>
      <c r="AP1139" s="7">
        <v>100</v>
      </c>
      <c r="AQ1139" s="7">
        <v>0.67525299999999999</v>
      </c>
      <c r="AR1139" s="7">
        <v>67.525288000000003</v>
      </c>
      <c r="AS1139" s="7">
        <v>100</v>
      </c>
      <c r="AT1139" s="7">
        <v>0.68531500000000001</v>
      </c>
      <c r="AU1139" s="7">
        <v>0.772621</v>
      </c>
      <c r="AV1139" s="7">
        <v>68.531462000000005</v>
      </c>
      <c r="AW1139" s="7">
        <v>100</v>
      </c>
      <c r="AX1139" s="7">
        <v>0.58233299999999999</v>
      </c>
      <c r="AY1139" s="7">
        <v>0.86302800000000002</v>
      </c>
      <c r="AZ1139" s="7">
        <v>58.233327000000003</v>
      </c>
      <c r="BA1139" s="7">
        <v>100</v>
      </c>
      <c r="BB1139" s="7">
        <v>0.73521300000000001</v>
      </c>
      <c r="BC1139" s="7">
        <v>36.760635999999998</v>
      </c>
      <c r="BD1139" s="7">
        <v>50</v>
      </c>
      <c r="BE1139" s="7">
        <v>0.49573200000000001</v>
      </c>
      <c r="BF1139" s="7">
        <v>24.786619000000002</v>
      </c>
      <c r="BG1139" s="7">
        <v>50</v>
      </c>
      <c r="BH1139" s="7">
        <v>0</v>
      </c>
      <c r="BI1139" s="7">
        <v>1</v>
      </c>
      <c r="BJ1139" s="7">
        <v>1</v>
      </c>
      <c r="BK1139" s="7">
        <v>1</v>
      </c>
      <c r="BL1139" s="7">
        <v>1</v>
      </c>
      <c r="BM1139" s="7">
        <v>1</v>
      </c>
      <c r="BN1139" s="7">
        <v>1</v>
      </c>
      <c r="BO1139" s="7">
        <v>1</v>
      </c>
      <c r="BP1139" s="7">
        <v>1</v>
      </c>
      <c r="BQ1139" s="7">
        <v>1</v>
      </c>
      <c r="BR1139" s="7">
        <v>0.157385</v>
      </c>
      <c r="BS1139" s="7">
        <v>28.523002000000002</v>
      </c>
      <c r="BT1139" s="7">
        <v>50</v>
      </c>
      <c r="BU1139" s="7">
        <v>0.20866100000000001</v>
      </c>
      <c r="BV1139" s="7">
        <v>18.267717000000001</v>
      </c>
      <c r="BW1139" s="7">
        <v>50</v>
      </c>
      <c r="BX1139" s="4" t="s">
        <v>124</v>
      </c>
      <c r="BY1139" s="4" t="s">
        <v>124</v>
      </c>
      <c r="BZ1139" s="4" t="s">
        <v>124</v>
      </c>
      <c r="CA1139" s="4" t="s">
        <v>124</v>
      </c>
      <c r="CB1139" s="4" t="s">
        <v>124</v>
      </c>
      <c r="CC1139" s="4" t="s">
        <v>124</v>
      </c>
      <c r="CD1139" s="4" t="s">
        <v>124</v>
      </c>
      <c r="CE1139" s="4" t="s">
        <v>124</v>
      </c>
      <c r="CF1139" s="4" t="s">
        <v>124</v>
      </c>
      <c r="CG1139" s="4" t="s">
        <v>124</v>
      </c>
      <c r="CH1139" s="4" t="s">
        <v>124</v>
      </c>
      <c r="CI1139" s="4" t="s">
        <v>124</v>
      </c>
      <c r="CJ1139" s="4" t="s">
        <v>124</v>
      </c>
      <c r="CK1139" s="4" t="s">
        <v>124</v>
      </c>
      <c r="CL1139" s="4" t="s">
        <v>124</v>
      </c>
      <c r="CM1139" s="4" t="s">
        <v>124</v>
      </c>
      <c r="CN1139" s="4" t="s">
        <v>124</v>
      </c>
      <c r="CO1139" s="4" t="s">
        <v>124</v>
      </c>
      <c r="CP1139" s="4" t="s">
        <v>124</v>
      </c>
      <c r="CQ1139" s="7">
        <v>0.5</v>
      </c>
      <c r="CR1139" s="7">
        <v>1.1076919999999999</v>
      </c>
      <c r="CS1139" s="7">
        <v>33.333333000000003</v>
      </c>
      <c r="CT1139" s="7">
        <v>50</v>
      </c>
      <c r="CU1139" s="4" t="s">
        <v>124</v>
      </c>
      <c r="CV1139" s="4" t="s">
        <v>124</v>
      </c>
      <c r="CW1139" s="4" t="s">
        <v>124</v>
      </c>
      <c r="CX1139" s="4" t="s">
        <v>124</v>
      </c>
      <c r="CY1139" s="4" t="s">
        <v>124</v>
      </c>
      <c r="CZ1139" s="4" t="s">
        <v>124</v>
      </c>
      <c r="DA1139" s="7">
        <v>15.314097</v>
      </c>
      <c r="DB1139" s="7">
        <v>17.400950000000002</v>
      </c>
      <c r="DC1139" s="7">
        <v>16.332519999999999</v>
      </c>
      <c r="DD1139" s="4" t="s">
        <v>124</v>
      </c>
      <c r="DE1139" s="7">
        <v>1</v>
      </c>
      <c r="DF1139" s="6"/>
      <c r="DG1139" s="6"/>
      <c r="DH1139" s="6"/>
      <c r="DI1139" s="6"/>
      <c r="DJ1139" s="7">
        <v>0</v>
      </c>
      <c r="DK1139" s="7">
        <v>0</v>
      </c>
      <c r="DL1139" s="7">
        <v>0</v>
      </c>
      <c r="DM1139" s="7">
        <v>0</v>
      </c>
      <c r="DN1139" s="7">
        <v>0</v>
      </c>
      <c r="DO1139" s="7">
        <v>0</v>
      </c>
      <c r="DP1139" s="6"/>
      <c r="DQ1139" s="4" t="s">
        <v>125</v>
      </c>
    </row>
    <row r="1140" spans="1:121" ht="20" customHeight="1" x14ac:dyDescent="0.15">
      <c r="A1140" s="5">
        <v>2018</v>
      </c>
      <c r="B1140" s="3" t="s">
        <v>248</v>
      </c>
      <c r="C1140" s="4" t="str">
        <f t="shared" ref="C1140:C1154" si="286">"2410014"</f>
        <v>2410014</v>
      </c>
      <c r="D1140" s="4" t="s">
        <v>1284</v>
      </c>
      <c r="E1140" s="4" t="str">
        <f>"2415114"</f>
        <v>2415114</v>
      </c>
      <c r="F1140" s="4" t="s">
        <v>1283</v>
      </c>
      <c r="G1140" s="7">
        <v>6</v>
      </c>
      <c r="H1140" s="7">
        <v>12</v>
      </c>
      <c r="I1140" s="4" t="s">
        <v>335</v>
      </c>
      <c r="J1140" s="4" t="s">
        <v>330</v>
      </c>
      <c r="K1140" s="7">
        <v>962.09377400000005</v>
      </c>
      <c r="L1140" s="7">
        <v>1450</v>
      </c>
      <c r="M1140" s="7">
        <v>66.351294999999993</v>
      </c>
      <c r="N1140" s="7">
        <v>4</v>
      </c>
      <c r="O1140" s="7">
        <v>1</v>
      </c>
      <c r="P1140" s="7">
        <v>61.353667000000002</v>
      </c>
      <c r="Q1140" s="7">
        <v>40.902445</v>
      </c>
      <c r="R1140" s="7">
        <v>50</v>
      </c>
      <c r="S1140" s="7">
        <v>52.441439000000003</v>
      </c>
      <c r="T1140" s="7">
        <v>72.102082999999993</v>
      </c>
      <c r="U1140" s="7">
        <v>34.960959000000003</v>
      </c>
      <c r="V1140" s="7">
        <v>50</v>
      </c>
      <c r="W1140" s="7">
        <v>54.057661000000003</v>
      </c>
      <c r="X1140" s="7">
        <v>36.038440000000001</v>
      </c>
      <c r="Y1140" s="7">
        <v>50</v>
      </c>
      <c r="Z1140" s="7">
        <v>65.807685000000006</v>
      </c>
      <c r="AA1140" s="7">
        <v>44.225003999999998</v>
      </c>
      <c r="AB1140" s="7">
        <v>29.483336000000001</v>
      </c>
      <c r="AC1140" s="7">
        <v>50</v>
      </c>
      <c r="AD1140" s="7">
        <v>58.376469</v>
      </c>
      <c r="AE1140" s="7">
        <v>38.917645999999998</v>
      </c>
      <c r="AF1140" s="7">
        <v>50</v>
      </c>
      <c r="AG1140" s="7">
        <v>49.182478000000003</v>
      </c>
      <c r="AH1140" s="7">
        <v>68.247912999999997</v>
      </c>
      <c r="AI1140" s="7">
        <v>32.788319000000001</v>
      </c>
      <c r="AJ1140" s="7">
        <v>50</v>
      </c>
      <c r="AK1140" s="7">
        <v>19.66</v>
      </c>
      <c r="AL1140" s="7">
        <v>21.58</v>
      </c>
      <c r="AM1140" s="7">
        <v>19.059999999999999</v>
      </c>
      <c r="AN1140" s="7">
        <v>0.43212699999999998</v>
      </c>
      <c r="AO1140" s="7">
        <v>43.212721999999999</v>
      </c>
      <c r="AP1140" s="7">
        <v>100</v>
      </c>
      <c r="AQ1140" s="7">
        <v>0.31608799999999998</v>
      </c>
      <c r="AR1140" s="7">
        <v>31.608785000000001</v>
      </c>
      <c r="AS1140" s="7">
        <v>100</v>
      </c>
      <c r="AT1140" s="7">
        <v>0.41736400000000001</v>
      </c>
      <c r="AU1140" s="7">
        <v>0.450237</v>
      </c>
      <c r="AV1140" s="7">
        <v>41.736369000000003</v>
      </c>
      <c r="AW1140" s="7">
        <v>100</v>
      </c>
      <c r="AX1140" s="7">
        <v>0.30433500000000002</v>
      </c>
      <c r="AY1140" s="7">
        <v>0.33033099999999999</v>
      </c>
      <c r="AZ1140" s="7">
        <v>30.433503999999999</v>
      </c>
      <c r="BA1140" s="7">
        <v>100</v>
      </c>
      <c r="BB1140" s="7">
        <v>0.613896</v>
      </c>
      <c r="BC1140" s="7">
        <v>30.694803</v>
      </c>
      <c r="BD1140" s="7">
        <v>50</v>
      </c>
      <c r="BE1140" s="7">
        <v>0.44692300000000001</v>
      </c>
      <c r="BF1140" s="7">
        <v>22.346142</v>
      </c>
      <c r="BG1140" s="7">
        <v>50</v>
      </c>
      <c r="BH1140" s="7">
        <v>1</v>
      </c>
      <c r="BI1140" s="7">
        <v>0.97123899999999996</v>
      </c>
      <c r="BJ1140" s="7">
        <v>0.956175</v>
      </c>
      <c r="BK1140" s="7">
        <v>0.99004999999999999</v>
      </c>
      <c r="BL1140" s="7">
        <v>0.96909500000000004</v>
      </c>
      <c r="BM1140" s="7">
        <v>0.95219100000000001</v>
      </c>
      <c r="BN1140" s="7">
        <v>0.99009899999999995</v>
      </c>
      <c r="BO1140" s="7">
        <v>0.9</v>
      </c>
      <c r="BP1140" s="7">
        <v>0.86554600000000004</v>
      </c>
      <c r="BQ1140" s="7">
        <v>0.94059400000000004</v>
      </c>
      <c r="BR1140" s="7">
        <v>0.137076</v>
      </c>
      <c r="BS1140" s="7">
        <v>32.584856000000002</v>
      </c>
      <c r="BT1140" s="7">
        <v>50</v>
      </c>
      <c r="BU1140" s="7">
        <v>0.21052599999999999</v>
      </c>
      <c r="BV1140" s="7">
        <v>17.894736999999999</v>
      </c>
      <c r="BW1140" s="7">
        <v>50</v>
      </c>
      <c r="BX1140" s="7">
        <v>0.95767199999999997</v>
      </c>
      <c r="BY1140" s="7">
        <v>50</v>
      </c>
      <c r="BZ1140" s="7">
        <v>50</v>
      </c>
      <c r="CA1140" s="7">
        <v>0.56613800000000003</v>
      </c>
      <c r="CB1140" s="7">
        <v>37.742503999999997</v>
      </c>
      <c r="CC1140" s="7">
        <v>50</v>
      </c>
      <c r="CD1140" s="7">
        <v>0.95141699999999996</v>
      </c>
      <c r="CE1140" s="7">
        <v>50</v>
      </c>
      <c r="CF1140" s="7">
        <v>50</v>
      </c>
      <c r="CG1140" s="7">
        <v>0.93518500000000004</v>
      </c>
      <c r="CH1140" s="7">
        <v>99.487786</v>
      </c>
      <c r="CI1140" s="7">
        <v>100</v>
      </c>
      <c r="CJ1140" s="7">
        <v>0</v>
      </c>
      <c r="CK1140" s="7">
        <v>0.96296300000000001</v>
      </c>
      <c r="CL1140" s="7">
        <v>100</v>
      </c>
      <c r="CM1140" s="7">
        <v>100</v>
      </c>
      <c r="CN1140" s="7">
        <v>0.77358499999999997</v>
      </c>
      <c r="CO1140" s="7">
        <v>100</v>
      </c>
      <c r="CP1140" s="7">
        <v>100</v>
      </c>
      <c r="CQ1140" s="7">
        <v>0.57894699999999999</v>
      </c>
      <c r="CR1140" s="7">
        <v>0.74397599999999997</v>
      </c>
      <c r="CS1140" s="7">
        <v>19.298245999999999</v>
      </c>
      <c r="CT1140" s="7">
        <v>50</v>
      </c>
      <c r="CU1140" s="7">
        <v>0.50354600000000005</v>
      </c>
      <c r="CV1140" s="7">
        <v>41.962175000000002</v>
      </c>
      <c r="CW1140" s="7">
        <v>50</v>
      </c>
      <c r="CX1140" s="7">
        <v>0.96296300000000001</v>
      </c>
      <c r="CY1140" s="7">
        <v>0.94</v>
      </c>
      <c r="CZ1140" s="7">
        <v>-2.2963000000000001E-2</v>
      </c>
      <c r="DA1140" s="7">
        <v>15.314097</v>
      </c>
      <c r="DB1140" s="7">
        <v>17.400950000000002</v>
      </c>
      <c r="DC1140" s="7">
        <v>16.332519999999999</v>
      </c>
      <c r="DD1140" s="7">
        <v>7.9891730000000001</v>
      </c>
      <c r="DE1140" s="7">
        <v>1</v>
      </c>
      <c r="DF1140" s="4" t="s">
        <v>384</v>
      </c>
      <c r="DG1140" s="4" t="s">
        <v>417</v>
      </c>
      <c r="DH1140" s="6"/>
      <c r="DI1140" s="6"/>
      <c r="DJ1140" s="7">
        <v>0</v>
      </c>
      <c r="DK1140" s="7">
        <v>0</v>
      </c>
      <c r="DL1140" s="7">
        <v>0</v>
      </c>
      <c r="DM1140" s="7">
        <v>0</v>
      </c>
      <c r="DN1140" s="7">
        <v>0</v>
      </c>
      <c r="DO1140" s="7">
        <v>0</v>
      </c>
      <c r="DP1140" s="6"/>
      <c r="DQ1140" s="4" t="s">
        <v>125</v>
      </c>
    </row>
    <row r="1141" spans="1:121" ht="20" customHeight="1" x14ac:dyDescent="0.15">
      <c r="A1141" s="5">
        <v>2018</v>
      </c>
      <c r="B1141" s="3" t="s">
        <v>248</v>
      </c>
      <c r="C1141" s="4" t="str">
        <f t="shared" si="286"/>
        <v>2410014</v>
      </c>
      <c r="D1141" s="4" t="s">
        <v>1285</v>
      </c>
      <c r="E1141" s="4" t="str">
        <f>"2416514"</f>
        <v>2416514</v>
      </c>
      <c r="F1141" s="4" t="s">
        <v>1283</v>
      </c>
      <c r="G1141" s="7">
        <v>6</v>
      </c>
      <c r="H1141" s="7">
        <v>12</v>
      </c>
      <c r="I1141" s="4" t="s">
        <v>335</v>
      </c>
      <c r="J1141" s="4" t="s">
        <v>330</v>
      </c>
      <c r="K1141" s="7">
        <v>908.17864799999995</v>
      </c>
      <c r="L1141" s="7">
        <v>1450</v>
      </c>
      <c r="M1141" s="7">
        <v>62.633009999999999</v>
      </c>
      <c r="N1141" s="7">
        <v>3</v>
      </c>
      <c r="O1141" s="7">
        <v>1</v>
      </c>
      <c r="P1141" s="7">
        <v>58.744356000000003</v>
      </c>
      <c r="Q1141" s="7">
        <v>39.162903999999997</v>
      </c>
      <c r="R1141" s="7">
        <v>50</v>
      </c>
      <c r="S1141" s="7">
        <v>53.069828999999999</v>
      </c>
      <c r="T1141" s="7">
        <v>72.326010999999994</v>
      </c>
      <c r="U1141" s="7">
        <v>35.379885999999999</v>
      </c>
      <c r="V1141" s="7">
        <v>50</v>
      </c>
      <c r="W1141" s="7">
        <v>49.757975999999999</v>
      </c>
      <c r="X1141" s="7">
        <v>33.171984000000002</v>
      </c>
      <c r="Y1141" s="7">
        <v>50</v>
      </c>
      <c r="Z1141" s="7">
        <v>64.728408000000002</v>
      </c>
      <c r="AA1141" s="7">
        <v>43.541879999999999</v>
      </c>
      <c r="AB1141" s="7">
        <v>29.027920000000002</v>
      </c>
      <c r="AC1141" s="7">
        <v>50</v>
      </c>
      <c r="AD1141" s="7">
        <v>48.967441999999998</v>
      </c>
      <c r="AE1141" s="7">
        <v>32.644961000000002</v>
      </c>
      <c r="AF1141" s="7">
        <v>50</v>
      </c>
      <c r="AG1141" s="7">
        <v>45.996012999999998</v>
      </c>
      <c r="AH1141" s="7">
        <v>58.321936999999998</v>
      </c>
      <c r="AI1141" s="7">
        <v>30.664009</v>
      </c>
      <c r="AJ1141" s="7">
        <v>50</v>
      </c>
      <c r="AK1141" s="7">
        <v>19.25</v>
      </c>
      <c r="AL1141" s="7">
        <v>21.18</v>
      </c>
      <c r="AM1141" s="7">
        <v>12.32</v>
      </c>
      <c r="AN1141" s="7">
        <v>0.47656300000000001</v>
      </c>
      <c r="AO1141" s="7">
        <v>47.656331999999999</v>
      </c>
      <c r="AP1141" s="7">
        <v>100</v>
      </c>
      <c r="AQ1141" s="7">
        <v>0.41120699999999999</v>
      </c>
      <c r="AR1141" s="7">
        <v>41.120694999999998</v>
      </c>
      <c r="AS1141" s="7">
        <v>100</v>
      </c>
      <c r="AT1141" s="7">
        <v>0.42710799999999999</v>
      </c>
      <c r="AU1141" s="7">
        <v>0.57869899999999996</v>
      </c>
      <c r="AV1141" s="7">
        <v>42.710805999999998</v>
      </c>
      <c r="AW1141" s="7">
        <v>100</v>
      </c>
      <c r="AX1141" s="7">
        <v>0.33088099999999998</v>
      </c>
      <c r="AY1141" s="7">
        <v>0.57274099999999994</v>
      </c>
      <c r="AZ1141" s="7">
        <v>33.088143000000002</v>
      </c>
      <c r="BA1141" s="7">
        <v>100</v>
      </c>
      <c r="BB1141" s="7">
        <v>0.55409699999999995</v>
      </c>
      <c r="BC1141" s="7">
        <v>27.704854999999998</v>
      </c>
      <c r="BD1141" s="7">
        <v>50</v>
      </c>
      <c r="BE1141" s="7">
        <v>0.70448100000000002</v>
      </c>
      <c r="BF1141" s="7">
        <v>35.224027</v>
      </c>
      <c r="BG1141" s="7">
        <v>50</v>
      </c>
      <c r="BH1141" s="7">
        <v>0</v>
      </c>
      <c r="BI1141" s="7">
        <v>0.981043</v>
      </c>
      <c r="BJ1141" s="7">
        <v>0.98316499999999996</v>
      </c>
      <c r="BK1141" s="7">
        <v>0.97599999999999998</v>
      </c>
      <c r="BL1141" s="7">
        <v>0.969194</v>
      </c>
      <c r="BM1141" s="7">
        <v>0.97306400000000004</v>
      </c>
      <c r="BN1141" s="7">
        <v>0.96</v>
      </c>
      <c r="BO1141" s="7">
        <v>0.97816599999999998</v>
      </c>
      <c r="BP1141" s="7">
        <v>0.97142899999999999</v>
      </c>
      <c r="BQ1141" s="7">
        <v>1</v>
      </c>
      <c r="BR1141" s="7">
        <v>0.22838700000000001</v>
      </c>
      <c r="BS1141" s="7">
        <v>14.322581</v>
      </c>
      <c r="BT1141" s="7">
        <v>50</v>
      </c>
      <c r="BU1141" s="7">
        <v>0.27946799999999999</v>
      </c>
      <c r="BV1141" s="7">
        <v>4.1064639999999999</v>
      </c>
      <c r="BW1141" s="7">
        <v>50</v>
      </c>
      <c r="BX1141" s="7">
        <v>0.89090899999999995</v>
      </c>
      <c r="BY1141" s="7">
        <v>50</v>
      </c>
      <c r="BZ1141" s="7">
        <v>50</v>
      </c>
      <c r="CA1141" s="7">
        <v>0.25818200000000002</v>
      </c>
      <c r="CB1141" s="7">
        <v>17.212121</v>
      </c>
      <c r="CC1141" s="7">
        <v>50</v>
      </c>
      <c r="CD1141" s="7">
        <v>0.77500000000000002</v>
      </c>
      <c r="CE1141" s="7">
        <v>41.223404000000002</v>
      </c>
      <c r="CF1141" s="7">
        <v>50</v>
      </c>
      <c r="CG1141" s="7">
        <v>0.97023800000000004</v>
      </c>
      <c r="CH1141" s="7">
        <v>100</v>
      </c>
      <c r="CI1141" s="7">
        <v>100</v>
      </c>
      <c r="CJ1141" s="7">
        <v>0</v>
      </c>
      <c r="CK1141" s="7">
        <v>0.97058800000000001</v>
      </c>
      <c r="CL1141" s="7">
        <v>100</v>
      </c>
      <c r="CM1141" s="7">
        <v>100</v>
      </c>
      <c r="CN1141" s="7">
        <v>0.74233099999999996</v>
      </c>
      <c r="CO1141" s="7">
        <v>98.977504999999994</v>
      </c>
      <c r="CP1141" s="7">
        <v>100</v>
      </c>
      <c r="CQ1141" s="7">
        <v>0.35458200000000001</v>
      </c>
      <c r="CR1141" s="7">
        <v>0.77950299999999995</v>
      </c>
      <c r="CS1141" s="7">
        <v>11.819388999999999</v>
      </c>
      <c r="CT1141" s="7">
        <v>50</v>
      </c>
      <c r="CU1141" s="7">
        <v>0.51552799999999999</v>
      </c>
      <c r="CV1141" s="7">
        <v>42.960662999999997</v>
      </c>
      <c r="CW1141" s="7">
        <v>50</v>
      </c>
      <c r="CX1141" s="7">
        <v>0.97058800000000001</v>
      </c>
      <c r="CY1141" s="4" t="s">
        <v>124</v>
      </c>
      <c r="CZ1141" s="4" t="s">
        <v>124</v>
      </c>
      <c r="DA1141" s="7">
        <v>15.314097</v>
      </c>
      <c r="DB1141" s="7">
        <v>17.400950000000002</v>
      </c>
      <c r="DC1141" s="7">
        <v>16.332519999999999</v>
      </c>
      <c r="DD1141" s="7">
        <v>7.9891730000000001</v>
      </c>
      <c r="DE1141" s="7">
        <v>1</v>
      </c>
      <c r="DF1141" s="6"/>
      <c r="DG1141" s="6"/>
      <c r="DH1141" s="6"/>
      <c r="DI1141" s="6"/>
      <c r="DJ1141" s="7">
        <v>0</v>
      </c>
      <c r="DK1141" s="7">
        <v>0</v>
      </c>
      <c r="DL1141" s="7">
        <v>0</v>
      </c>
      <c r="DM1141" s="7">
        <v>0</v>
      </c>
      <c r="DN1141" s="7">
        <v>0</v>
      </c>
      <c r="DO1141" s="7">
        <v>0</v>
      </c>
      <c r="DP1141" s="6"/>
      <c r="DQ1141" s="4" t="s">
        <v>125</v>
      </c>
    </row>
    <row r="1142" spans="1:121" ht="20" customHeight="1" x14ac:dyDescent="0.15">
      <c r="A1142" s="5">
        <v>2018</v>
      </c>
      <c r="B1142" s="3" t="s">
        <v>248</v>
      </c>
      <c r="C1142" s="4" t="str">
        <f t="shared" si="286"/>
        <v>2410014</v>
      </c>
      <c r="D1142" s="4" t="s">
        <v>1286</v>
      </c>
      <c r="E1142" s="4" t="str">
        <f>"2410614"</f>
        <v>2410614</v>
      </c>
      <c r="F1142" s="4" t="s">
        <v>1283</v>
      </c>
      <c r="G1142" s="4" t="s">
        <v>328</v>
      </c>
      <c r="H1142" s="7">
        <v>5</v>
      </c>
      <c r="I1142" s="4" t="s">
        <v>335</v>
      </c>
      <c r="J1142" s="4" t="s">
        <v>330</v>
      </c>
      <c r="K1142" s="7">
        <v>611.05447600000002</v>
      </c>
      <c r="L1142" s="7">
        <v>950</v>
      </c>
      <c r="M1142" s="7">
        <v>64.321523999999997</v>
      </c>
      <c r="N1142" s="7">
        <v>3</v>
      </c>
      <c r="O1142" s="7">
        <v>0</v>
      </c>
      <c r="P1142" s="7">
        <v>71.814340999999999</v>
      </c>
      <c r="Q1142" s="7">
        <v>47.876227</v>
      </c>
      <c r="R1142" s="7">
        <v>50</v>
      </c>
      <c r="S1142" s="7">
        <v>67.296530000000004</v>
      </c>
      <c r="T1142" s="7">
        <v>75</v>
      </c>
      <c r="U1142" s="7">
        <v>44.864353000000001</v>
      </c>
      <c r="V1142" s="7">
        <v>50</v>
      </c>
      <c r="W1142" s="7">
        <v>66.501777000000004</v>
      </c>
      <c r="X1142" s="7">
        <v>44.334518000000003</v>
      </c>
      <c r="Y1142" s="7">
        <v>50</v>
      </c>
      <c r="Z1142" s="7">
        <v>75</v>
      </c>
      <c r="AA1142" s="7">
        <v>61.833224999999999</v>
      </c>
      <c r="AB1142" s="7">
        <v>41.222149999999999</v>
      </c>
      <c r="AC1142" s="7">
        <v>50</v>
      </c>
      <c r="AD1142" s="7">
        <v>58.317459999999997</v>
      </c>
      <c r="AE1142" s="7">
        <v>38.878307</v>
      </c>
      <c r="AF1142" s="7">
        <v>50</v>
      </c>
      <c r="AG1142" s="7">
        <v>55.574500999999998</v>
      </c>
      <c r="AH1142" s="7">
        <v>63.803379</v>
      </c>
      <c r="AI1142" s="7">
        <v>37.049666999999999</v>
      </c>
      <c r="AJ1142" s="7">
        <v>50</v>
      </c>
      <c r="AK1142" s="7">
        <v>7.7</v>
      </c>
      <c r="AL1142" s="7">
        <v>13.16</v>
      </c>
      <c r="AM1142" s="7">
        <v>8.2200000000000006</v>
      </c>
      <c r="AN1142" s="7">
        <v>0.62877799999999995</v>
      </c>
      <c r="AO1142" s="7">
        <v>62.877809999999997</v>
      </c>
      <c r="AP1142" s="7">
        <v>100</v>
      </c>
      <c r="AQ1142" s="7">
        <v>0.491651</v>
      </c>
      <c r="AR1142" s="7">
        <v>49.165149</v>
      </c>
      <c r="AS1142" s="7">
        <v>100</v>
      </c>
      <c r="AT1142" s="7">
        <v>0.599163</v>
      </c>
      <c r="AU1142" s="7">
        <v>0.68406</v>
      </c>
      <c r="AV1142" s="7">
        <v>59.916305999999999</v>
      </c>
      <c r="AW1142" s="7">
        <v>100</v>
      </c>
      <c r="AX1142" s="7">
        <v>0.42436099999999999</v>
      </c>
      <c r="AY1142" s="7">
        <v>0.61726000000000003</v>
      </c>
      <c r="AZ1142" s="7">
        <v>42.436107</v>
      </c>
      <c r="BA1142" s="7">
        <v>100</v>
      </c>
      <c r="BB1142" s="7">
        <v>1</v>
      </c>
      <c r="BC1142" s="7">
        <v>50</v>
      </c>
      <c r="BD1142" s="7">
        <v>50</v>
      </c>
      <c r="BE1142" s="7">
        <v>1</v>
      </c>
      <c r="BF1142" s="7">
        <v>50</v>
      </c>
      <c r="BG1142" s="7">
        <v>50</v>
      </c>
      <c r="BH1142" s="7">
        <v>0</v>
      </c>
      <c r="BI1142" s="7">
        <v>0.99484499999999998</v>
      </c>
      <c r="BJ1142" s="7">
        <v>1</v>
      </c>
      <c r="BK1142" s="7">
        <v>0.98412699999999997</v>
      </c>
      <c r="BL1142" s="7">
        <v>0.99484499999999998</v>
      </c>
      <c r="BM1142" s="7">
        <v>1</v>
      </c>
      <c r="BN1142" s="7">
        <v>0.98412699999999997</v>
      </c>
      <c r="BO1142" s="7">
        <v>0.984375</v>
      </c>
      <c r="BP1142" s="7">
        <v>1</v>
      </c>
      <c r="BQ1142" s="7">
        <v>0.95454499999999998</v>
      </c>
      <c r="BR1142" s="7">
        <v>0.197403</v>
      </c>
      <c r="BS1142" s="7">
        <v>20.519480999999999</v>
      </c>
      <c r="BT1142" s="7">
        <v>50</v>
      </c>
      <c r="BU1142" s="7">
        <v>0.24812000000000001</v>
      </c>
      <c r="BV1142" s="7">
        <v>10.37594</v>
      </c>
      <c r="BW1142" s="7">
        <v>50</v>
      </c>
      <c r="BX1142" s="4" t="s">
        <v>124</v>
      </c>
      <c r="BY1142" s="4" t="s">
        <v>124</v>
      </c>
      <c r="BZ1142" s="4" t="s">
        <v>124</v>
      </c>
      <c r="CA1142" s="4" t="s">
        <v>124</v>
      </c>
      <c r="CB1142" s="4" t="s">
        <v>124</v>
      </c>
      <c r="CC1142" s="4" t="s">
        <v>124</v>
      </c>
      <c r="CD1142" s="4" t="s">
        <v>124</v>
      </c>
      <c r="CE1142" s="4" t="s">
        <v>124</v>
      </c>
      <c r="CF1142" s="4" t="s">
        <v>124</v>
      </c>
      <c r="CG1142" s="4" t="s">
        <v>124</v>
      </c>
      <c r="CH1142" s="4" t="s">
        <v>124</v>
      </c>
      <c r="CI1142" s="4" t="s">
        <v>124</v>
      </c>
      <c r="CJ1142" s="4" t="s">
        <v>124</v>
      </c>
      <c r="CK1142" s="4" t="s">
        <v>124</v>
      </c>
      <c r="CL1142" s="4" t="s">
        <v>124</v>
      </c>
      <c r="CM1142" s="4" t="s">
        <v>124</v>
      </c>
      <c r="CN1142" s="4" t="s">
        <v>124</v>
      </c>
      <c r="CO1142" s="4" t="s">
        <v>124</v>
      </c>
      <c r="CP1142" s="4" t="s">
        <v>124</v>
      </c>
      <c r="CQ1142" s="7">
        <v>0.34615400000000002</v>
      </c>
      <c r="CR1142" s="7">
        <v>0.787879</v>
      </c>
      <c r="CS1142" s="7">
        <v>11.538462000000001</v>
      </c>
      <c r="CT1142" s="7">
        <v>50</v>
      </c>
      <c r="CU1142" s="4" t="s">
        <v>124</v>
      </c>
      <c r="CV1142" s="4" t="s">
        <v>124</v>
      </c>
      <c r="CW1142" s="4" t="s">
        <v>124</v>
      </c>
      <c r="CX1142" s="4" t="s">
        <v>124</v>
      </c>
      <c r="CY1142" s="4" t="s">
        <v>124</v>
      </c>
      <c r="CZ1142" s="4" t="s">
        <v>124</v>
      </c>
      <c r="DA1142" s="7">
        <v>15.314097</v>
      </c>
      <c r="DB1142" s="7">
        <v>17.400950000000002</v>
      </c>
      <c r="DC1142" s="7">
        <v>16.332519999999999</v>
      </c>
      <c r="DD1142" s="4" t="s">
        <v>124</v>
      </c>
      <c r="DE1142" s="7">
        <v>0</v>
      </c>
      <c r="DF1142" s="6"/>
      <c r="DG1142" s="6"/>
      <c r="DH1142" s="6"/>
      <c r="DI1142" s="6"/>
      <c r="DJ1142" s="7">
        <v>0</v>
      </c>
      <c r="DK1142" s="7">
        <v>0</v>
      </c>
      <c r="DL1142" s="7">
        <v>0</v>
      </c>
      <c r="DM1142" s="7">
        <v>0</v>
      </c>
      <c r="DN1142" s="7">
        <v>0</v>
      </c>
      <c r="DO1142" s="7">
        <v>0</v>
      </c>
      <c r="DP1142" s="6"/>
      <c r="DQ1142" s="4" t="s">
        <v>125</v>
      </c>
    </row>
    <row r="1143" spans="1:121" ht="20" customHeight="1" x14ac:dyDescent="0.15">
      <c r="A1143" s="5">
        <v>2018</v>
      </c>
      <c r="B1143" s="3" t="s">
        <v>248</v>
      </c>
      <c r="C1143" s="4" t="str">
        <f t="shared" si="286"/>
        <v>2410014</v>
      </c>
      <c r="D1143" s="4" t="s">
        <v>1287</v>
      </c>
      <c r="E1143" s="4" t="str">
        <f>"2415214"</f>
        <v>2415214</v>
      </c>
      <c r="F1143" s="4" t="s">
        <v>1283</v>
      </c>
      <c r="G1143" s="7">
        <v>9</v>
      </c>
      <c r="H1143" s="7">
        <v>12</v>
      </c>
      <c r="I1143" s="4" t="s">
        <v>335</v>
      </c>
      <c r="J1143" s="4" t="s">
        <v>330</v>
      </c>
      <c r="K1143" s="7">
        <v>807.71224600000005</v>
      </c>
      <c r="L1143" s="7">
        <v>1450</v>
      </c>
      <c r="M1143" s="7">
        <v>55.704293</v>
      </c>
      <c r="N1143" s="7">
        <v>4</v>
      </c>
      <c r="O1143" s="7">
        <v>0</v>
      </c>
      <c r="P1143" s="7">
        <v>41.9375</v>
      </c>
      <c r="Q1143" s="7">
        <v>83.875</v>
      </c>
      <c r="R1143" s="7">
        <v>150</v>
      </c>
      <c r="S1143" s="7">
        <v>40.660713999999999</v>
      </c>
      <c r="T1143" s="4" t="s">
        <v>124</v>
      </c>
      <c r="U1143" s="7">
        <v>81.321428999999995</v>
      </c>
      <c r="V1143" s="7">
        <v>150</v>
      </c>
      <c r="W1143" s="7">
        <v>35.868827000000003</v>
      </c>
      <c r="X1143" s="7">
        <v>71.737654000000006</v>
      </c>
      <c r="Y1143" s="7">
        <v>150</v>
      </c>
      <c r="Z1143" s="4" t="s">
        <v>124</v>
      </c>
      <c r="AA1143" s="7">
        <v>34.462302000000001</v>
      </c>
      <c r="AB1143" s="7">
        <v>68.924603000000005</v>
      </c>
      <c r="AC1143" s="7">
        <v>150</v>
      </c>
      <c r="AD1143" s="7">
        <v>33.464474000000003</v>
      </c>
      <c r="AE1143" s="7">
        <v>44.619298999999998</v>
      </c>
      <c r="AF1143" s="7">
        <v>100</v>
      </c>
      <c r="AG1143" s="7">
        <v>31.234528999999998</v>
      </c>
      <c r="AH1143" s="4" t="s">
        <v>124</v>
      </c>
      <c r="AI1143" s="7">
        <v>41.646037999999997</v>
      </c>
      <c r="AJ1143" s="7">
        <v>100</v>
      </c>
      <c r="AK1143" s="4" t="s">
        <v>124</v>
      </c>
      <c r="AL1143" s="4" t="s">
        <v>124</v>
      </c>
      <c r="AM1143" s="4" t="s">
        <v>124</v>
      </c>
      <c r="AN1143" s="4" t="s">
        <v>124</v>
      </c>
      <c r="AO1143" s="4" t="s">
        <v>124</v>
      </c>
      <c r="AP1143" s="4" t="s">
        <v>124</v>
      </c>
      <c r="AQ1143" s="4" t="s">
        <v>124</v>
      </c>
      <c r="AR1143" s="4" t="s">
        <v>124</v>
      </c>
      <c r="AS1143" s="4" t="s">
        <v>124</v>
      </c>
      <c r="AT1143" s="4" t="s">
        <v>124</v>
      </c>
      <c r="AU1143" s="4" t="s">
        <v>124</v>
      </c>
      <c r="AV1143" s="4" t="s">
        <v>124</v>
      </c>
      <c r="AW1143" s="4" t="s">
        <v>124</v>
      </c>
      <c r="AX1143" s="4" t="s">
        <v>124</v>
      </c>
      <c r="AY1143" s="4" t="s">
        <v>124</v>
      </c>
      <c r="AZ1143" s="4" t="s">
        <v>124</v>
      </c>
      <c r="BA1143" s="4" t="s">
        <v>124</v>
      </c>
      <c r="BB1143" s="4" t="s">
        <v>124</v>
      </c>
      <c r="BC1143" s="4" t="s">
        <v>124</v>
      </c>
      <c r="BD1143" s="4" t="s">
        <v>124</v>
      </c>
      <c r="BE1143" s="4" t="s">
        <v>124</v>
      </c>
      <c r="BF1143" s="4" t="s">
        <v>124</v>
      </c>
      <c r="BG1143" s="4" t="s">
        <v>124</v>
      </c>
      <c r="BH1143" s="7">
        <v>1</v>
      </c>
      <c r="BI1143" s="7">
        <v>0.94736799999999999</v>
      </c>
      <c r="BJ1143" s="7">
        <v>0.93333299999999997</v>
      </c>
      <c r="BK1143" s="4" t="s">
        <v>124</v>
      </c>
      <c r="BL1143" s="7">
        <v>0.94736799999999999</v>
      </c>
      <c r="BM1143" s="7">
        <v>0.93333299999999997</v>
      </c>
      <c r="BN1143" s="4" t="s">
        <v>124</v>
      </c>
      <c r="BO1143" s="7">
        <v>0.96052599999999999</v>
      </c>
      <c r="BP1143" s="7">
        <v>0.95</v>
      </c>
      <c r="BQ1143" s="4" t="s">
        <v>124</v>
      </c>
      <c r="BR1143" s="7">
        <v>0.41104299999999999</v>
      </c>
      <c r="BS1143" s="7">
        <v>0</v>
      </c>
      <c r="BT1143" s="7">
        <v>50</v>
      </c>
      <c r="BU1143" s="7">
        <v>0.49576300000000001</v>
      </c>
      <c r="BV1143" s="7">
        <v>0</v>
      </c>
      <c r="BW1143" s="7">
        <v>50</v>
      </c>
      <c r="BX1143" s="7">
        <v>0.782609</v>
      </c>
      <c r="BY1143" s="7">
        <v>50</v>
      </c>
      <c r="BZ1143" s="7">
        <v>50</v>
      </c>
      <c r="CA1143" s="7">
        <v>7.2464000000000001E-2</v>
      </c>
      <c r="CB1143" s="7">
        <v>4.8309179999999996</v>
      </c>
      <c r="CC1143" s="7">
        <v>50</v>
      </c>
      <c r="CD1143" s="7">
        <v>0.90909099999999998</v>
      </c>
      <c r="CE1143" s="7">
        <v>48.355899000000001</v>
      </c>
      <c r="CF1143" s="7">
        <v>50</v>
      </c>
      <c r="CG1143" s="7">
        <v>0.89855099999999999</v>
      </c>
      <c r="CH1143" s="7">
        <v>95.590502999999998</v>
      </c>
      <c r="CI1143" s="7">
        <v>100</v>
      </c>
      <c r="CJ1143" s="7">
        <v>0</v>
      </c>
      <c r="CK1143" s="7">
        <v>0.87755099999999997</v>
      </c>
      <c r="CL1143" s="7">
        <v>93.356492000000003</v>
      </c>
      <c r="CM1143" s="7">
        <v>100</v>
      </c>
      <c r="CN1143" s="7">
        <v>0.53125</v>
      </c>
      <c r="CO1143" s="7">
        <v>70.833332999999996</v>
      </c>
      <c r="CP1143" s="7">
        <v>100</v>
      </c>
      <c r="CQ1143" s="7">
        <v>0.36585400000000001</v>
      </c>
      <c r="CR1143" s="7">
        <v>0.56944399999999995</v>
      </c>
      <c r="CS1143" s="7">
        <v>6.0975609999999998</v>
      </c>
      <c r="CT1143" s="7">
        <v>50</v>
      </c>
      <c r="CU1143" s="7">
        <v>0.55828199999999994</v>
      </c>
      <c r="CV1143" s="7">
        <v>46.523516999999998</v>
      </c>
      <c r="CW1143" s="7">
        <v>50</v>
      </c>
      <c r="CX1143" s="7">
        <v>0.87755099999999997</v>
      </c>
      <c r="CY1143" s="4" t="s">
        <v>124</v>
      </c>
      <c r="CZ1143" s="4" t="s">
        <v>124</v>
      </c>
      <c r="DA1143" s="7">
        <v>15.314097</v>
      </c>
      <c r="DB1143" s="7">
        <v>17.400950000000002</v>
      </c>
      <c r="DC1143" s="7">
        <v>16.332519999999999</v>
      </c>
      <c r="DD1143" s="7">
        <v>7.9891730000000001</v>
      </c>
      <c r="DE1143" s="7">
        <v>1</v>
      </c>
      <c r="DF1143" s="4" t="s">
        <v>384</v>
      </c>
      <c r="DG1143" s="4" t="s">
        <v>1288</v>
      </c>
      <c r="DH1143" s="6"/>
      <c r="DI1143" s="6"/>
      <c r="DJ1143" s="7">
        <v>0</v>
      </c>
      <c r="DK1143" s="7">
        <v>0</v>
      </c>
      <c r="DL1143" s="7">
        <v>0</v>
      </c>
      <c r="DM1143" s="7">
        <v>0</v>
      </c>
      <c r="DN1143" s="7">
        <v>0</v>
      </c>
      <c r="DO1143" s="7">
        <v>0</v>
      </c>
      <c r="DP1143" s="6"/>
      <c r="DQ1143" s="4" t="s">
        <v>125</v>
      </c>
    </row>
    <row r="1144" spans="1:121" ht="20" customHeight="1" x14ac:dyDescent="0.15">
      <c r="A1144" s="5">
        <v>2018</v>
      </c>
      <c r="B1144" s="3" t="s">
        <v>248</v>
      </c>
      <c r="C1144" s="4" t="str">
        <f t="shared" si="286"/>
        <v>2410014</v>
      </c>
      <c r="D1144" s="4" t="s">
        <v>1289</v>
      </c>
      <c r="E1144" s="4" t="str">
        <f>"2418114"</f>
        <v>2418114</v>
      </c>
      <c r="F1144" s="4" t="s">
        <v>1283</v>
      </c>
      <c r="G1144" s="4" t="s">
        <v>328</v>
      </c>
      <c r="H1144" s="7">
        <v>5</v>
      </c>
      <c r="I1144" s="4" t="s">
        <v>335</v>
      </c>
      <c r="J1144" s="4" t="s">
        <v>330</v>
      </c>
      <c r="K1144" s="7">
        <v>682.81004199999995</v>
      </c>
      <c r="L1144" s="7">
        <v>950</v>
      </c>
      <c r="M1144" s="7">
        <v>71.874741</v>
      </c>
      <c r="N1144" s="7">
        <v>2</v>
      </c>
      <c r="O1144" s="7">
        <v>0</v>
      </c>
      <c r="P1144" s="7">
        <v>71.882515999999995</v>
      </c>
      <c r="Q1144" s="7">
        <v>47.921677000000003</v>
      </c>
      <c r="R1144" s="7">
        <v>50</v>
      </c>
      <c r="S1144" s="7">
        <v>65.372111000000004</v>
      </c>
      <c r="T1144" s="7">
        <v>75</v>
      </c>
      <c r="U1144" s="7">
        <v>43.581406999999999</v>
      </c>
      <c r="V1144" s="7">
        <v>50</v>
      </c>
      <c r="W1144" s="7">
        <v>67.735742999999999</v>
      </c>
      <c r="X1144" s="7">
        <v>45.157162</v>
      </c>
      <c r="Y1144" s="7">
        <v>50</v>
      </c>
      <c r="Z1144" s="7">
        <v>75</v>
      </c>
      <c r="AA1144" s="7">
        <v>60.652977999999997</v>
      </c>
      <c r="AB1144" s="7">
        <v>40.435319</v>
      </c>
      <c r="AC1144" s="7">
        <v>50</v>
      </c>
      <c r="AD1144" s="7">
        <v>68.918835000000001</v>
      </c>
      <c r="AE1144" s="7">
        <v>45.945889999999999</v>
      </c>
      <c r="AF1144" s="7">
        <v>50</v>
      </c>
      <c r="AG1144" s="7">
        <v>62.317349999999998</v>
      </c>
      <c r="AH1144" s="7">
        <v>75</v>
      </c>
      <c r="AI1144" s="7">
        <v>41.544899999999998</v>
      </c>
      <c r="AJ1144" s="7">
        <v>50</v>
      </c>
      <c r="AK1144" s="7">
        <v>9.6199999999999992</v>
      </c>
      <c r="AL1144" s="7">
        <v>14.34</v>
      </c>
      <c r="AM1144" s="7">
        <v>12.68</v>
      </c>
      <c r="AN1144" s="7">
        <v>0.63680499999999995</v>
      </c>
      <c r="AO1144" s="7">
        <v>63.680467</v>
      </c>
      <c r="AP1144" s="7">
        <v>100</v>
      </c>
      <c r="AQ1144" s="7">
        <v>0.68774000000000002</v>
      </c>
      <c r="AR1144" s="7">
        <v>68.774028999999999</v>
      </c>
      <c r="AS1144" s="7">
        <v>100</v>
      </c>
      <c r="AT1144" s="7">
        <v>0.58222399999999996</v>
      </c>
      <c r="AU1144" s="7">
        <v>0.70477299999999998</v>
      </c>
      <c r="AV1144" s="7">
        <v>58.222392999999997</v>
      </c>
      <c r="AW1144" s="7">
        <v>100</v>
      </c>
      <c r="AX1144" s="7">
        <v>0.63340600000000002</v>
      </c>
      <c r="AY1144" s="7">
        <v>0.75540200000000002</v>
      </c>
      <c r="AZ1144" s="7">
        <v>63.340563000000003</v>
      </c>
      <c r="BA1144" s="7">
        <v>100</v>
      </c>
      <c r="BB1144" s="7">
        <v>0.55373099999999997</v>
      </c>
      <c r="BC1144" s="7">
        <v>27.68655</v>
      </c>
      <c r="BD1144" s="7">
        <v>50</v>
      </c>
      <c r="BE1144" s="7">
        <v>0.49106699999999998</v>
      </c>
      <c r="BF1144" s="7">
        <v>24.553346999999999</v>
      </c>
      <c r="BG1144" s="7">
        <v>50</v>
      </c>
      <c r="BH1144" s="7">
        <v>0</v>
      </c>
      <c r="BI1144" s="7">
        <v>0.98958299999999999</v>
      </c>
      <c r="BJ1144" s="7">
        <v>0.98148100000000005</v>
      </c>
      <c r="BK1144" s="7">
        <v>1</v>
      </c>
      <c r="BL1144" s="7">
        <v>0.98958299999999999</v>
      </c>
      <c r="BM1144" s="7">
        <v>0.98148100000000005</v>
      </c>
      <c r="BN1144" s="7">
        <v>1</v>
      </c>
      <c r="BO1144" s="7">
        <v>1</v>
      </c>
      <c r="BP1144" s="7">
        <v>1</v>
      </c>
      <c r="BQ1144" s="7">
        <v>1</v>
      </c>
      <c r="BR1144" s="7">
        <v>0.108586</v>
      </c>
      <c r="BS1144" s="7">
        <v>38.282828000000002</v>
      </c>
      <c r="BT1144" s="7">
        <v>50</v>
      </c>
      <c r="BU1144" s="7">
        <v>0.16595699999999999</v>
      </c>
      <c r="BV1144" s="7">
        <v>26.808510999999999</v>
      </c>
      <c r="BW1144" s="7">
        <v>50</v>
      </c>
      <c r="BX1144" s="4" t="s">
        <v>124</v>
      </c>
      <c r="BY1144" s="4" t="s">
        <v>124</v>
      </c>
      <c r="BZ1144" s="4" t="s">
        <v>124</v>
      </c>
      <c r="CA1144" s="4" t="s">
        <v>124</v>
      </c>
      <c r="CB1144" s="4" t="s">
        <v>124</v>
      </c>
      <c r="CC1144" s="4" t="s">
        <v>124</v>
      </c>
      <c r="CD1144" s="4" t="s">
        <v>124</v>
      </c>
      <c r="CE1144" s="4" t="s">
        <v>124</v>
      </c>
      <c r="CF1144" s="4" t="s">
        <v>124</v>
      </c>
      <c r="CG1144" s="4" t="s">
        <v>124</v>
      </c>
      <c r="CH1144" s="4" t="s">
        <v>124</v>
      </c>
      <c r="CI1144" s="4" t="s">
        <v>124</v>
      </c>
      <c r="CJ1144" s="4" t="s">
        <v>124</v>
      </c>
      <c r="CK1144" s="4" t="s">
        <v>124</v>
      </c>
      <c r="CL1144" s="4" t="s">
        <v>124</v>
      </c>
      <c r="CM1144" s="4" t="s">
        <v>124</v>
      </c>
      <c r="CN1144" s="4" t="s">
        <v>124</v>
      </c>
      <c r="CO1144" s="4" t="s">
        <v>124</v>
      </c>
      <c r="CP1144" s="4" t="s">
        <v>124</v>
      </c>
      <c r="CQ1144" s="7">
        <v>0.703125</v>
      </c>
      <c r="CR1144" s="7">
        <v>1.04918</v>
      </c>
      <c r="CS1144" s="7">
        <v>46.875</v>
      </c>
      <c r="CT1144" s="7">
        <v>50</v>
      </c>
      <c r="CU1144" s="4" t="s">
        <v>124</v>
      </c>
      <c r="CV1144" s="4" t="s">
        <v>124</v>
      </c>
      <c r="CW1144" s="4" t="s">
        <v>124</v>
      </c>
      <c r="CX1144" s="4" t="s">
        <v>124</v>
      </c>
      <c r="CY1144" s="4" t="s">
        <v>124</v>
      </c>
      <c r="CZ1144" s="4" t="s">
        <v>124</v>
      </c>
      <c r="DA1144" s="7">
        <v>15.314097</v>
      </c>
      <c r="DB1144" s="7">
        <v>17.400950000000002</v>
      </c>
      <c r="DC1144" s="7">
        <v>16.332519999999999</v>
      </c>
      <c r="DD1144" s="4" t="s">
        <v>124</v>
      </c>
      <c r="DE1144" s="7">
        <v>0</v>
      </c>
      <c r="DF1144" s="6"/>
      <c r="DG1144" s="6"/>
      <c r="DH1144" s="6"/>
      <c r="DI1144" s="6"/>
      <c r="DJ1144" s="7">
        <v>0</v>
      </c>
      <c r="DK1144" s="7">
        <v>0</v>
      </c>
      <c r="DL1144" s="7">
        <v>0</v>
      </c>
      <c r="DM1144" s="7">
        <v>0</v>
      </c>
      <c r="DN1144" s="7">
        <v>0</v>
      </c>
      <c r="DO1144" s="7">
        <v>0</v>
      </c>
      <c r="DP1144" s="6"/>
      <c r="DQ1144" s="4" t="s">
        <v>125</v>
      </c>
    </row>
    <row r="1145" spans="1:121" ht="20" customHeight="1" x14ac:dyDescent="0.15">
      <c r="A1145" s="5">
        <v>2018</v>
      </c>
      <c r="B1145" s="3" t="s">
        <v>248</v>
      </c>
      <c r="C1145" s="4" t="str">
        <f t="shared" si="286"/>
        <v>2410014</v>
      </c>
      <c r="D1145" s="4" t="s">
        <v>1290</v>
      </c>
      <c r="E1145" s="4" t="str">
        <f>"2410114"</f>
        <v>2410114</v>
      </c>
      <c r="F1145" s="4" t="s">
        <v>1283</v>
      </c>
      <c r="G1145" s="4" t="s">
        <v>328</v>
      </c>
      <c r="H1145" s="7">
        <v>5</v>
      </c>
      <c r="I1145" s="4" t="s">
        <v>335</v>
      </c>
      <c r="J1145" s="4" t="s">
        <v>330</v>
      </c>
      <c r="K1145" s="7">
        <v>613.20522000000005</v>
      </c>
      <c r="L1145" s="7">
        <v>950</v>
      </c>
      <c r="M1145" s="7">
        <v>64.547917999999996</v>
      </c>
      <c r="N1145" s="7">
        <v>3</v>
      </c>
      <c r="O1145" s="7">
        <v>1</v>
      </c>
      <c r="P1145" s="7">
        <v>67.840312999999995</v>
      </c>
      <c r="Q1145" s="7">
        <v>45.226875999999997</v>
      </c>
      <c r="R1145" s="7">
        <v>50</v>
      </c>
      <c r="S1145" s="7">
        <v>58.751448000000003</v>
      </c>
      <c r="T1145" s="7">
        <v>75</v>
      </c>
      <c r="U1145" s="7">
        <v>39.167631999999998</v>
      </c>
      <c r="V1145" s="7">
        <v>50</v>
      </c>
      <c r="W1145" s="7">
        <v>59.628309000000002</v>
      </c>
      <c r="X1145" s="7">
        <v>39.752206000000001</v>
      </c>
      <c r="Y1145" s="7">
        <v>50</v>
      </c>
      <c r="Z1145" s="7">
        <v>75</v>
      </c>
      <c r="AA1145" s="7">
        <v>49.557389000000001</v>
      </c>
      <c r="AB1145" s="7">
        <v>33.038258999999996</v>
      </c>
      <c r="AC1145" s="7">
        <v>50</v>
      </c>
      <c r="AD1145" s="7">
        <v>61.764828000000001</v>
      </c>
      <c r="AE1145" s="7">
        <v>41.176552000000001</v>
      </c>
      <c r="AF1145" s="7">
        <v>50</v>
      </c>
      <c r="AG1145" s="7">
        <v>52.245775999999999</v>
      </c>
      <c r="AH1145" s="7">
        <v>75</v>
      </c>
      <c r="AI1145" s="7">
        <v>34.830517</v>
      </c>
      <c r="AJ1145" s="7">
        <v>50</v>
      </c>
      <c r="AK1145" s="7">
        <v>16.239999999999998</v>
      </c>
      <c r="AL1145" s="7">
        <v>25.44</v>
      </c>
      <c r="AM1145" s="7">
        <v>22.75</v>
      </c>
      <c r="AN1145" s="7">
        <v>0.65958099999999997</v>
      </c>
      <c r="AO1145" s="7">
        <v>65.958118999999996</v>
      </c>
      <c r="AP1145" s="7">
        <v>100</v>
      </c>
      <c r="AQ1145" s="7">
        <v>0.41719299999999998</v>
      </c>
      <c r="AR1145" s="7">
        <v>41.719318000000001</v>
      </c>
      <c r="AS1145" s="7">
        <v>100</v>
      </c>
      <c r="AT1145" s="7">
        <v>0.61795599999999995</v>
      </c>
      <c r="AU1145" s="7">
        <v>0.72201899999999997</v>
      </c>
      <c r="AV1145" s="7">
        <v>61.795566000000001</v>
      </c>
      <c r="AW1145" s="7">
        <v>100</v>
      </c>
      <c r="AX1145" s="7">
        <v>0.34107900000000002</v>
      </c>
      <c r="AY1145" s="7">
        <v>0.53136399999999995</v>
      </c>
      <c r="AZ1145" s="7">
        <v>34.107928999999999</v>
      </c>
      <c r="BA1145" s="7">
        <v>100</v>
      </c>
      <c r="BB1145" s="7">
        <v>0.79261899999999996</v>
      </c>
      <c r="BC1145" s="7">
        <v>39.630960999999999</v>
      </c>
      <c r="BD1145" s="7">
        <v>50</v>
      </c>
      <c r="BE1145" s="7">
        <v>0.51129199999999997</v>
      </c>
      <c r="BF1145" s="7">
        <v>25.564584</v>
      </c>
      <c r="BG1145" s="7">
        <v>50</v>
      </c>
      <c r="BH1145" s="7">
        <v>0</v>
      </c>
      <c r="BI1145" s="7">
        <v>1</v>
      </c>
      <c r="BJ1145" s="7">
        <v>1</v>
      </c>
      <c r="BK1145" s="7">
        <v>1</v>
      </c>
      <c r="BL1145" s="7">
        <v>1</v>
      </c>
      <c r="BM1145" s="7">
        <v>1</v>
      </c>
      <c r="BN1145" s="7">
        <v>1</v>
      </c>
      <c r="BO1145" s="7">
        <v>1</v>
      </c>
      <c r="BP1145" s="7">
        <v>1</v>
      </c>
      <c r="BQ1145" s="7">
        <v>1</v>
      </c>
      <c r="BR1145" s="7">
        <v>0.109375</v>
      </c>
      <c r="BS1145" s="7">
        <v>38.125</v>
      </c>
      <c r="BT1145" s="7">
        <v>50</v>
      </c>
      <c r="BU1145" s="7">
        <v>0.15319099999999999</v>
      </c>
      <c r="BV1145" s="7">
        <v>29.361702000000001</v>
      </c>
      <c r="BW1145" s="7">
        <v>50</v>
      </c>
      <c r="BX1145" s="4" t="s">
        <v>124</v>
      </c>
      <c r="BY1145" s="4" t="s">
        <v>124</v>
      </c>
      <c r="BZ1145" s="4" t="s">
        <v>124</v>
      </c>
      <c r="CA1145" s="4" t="s">
        <v>124</v>
      </c>
      <c r="CB1145" s="4" t="s">
        <v>124</v>
      </c>
      <c r="CC1145" s="4" t="s">
        <v>124</v>
      </c>
      <c r="CD1145" s="4" t="s">
        <v>124</v>
      </c>
      <c r="CE1145" s="4" t="s">
        <v>124</v>
      </c>
      <c r="CF1145" s="4" t="s">
        <v>124</v>
      </c>
      <c r="CG1145" s="4" t="s">
        <v>124</v>
      </c>
      <c r="CH1145" s="4" t="s">
        <v>124</v>
      </c>
      <c r="CI1145" s="4" t="s">
        <v>124</v>
      </c>
      <c r="CJ1145" s="4" t="s">
        <v>124</v>
      </c>
      <c r="CK1145" s="4" t="s">
        <v>124</v>
      </c>
      <c r="CL1145" s="4" t="s">
        <v>124</v>
      </c>
      <c r="CM1145" s="4" t="s">
        <v>124</v>
      </c>
      <c r="CN1145" s="4" t="s">
        <v>124</v>
      </c>
      <c r="CO1145" s="4" t="s">
        <v>124</v>
      </c>
      <c r="CP1145" s="4" t="s">
        <v>124</v>
      </c>
      <c r="CQ1145" s="7">
        <v>0.65625</v>
      </c>
      <c r="CR1145" s="7">
        <v>0.98461500000000002</v>
      </c>
      <c r="CS1145" s="7">
        <v>43.75</v>
      </c>
      <c r="CT1145" s="7">
        <v>50</v>
      </c>
      <c r="CU1145" s="4" t="s">
        <v>124</v>
      </c>
      <c r="CV1145" s="4" t="s">
        <v>124</v>
      </c>
      <c r="CW1145" s="4" t="s">
        <v>124</v>
      </c>
      <c r="CX1145" s="4" t="s">
        <v>124</v>
      </c>
      <c r="CY1145" s="4" t="s">
        <v>124</v>
      </c>
      <c r="CZ1145" s="4" t="s">
        <v>124</v>
      </c>
      <c r="DA1145" s="7">
        <v>15.314097</v>
      </c>
      <c r="DB1145" s="7">
        <v>17.400950000000002</v>
      </c>
      <c r="DC1145" s="7">
        <v>16.332519999999999</v>
      </c>
      <c r="DD1145" s="4" t="s">
        <v>124</v>
      </c>
      <c r="DE1145" s="7">
        <v>1</v>
      </c>
      <c r="DF1145" s="6"/>
      <c r="DG1145" s="6"/>
      <c r="DH1145" s="6"/>
      <c r="DI1145" s="6"/>
      <c r="DJ1145" s="7">
        <v>0</v>
      </c>
      <c r="DK1145" s="7">
        <v>0</v>
      </c>
      <c r="DL1145" s="7">
        <v>0</v>
      </c>
      <c r="DM1145" s="7">
        <v>0</v>
      </c>
      <c r="DN1145" s="7">
        <v>0</v>
      </c>
      <c r="DO1145" s="7">
        <v>0</v>
      </c>
      <c r="DP1145" s="6"/>
      <c r="DQ1145" s="4" t="s">
        <v>125</v>
      </c>
    </row>
    <row r="1146" spans="1:121" ht="20" customHeight="1" x14ac:dyDescent="0.15">
      <c r="A1146" s="5">
        <v>2018</v>
      </c>
      <c r="B1146" s="3" t="s">
        <v>248</v>
      </c>
      <c r="C1146" s="4" t="str">
        <f t="shared" si="286"/>
        <v>2410014</v>
      </c>
      <c r="D1146" s="4" t="s">
        <v>1291</v>
      </c>
      <c r="E1146" s="4" t="str">
        <f>"2416414"</f>
        <v>2416414</v>
      </c>
      <c r="F1146" s="4" t="s">
        <v>1283</v>
      </c>
      <c r="G1146" s="7">
        <v>9</v>
      </c>
      <c r="H1146" s="7">
        <v>12</v>
      </c>
      <c r="I1146" s="4" t="s">
        <v>335</v>
      </c>
      <c r="J1146" s="4" t="s">
        <v>330</v>
      </c>
      <c r="K1146" s="7">
        <v>910.19835399999999</v>
      </c>
      <c r="L1146" s="7">
        <v>1450</v>
      </c>
      <c r="M1146" s="7">
        <v>62.772300000000001</v>
      </c>
      <c r="N1146" s="7">
        <v>3</v>
      </c>
      <c r="O1146" s="7">
        <v>1</v>
      </c>
      <c r="P1146" s="7">
        <v>52.241100000000003</v>
      </c>
      <c r="Q1146" s="7">
        <v>104.482201</v>
      </c>
      <c r="R1146" s="7">
        <v>150</v>
      </c>
      <c r="S1146" s="7">
        <v>44.709676999999999</v>
      </c>
      <c r="T1146" s="7">
        <v>63.630080999999997</v>
      </c>
      <c r="U1146" s="7">
        <v>89.419354999999996</v>
      </c>
      <c r="V1146" s="7">
        <v>150</v>
      </c>
      <c r="W1146" s="7">
        <v>44.017798999999997</v>
      </c>
      <c r="X1146" s="7">
        <v>88.035599000000005</v>
      </c>
      <c r="Y1146" s="7">
        <v>150</v>
      </c>
      <c r="Z1146" s="7">
        <v>51.378048999999997</v>
      </c>
      <c r="AA1146" s="7">
        <v>39.150537999999997</v>
      </c>
      <c r="AB1146" s="7">
        <v>78.301074999999997</v>
      </c>
      <c r="AC1146" s="7">
        <v>150</v>
      </c>
      <c r="AD1146" s="7">
        <v>52.126269999999998</v>
      </c>
      <c r="AE1146" s="7">
        <v>69.501693000000003</v>
      </c>
      <c r="AF1146" s="7">
        <v>100</v>
      </c>
      <c r="AG1146" s="7">
        <v>45.835503000000003</v>
      </c>
      <c r="AH1146" s="7">
        <v>62.099437000000002</v>
      </c>
      <c r="AI1146" s="7">
        <v>61.114004000000001</v>
      </c>
      <c r="AJ1146" s="7">
        <v>100</v>
      </c>
      <c r="AK1146" s="7">
        <v>18.920000000000002</v>
      </c>
      <c r="AL1146" s="7">
        <v>12.22</v>
      </c>
      <c r="AM1146" s="7">
        <v>16.260000000000002</v>
      </c>
      <c r="AN1146" s="4" t="s">
        <v>124</v>
      </c>
      <c r="AO1146" s="4" t="s">
        <v>124</v>
      </c>
      <c r="AP1146" s="4" t="s">
        <v>124</v>
      </c>
      <c r="AQ1146" s="4" t="s">
        <v>124</v>
      </c>
      <c r="AR1146" s="4" t="s">
        <v>124</v>
      </c>
      <c r="AS1146" s="4" t="s">
        <v>124</v>
      </c>
      <c r="AT1146" s="4" t="s">
        <v>124</v>
      </c>
      <c r="AU1146" s="4" t="s">
        <v>124</v>
      </c>
      <c r="AV1146" s="4" t="s">
        <v>124</v>
      </c>
      <c r="AW1146" s="4" t="s">
        <v>124</v>
      </c>
      <c r="AX1146" s="4" t="s">
        <v>124</v>
      </c>
      <c r="AY1146" s="4" t="s">
        <v>124</v>
      </c>
      <c r="AZ1146" s="4" t="s">
        <v>124</v>
      </c>
      <c r="BA1146" s="4" t="s">
        <v>124</v>
      </c>
      <c r="BB1146" s="4" t="s">
        <v>124</v>
      </c>
      <c r="BC1146" s="4" t="s">
        <v>124</v>
      </c>
      <c r="BD1146" s="4" t="s">
        <v>124</v>
      </c>
      <c r="BE1146" s="4" t="s">
        <v>124</v>
      </c>
      <c r="BF1146" s="4" t="s">
        <v>124</v>
      </c>
      <c r="BG1146" s="4" t="s">
        <v>124</v>
      </c>
      <c r="BH1146" s="7">
        <v>1</v>
      </c>
      <c r="BI1146" s="7">
        <v>0.95412799999999998</v>
      </c>
      <c r="BJ1146" s="7">
        <v>0.925373</v>
      </c>
      <c r="BK1146" s="7">
        <v>1</v>
      </c>
      <c r="BL1146" s="7">
        <v>0.95412799999999998</v>
      </c>
      <c r="BM1146" s="7">
        <v>0.925373</v>
      </c>
      <c r="BN1146" s="7">
        <v>1</v>
      </c>
      <c r="BO1146" s="7">
        <v>0.98165100000000005</v>
      </c>
      <c r="BP1146" s="7">
        <v>0.97014900000000004</v>
      </c>
      <c r="BQ1146" s="7">
        <v>1</v>
      </c>
      <c r="BR1146" s="7">
        <v>0.42191099999999998</v>
      </c>
      <c r="BS1146" s="7">
        <v>0</v>
      </c>
      <c r="BT1146" s="7">
        <v>50</v>
      </c>
      <c r="BU1146" s="7">
        <v>0.50365000000000004</v>
      </c>
      <c r="BV1146" s="7">
        <v>0</v>
      </c>
      <c r="BW1146" s="7">
        <v>50</v>
      </c>
      <c r="BX1146" s="7">
        <v>0.41062799999999999</v>
      </c>
      <c r="BY1146" s="7">
        <v>27.375201000000001</v>
      </c>
      <c r="BZ1146" s="7">
        <v>50</v>
      </c>
      <c r="CA1146" s="7">
        <v>0.27053100000000002</v>
      </c>
      <c r="CB1146" s="7">
        <v>18.035426999999999</v>
      </c>
      <c r="CC1146" s="7">
        <v>50</v>
      </c>
      <c r="CD1146" s="7">
        <v>0.97368399999999999</v>
      </c>
      <c r="CE1146" s="7">
        <v>50</v>
      </c>
      <c r="CF1146" s="7">
        <v>50</v>
      </c>
      <c r="CG1146" s="7">
        <v>0.95412799999999998</v>
      </c>
      <c r="CH1146" s="7">
        <v>100</v>
      </c>
      <c r="CI1146" s="7">
        <v>100</v>
      </c>
      <c r="CJ1146" s="7">
        <v>0</v>
      </c>
      <c r="CK1146" s="7">
        <v>0.92307700000000004</v>
      </c>
      <c r="CL1146" s="7">
        <v>98.199673000000004</v>
      </c>
      <c r="CM1146" s="7">
        <v>100</v>
      </c>
      <c r="CN1146" s="7">
        <v>0.55238100000000001</v>
      </c>
      <c r="CO1146" s="7">
        <v>73.650794000000005</v>
      </c>
      <c r="CP1146" s="7">
        <v>100</v>
      </c>
      <c r="CQ1146" s="7">
        <v>6.25E-2</v>
      </c>
      <c r="CR1146" s="7">
        <v>0.74074099999999998</v>
      </c>
      <c r="CS1146" s="7">
        <v>2.0833330000000001</v>
      </c>
      <c r="CT1146" s="7">
        <v>50</v>
      </c>
      <c r="CU1146" s="7">
        <v>0.99533799999999995</v>
      </c>
      <c r="CV1146" s="7">
        <v>50</v>
      </c>
      <c r="CW1146" s="7">
        <v>50</v>
      </c>
      <c r="CX1146" s="7">
        <v>0.92307700000000004</v>
      </c>
      <c r="CY1146" s="7">
        <v>0.92105300000000001</v>
      </c>
      <c r="CZ1146" s="7">
        <v>-2.0240000000000002E-3</v>
      </c>
      <c r="DA1146" s="7">
        <v>15.314097</v>
      </c>
      <c r="DB1146" s="7">
        <v>17.400950000000002</v>
      </c>
      <c r="DC1146" s="7">
        <v>16.332519999999999</v>
      </c>
      <c r="DD1146" s="7">
        <v>7.9891730000000001</v>
      </c>
      <c r="DE1146" s="7">
        <v>1</v>
      </c>
      <c r="DF1146" s="6"/>
      <c r="DG1146" s="6"/>
      <c r="DH1146" s="6"/>
      <c r="DI1146" s="6"/>
      <c r="DJ1146" s="7">
        <v>0</v>
      </c>
      <c r="DK1146" s="7">
        <v>0</v>
      </c>
      <c r="DL1146" s="7">
        <v>0</v>
      </c>
      <c r="DM1146" s="7">
        <v>0</v>
      </c>
      <c r="DN1146" s="7">
        <v>0</v>
      </c>
      <c r="DO1146" s="7">
        <v>0</v>
      </c>
      <c r="DP1146" s="6"/>
      <c r="DQ1146" s="4" t="s">
        <v>125</v>
      </c>
    </row>
    <row r="1147" spans="1:121" ht="20" customHeight="1" x14ac:dyDescent="0.15">
      <c r="A1147" s="5">
        <v>2018</v>
      </c>
      <c r="B1147" s="3" t="s">
        <v>248</v>
      </c>
      <c r="C1147" s="4" t="str">
        <f t="shared" si="286"/>
        <v>2410014</v>
      </c>
      <c r="D1147" s="4" t="s">
        <v>1292</v>
      </c>
      <c r="E1147" s="4" t="str">
        <f>"2415314"</f>
        <v>2415314</v>
      </c>
      <c r="F1147" s="4" t="s">
        <v>1283</v>
      </c>
      <c r="G1147" s="7">
        <v>6</v>
      </c>
      <c r="H1147" s="7">
        <v>8</v>
      </c>
      <c r="I1147" s="4" t="s">
        <v>335</v>
      </c>
      <c r="J1147" s="4" t="s">
        <v>330</v>
      </c>
      <c r="K1147" s="7">
        <v>469.21818999999999</v>
      </c>
      <c r="L1147" s="7">
        <v>900</v>
      </c>
      <c r="M1147" s="7">
        <v>52.135354</v>
      </c>
      <c r="N1147" s="7">
        <v>3</v>
      </c>
      <c r="O1147" s="7">
        <v>1</v>
      </c>
      <c r="P1147" s="7">
        <v>58.266204000000002</v>
      </c>
      <c r="Q1147" s="7">
        <v>38.844135999999999</v>
      </c>
      <c r="R1147" s="7">
        <v>50</v>
      </c>
      <c r="S1147" s="7">
        <v>52.571319000000003</v>
      </c>
      <c r="T1147" s="7">
        <v>74.985802000000007</v>
      </c>
      <c r="U1147" s="7">
        <v>35.047545999999997</v>
      </c>
      <c r="V1147" s="7">
        <v>50</v>
      </c>
      <c r="W1147" s="7">
        <v>48.760142000000002</v>
      </c>
      <c r="X1147" s="7">
        <v>32.506760999999997</v>
      </c>
      <c r="Y1147" s="7">
        <v>50</v>
      </c>
      <c r="Z1147" s="7">
        <v>65.349005000000005</v>
      </c>
      <c r="AA1147" s="7">
        <v>43.029443999999998</v>
      </c>
      <c r="AB1147" s="7">
        <v>28.686295999999999</v>
      </c>
      <c r="AC1147" s="7">
        <v>50</v>
      </c>
      <c r="AD1147" s="7">
        <v>54.25752</v>
      </c>
      <c r="AE1147" s="7">
        <v>36.171680000000002</v>
      </c>
      <c r="AF1147" s="7">
        <v>50</v>
      </c>
      <c r="AG1147" s="7">
        <v>46.902025000000002</v>
      </c>
      <c r="AH1147" s="7">
        <v>69.205783999999994</v>
      </c>
      <c r="AI1147" s="7">
        <v>31.268017</v>
      </c>
      <c r="AJ1147" s="7">
        <v>50</v>
      </c>
      <c r="AK1147" s="7">
        <v>22.41</v>
      </c>
      <c r="AL1147" s="7">
        <v>22.31</v>
      </c>
      <c r="AM1147" s="7">
        <v>22.3</v>
      </c>
      <c r="AN1147" s="7">
        <v>0.42276000000000002</v>
      </c>
      <c r="AO1147" s="7">
        <v>42.276010999999997</v>
      </c>
      <c r="AP1147" s="7">
        <v>100</v>
      </c>
      <c r="AQ1147" s="7">
        <v>0.434867</v>
      </c>
      <c r="AR1147" s="7">
        <v>43.486713000000002</v>
      </c>
      <c r="AS1147" s="7">
        <v>100</v>
      </c>
      <c r="AT1147" s="7">
        <v>0.38941199999999998</v>
      </c>
      <c r="AU1147" s="7">
        <v>0.51562699999999995</v>
      </c>
      <c r="AV1147" s="7">
        <v>38.941245000000002</v>
      </c>
      <c r="AW1147" s="7">
        <v>100</v>
      </c>
      <c r="AX1147" s="7">
        <v>0.40041500000000002</v>
      </c>
      <c r="AY1147" s="7">
        <v>0.52806399999999998</v>
      </c>
      <c r="AZ1147" s="7">
        <v>40.041522000000001</v>
      </c>
      <c r="BA1147" s="7">
        <v>100</v>
      </c>
      <c r="BB1147" s="4" t="s">
        <v>124</v>
      </c>
      <c r="BC1147" s="4" t="s">
        <v>124</v>
      </c>
      <c r="BD1147" s="4" t="s">
        <v>124</v>
      </c>
      <c r="BE1147" s="4" t="s">
        <v>124</v>
      </c>
      <c r="BF1147" s="4" t="s">
        <v>124</v>
      </c>
      <c r="BG1147" s="4" t="s">
        <v>124</v>
      </c>
      <c r="BH1147" s="7">
        <v>1</v>
      </c>
      <c r="BI1147" s="7">
        <v>0.94769199999999998</v>
      </c>
      <c r="BJ1147" s="7">
        <v>0.96234299999999995</v>
      </c>
      <c r="BK1147" s="7">
        <v>0.90697700000000003</v>
      </c>
      <c r="BL1147" s="7">
        <v>0.91384600000000005</v>
      </c>
      <c r="BM1147" s="7">
        <v>0.92468600000000001</v>
      </c>
      <c r="BN1147" s="7">
        <v>0.88372099999999998</v>
      </c>
      <c r="BO1147" s="7">
        <v>0.94</v>
      </c>
      <c r="BP1147" s="7">
        <v>0.95454499999999998</v>
      </c>
      <c r="BQ1147" s="7">
        <v>0.91176500000000005</v>
      </c>
      <c r="BR1147" s="7">
        <v>0.191358</v>
      </c>
      <c r="BS1147" s="7">
        <v>21.728394999999999</v>
      </c>
      <c r="BT1147" s="7">
        <v>50</v>
      </c>
      <c r="BU1147" s="7">
        <v>0.23109199999999999</v>
      </c>
      <c r="BV1147" s="7">
        <v>13.781513</v>
      </c>
      <c r="BW1147" s="7">
        <v>50</v>
      </c>
      <c r="BX1147" s="4" t="s">
        <v>124</v>
      </c>
      <c r="BY1147" s="4" t="s">
        <v>124</v>
      </c>
      <c r="BZ1147" s="4" t="s">
        <v>124</v>
      </c>
      <c r="CA1147" s="4" t="s">
        <v>124</v>
      </c>
      <c r="CB1147" s="4" t="s">
        <v>124</v>
      </c>
      <c r="CC1147" s="4" t="s">
        <v>124</v>
      </c>
      <c r="CD1147" s="7">
        <v>0.953704</v>
      </c>
      <c r="CE1147" s="7">
        <v>50</v>
      </c>
      <c r="CF1147" s="7">
        <v>50</v>
      </c>
      <c r="CG1147" s="4" t="s">
        <v>124</v>
      </c>
      <c r="CH1147" s="4" t="s">
        <v>124</v>
      </c>
      <c r="CI1147" s="4" t="s">
        <v>124</v>
      </c>
      <c r="CJ1147" s="4" t="s">
        <v>124</v>
      </c>
      <c r="CK1147" s="4" t="s">
        <v>124</v>
      </c>
      <c r="CL1147" s="4" t="s">
        <v>124</v>
      </c>
      <c r="CM1147" s="4" t="s">
        <v>124</v>
      </c>
      <c r="CN1147" s="4" t="s">
        <v>124</v>
      </c>
      <c r="CO1147" s="4" t="s">
        <v>124</v>
      </c>
      <c r="CP1147" s="4" t="s">
        <v>124</v>
      </c>
      <c r="CQ1147" s="7">
        <v>0.24657499999999999</v>
      </c>
      <c r="CR1147" s="7">
        <v>0.99545499999999998</v>
      </c>
      <c r="CS1147" s="7">
        <v>16.438355999999999</v>
      </c>
      <c r="CT1147" s="7">
        <v>50</v>
      </c>
      <c r="CU1147" s="4" t="s">
        <v>124</v>
      </c>
      <c r="CV1147" s="4" t="s">
        <v>124</v>
      </c>
      <c r="CW1147" s="4" t="s">
        <v>124</v>
      </c>
      <c r="CX1147" s="4" t="s">
        <v>124</v>
      </c>
      <c r="CY1147" s="4" t="s">
        <v>124</v>
      </c>
      <c r="CZ1147" s="4" t="s">
        <v>124</v>
      </c>
      <c r="DA1147" s="7">
        <v>15.314097</v>
      </c>
      <c r="DB1147" s="7">
        <v>17.400950000000002</v>
      </c>
      <c r="DC1147" s="7">
        <v>16.332519999999999</v>
      </c>
      <c r="DD1147" s="4" t="s">
        <v>124</v>
      </c>
      <c r="DE1147" s="7">
        <v>1</v>
      </c>
      <c r="DF1147" s="6"/>
      <c r="DG1147" s="6"/>
      <c r="DH1147" s="6"/>
      <c r="DI1147" s="6"/>
      <c r="DJ1147" s="7">
        <v>0</v>
      </c>
      <c r="DK1147" s="7">
        <v>0</v>
      </c>
      <c r="DL1147" s="7">
        <v>0</v>
      </c>
      <c r="DM1147" s="7">
        <v>0</v>
      </c>
      <c r="DN1147" s="7">
        <v>0</v>
      </c>
      <c r="DO1147" s="7">
        <v>0</v>
      </c>
      <c r="DP1147" s="6"/>
      <c r="DQ1147" s="4" t="s">
        <v>125</v>
      </c>
    </row>
    <row r="1148" spans="1:121" ht="20" customHeight="1" x14ac:dyDescent="0.15">
      <c r="A1148" s="5">
        <v>2018</v>
      </c>
      <c r="B1148" s="3" t="s">
        <v>248</v>
      </c>
      <c r="C1148" s="4" t="str">
        <f>"2410014"</f>
        <v>2410014</v>
      </c>
      <c r="D1148" s="4" t="s">
        <v>1293</v>
      </c>
      <c r="E1148" s="4" t="str">
        <f>"2410414"</f>
        <v>2410414</v>
      </c>
      <c r="F1148" s="4" t="s">
        <v>1283</v>
      </c>
      <c r="G1148" s="4" t="s">
        <v>328</v>
      </c>
      <c r="H1148" s="7">
        <v>5</v>
      </c>
      <c r="I1148" s="4" t="s">
        <v>335</v>
      </c>
      <c r="J1148" s="4" t="s">
        <v>330</v>
      </c>
      <c r="K1148" s="7">
        <v>586.99392399999999</v>
      </c>
      <c r="L1148" s="7">
        <v>950</v>
      </c>
      <c r="M1148" s="7">
        <v>61.788834000000001</v>
      </c>
      <c r="N1148" s="7">
        <v>3</v>
      </c>
      <c r="O1148" s="7">
        <v>1</v>
      </c>
      <c r="P1148" s="7">
        <v>61.934888999999998</v>
      </c>
      <c r="Q1148" s="7">
        <v>41.289926000000001</v>
      </c>
      <c r="R1148" s="7">
        <v>50</v>
      </c>
      <c r="S1148" s="7">
        <v>57.114057000000003</v>
      </c>
      <c r="T1148" s="7">
        <v>75</v>
      </c>
      <c r="U1148" s="7">
        <v>38.076037999999997</v>
      </c>
      <c r="V1148" s="7">
        <v>50</v>
      </c>
      <c r="W1148" s="7">
        <v>59.052942999999999</v>
      </c>
      <c r="X1148" s="7">
        <v>39.368628999999999</v>
      </c>
      <c r="Y1148" s="7">
        <v>50</v>
      </c>
      <c r="Z1148" s="7">
        <v>73.143598999999995</v>
      </c>
      <c r="AA1148" s="7">
        <v>53.897824999999997</v>
      </c>
      <c r="AB1148" s="7">
        <v>35.931882999999999</v>
      </c>
      <c r="AC1148" s="7">
        <v>50</v>
      </c>
      <c r="AD1148" s="7">
        <v>55.007885000000002</v>
      </c>
      <c r="AE1148" s="7">
        <v>36.671923999999997</v>
      </c>
      <c r="AF1148" s="7">
        <v>50</v>
      </c>
      <c r="AG1148" s="7">
        <v>51.905017999999998</v>
      </c>
      <c r="AH1148" s="4" t="s">
        <v>124</v>
      </c>
      <c r="AI1148" s="7">
        <v>34.603344999999997</v>
      </c>
      <c r="AJ1148" s="7">
        <v>50</v>
      </c>
      <c r="AK1148" s="7">
        <v>17.88</v>
      </c>
      <c r="AL1148" s="7">
        <v>19.239999999999998</v>
      </c>
      <c r="AM1148" s="4" t="s">
        <v>124</v>
      </c>
      <c r="AN1148" s="7">
        <v>0.56491499999999994</v>
      </c>
      <c r="AO1148" s="7">
        <v>56.491539000000003</v>
      </c>
      <c r="AP1148" s="7">
        <v>100</v>
      </c>
      <c r="AQ1148" s="7">
        <v>0.52888599999999997</v>
      </c>
      <c r="AR1148" s="7">
        <v>52.888620000000003</v>
      </c>
      <c r="AS1148" s="7">
        <v>100</v>
      </c>
      <c r="AT1148" s="7">
        <v>0.54780700000000004</v>
      </c>
      <c r="AU1148" s="7">
        <v>0.60768599999999995</v>
      </c>
      <c r="AV1148" s="7">
        <v>54.780726999999999</v>
      </c>
      <c r="AW1148" s="7">
        <v>100</v>
      </c>
      <c r="AX1148" s="7">
        <v>0.52883800000000003</v>
      </c>
      <c r="AY1148" s="7">
        <v>0.52900499999999995</v>
      </c>
      <c r="AZ1148" s="7">
        <v>52.883817999999998</v>
      </c>
      <c r="BA1148" s="7">
        <v>100</v>
      </c>
      <c r="BB1148" s="7">
        <v>0.89463800000000004</v>
      </c>
      <c r="BC1148" s="7">
        <v>44.731906000000002</v>
      </c>
      <c r="BD1148" s="7">
        <v>50</v>
      </c>
      <c r="BE1148" s="7">
        <v>0.61492000000000002</v>
      </c>
      <c r="BF1148" s="7">
        <v>30.746015</v>
      </c>
      <c r="BG1148" s="7">
        <v>50</v>
      </c>
      <c r="BH1148" s="7">
        <v>0</v>
      </c>
      <c r="BI1148" s="7">
        <v>0.97687900000000005</v>
      </c>
      <c r="BJ1148" s="7">
        <v>0.98412699999999997</v>
      </c>
      <c r="BK1148" s="7">
        <v>0.95744700000000005</v>
      </c>
      <c r="BL1148" s="7">
        <v>0.97109800000000002</v>
      </c>
      <c r="BM1148" s="7">
        <v>0.97619</v>
      </c>
      <c r="BN1148" s="7">
        <v>0.95744700000000005</v>
      </c>
      <c r="BO1148" s="7">
        <v>0.97826100000000005</v>
      </c>
      <c r="BP1148" s="7">
        <v>0.97297299999999998</v>
      </c>
      <c r="BQ1148" s="4" t="s">
        <v>124</v>
      </c>
      <c r="BR1148" s="7">
        <v>0.16208800000000001</v>
      </c>
      <c r="BS1148" s="7">
        <v>27.582418000000001</v>
      </c>
      <c r="BT1148" s="7">
        <v>50</v>
      </c>
      <c r="BU1148" s="7">
        <v>0.22026399999999999</v>
      </c>
      <c r="BV1148" s="7">
        <v>15.947137</v>
      </c>
      <c r="BW1148" s="7">
        <v>50</v>
      </c>
      <c r="BX1148" s="4" t="s">
        <v>124</v>
      </c>
      <c r="BY1148" s="4" t="s">
        <v>124</v>
      </c>
      <c r="BZ1148" s="4" t="s">
        <v>124</v>
      </c>
      <c r="CA1148" s="4" t="s">
        <v>124</v>
      </c>
      <c r="CB1148" s="4" t="s">
        <v>124</v>
      </c>
      <c r="CC1148" s="4" t="s">
        <v>124</v>
      </c>
      <c r="CD1148" s="4" t="s">
        <v>124</v>
      </c>
      <c r="CE1148" s="4" t="s">
        <v>124</v>
      </c>
      <c r="CF1148" s="4" t="s">
        <v>124</v>
      </c>
      <c r="CG1148" s="4" t="s">
        <v>124</v>
      </c>
      <c r="CH1148" s="4" t="s">
        <v>124</v>
      </c>
      <c r="CI1148" s="4" t="s">
        <v>124</v>
      </c>
      <c r="CJ1148" s="4" t="s">
        <v>124</v>
      </c>
      <c r="CK1148" s="4" t="s">
        <v>124</v>
      </c>
      <c r="CL1148" s="4" t="s">
        <v>124</v>
      </c>
      <c r="CM1148" s="4" t="s">
        <v>124</v>
      </c>
      <c r="CN1148" s="4" t="s">
        <v>124</v>
      </c>
      <c r="CO1148" s="4" t="s">
        <v>124</v>
      </c>
      <c r="CP1148" s="4" t="s">
        <v>124</v>
      </c>
      <c r="CQ1148" s="7">
        <v>0.375</v>
      </c>
      <c r="CR1148" s="7">
        <v>1.0322579999999999</v>
      </c>
      <c r="CS1148" s="7">
        <v>25</v>
      </c>
      <c r="CT1148" s="7">
        <v>50</v>
      </c>
      <c r="CU1148" s="4" t="s">
        <v>124</v>
      </c>
      <c r="CV1148" s="4" t="s">
        <v>124</v>
      </c>
      <c r="CW1148" s="4" t="s">
        <v>124</v>
      </c>
      <c r="CX1148" s="4" t="s">
        <v>124</v>
      </c>
      <c r="CY1148" s="4" t="s">
        <v>124</v>
      </c>
      <c r="CZ1148" s="4" t="s">
        <v>124</v>
      </c>
      <c r="DA1148" s="7">
        <v>15.314097</v>
      </c>
      <c r="DB1148" s="7">
        <v>17.400950000000002</v>
      </c>
      <c r="DC1148" s="7">
        <v>16.332519999999999</v>
      </c>
      <c r="DD1148" s="4" t="s">
        <v>124</v>
      </c>
      <c r="DE1148" s="7">
        <v>1</v>
      </c>
      <c r="DF1148" s="6"/>
      <c r="DG1148" s="6"/>
      <c r="DH1148" s="6"/>
      <c r="DI1148" s="6"/>
      <c r="DJ1148" s="7">
        <v>0</v>
      </c>
      <c r="DK1148" s="7">
        <v>0</v>
      </c>
      <c r="DL1148" s="7">
        <v>0</v>
      </c>
      <c r="DM1148" s="7">
        <v>0</v>
      </c>
      <c r="DN1148" s="7">
        <v>0</v>
      </c>
      <c r="DO1148" s="7">
        <v>0</v>
      </c>
      <c r="DP1148" s="6"/>
      <c r="DQ1148" s="4" t="s">
        <v>125</v>
      </c>
    </row>
    <row r="1149" spans="1:121" ht="20" customHeight="1" x14ac:dyDescent="0.15">
      <c r="A1149" s="5">
        <v>2018</v>
      </c>
      <c r="B1149" s="3" t="s">
        <v>248</v>
      </c>
      <c r="C1149" s="4" t="str">
        <f t="shared" si="286"/>
        <v>2410014</v>
      </c>
      <c r="D1149" s="4" t="s">
        <v>1294</v>
      </c>
      <c r="E1149" s="4" t="str">
        <f>"2416114"</f>
        <v>2416114</v>
      </c>
      <c r="F1149" s="4" t="s">
        <v>1283</v>
      </c>
      <c r="G1149" s="7">
        <v>6</v>
      </c>
      <c r="H1149" s="7">
        <v>12</v>
      </c>
      <c r="I1149" s="4" t="s">
        <v>335</v>
      </c>
      <c r="J1149" s="4" t="s">
        <v>330</v>
      </c>
      <c r="K1149" s="7">
        <v>973.56028400000002</v>
      </c>
      <c r="L1149" s="7">
        <v>1350</v>
      </c>
      <c r="M1149" s="7">
        <v>72.115577000000002</v>
      </c>
      <c r="N1149" s="7">
        <v>2</v>
      </c>
      <c r="O1149" s="7">
        <v>0</v>
      </c>
      <c r="P1149" s="7">
        <v>63.680235000000003</v>
      </c>
      <c r="Q1149" s="7">
        <v>42.453490000000002</v>
      </c>
      <c r="R1149" s="7">
        <v>50</v>
      </c>
      <c r="S1149" s="7">
        <v>58.939658999999999</v>
      </c>
      <c r="T1149" s="7">
        <v>70.921972999999994</v>
      </c>
      <c r="U1149" s="7">
        <v>39.293106000000002</v>
      </c>
      <c r="V1149" s="7">
        <v>50</v>
      </c>
      <c r="W1149" s="7">
        <v>51.145302000000001</v>
      </c>
      <c r="X1149" s="7">
        <v>34.096868000000001</v>
      </c>
      <c r="Y1149" s="7">
        <v>50</v>
      </c>
      <c r="Z1149" s="7">
        <v>58.277473000000001</v>
      </c>
      <c r="AA1149" s="7">
        <v>46.476450999999997</v>
      </c>
      <c r="AB1149" s="7">
        <v>30.984300999999999</v>
      </c>
      <c r="AC1149" s="7">
        <v>50</v>
      </c>
      <c r="AD1149" s="7">
        <v>52.689031</v>
      </c>
      <c r="AE1149" s="7">
        <v>35.126021000000001</v>
      </c>
      <c r="AF1149" s="7">
        <v>50</v>
      </c>
      <c r="AG1149" s="7">
        <v>48.465282000000002</v>
      </c>
      <c r="AH1149" s="7">
        <v>58.338296</v>
      </c>
      <c r="AI1149" s="7">
        <v>32.310187999999997</v>
      </c>
      <c r="AJ1149" s="7">
        <v>50</v>
      </c>
      <c r="AK1149" s="7">
        <v>11.98</v>
      </c>
      <c r="AL1149" s="7">
        <v>11.8</v>
      </c>
      <c r="AM1149" s="7">
        <v>9.8699999999999992</v>
      </c>
      <c r="AN1149" s="7">
        <v>0.51257699999999995</v>
      </c>
      <c r="AO1149" s="7">
        <v>51.257665000000003</v>
      </c>
      <c r="AP1149" s="7">
        <v>100</v>
      </c>
      <c r="AQ1149" s="7">
        <v>0.40307399999999999</v>
      </c>
      <c r="AR1149" s="7">
        <v>40.307429999999997</v>
      </c>
      <c r="AS1149" s="7">
        <v>100</v>
      </c>
      <c r="AT1149" s="7">
        <v>0.49289699999999997</v>
      </c>
      <c r="AU1149" s="7">
        <v>0.54722700000000002</v>
      </c>
      <c r="AV1149" s="7">
        <v>49.289684000000001</v>
      </c>
      <c r="AW1149" s="7">
        <v>100</v>
      </c>
      <c r="AX1149" s="7">
        <v>0.389378</v>
      </c>
      <c r="AY1149" s="7">
        <v>0.426869</v>
      </c>
      <c r="AZ1149" s="7">
        <v>38.937758000000002</v>
      </c>
      <c r="BA1149" s="7">
        <v>100</v>
      </c>
      <c r="BB1149" s="4" t="s">
        <v>124</v>
      </c>
      <c r="BC1149" s="4" t="s">
        <v>124</v>
      </c>
      <c r="BD1149" s="4" t="s">
        <v>124</v>
      </c>
      <c r="BE1149" s="4" t="s">
        <v>124</v>
      </c>
      <c r="BF1149" s="4" t="s">
        <v>124</v>
      </c>
      <c r="BG1149" s="4" t="s">
        <v>124</v>
      </c>
      <c r="BH1149" s="7">
        <v>0</v>
      </c>
      <c r="BI1149" s="7">
        <v>0.98568</v>
      </c>
      <c r="BJ1149" s="7">
        <v>0.98039200000000004</v>
      </c>
      <c r="BK1149" s="7">
        <v>0.99390199999999995</v>
      </c>
      <c r="BL1149" s="7">
        <v>0.98568</v>
      </c>
      <c r="BM1149" s="7">
        <v>0.98039200000000004</v>
      </c>
      <c r="BN1149" s="7">
        <v>0.99390199999999995</v>
      </c>
      <c r="BO1149" s="7">
        <v>0.97395799999999999</v>
      </c>
      <c r="BP1149" s="7">
        <v>0.99074099999999998</v>
      </c>
      <c r="BQ1149" s="7">
        <v>0.95238100000000003</v>
      </c>
      <c r="BR1149" s="7">
        <v>0.124457</v>
      </c>
      <c r="BS1149" s="7">
        <v>35.108538000000003</v>
      </c>
      <c r="BT1149" s="7">
        <v>50</v>
      </c>
      <c r="BU1149" s="7">
        <v>0.163462</v>
      </c>
      <c r="BV1149" s="7">
        <v>27.307691999999999</v>
      </c>
      <c r="BW1149" s="7">
        <v>50</v>
      </c>
      <c r="BX1149" s="7">
        <v>1</v>
      </c>
      <c r="BY1149" s="7">
        <v>50</v>
      </c>
      <c r="BZ1149" s="7">
        <v>50</v>
      </c>
      <c r="CA1149" s="7">
        <v>0.375</v>
      </c>
      <c r="CB1149" s="7">
        <v>25</v>
      </c>
      <c r="CC1149" s="7">
        <v>50</v>
      </c>
      <c r="CD1149" s="7">
        <v>0.97029699999999997</v>
      </c>
      <c r="CE1149" s="7">
        <v>50</v>
      </c>
      <c r="CF1149" s="7">
        <v>50</v>
      </c>
      <c r="CG1149" s="7">
        <v>0.986842</v>
      </c>
      <c r="CH1149" s="7">
        <v>100</v>
      </c>
      <c r="CI1149" s="7">
        <v>100</v>
      </c>
      <c r="CJ1149" s="7">
        <v>0</v>
      </c>
      <c r="CK1149" s="7">
        <v>0.96551699999999996</v>
      </c>
      <c r="CL1149" s="7">
        <v>100</v>
      </c>
      <c r="CM1149" s="7">
        <v>100</v>
      </c>
      <c r="CN1149" s="7">
        <v>0.72727299999999995</v>
      </c>
      <c r="CO1149" s="7">
        <v>96.969696999999996</v>
      </c>
      <c r="CP1149" s="7">
        <v>100</v>
      </c>
      <c r="CQ1149" s="7">
        <v>0.67676800000000004</v>
      </c>
      <c r="CR1149" s="7">
        <v>0.96428599999999998</v>
      </c>
      <c r="CS1149" s="7">
        <v>45.117845000000003</v>
      </c>
      <c r="CT1149" s="7">
        <v>50</v>
      </c>
      <c r="CU1149" s="7">
        <v>0.72857099999999997</v>
      </c>
      <c r="CV1149" s="7">
        <v>50</v>
      </c>
      <c r="CW1149" s="7">
        <v>50</v>
      </c>
      <c r="CX1149" s="7">
        <v>0.96551699999999996</v>
      </c>
      <c r="CY1149" s="7">
        <v>0.94</v>
      </c>
      <c r="CZ1149" s="7">
        <v>-2.5517000000000001E-2</v>
      </c>
      <c r="DA1149" s="7">
        <v>15.314097</v>
      </c>
      <c r="DB1149" s="7">
        <v>17.400950000000002</v>
      </c>
      <c r="DC1149" s="7">
        <v>16.332519999999999</v>
      </c>
      <c r="DD1149" s="7">
        <v>7.9891730000000001</v>
      </c>
      <c r="DE1149" s="7">
        <v>0</v>
      </c>
      <c r="DF1149" s="6"/>
      <c r="DG1149" s="6"/>
      <c r="DH1149" s="6"/>
      <c r="DI1149" s="6"/>
      <c r="DJ1149" s="7">
        <v>0</v>
      </c>
      <c r="DK1149" s="7">
        <v>0</v>
      </c>
      <c r="DL1149" s="7">
        <v>0</v>
      </c>
      <c r="DM1149" s="7">
        <v>0</v>
      </c>
      <c r="DN1149" s="7">
        <v>0</v>
      </c>
      <c r="DO1149" s="7">
        <v>0</v>
      </c>
      <c r="DP1149" s="6"/>
      <c r="DQ1149" s="4" t="s">
        <v>125</v>
      </c>
    </row>
    <row r="1150" spans="1:121" ht="20" customHeight="1" x14ac:dyDescent="0.15">
      <c r="A1150" s="5">
        <v>2018</v>
      </c>
      <c r="B1150" s="3" t="s">
        <v>248</v>
      </c>
      <c r="C1150" s="4" t="str">
        <f t="shared" si="286"/>
        <v>2410014</v>
      </c>
      <c r="D1150" s="4" t="s">
        <v>1295</v>
      </c>
      <c r="E1150" s="4" t="str">
        <f>"2413114"</f>
        <v>2413114</v>
      </c>
      <c r="F1150" s="4" t="s">
        <v>1283</v>
      </c>
      <c r="G1150" s="4" t="s">
        <v>328</v>
      </c>
      <c r="H1150" s="7">
        <v>6</v>
      </c>
      <c r="I1150" s="4" t="s">
        <v>335</v>
      </c>
      <c r="J1150" s="4" t="s">
        <v>330</v>
      </c>
      <c r="K1150" s="7">
        <v>562.561328</v>
      </c>
      <c r="L1150" s="7">
        <v>950</v>
      </c>
      <c r="M1150" s="7">
        <v>59.216982000000002</v>
      </c>
      <c r="N1150" s="7">
        <v>3</v>
      </c>
      <c r="O1150" s="7">
        <v>1</v>
      </c>
      <c r="P1150" s="7">
        <v>63.099167000000001</v>
      </c>
      <c r="Q1150" s="7">
        <v>42.066110999999999</v>
      </c>
      <c r="R1150" s="7">
        <v>50</v>
      </c>
      <c r="S1150" s="7">
        <v>57.608756999999997</v>
      </c>
      <c r="T1150" s="7">
        <v>75</v>
      </c>
      <c r="U1150" s="7">
        <v>38.405838000000003</v>
      </c>
      <c r="V1150" s="7">
        <v>50</v>
      </c>
      <c r="W1150" s="7">
        <v>54.670673999999998</v>
      </c>
      <c r="X1150" s="7">
        <v>36.447116000000001</v>
      </c>
      <c r="Y1150" s="7">
        <v>50</v>
      </c>
      <c r="Z1150" s="7">
        <v>69.088452000000004</v>
      </c>
      <c r="AA1150" s="7">
        <v>48.280976000000003</v>
      </c>
      <c r="AB1150" s="7">
        <v>32.187317999999998</v>
      </c>
      <c r="AC1150" s="7">
        <v>50</v>
      </c>
      <c r="AD1150" s="7">
        <v>58.067383999999997</v>
      </c>
      <c r="AE1150" s="7">
        <v>38.711588999999996</v>
      </c>
      <c r="AF1150" s="7">
        <v>50</v>
      </c>
      <c r="AG1150" s="7">
        <v>52.560484000000002</v>
      </c>
      <c r="AH1150" s="4" t="s">
        <v>124</v>
      </c>
      <c r="AI1150" s="7">
        <v>35.040323000000001</v>
      </c>
      <c r="AJ1150" s="7">
        <v>50</v>
      </c>
      <c r="AK1150" s="7">
        <v>17.39</v>
      </c>
      <c r="AL1150" s="7">
        <v>20.8</v>
      </c>
      <c r="AM1150" s="4" t="s">
        <v>124</v>
      </c>
      <c r="AN1150" s="7">
        <v>0.50055499999999997</v>
      </c>
      <c r="AO1150" s="7">
        <v>50.055467999999998</v>
      </c>
      <c r="AP1150" s="7">
        <v>100</v>
      </c>
      <c r="AQ1150" s="7">
        <v>0.47256799999999999</v>
      </c>
      <c r="AR1150" s="7">
        <v>47.256807999999999</v>
      </c>
      <c r="AS1150" s="7">
        <v>100</v>
      </c>
      <c r="AT1150" s="7">
        <v>0.47620699999999999</v>
      </c>
      <c r="AU1150" s="7">
        <v>0.55955100000000002</v>
      </c>
      <c r="AV1150" s="7">
        <v>47.620719999999999</v>
      </c>
      <c r="AW1150" s="7">
        <v>100</v>
      </c>
      <c r="AX1150" s="7">
        <v>0.38419399999999998</v>
      </c>
      <c r="AY1150" s="7">
        <v>0.68670600000000004</v>
      </c>
      <c r="AZ1150" s="7">
        <v>38.419376999999997</v>
      </c>
      <c r="BA1150" s="7">
        <v>100</v>
      </c>
      <c r="BB1150" s="7">
        <v>0.73048000000000002</v>
      </c>
      <c r="BC1150" s="7">
        <v>36.523978</v>
      </c>
      <c r="BD1150" s="7">
        <v>50</v>
      </c>
      <c r="BE1150" s="7">
        <v>0.53496100000000002</v>
      </c>
      <c r="BF1150" s="7">
        <v>26.748031999999998</v>
      </c>
      <c r="BG1150" s="7">
        <v>50</v>
      </c>
      <c r="BH1150" s="7">
        <v>1</v>
      </c>
      <c r="BI1150" s="7">
        <v>0.96240599999999998</v>
      </c>
      <c r="BJ1150" s="7">
        <v>0.94680900000000001</v>
      </c>
      <c r="BK1150" s="7">
        <v>1</v>
      </c>
      <c r="BL1150" s="7">
        <v>0.95488700000000004</v>
      </c>
      <c r="BM1150" s="7">
        <v>0.93616999999999995</v>
      </c>
      <c r="BN1150" s="7">
        <v>1</v>
      </c>
      <c r="BO1150" s="7">
        <v>0.97826100000000005</v>
      </c>
      <c r="BP1150" s="7">
        <v>0.96969700000000003</v>
      </c>
      <c r="BQ1150" s="4" t="s">
        <v>124</v>
      </c>
      <c r="BR1150" s="7">
        <v>0.157303</v>
      </c>
      <c r="BS1150" s="7">
        <v>28.539325999999999</v>
      </c>
      <c r="BT1150" s="7">
        <v>50</v>
      </c>
      <c r="BU1150" s="7">
        <v>0.157303</v>
      </c>
      <c r="BV1150" s="7">
        <v>28.539325999999999</v>
      </c>
      <c r="BW1150" s="7">
        <v>50</v>
      </c>
      <c r="BX1150" s="4" t="s">
        <v>124</v>
      </c>
      <c r="BY1150" s="4" t="s">
        <v>124</v>
      </c>
      <c r="BZ1150" s="4" t="s">
        <v>124</v>
      </c>
      <c r="CA1150" s="4" t="s">
        <v>124</v>
      </c>
      <c r="CB1150" s="4" t="s">
        <v>124</v>
      </c>
      <c r="CC1150" s="4" t="s">
        <v>124</v>
      </c>
      <c r="CD1150" s="4" t="s">
        <v>124</v>
      </c>
      <c r="CE1150" s="4" t="s">
        <v>124</v>
      </c>
      <c r="CF1150" s="4" t="s">
        <v>124</v>
      </c>
      <c r="CG1150" s="4" t="s">
        <v>124</v>
      </c>
      <c r="CH1150" s="4" t="s">
        <v>124</v>
      </c>
      <c r="CI1150" s="4" t="s">
        <v>124</v>
      </c>
      <c r="CJ1150" s="4" t="s">
        <v>124</v>
      </c>
      <c r="CK1150" s="4" t="s">
        <v>124</v>
      </c>
      <c r="CL1150" s="4" t="s">
        <v>124</v>
      </c>
      <c r="CM1150" s="4" t="s">
        <v>124</v>
      </c>
      <c r="CN1150" s="4" t="s">
        <v>124</v>
      </c>
      <c r="CO1150" s="4" t="s">
        <v>124</v>
      </c>
      <c r="CP1150" s="4" t="s">
        <v>124</v>
      </c>
      <c r="CQ1150" s="7">
        <v>0.54</v>
      </c>
      <c r="CR1150" s="7">
        <v>1</v>
      </c>
      <c r="CS1150" s="7">
        <v>36</v>
      </c>
      <c r="CT1150" s="7">
        <v>50</v>
      </c>
      <c r="CU1150" s="4" t="s">
        <v>124</v>
      </c>
      <c r="CV1150" s="4" t="s">
        <v>124</v>
      </c>
      <c r="CW1150" s="4" t="s">
        <v>124</v>
      </c>
      <c r="CX1150" s="4" t="s">
        <v>124</v>
      </c>
      <c r="CY1150" s="4" t="s">
        <v>124</v>
      </c>
      <c r="CZ1150" s="4" t="s">
        <v>124</v>
      </c>
      <c r="DA1150" s="7">
        <v>15.314097</v>
      </c>
      <c r="DB1150" s="7">
        <v>17.400950000000002</v>
      </c>
      <c r="DC1150" s="7">
        <v>16.332519999999999</v>
      </c>
      <c r="DD1150" s="4" t="s">
        <v>124</v>
      </c>
      <c r="DE1150" s="7">
        <v>1</v>
      </c>
      <c r="DF1150" s="6"/>
      <c r="DG1150" s="6"/>
      <c r="DH1150" s="6"/>
      <c r="DI1150" s="6"/>
      <c r="DJ1150" s="7">
        <v>0</v>
      </c>
      <c r="DK1150" s="7">
        <v>0</v>
      </c>
      <c r="DL1150" s="7">
        <v>0</v>
      </c>
      <c r="DM1150" s="7">
        <v>0</v>
      </c>
      <c r="DN1150" s="7">
        <v>0</v>
      </c>
      <c r="DO1150" s="7">
        <v>0</v>
      </c>
      <c r="DP1150" s="6"/>
      <c r="DQ1150" s="4" t="s">
        <v>125</v>
      </c>
    </row>
    <row r="1151" spans="1:121" ht="20" customHeight="1" x14ac:dyDescent="0.15">
      <c r="A1151" s="5">
        <v>2018</v>
      </c>
      <c r="B1151" s="3" t="s">
        <v>248</v>
      </c>
      <c r="C1151" s="4" t="str">
        <f t="shared" si="286"/>
        <v>2410014</v>
      </c>
      <c r="D1151" s="4" t="s">
        <v>1296</v>
      </c>
      <c r="E1151" s="4" t="str">
        <f>"2410514"</f>
        <v>2410514</v>
      </c>
      <c r="F1151" s="4" t="s">
        <v>1283</v>
      </c>
      <c r="G1151" s="4" t="s">
        <v>328</v>
      </c>
      <c r="H1151" s="7">
        <v>5</v>
      </c>
      <c r="I1151" s="4" t="s">
        <v>335</v>
      </c>
      <c r="J1151" s="4" t="s">
        <v>330</v>
      </c>
      <c r="K1151" s="7">
        <v>669.569659</v>
      </c>
      <c r="L1151" s="7">
        <v>950</v>
      </c>
      <c r="M1151" s="7">
        <v>70.481016999999994</v>
      </c>
      <c r="N1151" s="7">
        <v>2</v>
      </c>
      <c r="O1151" s="7">
        <v>0</v>
      </c>
      <c r="P1151" s="7">
        <v>71.080223000000004</v>
      </c>
      <c r="Q1151" s="7">
        <v>47.386814999999999</v>
      </c>
      <c r="R1151" s="7">
        <v>50</v>
      </c>
      <c r="S1151" s="7">
        <v>66.104028</v>
      </c>
      <c r="T1151" s="7">
        <v>75</v>
      </c>
      <c r="U1151" s="7">
        <v>44.069352000000002</v>
      </c>
      <c r="V1151" s="7">
        <v>50</v>
      </c>
      <c r="W1151" s="7">
        <v>67.371212</v>
      </c>
      <c r="X1151" s="7">
        <v>44.914141000000001</v>
      </c>
      <c r="Y1151" s="7">
        <v>50</v>
      </c>
      <c r="Z1151" s="7">
        <v>75</v>
      </c>
      <c r="AA1151" s="7">
        <v>61.674016999999999</v>
      </c>
      <c r="AB1151" s="7">
        <v>41.116011999999998</v>
      </c>
      <c r="AC1151" s="7">
        <v>50</v>
      </c>
      <c r="AD1151" s="7">
        <v>63.568482000000003</v>
      </c>
      <c r="AE1151" s="7">
        <v>42.378988</v>
      </c>
      <c r="AF1151" s="7">
        <v>50</v>
      </c>
      <c r="AG1151" s="7">
        <v>60.540942999999999</v>
      </c>
      <c r="AH1151" s="7">
        <v>68.935484000000002</v>
      </c>
      <c r="AI1151" s="7">
        <v>40.360629000000003</v>
      </c>
      <c r="AJ1151" s="7">
        <v>50</v>
      </c>
      <c r="AK1151" s="7">
        <v>8.89</v>
      </c>
      <c r="AL1151" s="7">
        <v>13.32</v>
      </c>
      <c r="AM1151" s="7">
        <v>8.39</v>
      </c>
      <c r="AN1151" s="7">
        <v>0.63617500000000005</v>
      </c>
      <c r="AO1151" s="7">
        <v>63.617503999999997</v>
      </c>
      <c r="AP1151" s="7">
        <v>100</v>
      </c>
      <c r="AQ1151" s="7">
        <v>0.65461899999999995</v>
      </c>
      <c r="AR1151" s="7">
        <v>65.461911000000001</v>
      </c>
      <c r="AS1151" s="7">
        <v>100</v>
      </c>
      <c r="AT1151" s="7">
        <v>0.63689799999999996</v>
      </c>
      <c r="AU1151" s="7">
        <v>0.63490199999999997</v>
      </c>
      <c r="AV1151" s="7">
        <v>63.689776999999999</v>
      </c>
      <c r="AW1151" s="7">
        <v>100</v>
      </c>
      <c r="AX1151" s="7">
        <v>0.59690699999999997</v>
      </c>
      <c r="AY1151" s="7">
        <v>0.75630200000000003</v>
      </c>
      <c r="AZ1151" s="7">
        <v>59.690693000000003</v>
      </c>
      <c r="BA1151" s="7">
        <v>100</v>
      </c>
      <c r="BB1151" s="7">
        <v>0.479659</v>
      </c>
      <c r="BC1151" s="7">
        <v>23.982975</v>
      </c>
      <c r="BD1151" s="7">
        <v>50</v>
      </c>
      <c r="BE1151" s="7">
        <v>0.47160800000000003</v>
      </c>
      <c r="BF1151" s="7">
        <v>23.580380000000002</v>
      </c>
      <c r="BG1151" s="7">
        <v>50</v>
      </c>
      <c r="BH1151" s="7">
        <v>0</v>
      </c>
      <c r="BI1151" s="7">
        <v>0.98395699999999997</v>
      </c>
      <c r="BJ1151" s="7">
        <v>0.98387100000000005</v>
      </c>
      <c r="BK1151" s="7">
        <v>0.98412699999999997</v>
      </c>
      <c r="BL1151" s="7">
        <v>0.98395699999999997</v>
      </c>
      <c r="BM1151" s="7">
        <v>0.98387100000000005</v>
      </c>
      <c r="BN1151" s="7">
        <v>0.98412699999999997</v>
      </c>
      <c r="BO1151" s="7">
        <v>1</v>
      </c>
      <c r="BP1151" s="7">
        <v>1</v>
      </c>
      <c r="BQ1151" s="7">
        <v>1</v>
      </c>
      <c r="BR1151" s="7">
        <v>7.5915999999999997E-2</v>
      </c>
      <c r="BS1151" s="7">
        <v>44.816754000000003</v>
      </c>
      <c r="BT1151" s="7">
        <v>50</v>
      </c>
      <c r="BU1151" s="7">
        <v>0.108434</v>
      </c>
      <c r="BV1151" s="7">
        <v>38.313253000000003</v>
      </c>
      <c r="BW1151" s="7">
        <v>50</v>
      </c>
      <c r="BX1151" s="4" t="s">
        <v>124</v>
      </c>
      <c r="BY1151" s="4" t="s">
        <v>124</v>
      </c>
      <c r="BZ1151" s="4" t="s">
        <v>124</v>
      </c>
      <c r="CA1151" s="4" t="s">
        <v>124</v>
      </c>
      <c r="CB1151" s="4" t="s">
        <v>124</v>
      </c>
      <c r="CC1151" s="4" t="s">
        <v>124</v>
      </c>
      <c r="CD1151" s="4" t="s">
        <v>124</v>
      </c>
      <c r="CE1151" s="4" t="s">
        <v>124</v>
      </c>
      <c r="CF1151" s="4" t="s">
        <v>124</v>
      </c>
      <c r="CG1151" s="4" t="s">
        <v>124</v>
      </c>
      <c r="CH1151" s="4" t="s">
        <v>124</v>
      </c>
      <c r="CI1151" s="4" t="s">
        <v>124</v>
      </c>
      <c r="CJ1151" s="4" t="s">
        <v>124</v>
      </c>
      <c r="CK1151" s="4" t="s">
        <v>124</v>
      </c>
      <c r="CL1151" s="4" t="s">
        <v>124</v>
      </c>
      <c r="CM1151" s="4" t="s">
        <v>124</v>
      </c>
      <c r="CN1151" s="4" t="s">
        <v>124</v>
      </c>
      <c r="CO1151" s="4" t="s">
        <v>124</v>
      </c>
      <c r="CP1151" s="4" t="s">
        <v>124</v>
      </c>
      <c r="CQ1151" s="7">
        <v>0.39285700000000001</v>
      </c>
      <c r="CR1151" s="7">
        <v>0.94915300000000002</v>
      </c>
      <c r="CS1151" s="7">
        <v>26.190476</v>
      </c>
      <c r="CT1151" s="7">
        <v>50</v>
      </c>
      <c r="CU1151" s="4" t="s">
        <v>124</v>
      </c>
      <c r="CV1151" s="4" t="s">
        <v>124</v>
      </c>
      <c r="CW1151" s="4" t="s">
        <v>124</v>
      </c>
      <c r="CX1151" s="4" t="s">
        <v>124</v>
      </c>
      <c r="CY1151" s="4" t="s">
        <v>124</v>
      </c>
      <c r="CZ1151" s="4" t="s">
        <v>124</v>
      </c>
      <c r="DA1151" s="7">
        <v>15.314097</v>
      </c>
      <c r="DB1151" s="7">
        <v>17.400950000000002</v>
      </c>
      <c r="DC1151" s="7">
        <v>16.332519999999999</v>
      </c>
      <c r="DD1151" s="4" t="s">
        <v>124</v>
      </c>
      <c r="DE1151" s="7">
        <v>0</v>
      </c>
      <c r="DF1151" s="6"/>
      <c r="DG1151" s="6"/>
      <c r="DH1151" s="6"/>
      <c r="DI1151" s="6"/>
      <c r="DJ1151" s="7">
        <v>0</v>
      </c>
      <c r="DK1151" s="7">
        <v>0</v>
      </c>
      <c r="DL1151" s="7">
        <v>0</v>
      </c>
      <c r="DM1151" s="7">
        <v>0</v>
      </c>
      <c r="DN1151" s="7">
        <v>0</v>
      </c>
      <c r="DO1151" s="7">
        <v>0</v>
      </c>
      <c r="DP1151" s="6"/>
      <c r="DQ1151" s="4" t="s">
        <v>125</v>
      </c>
    </row>
    <row r="1152" spans="1:121" ht="20" customHeight="1" x14ac:dyDescent="0.15">
      <c r="A1152" s="5">
        <v>2018</v>
      </c>
      <c r="B1152" s="3" t="s">
        <v>248</v>
      </c>
      <c r="C1152" s="4" t="str">
        <f>"2410014"</f>
        <v>2410014</v>
      </c>
      <c r="D1152" s="4" t="s">
        <v>1297</v>
      </c>
      <c r="E1152" s="4" t="str">
        <f>"2410314"</f>
        <v>2410314</v>
      </c>
      <c r="F1152" s="4" t="s">
        <v>1283</v>
      </c>
      <c r="G1152" s="4" t="s">
        <v>328</v>
      </c>
      <c r="H1152" s="7">
        <v>5</v>
      </c>
      <c r="I1152" s="4" t="s">
        <v>335</v>
      </c>
      <c r="J1152" s="4" t="s">
        <v>330</v>
      </c>
      <c r="K1152" s="7">
        <v>657.92846899999995</v>
      </c>
      <c r="L1152" s="7">
        <v>950</v>
      </c>
      <c r="M1152" s="7">
        <v>69.255628000000002</v>
      </c>
      <c r="N1152" s="7">
        <v>3</v>
      </c>
      <c r="O1152" s="7">
        <v>1</v>
      </c>
      <c r="P1152" s="7">
        <v>64.670305999999997</v>
      </c>
      <c r="Q1152" s="7">
        <v>43.113537000000001</v>
      </c>
      <c r="R1152" s="7">
        <v>50</v>
      </c>
      <c r="S1152" s="7">
        <v>59.518723999999999</v>
      </c>
      <c r="T1152" s="7">
        <v>75</v>
      </c>
      <c r="U1152" s="7">
        <v>39.679149000000002</v>
      </c>
      <c r="V1152" s="7">
        <v>50</v>
      </c>
      <c r="W1152" s="7">
        <v>59.719313999999997</v>
      </c>
      <c r="X1152" s="7">
        <v>39.812876000000003</v>
      </c>
      <c r="Y1152" s="7">
        <v>50</v>
      </c>
      <c r="Z1152" s="7">
        <v>74.696222000000006</v>
      </c>
      <c r="AA1152" s="7">
        <v>54.408354000000003</v>
      </c>
      <c r="AB1152" s="7">
        <v>36.272235999999999</v>
      </c>
      <c r="AC1152" s="7">
        <v>50</v>
      </c>
      <c r="AD1152" s="7">
        <v>66.454637000000005</v>
      </c>
      <c r="AE1152" s="7">
        <v>44.303091000000002</v>
      </c>
      <c r="AF1152" s="7">
        <v>50</v>
      </c>
      <c r="AG1152" s="7">
        <v>60.751344000000003</v>
      </c>
      <c r="AH1152" s="4" t="s">
        <v>124</v>
      </c>
      <c r="AI1152" s="7">
        <v>40.500895999999997</v>
      </c>
      <c r="AJ1152" s="7">
        <v>50</v>
      </c>
      <c r="AK1152" s="7">
        <v>15.48</v>
      </c>
      <c r="AL1152" s="7">
        <v>20.28</v>
      </c>
      <c r="AM1152" s="4" t="s">
        <v>124</v>
      </c>
      <c r="AN1152" s="7">
        <v>0.744452</v>
      </c>
      <c r="AO1152" s="7">
        <v>74.445240999999996</v>
      </c>
      <c r="AP1152" s="7">
        <v>100</v>
      </c>
      <c r="AQ1152" s="7">
        <v>0.84671600000000002</v>
      </c>
      <c r="AR1152" s="7">
        <v>84.671599999999998</v>
      </c>
      <c r="AS1152" s="7">
        <v>100</v>
      </c>
      <c r="AT1152" s="7">
        <v>0.67390399999999995</v>
      </c>
      <c r="AU1152" s="7">
        <v>0.90906600000000004</v>
      </c>
      <c r="AV1152" s="7">
        <v>67.390355999999997</v>
      </c>
      <c r="AW1152" s="7">
        <v>100</v>
      </c>
      <c r="AX1152" s="7">
        <v>0.81567400000000001</v>
      </c>
      <c r="AY1152" s="7">
        <v>0.91914799999999997</v>
      </c>
      <c r="AZ1152" s="7">
        <v>81.567364999999995</v>
      </c>
      <c r="BA1152" s="7">
        <v>100</v>
      </c>
      <c r="BB1152" s="7">
        <v>0.26608100000000001</v>
      </c>
      <c r="BC1152" s="7">
        <v>13.304057999999999</v>
      </c>
      <c r="BD1152" s="7">
        <v>50</v>
      </c>
      <c r="BE1152" s="7">
        <v>0.469999</v>
      </c>
      <c r="BF1152" s="7">
        <v>23.499963000000001</v>
      </c>
      <c r="BG1152" s="7">
        <v>50</v>
      </c>
      <c r="BH1152" s="7">
        <v>0</v>
      </c>
      <c r="BI1152" s="7">
        <v>0.99479200000000001</v>
      </c>
      <c r="BJ1152" s="7">
        <v>0.99295800000000001</v>
      </c>
      <c r="BK1152" s="7">
        <v>1</v>
      </c>
      <c r="BL1152" s="7">
        <v>0.99479200000000001</v>
      </c>
      <c r="BM1152" s="7">
        <v>0.99295800000000001</v>
      </c>
      <c r="BN1152" s="7">
        <v>1</v>
      </c>
      <c r="BO1152" s="7">
        <v>1</v>
      </c>
      <c r="BP1152" s="7">
        <v>1</v>
      </c>
      <c r="BQ1152" s="4" t="s">
        <v>124</v>
      </c>
      <c r="BR1152" s="7">
        <v>0.18346299999999999</v>
      </c>
      <c r="BS1152" s="7">
        <v>23.307493999999998</v>
      </c>
      <c r="BT1152" s="7">
        <v>50</v>
      </c>
      <c r="BU1152" s="7">
        <v>0.23636399999999999</v>
      </c>
      <c r="BV1152" s="7">
        <v>12.727273</v>
      </c>
      <c r="BW1152" s="7">
        <v>50</v>
      </c>
      <c r="BX1152" s="4" t="s">
        <v>124</v>
      </c>
      <c r="BY1152" s="4" t="s">
        <v>124</v>
      </c>
      <c r="BZ1152" s="4" t="s">
        <v>124</v>
      </c>
      <c r="CA1152" s="4" t="s">
        <v>124</v>
      </c>
      <c r="CB1152" s="4" t="s">
        <v>124</v>
      </c>
      <c r="CC1152" s="4" t="s">
        <v>124</v>
      </c>
      <c r="CD1152" s="4" t="s">
        <v>124</v>
      </c>
      <c r="CE1152" s="4" t="s">
        <v>124</v>
      </c>
      <c r="CF1152" s="4" t="s">
        <v>124</v>
      </c>
      <c r="CG1152" s="4" t="s">
        <v>124</v>
      </c>
      <c r="CH1152" s="4" t="s">
        <v>124</v>
      </c>
      <c r="CI1152" s="4" t="s">
        <v>124</v>
      </c>
      <c r="CJ1152" s="4" t="s">
        <v>124</v>
      </c>
      <c r="CK1152" s="4" t="s">
        <v>124</v>
      </c>
      <c r="CL1152" s="4" t="s">
        <v>124</v>
      </c>
      <c r="CM1152" s="4" t="s">
        <v>124</v>
      </c>
      <c r="CN1152" s="4" t="s">
        <v>124</v>
      </c>
      <c r="CO1152" s="4" t="s">
        <v>124</v>
      </c>
      <c r="CP1152" s="4" t="s">
        <v>124</v>
      </c>
      <c r="CQ1152" s="7">
        <v>0.5</v>
      </c>
      <c r="CR1152" s="7">
        <v>1.0163930000000001</v>
      </c>
      <c r="CS1152" s="7">
        <v>33.333333000000003</v>
      </c>
      <c r="CT1152" s="7">
        <v>50</v>
      </c>
      <c r="CU1152" s="4" t="s">
        <v>124</v>
      </c>
      <c r="CV1152" s="4" t="s">
        <v>124</v>
      </c>
      <c r="CW1152" s="4" t="s">
        <v>124</v>
      </c>
      <c r="CX1152" s="4" t="s">
        <v>124</v>
      </c>
      <c r="CY1152" s="4" t="s">
        <v>124</v>
      </c>
      <c r="CZ1152" s="4" t="s">
        <v>124</v>
      </c>
      <c r="DA1152" s="7">
        <v>15.314097</v>
      </c>
      <c r="DB1152" s="7">
        <v>17.400950000000002</v>
      </c>
      <c r="DC1152" s="7">
        <v>16.332519999999999</v>
      </c>
      <c r="DD1152" s="4" t="s">
        <v>124</v>
      </c>
      <c r="DE1152" s="7">
        <v>1</v>
      </c>
      <c r="DF1152" s="6"/>
      <c r="DG1152" s="6"/>
      <c r="DH1152" s="6"/>
      <c r="DI1152" s="6"/>
      <c r="DJ1152" s="7">
        <v>0</v>
      </c>
      <c r="DK1152" s="7">
        <v>0</v>
      </c>
      <c r="DL1152" s="7">
        <v>0</v>
      </c>
      <c r="DM1152" s="7">
        <v>0</v>
      </c>
      <c r="DN1152" s="7">
        <v>0</v>
      </c>
      <c r="DO1152" s="7">
        <v>0</v>
      </c>
      <c r="DP1152" s="6"/>
      <c r="DQ1152" s="4" t="s">
        <v>125</v>
      </c>
    </row>
    <row r="1153" spans="1:121" ht="20" customHeight="1" x14ac:dyDescent="0.15">
      <c r="A1153" s="5">
        <v>2018</v>
      </c>
      <c r="B1153" s="3" t="s">
        <v>248</v>
      </c>
      <c r="C1153" s="4" t="str">
        <f t="shared" si="286"/>
        <v>2410014</v>
      </c>
      <c r="D1153" s="4" t="s">
        <v>1298</v>
      </c>
      <c r="E1153" s="4" t="str">
        <f>"2415014"</f>
        <v>2415014</v>
      </c>
      <c r="F1153" s="4" t="s">
        <v>1283</v>
      </c>
      <c r="G1153" s="7">
        <v>6</v>
      </c>
      <c r="H1153" s="7">
        <v>8</v>
      </c>
      <c r="I1153" s="4" t="s">
        <v>335</v>
      </c>
      <c r="J1153" s="4" t="s">
        <v>330</v>
      </c>
      <c r="K1153" s="7">
        <v>596.966812</v>
      </c>
      <c r="L1153" s="7">
        <v>1000</v>
      </c>
      <c r="M1153" s="7">
        <v>59.696680999999998</v>
      </c>
      <c r="N1153" s="7">
        <v>3</v>
      </c>
      <c r="O1153" s="7">
        <v>1</v>
      </c>
      <c r="P1153" s="7">
        <v>64.009268000000006</v>
      </c>
      <c r="Q1153" s="7">
        <v>42.672845000000002</v>
      </c>
      <c r="R1153" s="7">
        <v>50</v>
      </c>
      <c r="S1153" s="7">
        <v>59.041069</v>
      </c>
      <c r="T1153" s="7">
        <v>75</v>
      </c>
      <c r="U1153" s="7">
        <v>39.360712999999997</v>
      </c>
      <c r="V1153" s="7">
        <v>50</v>
      </c>
      <c r="W1153" s="7">
        <v>51.092818999999999</v>
      </c>
      <c r="X1153" s="7">
        <v>34.061878999999998</v>
      </c>
      <c r="Y1153" s="7">
        <v>50</v>
      </c>
      <c r="Z1153" s="7">
        <v>63.420327</v>
      </c>
      <c r="AA1153" s="7">
        <v>45.997449000000003</v>
      </c>
      <c r="AB1153" s="7">
        <v>30.664966</v>
      </c>
      <c r="AC1153" s="7">
        <v>50</v>
      </c>
      <c r="AD1153" s="7">
        <v>62.413966000000002</v>
      </c>
      <c r="AE1153" s="7">
        <v>41.609310999999998</v>
      </c>
      <c r="AF1153" s="7">
        <v>50</v>
      </c>
      <c r="AG1153" s="7">
        <v>57.795924999999997</v>
      </c>
      <c r="AH1153" s="7">
        <v>70.838769999999997</v>
      </c>
      <c r="AI1153" s="7">
        <v>38.530616999999999</v>
      </c>
      <c r="AJ1153" s="7">
        <v>50</v>
      </c>
      <c r="AK1153" s="7">
        <v>15.95</v>
      </c>
      <c r="AL1153" s="7">
        <v>17.420000000000002</v>
      </c>
      <c r="AM1153" s="7">
        <v>13.04</v>
      </c>
      <c r="AN1153" s="7">
        <v>0.62872399999999995</v>
      </c>
      <c r="AO1153" s="7">
        <v>62.872411</v>
      </c>
      <c r="AP1153" s="7">
        <v>100</v>
      </c>
      <c r="AQ1153" s="7">
        <v>0.49475400000000003</v>
      </c>
      <c r="AR1153" s="7">
        <v>49.475366000000001</v>
      </c>
      <c r="AS1153" s="7">
        <v>100</v>
      </c>
      <c r="AT1153" s="7">
        <v>0.59641500000000003</v>
      </c>
      <c r="AU1153" s="7">
        <v>0.70185299999999995</v>
      </c>
      <c r="AV1153" s="7">
        <v>59.641522999999999</v>
      </c>
      <c r="AW1153" s="7">
        <v>100</v>
      </c>
      <c r="AX1153" s="7">
        <v>0.44627800000000001</v>
      </c>
      <c r="AY1153" s="7">
        <v>0.60480599999999995</v>
      </c>
      <c r="AZ1153" s="7">
        <v>44.627800999999998</v>
      </c>
      <c r="BA1153" s="7">
        <v>100</v>
      </c>
      <c r="BB1153" s="7">
        <v>0.40096900000000002</v>
      </c>
      <c r="BC1153" s="7">
        <v>20.048461</v>
      </c>
      <c r="BD1153" s="7">
        <v>50</v>
      </c>
      <c r="BE1153" s="7">
        <v>0.51356199999999996</v>
      </c>
      <c r="BF1153" s="7">
        <v>25.678103</v>
      </c>
      <c r="BG1153" s="7">
        <v>50</v>
      </c>
      <c r="BH1153" s="7">
        <v>0</v>
      </c>
      <c r="BI1153" s="7">
        <v>0.99531999999999998</v>
      </c>
      <c r="BJ1153" s="7">
        <v>0.99340700000000004</v>
      </c>
      <c r="BK1153" s="7">
        <v>1</v>
      </c>
      <c r="BL1153" s="7">
        <v>0.99375999999999998</v>
      </c>
      <c r="BM1153" s="7">
        <v>0.99120900000000001</v>
      </c>
      <c r="BN1153" s="7">
        <v>1</v>
      </c>
      <c r="BO1153" s="7">
        <v>0.99523799999999996</v>
      </c>
      <c r="BP1153" s="7">
        <v>0.99264699999999995</v>
      </c>
      <c r="BQ1153" s="7">
        <v>1</v>
      </c>
      <c r="BR1153" s="7">
        <v>0.15288599999999999</v>
      </c>
      <c r="BS1153" s="7">
        <v>29.422777</v>
      </c>
      <c r="BT1153" s="7">
        <v>50</v>
      </c>
      <c r="BU1153" s="7">
        <v>0.187225</v>
      </c>
      <c r="BV1153" s="7">
        <v>22.555066</v>
      </c>
      <c r="BW1153" s="7">
        <v>50</v>
      </c>
      <c r="BX1153" s="4" t="s">
        <v>124</v>
      </c>
      <c r="BY1153" s="4" t="s">
        <v>124</v>
      </c>
      <c r="BZ1153" s="4" t="s">
        <v>124</v>
      </c>
      <c r="CA1153" s="4" t="s">
        <v>124</v>
      </c>
      <c r="CB1153" s="4" t="s">
        <v>124</v>
      </c>
      <c r="CC1153" s="4" t="s">
        <v>124</v>
      </c>
      <c r="CD1153" s="7">
        <v>0.93500000000000005</v>
      </c>
      <c r="CE1153" s="7">
        <v>49.734043</v>
      </c>
      <c r="CF1153" s="7">
        <v>50</v>
      </c>
      <c r="CG1153" s="4" t="s">
        <v>124</v>
      </c>
      <c r="CH1153" s="4" t="s">
        <v>124</v>
      </c>
      <c r="CI1153" s="4" t="s">
        <v>124</v>
      </c>
      <c r="CJ1153" s="4" t="s">
        <v>124</v>
      </c>
      <c r="CK1153" s="4" t="s">
        <v>124</v>
      </c>
      <c r="CL1153" s="4" t="s">
        <v>124</v>
      </c>
      <c r="CM1153" s="4" t="s">
        <v>124</v>
      </c>
      <c r="CN1153" s="4" t="s">
        <v>124</v>
      </c>
      <c r="CO1153" s="4" t="s">
        <v>124</v>
      </c>
      <c r="CP1153" s="4" t="s">
        <v>124</v>
      </c>
      <c r="CQ1153" s="7">
        <v>0.18032799999999999</v>
      </c>
      <c r="CR1153" s="7">
        <v>0.72104000000000001</v>
      </c>
      <c r="CS1153" s="7">
        <v>6.010929</v>
      </c>
      <c r="CT1153" s="7">
        <v>50</v>
      </c>
      <c r="CU1153" s="4" t="s">
        <v>124</v>
      </c>
      <c r="CV1153" s="4" t="s">
        <v>124</v>
      </c>
      <c r="CW1153" s="4" t="s">
        <v>124</v>
      </c>
      <c r="CX1153" s="4" t="s">
        <v>124</v>
      </c>
      <c r="CY1153" s="4" t="s">
        <v>124</v>
      </c>
      <c r="CZ1153" s="4" t="s">
        <v>124</v>
      </c>
      <c r="DA1153" s="7">
        <v>15.314097</v>
      </c>
      <c r="DB1153" s="7">
        <v>17.400950000000002</v>
      </c>
      <c r="DC1153" s="7">
        <v>16.332519999999999</v>
      </c>
      <c r="DD1153" s="4" t="s">
        <v>124</v>
      </c>
      <c r="DE1153" s="7">
        <v>1</v>
      </c>
      <c r="DF1153" s="6"/>
      <c r="DG1153" s="6"/>
      <c r="DH1153" s="6"/>
      <c r="DI1153" s="6"/>
      <c r="DJ1153" s="7">
        <v>0</v>
      </c>
      <c r="DK1153" s="7">
        <v>0</v>
      </c>
      <c r="DL1153" s="7">
        <v>0</v>
      </c>
      <c r="DM1153" s="7">
        <v>0</v>
      </c>
      <c r="DN1153" s="7">
        <v>0</v>
      </c>
      <c r="DO1153" s="7">
        <v>0</v>
      </c>
      <c r="DP1153" s="6"/>
      <c r="DQ1153" s="4" t="s">
        <v>125</v>
      </c>
    </row>
    <row r="1154" spans="1:121" ht="20" customHeight="1" x14ac:dyDescent="0.15">
      <c r="A1154" s="5">
        <v>2018</v>
      </c>
      <c r="B1154" s="3" t="s">
        <v>248</v>
      </c>
      <c r="C1154" s="4" t="str">
        <f t="shared" si="286"/>
        <v>2410014</v>
      </c>
      <c r="D1154" s="4" t="s">
        <v>1299</v>
      </c>
      <c r="E1154" s="4" t="str">
        <f>"2410214"</f>
        <v>2410214</v>
      </c>
      <c r="F1154" s="4" t="s">
        <v>1283</v>
      </c>
      <c r="G1154" s="4" t="s">
        <v>328</v>
      </c>
      <c r="H1154" s="7">
        <v>5</v>
      </c>
      <c r="I1154" s="4" t="s">
        <v>335</v>
      </c>
      <c r="J1154" s="4" t="s">
        <v>330</v>
      </c>
      <c r="K1154" s="7">
        <v>687.36631199999999</v>
      </c>
      <c r="L1154" s="7">
        <v>950</v>
      </c>
      <c r="M1154" s="7">
        <v>72.354348999999999</v>
      </c>
      <c r="N1154" s="7">
        <v>2</v>
      </c>
      <c r="O1154" s="7">
        <v>0</v>
      </c>
      <c r="P1154" s="7">
        <v>66.768534000000002</v>
      </c>
      <c r="Q1154" s="7">
        <v>44.512355999999997</v>
      </c>
      <c r="R1154" s="7">
        <v>50</v>
      </c>
      <c r="S1154" s="7">
        <v>63.183627000000001</v>
      </c>
      <c r="T1154" s="7">
        <v>75</v>
      </c>
      <c r="U1154" s="7">
        <v>42.122418000000003</v>
      </c>
      <c r="V1154" s="7">
        <v>50</v>
      </c>
      <c r="W1154" s="7">
        <v>61.150399999999998</v>
      </c>
      <c r="X1154" s="7">
        <v>40.766933999999999</v>
      </c>
      <c r="Y1154" s="7">
        <v>50</v>
      </c>
      <c r="Z1154" s="7">
        <v>71.495566999999994</v>
      </c>
      <c r="AA1154" s="7">
        <v>57.772387000000002</v>
      </c>
      <c r="AB1154" s="7">
        <v>38.514924999999998</v>
      </c>
      <c r="AC1154" s="7">
        <v>50</v>
      </c>
      <c r="AD1154" s="7">
        <v>63.015385000000002</v>
      </c>
      <c r="AE1154" s="7">
        <v>42.010255999999998</v>
      </c>
      <c r="AF1154" s="7">
        <v>50</v>
      </c>
      <c r="AG1154" s="7">
        <v>61.603164999999997</v>
      </c>
      <c r="AH1154" s="4" t="s">
        <v>124</v>
      </c>
      <c r="AI1154" s="7">
        <v>41.068776999999997</v>
      </c>
      <c r="AJ1154" s="7">
        <v>50</v>
      </c>
      <c r="AK1154" s="7">
        <v>11.81</v>
      </c>
      <c r="AL1154" s="7">
        <v>13.72</v>
      </c>
      <c r="AM1154" s="4" t="s">
        <v>124</v>
      </c>
      <c r="AN1154" s="7">
        <v>0.72440700000000002</v>
      </c>
      <c r="AO1154" s="7">
        <v>72.440717000000006</v>
      </c>
      <c r="AP1154" s="7">
        <v>100</v>
      </c>
      <c r="AQ1154" s="7">
        <v>0.71084800000000004</v>
      </c>
      <c r="AR1154" s="7">
        <v>71.084845999999999</v>
      </c>
      <c r="AS1154" s="7">
        <v>100</v>
      </c>
      <c r="AT1154" s="7">
        <v>0.69274599999999997</v>
      </c>
      <c r="AU1154" s="7">
        <v>0.84167000000000003</v>
      </c>
      <c r="AV1154" s="7">
        <v>69.274608000000001</v>
      </c>
      <c r="AW1154" s="7">
        <v>100</v>
      </c>
      <c r="AX1154" s="7">
        <v>0.67359800000000003</v>
      </c>
      <c r="AY1154" s="7">
        <v>0.84881099999999998</v>
      </c>
      <c r="AZ1154" s="7">
        <v>67.359843999999995</v>
      </c>
      <c r="BA1154" s="7">
        <v>100</v>
      </c>
      <c r="BB1154" s="7">
        <v>0.83836500000000003</v>
      </c>
      <c r="BC1154" s="7">
        <v>41.918253999999997</v>
      </c>
      <c r="BD1154" s="7">
        <v>50</v>
      </c>
      <c r="BE1154" s="7">
        <v>0.556315</v>
      </c>
      <c r="BF1154" s="7">
        <v>27.815774000000001</v>
      </c>
      <c r="BG1154" s="7">
        <v>50</v>
      </c>
      <c r="BH1154" s="7">
        <v>0</v>
      </c>
      <c r="BI1154" s="7">
        <v>0.99489799999999995</v>
      </c>
      <c r="BJ1154" s="7">
        <v>1</v>
      </c>
      <c r="BK1154" s="7">
        <v>0.97959200000000002</v>
      </c>
      <c r="BL1154" s="7">
        <v>0.99489799999999995</v>
      </c>
      <c r="BM1154" s="7">
        <v>1</v>
      </c>
      <c r="BN1154" s="7">
        <v>0.97959200000000002</v>
      </c>
      <c r="BO1154" s="7">
        <v>1</v>
      </c>
      <c r="BP1154" s="7">
        <v>1</v>
      </c>
      <c r="BQ1154" s="4" t="s">
        <v>124</v>
      </c>
      <c r="BR1154" s="7">
        <v>0.13265299999999999</v>
      </c>
      <c r="BS1154" s="7">
        <v>33.469388000000002</v>
      </c>
      <c r="BT1154" s="7">
        <v>50</v>
      </c>
      <c r="BU1154" s="7">
        <v>0.171429</v>
      </c>
      <c r="BV1154" s="7">
        <v>25.714286000000001</v>
      </c>
      <c r="BW1154" s="7">
        <v>50</v>
      </c>
      <c r="BX1154" s="4" t="s">
        <v>124</v>
      </c>
      <c r="BY1154" s="4" t="s">
        <v>124</v>
      </c>
      <c r="BZ1154" s="4" t="s">
        <v>124</v>
      </c>
      <c r="CA1154" s="4" t="s">
        <v>124</v>
      </c>
      <c r="CB1154" s="4" t="s">
        <v>124</v>
      </c>
      <c r="CC1154" s="4" t="s">
        <v>124</v>
      </c>
      <c r="CD1154" s="4" t="s">
        <v>124</v>
      </c>
      <c r="CE1154" s="4" t="s">
        <v>124</v>
      </c>
      <c r="CF1154" s="4" t="s">
        <v>124</v>
      </c>
      <c r="CG1154" s="4" t="s">
        <v>124</v>
      </c>
      <c r="CH1154" s="4" t="s">
        <v>124</v>
      </c>
      <c r="CI1154" s="4" t="s">
        <v>124</v>
      </c>
      <c r="CJ1154" s="4" t="s">
        <v>124</v>
      </c>
      <c r="CK1154" s="4" t="s">
        <v>124</v>
      </c>
      <c r="CL1154" s="4" t="s">
        <v>124</v>
      </c>
      <c r="CM1154" s="4" t="s">
        <v>124</v>
      </c>
      <c r="CN1154" s="4" t="s">
        <v>124</v>
      </c>
      <c r="CO1154" s="4" t="s">
        <v>124</v>
      </c>
      <c r="CP1154" s="4" t="s">
        <v>124</v>
      </c>
      <c r="CQ1154" s="7">
        <v>0.43939400000000001</v>
      </c>
      <c r="CR1154" s="7">
        <v>1</v>
      </c>
      <c r="CS1154" s="7">
        <v>29.292929000000001</v>
      </c>
      <c r="CT1154" s="7">
        <v>50</v>
      </c>
      <c r="CU1154" s="4" t="s">
        <v>124</v>
      </c>
      <c r="CV1154" s="4" t="s">
        <v>124</v>
      </c>
      <c r="CW1154" s="4" t="s">
        <v>124</v>
      </c>
      <c r="CX1154" s="4" t="s">
        <v>124</v>
      </c>
      <c r="CY1154" s="4" t="s">
        <v>124</v>
      </c>
      <c r="CZ1154" s="4" t="s">
        <v>124</v>
      </c>
      <c r="DA1154" s="7">
        <v>15.314097</v>
      </c>
      <c r="DB1154" s="7">
        <v>17.400950000000002</v>
      </c>
      <c r="DC1154" s="7">
        <v>16.332519999999999</v>
      </c>
      <c r="DD1154" s="4" t="s">
        <v>124</v>
      </c>
      <c r="DE1154" s="7">
        <v>0</v>
      </c>
      <c r="DF1154" s="6"/>
      <c r="DG1154" s="6"/>
      <c r="DH1154" s="6"/>
      <c r="DI1154" s="6"/>
      <c r="DJ1154" s="7">
        <v>0</v>
      </c>
      <c r="DK1154" s="7">
        <v>0</v>
      </c>
      <c r="DL1154" s="7">
        <v>0</v>
      </c>
      <c r="DM1154" s="7">
        <v>0</v>
      </c>
      <c r="DN1154" s="7">
        <v>0</v>
      </c>
      <c r="DO1154" s="7">
        <v>0</v>
      </c>
      <c r="DP1154" s="6"/>
      <c r="DQ1154" s="4" t="s">
        <v>125</v>
      </c>
    </row>
    <row r="1155" spans="1:121" ht="20" customHeight="1" x14ac:dyDescent="0.15">
      <c r="A1155" s="5">
        <v>2018</v>
      </c>
      <c r="B1155" s="3" t="s">
        <v>261</v>
      </c>
      <c r="C1155" s="4" t="str">
        <f>"2430014"</f>
        <v>2430014</v>
      </c>
      <c r="D1155" s="4" t="s">
        <v>1300</v>
      </c>
      <c r="E1155" s="4" t="str">
        <f>"2430114"</f>
        <v>2430114</v>
      </c>
      <c r="F1155" s="4" t="s">
        <v>1283</v>
      </c>
      <c r="G1155" s="4" t="s">
        <v>328</v>
      </c>
      <c r="H1155" s="7">
        <v>8</v>
      </c>
      <c r="I1155" s="4" t="s">
        <v>335</v>
      </c>
      <c r="J1155" s="4" t="s">
        <v>330</v>
      </c>
      <c r="K1155" s="7">
        <v>689.14802199999997</v>
      </c>
      <c r="L1155" s="7">
        <v>900</v>
      </c>
      <c r="M1155" s="7">
        <v>76.572001999999998</v>
      </c>
      <c r="N1155" s="7">
        <v>2</v>
      </c>
      <c r="O1155" s="7">
        <v>0</v>
      </c>
      <c r="P1155" s="7">
        <v>69.222786999999997</v>
      </c>
      <c r="Q1155" s="7">
        <v>46.148524999999999</v>
      </c>
      <c r="R1155" s="7">
        <v>50</v>
      </c>
      <c r="S1155" s="7">
        <v>63.639527999999999</v>
      </c>
      <c r="T1155" s="7">
        <v>73.108433000000005</v>
      </c>
      <c r="U1155" s="7">
        <v>42.426352000000001</v>
      </c>
      <c r="V1155" s="7">
        <v>50</v>
      </c>
      <c r="W1155" s="7">
        <v>62.721778</v>
      </c>
      <c r="X1155" s="7">
        <v>41.814518999999997</v>
      </c>
      <c r="Y1155" s="7">
        <v>50</v>
      </c>
      <c r="Z1155" s="7">
        <v>66.325841999999994</v>
      </c>
      <c r="AA1155" s="7">
        <v>57.543123000000001</v>
      </c>
      <c r="AB1155" s="7">
        <v>38.362082000000001</v>
      </c>
      <c r="AC1155" s="7">
        <v>50</v>
      </c>
      <c r="AD1155" s="7">
        <v>65.676505000000006</v>
      </c>
      <c r="AE1155" s="7">
        <v>43.784337000000001</v>
      </c>
      <c r="AF1155" s="7">
        <v>50</v>
      </c>
      <c r="AG1155" s="7">
        <v>61.046241999999999</v>
      </c>
      <c r="AH1155" s="7">
        <v>68.557558</v>
      </c>
      <c r="AI1155" s="7">
        <v>40.697495000000004</v>
      </c>
      <c r="AJ1155" s="7">
        <v>50</v>
      </c>
      <c r="AK1155" s="7">
        <v>9.4600000000000009</v>
      </c>
      <c r="AL1155" s="7">
        <v>8.7799999999999994</v>
      </c>
      <c r="AM1155" s="7">
        <v>7.51</v>
      </c>
      <c r="AN1155" s="7">
        <v>0.64076</v>
      </c>
      <c r="AO1155" s="7">
        <v>64.075984000000005</v>
      </c>
      <c r="AP1155" s="7">
        <v>100</v>
      </c>
      <c r="AQ1155" s="7">
        <v>0.6119</v>
      </c>
      <c r="AR1155" s="7">
        <v>61.189988999999997</v>
      </c>
      <c r="AS1155" s="7">
        <v>100</v>
      </c>
      <c r="AT1155" s="7">
        <v>0.65585199999999999</v>
      </c>
      <c r="AU1155" s="7">
        <v>0.63039199999999995</v>
      </c>
      <c r="AV1155" s="7">
        <v>65.5852</v>
      </c>
      <c r="AW1155" s="7">
        <v>100</v>
      </c>
      <c r="AX1155" s="7">
        <v>0.58903700000000003</v>
      </c>
      <c r="AY1155" s="7">
        <v>0.627606</v>
      </c>
      <c r="AZ1155" s="7">
        <v>58.903702000000003</v>
      </c>
      <c r="BA1155" s="7">
        <v>100</v>
      </c>
      <c r="BB1155" s="4" t="s">
        <v>124</v>
      </c>
      <c r="BC1155" s="4" t="s">
        <v>124</v>
      </c>
      <c r="BD1155" s="4" t="s">
        <v>124</v>
      </c>
      <c r="BE1155" s="4" t="s">
        <v>124</v>
      </c>
      <c r="BF1155" s="4" t="s">
        <v>124</v>
      </c>
      <c r="BG1155" s="4" t="s">
        <v>124</v>
      </c>
      <c r="BH1155" s="7">
        <v>0</v>
      </c>
      <c r="BI1155" s="7">
        <v>0.99603200000000003</v>
      </c>
      <c r="BJ1155" s="7">
        <v>0.99038499999999996</v>
      </c>
      <c r="BK1155" s="7">
        <v>1</v>
      </c>
      <c r="BL1155" s="7">
        <v>0.99603200000000003</v>
      </c>
      <c r="BM1155" s="7">
        <v>0.99038499999999996</v>
      </c>
      <c r="BN1155" s="7">
        <v>1</v>
      </c>
      <c r="BO1155" s="7">
        <v>1</v>
      </c>
      <c r="BP1155" s="7">
        <v>1</v>
      </c>
      <c r="BQ1155" s="7">
        <v>1</v>
      </c>
      <c r="BR1155" s="7">
        <v>5.0666999999999997E-2</v>
      </c>
      <c r="BS1155" s="7">
        <v>49.866667</v>
      </c>
      <c r="BT1155" s="7">
        <v>50</v>
      </c>
      <c r="BU1155" s="7">
        <v>5.0632999999999997E-2</v>
      </c>
      <c r="BV1155" s="7">
        <v>49.873418000000001</v>
      </c>
      <c r="BW1155" s="7">
        <v>50</v>
      </c>
      <c r="BX1155" s="4" t="s">
        <v>124</v>
      </c>
      <c r="BY1155" s="4" t="s">
        <v>124</v>
      </c>
      <c r="BZ1155" s="4" t="s">
        <v>124</v>
      </c>
      <c r="CA1155" s="4" t="s">
        <v>124</v>
      </c>
      <c r="CB1155" s="4" t="s">
        <v>124</v>
      </c>
      <c r="CC1155" s="4" t="s">
        <v>124</v>
      </c>
      <c r="CD1155" s="7">
        <v>1</v>
      </c>
      <c r="CE1155" s="7">
        <v>50</v>
      </c>
      <c r="CF1155" s="7">
        <v>50</v>
      </c>
      <c r="CG1155" s="4" t="s">
        <v>124</v>
      </c>
      <c r="CH1155" s="4" t="s">
        <v>124</v>
      </c>
      <c r="CI1155" s="4" t="s">
        <v>124</v>
      </c>
      <c r="CJ1155" s="4" t="s">
        <v>124</v>
      </c>
      <c r="CK1155" s="4" t="s">
        <v>124</v>
      </c>
      <c r="CL1155" s="4" t="s">
        <v>124</v>
      </c>
      <c r="CM1155" s="4" t="s">
        <v>124</v>
      </c>
      <c r="CN1155" s="4" t="s">
        <v>124</v>
      </c>
      <c r="CO1155" s="4" t="s">
        <v>124</v>
      </c>
      <c r="CP1155" s="4" t="s">
        <v>124</v>
      </c>
      <c r="CQ1155" s="7">
        <v>0.546296</v>
      </c>
      <c r="CR1155" s="7">
        <v>1</v>
      </c>
      <c r="CS1155" s="7">
        <v>36.419753</v>
      </c>
      <c r="CT1155" s="7">
        <v>50</v>
      </c>
      <c r="CU1155" s="4" t="s">
        <v>124</v>
      </c>
      <c r="CV1155" s="4" t="s">
        <v>124</v>
      </c>
      <c r="CW1155" s="4" t="s">
        <v>124</v>
      </c>
      <c r="CX1155" s="4" t="s">
        <v>124</v>
      </c>
      <c r="CY1155" s="4" t="s">
        <v>124</v>
      </c>
      <c r="CZ1155" s="4" t="s">
        <v>124</v>
      </c>
      <c r="DA1155" s="7">
        <v>15.314097</v>
      </c>
      <c r="DB1155" s="7">
        <v>17.400950000000002</v>
      </c>
      <c r="DC1155" s="7">
        <v>16.332519999999999</v>
      </c>
      <c r="DD1155" s="4" t="s">
        <v>124</v>
      </c>
      <c r="DE1155" s="7">
        <v>0</v>
      </c>
      <c r="DF1155" s="6"/>
      <c r="DG1155" s="6"/>
      <c r="DH1155" s="6"/>
      <c r="DI1155" s="6"/>
      <c r="DJ1155" s="7">
        <v>0</v>
      </c>
      <c r="DK1155" s="7">
        <v>0</v>
      </c>
      <c r="DL1155" s="7">
        <v>0</v>
      </c>
      <c r="DM1155" s="7">
        <v>0</v>
      </c>
      <c r="DN1155" s="7">
        <v>0</v>
      </c>
      <c r="DO1155" s="7">
        <v>0</v>
      </c>
      <c r="DP1155" s="6"/>
      <c r="DQ1155" s="4" t="s">
        <v>125</v>
      </c>
    </row>
    <row r="1156" spans="1:121" ht="20" customHeight="1" x14ac:dyDescent="0.15">
      <c r="A1156" s="5">
        <v>2018</v>
      </c>
      <c r="B1156" s="3" t="s">
        <v>262</v>
      </c>
      <c r="C1156" s="4" t="str">
        <f t="shared" si="135"/>
        <v>2440014</v>
      </c>
      <c r="D1156" s="4" t="s">
        <v>1301</v>
      </c>
      <c r="E1156" s="4" t="str">
        <f>"2445114"</f>
        <v>2445114</v>
      </c>
      <c r="F1156" s="4" t="s">
        <v>1283</v>
      </c>
      <c r="G1156" s="7">
        <v>6</v>
      </c>
      <c r="H1156" s="7">
        <v>8</v>
      </c>
      <c r="I1156" s="4" t="s">
        <v>329</v>
      </c>
      <c r="J1156" s="4" t="s">
        <v>330</v>
      </c>
      <c r="K1156" s="7">
        <v>671.51512500000001</v>
      </c>
      <c r="L1156" s="7">
        <v>1000</v>
      </c>
      <c r="M1156" s="7">
        <v>67.151512999999994</v>
      </c>
      <c r="N1156" s="7">
        <v>3</v>
      </c>
      <c r="O1156" s="7">
        <v>0</v>
      </c>
      <c r="P1156" s="7">
        <v>65.062106</v>
      </c>
      <c r="Q1156" s="7">
        <v>43.374737000000003</v>
      </c>
      <c r="R1156" s="7">
        <v>50</v>
      </c>
      <c r="S1156" s="7">
        <v>59.174405999999998</v>
      </c>
      <c r="T1156" s="7">
        <v>72.460464999999999</v>
      </c>
      <c r="U1156" s="7">
        <v>39.449604000000001</v>
      </c>
      <c r="V1156" s="7">
        <v>50</v>
      </c>
      <c r="W1156" s="7">
        <v>60.130963000000001</v>
      </c>
      <c r="X1156" s="7">
        <v>40.087308999999998</v>
      </c>
      <c r="Y1156" s="7">
        <v>50</v>
      </c>
      <c r="Z1156" s="7">
        <v>68.132268999999994</v>
      </c>
      <c r="AA1156" s="7">
        <v>53.784377999999997</v>
      </c>
      <c r="AB1156" s="7">
        <v>35.856251999999998</v>
      </c>
      <c r="AC1156" s="7">
        <v>50</v>
      </c>
      <c r="AD1156" s="7">
        <v>64.980496000000002</v>
      </c>
      <c r="AE1156" s="7">
        <v>43.320331000000003</v>
      </c>
      <c r="AF1156" s="7">
        <v>50</v>
      </c>
      <c r="AG1156" s="7">
        <v>60.953732000000002</v>
      </c>
      <c r="AH1156" s="7">
        <v>75</v>
      </c>
      <c r="AI1156" s="7">
        <v>40.635821</v>
      </c>
      <c r="AJ1156" s="7">
        <v>50</v>
      </c>
      <c r="AK1156" s="7">
        <v>13.28</v>
      </c>
      <c r="AL1156" s="7">
        <v>14.34</v>
      </c>
      <c r="AM1156" s="7">
        <v>14.04</v>
      </c>
      <c r="AN1156" s="7">
        <v>0.56658699999999995</v>
      </c>
      <c r="AO1156" s="7">
        <v>56.658676</v>
      </c>
      <c r="AP1156" s="7">
        <v>100</v>
      </c>
      <c r="AQ1156" s="7">
        <v>0.59946900000000003</v>
      </c>
      <c r="AR1156" s="7">
        <v>59.946871000000002</v>
      </c>
      <c r="AS1156" s="7">
        <v>100</v>
      </c>
      <c r="AT1156" s="7">
        <v>0.56656700000000004</v>
      </c>
      <c r="AU1156" s="7">
        <v>0.566608</v>
      </c>
      <c r="AV1156" s="7">
        <v>56.656703999999998</v>
      </c>
      <c r="AW1156" s="7">
        <v>100</v>
      </c>
      <c r="AX1156" s="7">
        <v>0.56558799999999998</v>
      </c>
      <c r="AY1156" s="7">
        <v>0.636382</v>
      </c>
      <c r="AZ1156" s="7">
        <v>56.558829000000003</v>
      </c>
      <c r="BA1156" s="7">
        <v>100</v>
      </c>
      <c r="BB1156" s="7">
        <v>0.48747800000000002</v>
      </c>
      <c r="BC1156" s="7">
        <v>24.373908</v>
      </c>
      <c r="BD1156" s="7">
        <v>50</v>
      </c>
      <c r="BE1156" s="7">
        <v>0.47533599999999998</v>
      </c>
      <c r="BF1156" s="7">
        <v>23.766780000000001</v>
      </c>
      <c r="BG1156" s="7">
        <v>50</v>
      </c>
      <c r="BH1156" s="7">
        <v>0</v>
      </c>
      <c r="BI1156" s="7">
        <v>0.99855700000000003</v>
      </c>
      <c r="BJ1156" s="7">
        <v>0.99742299999999995</v>
      </c>
      <c r="BK1156" s="7">
        <v>1</v>
      </c>
      <c r="BL1156" s="7">
        <v>0.99855499999999997</v>
      </c>
      <c r="BM1156" s="7">
        <v>0.99742299999999995</v>
      </c>
      <c r="BN1156" s="7">
        <v>1</v>
      </c>
      <c r="BO1156" s="7">
        <v>1</v>
      </c>
      <c r="BP1156" s="7">
        <v>1</v>
      </c>
      <c r="BQ1156" s="7">
        <v>1</v>
      </c>
      <c r="BR1156" s="7">
        <v>0.12300999999999999</v>
      </c>
      <c r="BS1156" s="7">
        <v>35.397973999999998</v>
      </c>
      <c r="BT1156" s="7">
        <v>50</v>
      </c>
      <c r="BU1156" s="7">
        <v>0.14978900000000001</v>
      </c>
      <c r="BV1156" s="7">
        <v>30.042193999999999</v>
      </c>
      <c r="BW1156" s="7">
        <v>50</v>
      </c>
      <c r="BX1156" s="4" t="s">
        <v>124</v>
      </c>
      <c r="BY1156" s="4" t="s">
        <v>124</v>
      </c>
      <c r="BZ1156" s="4" t="s">
        <v>124</v>
      </c>
      <c r="CA1156" s="4" t="s">
        <v>124</v>
      </c>
      <c r="CB1156" s="4" t="s">
        <v>124</v>
      </c>
      <c r="CC1156" s="4" t="s">
        <v>124</v>
      </c>
      <c r="CD1156" s="7">
        <v>0.96035199999999998</v>
      </c>
      <c r="CE1156" s="7">
        <v>50</v>
      </c>
      <c r="CF1156" s="7">
        <v>50</v>
      </c>
      <c r="CG1156" s="4" t="s">
        <v>124</v>
      </c>
      <c r="CH1156" s="4" t="s">
        <v>124</v>
      </c>
      <c r="CI1156" s="4" t="s">
        <v>124</v>
      </c>
      <c r="CJ1156" s="4" t="s">
        <v>124</v>
      </c>
      <c r="CK1156" s="4" t="s">
        <v>124</v>
      </c>
      <c r="CL1156" s="4" t="s">
        <v>124</v>
      </c>
      <c r="CM1156" s="4" t="s">
        <v>124</v>
      </c>
      <c r="CN1156" s="4" t="s">
        <v>124</v>
      </c>
      <c r="CO1156" s="4" t="s">
        <v>124</v>
      </c>
      <c r="CP1156" s="4" t="s">
        <v>124</v>
      </c>
      <c r="CQ1156" s="7">
        <v>0.530837</v>
      </c>
      <c r="CR1156" s="7">
        <v>0.98056200000000004</v>
      </c>
      <c r="CS1156" s="7">
        <v>35.389133999999999</v>
      </c>
      <c r="CT1156" s="7">
        <v>50</v>
      </c>
      <c r="CU1156" s="4" t="s">
        <v>124</v>
      </c>
      <c r="CV1156" s="4" t="s">
        <v>124</v>
      </c>
      <c r="CW1156" s="4" t="s">
        <v>124</v>
      </c>
      <c r="CX1156" s="4" t="s">
        <v>124</v>
      </c>
      <c r="CY1156" s="4" t="s">
        <v>124</v>
      </c>
      <c r="CZ1156" s="4" t="s">
        <v>124</v>
      </c>
      <c r="DA1156" s="7">
        <v>15.314097</v>
      </c>
      <c r="DB1156" s="7">
        <v>17.400950000000002</v>
      </c>
      <c r="DC1156" s="7">
        <v>16.332519999999999</v>
      </c>
      <c r="DD1156" s="4" t="s">
        <v>124</v>
      </c>
      <c r="DE1156" s="7">
        <v>0</v>
      </c>
      <c r="DF1156" s="6"/>
      <c r="DG1156" s="6"/>
      <c r="DH1156" s="6"/>
      <c r="DI1156" s="6"/>
      <c r="DJ1156" s="7">
        <v>0</v>
      </c>
      <c r="DK1156" s="7">
        <v>0</v>
      </c>
      <c r="DL1156" s="7">
        <v>0</v>
      </c>
      <c r="DM1156" s="7">
        <v>0</v>
      </c>
      <c r="DN1156" s="7">
        <v>0</v>
      </c>
      <c r="DO1156" s="7">
        <v>0</v>
      </c>
      <c r="DP1156" s="6"/>
      <c r="DQ1156" s="4" t="s">
        <v>125</v>
      </c>
    </row>
    <row r="1157" spans="1:121" ht="20" customHeight="1" x14ac:dyDescent="0.15">
      <c r="A1157" s="5">
        <v>2018</v>
      </c>
      <c r="B1157" s="3" t="s">
        <v>262</v>
      </c>
      <c r="C1157" s="4" t="str">
        <f>"2440014"</f>
        <v>2440014</v>
      </c>
      <c r="D1157" s="4" t="s">
        <v>1302</v>
      </c>
      <c r="E1157" s="4" t="str">
        <f>"2440314"</f>
        <v>2440314</v>
      </c>
      <c r="F1157" s="4" t="s">
        <v>1283</v>
      </c>
      <c r="G1157" s="4" t="s">
        <v>338</v>
      </c>
      <c r="H1157" s="7">
        <v>8</v>
      </c>
      <c r="I1157" s="4" t="s">
        <v>329</v>
      </c>
      <c r="J1157" s="4" t="s">
        <v>330</v>
      </c>
      <c r="K1157" s="7">
        <v>565.527288</v>
      </c>
      <c r="L1157" s="7">
        <v>900</v>
      </c>
      <c r="M1157" s="7">
        <v>62.836365000000001</v>
      </c>
      <c r="N1157" s="7">
        <v>3</v>
      </c>
      <c r="O1157" s="7">
        <v>0</v>
      </c>
      <c r="P1157" s="7">
        <v>61.527011999999999</v>
      </c>
      <c r="Q1157" s="7">
        <v>41.018008000000002</v>
      </c>
      <c r="R1157" s="7">
        <v>50</v>
      </c>
      <c r="S1157" s="7">
        <v>54.814489000000002</v>
      </c>
      <c r="T1157" s="7">
        <v>70.058413999999999</v>
      </c>
      <c r="U1157" s="7">
        <v>36.542991999999998</v>
      </c>
      <c r="V1157" s="7">
        <v>50</v>
      </c>
      <c r="W1157" s="7">
        <v>53.837094</v>
      </c>
      <c r="X1157" s="7">
        <v>35.891396</v>
      </c>
      <c r="Y1157" s="7">
        <v>50</v>
      </c>
      <c r="Z1157" s="7">
        <v>61.631323000000002</v>
      </c>
      <c r="AA1157" s="7">
        <v>47.704579000000003</v>
      </c>
      <c r="AB1157" s="7">
        <v>31.803052999999998</v>
      </c>
      <c r="AC1157" s="7">
        <v>50</v>
      </c>
      <c r="AD1157" s="7">
        <v>54.631813000000001</v>
      </c>
      <c r="AE1157" s="7">
        <v>36.421208999999998</v>
      </c>
      <c r="AF1157" s="7">
        <v>50</v>
      </c>
      <c r="AG1157" s="7">
        <v>49.781131999999999</v>
      </c>
      <c r="AH1157" s="7">
        <v>61.133789</v>
      </c>
      <c r="AI1157" s="7">
        <v>33.187421999999998</v>
      </c>
      <c r="AJ1157" s="7">
        <v>50</v>
      </c>
      <c r="AK1157" s="7">
        <v>15.24</v>
      </c>
      <c r="AL1157" s="7">
        <v>13.92</v>
      </c>
      <c r="AM1157" s="7">
        <v>11.35</v>
      </c>
      <c r="AN1157" s="7">
        <v>0.548647</v>
      </c>
      <c r="AO1157" s="7">
        <v>54.864682000000002</v>
      </c>
      <c r="AP1157" s="7">
        <v>100</v>
      </c>
      <c r="AQ1157" s="7">
        <v>0.54278300000000002</v>
      </c>
      <c r="AR1157" s="7">
        <v>54.278291000000003</v>
      </c>
      <c r="AS1157" s="7">
        <v>100</v>
      </c>
      <c r="AT1157" s="7">
        <v>0.53057100000000001</v>
      </c>
      <c r="AU1157" s="7">
        <v>0.56959800000000005</v>
      </c>
      <c r="AV1157" s="7">
        <v>53.057111999999996</v>
      </c>
      <c r="AW1157" s="7">
        <v>100</v>
      </c>
      <c r="AX1157" s="7">
        <v>0.49983499999999997</v>
      </c>
      <c r="AY1157" s="7">
        <v>0.59256399999999998</v>
      </c>
      <c r="AZ1157" s="7">
        <v>49.983491000000001</v>
      </c>
      <c r="BA1157" s="7">
        <v>100</v>
      </c>
      <c r="BB1157" s="4" t="s">
        <v>124</v>
      </c>
      <c r="BC1157" s="4" t="s">
        <v>124</v>
      </c>
      <c r="BD1157" s="4" t="s">
        <v>124</v>
      </c>
      <c r="BE1157" s="4" t="s">
        <v>124</v>
      </c>
      <c r="BF1157" s="4" t="s">
        <v>124</v>
      </c>
      <c r="BG1157" s="4" t="s">
        <v>124</v>
      </c>
      <c r="BH1157" s="7">
        <v>0</v>
      </c>
      <c r="BI1157" s="7">
        <v>0.99436599999999997</v>
      </c>
      <c r="BJ1157" s="7">
        <v>0.98995</v>
      </c>
      <c r="BK1157" s="7">
        <v>1</v>
      </c>
      <c r="BL1157" s="7">
        <v>0.99436599999999997</v>
      </c>
      <c r="BM1157" s="7">
        <v>0.98995</v>
      </c>
      <c r="BN1157" s="7">
        <v>1</v>
      </c>
      <c r="BO1157" s="7">
        <v>0.99099099999999996</v>
      </c>
      <c r="BP1157" s="7">
        <v>0.984375</v>
      </c>
      <c r="BQ1157" s="7">
        <v>1</v>
      </c>
      <c r="BR1157" s="7">
        <v>0.13636400000000001</v>
      </c>
      <c r="BS1157" s="7">
        <v>32.727272999999997</v>
      </c>
      <c r="BT1157" s="7">
        <v>50</v>
      </c>
      <c r="BU1157" s="7">
        <v>0.17350199999999999</v>
      </c>
      <c r="BV1157" s="7">
        <v>25.299685</v>
      </c>
      <c r="BW1157" s="7">
        <v>50</v>
      </c>
      <c r="BX1157" s="4" t="s">
        <v>124</v>
      </c>
      <c r="BY1157" s="4" t="s">
        <v>124</v>
      </c>
      <c r="BZ1157" s="4" t="s">
        <v>124</v>
      </c>
      <c r="CA1157" s="4" t="s">
        <v>124</v>
      </c>
      <c r="CB1157" s="4" t="s">
        <v>124</v>
      </c>
      <c r="CC1157" s="4" t="s">
        <v>124</v>
      </c>
      <c r="CD1157" s="7">
        <v>0.96428599999999998</v>
      </c>
      <c r="CE1157" s="7">
        <v>50</v>
      </c>
      <c r="CF1157" s="7">
        <v>50</v>
      </c>
      <c r="CG1157" s="4" t="s">
        <v>124</v>
      </c>
      <c r="CH1157" s="4" t="s">
        <v>124</v>
      </c>
      <c r="CI1157" s="4" t="s">
        <v>124</v>
      </c>
      <c r="CJ1157" s="4" t="s">
        <v>124</v>
      </c>
      <c r="CK1157" s="4" t="s">
        <v>124</v>
      </c>
      <c r="CL1157" s="4" t="s">
        <v>124</v>
      </c>
      <c r="CM1157" s="4" t="s">
        <v>124</v>
      </c>
      <c r="CN1157" s="4" t="s">
        <v>124</v>
      </c>
      <c r="CO1157" s="4" t="s">
        <v>124</v>
      </c>
      <c r="CP1157" s="4" t="s">
        <v>124</v>
      </c>
      <c r="CQ1157" s="7">
        <v>0.45678999999999997</v>
      </c>
      <c r="CR1157" s="7">
        <v>0.97590399999999999</v>
      </c>
      <c r="CS1157" s="7">
        <v>30.452674999999999</v>
      </c>
      <c r="CT1157" s="7">
        <v>50</v>
      </c>
      <c r="CU1157" s="4" t="s">
        <v>124</v>
      </c>
      <c r="CV1157" s="4" t="s">
        <v>124</v>
      </c>
      <c r="CW1157" s="4" t="s">
        <v>124</v>
      </c>
      <c r="CX1157" s="4" t="s">
        <v>124</v>
      </c>
      <c r="CY1157" s="4" t="s">
        <v>124</v>
      </c>
      <c r="CZ1157" s="4" t="s">
        <v>124</v>
      </c>
      <c r="DA1157" s="7">
        <v>15.314097</v>
      </c>
      <c r="DB1157" s="7">
        <v>17.400950000000002</v>
      </c>
      <c r="DC1157" s="7">
        <v>16.332519999999999</v>
      </c>
      <c r="DD1157" s="4" t="s">
        <v>124</v>
      </c>
      <c r="DE1157" s="7">
        <v>0</v>
      </c>
      <c r="DF1157" s="6"/>
      <c r="DG1157" s="6"/>
      <c r="DH1157" s="6"/>
      <c r="DI1157" s="6"/>
      <c r="DJ1157" s="7">
        <v>0</v>
      </c>
      <c r="DK1157" s="7">
        <v>0</v>
      </c>
      <c r="DL1157" s="7">
        <v>0</v>
      </c>
      <c r="DM1157" s="7">
        <v>0</v>
      </c>
      <c r="DN1157" s="7">
        <v>0</v>
      </c>
      <c r="DO1157" s="7">
        <v>0</v>
      </c>
      <c r="DP1157" s="6"/>
      <c r="DQ1157" s="4" t="s">
        <v>125</v>
      </c>
    </row>
    <row r="1158" spans="1:121" ht="20" customHeight="1" x14ac:dyDescent="0.15">
      <c r="A1158" s="5">
        <v>2018</v>
      </c>
      <c r="B1158" s="3" t="s">
        <v>263</v>
      </c>
      <c r="C1158" s="4" t="str">
        <f t="shared" si="136"/>
        <v>2450014</v>
      </c>
      <c r="D1158" s="4" t="s">
        <v>1303</v>
      </c>
      <c r="E1158" s="4" t="str">
        <f>"2456014"</f>
        <v>2456014</v>
      </c>
      <c r="F1158" s="4" t="s">
        <v>1283</v>
      </c>
      <c r="G1158" s="7">
        <v>9</v>
      </c>
      <c r="H1158" s="7">
        <v>12</v>
      </c>
      <c r="I1158" s="6"/>
      <c r="J1158" s="4" t="s">
        <v>330</v>
      </c>
      <c r="K1158" s="7">
        <v>1022.743702</v>
      </c>
      <c r="L1158" s="7">
        <v>1550</v>
      </c>
      <c r="M1158" s="7">
        <v>65.983464999999995</v>
      </c>
      <c r="N1158" s="7">
        <v>3</v>
      </c>
      <c r="O1158" s="7">
        <v>1</v>
      </c>
      <c r="P1158" s="7">
        <v>52.759259</v>
      </c>
      <c r="Q1158" s="7">
        <v>105.518519</v>
      </c>
      <c r="R1158" s="7">
        <v>150</v>
      </c>
      <c r="S1158" s="7">
        <v>48.820988</v>
      </c>
      <c r="T1158" s="7">
        <v>64.574073999999996</v>
      </c>
      <c r="U1158" s="7">
        <v>97.641975000000002</v>
      </c>
      <c r="V1158" s="7">
        <v>150</v>
      </c>
      <c r="W1158" s="7">
        <v>47.027262999999998</v>
      </c>
      <c r="X1158" s="7">
        <v>94.054526999999993</v>
      </c>
      <c r="Y1158" s="7">
        <v>150</v>
      </c>
      <c r="Z1158" s="7">
        <v>53.709876999999999</v>
      </c>
      <c r="AA1158" s="7">
        <v>44.799726</v>
      </c>
      <c r="AB1158" s="7">
        <v>89.599451000000002</v>
      </c>
      <c r="AC1158" s="7">
        <v>150</v>
      </c>
      <c r="AD1158" s="7">
        <v>48.978912999999999</v>
      </c>
      <c r="AE1158" s="7">
        <v>65.305216999999999</v>
      </c>
      <c r="AF1158" s="7">
        <v>100</v>
      </c>
      <c r="AG1158" s="7">
        <v>46.247776000000002</v>
      </c>
      <c r="AH1158" s="7">
        <v>57.475783</v>
      </c>
      <c r="AI1158" s="7">
        <v>61.663701000000003</v>
      </c>
      <c r="AJ1158" s="7">
        <v>100</v>
      </c>
      <c r="AK1158" s="7">
        <v>15.75</v>
      </c>
      <c r="AL1158" s="7">
        <v>8.91</v>
      </c>
      <c r="AM1158" s="7">
        <v>11.22</v>
      </c>
      <c r="AN1158" s="4" t="s">
        <v>124</v>
      </c>
      <c r="AO1158" s="4" t="s">
        <v>124</v>
      </c>
      <c r="AP1158" s="4" t="s">
        <v>124</v>
      </c>
      <c r="AQ1158" s="4" t="s">
        <v>124</v>
      </c>
      <c r="AR1158" s="4" t="s">
        <v>124</v>
      </c>
      <c r="AS1158" s="4" t="s">
        <v>124</v>
      </c>
      <c r="AT1158" s="4" t="s">
        <v>124</v>
      </c>
      <c r="AU1158" s="4" t="s">
        <v>124</v>
      </c>
      <c r="AV1158" s="4" t="s">
        <v>124</v>
      </c>
      <c r="AW1158" s="4" t="s">
        <v>124</v>
      </c>
      <c r="AX1158" s="4" t="s">
        <v>124</v>
      </c>
      <c r="AY1158" s="4" t="s">
        <v>124</v>
      </c>
      <c r="AZ1158" s="4" t="s">
        <v>124</v>
      </c>
      <c r="BA1158" s="4" t="s">
        <v>124</v>
      </c>
      <c r="BB1158" s="7">
        <v>0.52264900000000003</v>
      </c>
      <c r="BC1158" s="7">
        <v>26.132451</v>
      </c>
      <c r="BD1158" s="7">
        <v>50</v>
      </c>
      <c r="BE1158" s="7">
        <v>0.55683199999999999</v>
      </c>
      <c r="BF1158" s="7">
        <v>27.841605000000001</v>
      </c>
      <c r="BG1158" s="7">
        <v>50</v>
      </c>
      <c r="BH1158" s="7">
        <v>1</v>
      </c>
      <c r="BI1158" s="7">
        <v>0.94782599999999995</v>
      </c>
      <c r="BJ1158" s="7">
        <v>0.93181800000000004</v>
      </c>
      <c r="BK1158" s="7">
        <v>1</v>
      </c>
      <c r="BL1158" s="7">
        <v>0.94782599999999995</v>
      </c>
      <c r="BM1158" s="7">
        <v>0.93181800000000004</v>
      </c>
      <c r="BN1158" s="7">
        <v>1</v>
      </c>
      <c r="BO1158" s="7">
        <v>0.96521699999999999</v>
      </c>
      <c r="BP1158" s="7">
        <v>0.95454499999999998</v>
      </c>
      <c r="BQ1158" s="7">
        <v>1</v>
      </c>
      <c r="BR1158" s="7">
        <v>0.282609</v>
      </c>
      <c r="BS1158" s="7">
        <v>3.4782609999999998</v>
      </c>
      <c r="BT1158" s="7">
        <v>50</v>
      </c>
      <c r="BU1158" s="7">
        <v>0.35087699999999999</v>
      </c>
      <c r="BV1158" s="7">
        <v>0</v>
      </c>
      <c r="BW1158" s="7">
        <v>50</v>
      </c>
      <c r="BX1158" s="7">
        <v>0.57466099999999998</v>
      </c>
      <c r="BY1158" s="7">
        <v>38.310709000000003</v>
      </c>
      <c r="BZ1158" s="7">
        <v>50</v>
      </c>
      <c r="CA1158" s="7">
        <v>0.221719</v>
      </c>
      <c r="CB1158" s="7">
        <v>14.781297</v>
      </c>
      <c r="CC1158" s="7">
        <v>50</v>
      </c>
      <c r="CD1158" s="7">
        <v>0.93650800000000001</v>
      </c>
      <c r="CE1158" s="7">
        <v>49.814252000000003</v>
      </c>
      <c r="CF1158" s="7">
        <v>50</v>
      </c>
      <c r="CG1158" s="7">
        <v>0.87378599999999995</v>
      </c>
      <c r="CH1158" s="7">
        <v>92.956001000000001</v>
      </c>
      <c r="CI1158" s="7">
        <v>100</v>
      </c>
      <c r="CJ1158" s="7">
        <v>0</v>
      </c>
      <c r="CK1158" s="7">
        <v>0.86885199999999996</v>
      </c>
      <c r="CL1158" s="7">
        <v>92.431112999999996</v>
      </c>
      <c r="CM1158" s="7">
        <v>100</v>
      </c>
      <c r="CN1158" s="7">
        <v>0.59574499999999997</v>
      </c>
      <c r="CO1158" s="7">
        <v>79.432624000000004</v>
      </c>
      <c r="CP1158" s="7">
        <v>100</v>
      </c>
      <c r="CQ1158" s="7">
        <v>0.54205599999999998</v>
      </c>
      <c r="CR1158" s="7">
        <v>0.93043500000000001</v>
      </c>
      <c r="CS1158" s="7">
        <v>36.137072000000003</v>
      </c>
      <c r="CT1158" s="7">
        <v>50</v>
      </c>
      <c r="CU1158" s="7">
        <v>0.571739</v>
      </c>
      <c r="CV1158" s="7">
        <v>47.644928</v>
      </c>
      <c r="CW1158" s="7">
        <v>50</v>
      </c>
      <c r="CX1158" s="7">
        <v>0.86885199999999996</v>
      </c>
      <c r="CY1158" s="7">
        <v>0.94</v>
      </c>
      <c r="CZ1158" s="7">
        <v>7.1148000000000003E-2</v>
      </c>
      <c r="DA1158" s="7">
        <v>15.314097</v>
      </c>
      <c r="DB1158" s="7">
        <v>17.400950000000002</v>
      </c>
      <c r="DC1158" s="7">
        <v>16.332519999999999</v>
      </c>
      <c r="DD1158" s="7">
        <v>7.9891730000000001</v>
      </c>
      <c r="DE1158" s="7">
        <v>1</v>
      </c>
      <c r="DF1158" s="6"/>
      <c r="DG1158" s="6"/>
      <c r="DH1158" s="6"/>
      <c r="DI1158" s="6"/>
      <c r="DJ1158" s="7">
        <v>0</v>
      </c>
      <c r="DK1158" s="7">
        <v>0</v>
      </c>
      <c r="DL1158" s="7">
        <v>0</v>
      </c>
      <c r="DM1158" s="7">
        <v>0</v>
      </c>
      <c r="DN1158" s="7">
        <v>0</v>
      </c>
      <c r="DO1158" s="7">
        <v>0</v>
      </c>
      <c r="DP1158" s="6"/>
      <c r="DQ1158" s="4" t="s">
        <v>125</v>
      </c>
    </row>
    <row r="1159" spans="1:121" ht="20" customHeight="1" x14ac:dyDescent="0.15">
      <c r="A1159" s="5">
        <v>2018</v>
      </c>
      <c r="B1159" s="3" t="s">
        <v>263</v>
      </c>
      <c r="C1159" s="4" t="str">
        <f>"2450014"</f>
        <v>2450014</v>
      </c>
      <c r="D1159" s="4" t="s">
        <v>1304</v>
      </c>
      <c r="E1159" s="4" t="str">
        <f>"2455014"</f>
        <v>2455014</v>
      </c>
      <c r="F1159" s="4" t="s">
        <v>1283</v>
      </c>
      <c r="G1159" s="7">
        <v>6</v>
      </c>
      <c r="H1159" s="7">
        <v>8</v>
      </c>
      <c r="I1159" s="4" t="s">
        <v>335</v>
      </c>
      <c r="J1159" s="4" t="s">
        <v>330</v>
      </c>
      <c r="K1159" s="7">
        <v>605.84646099999998</v>
      </c>
      <c r="L1159" s="7">
        <v>900</v>
      </c>
      <c r="M1159" s="7">
        <v>67.316272999999995</v>
      </c>
      <c r="N1159" s="7">
        <v>3</v>
      </c>
      <c r="O1159" s="7">
        <v>0</v>
      </c>
      <c r="P1159" s="7">
        <v>64.526608999999993</v>
      </c>
      <c r="Q1159" s="7">
        <v>43.017740000000003</v>
      </c>
      <c r="R1159" s="7">
        <v>50</v>
      </c>
      <c r="S1159" s="7">
        <v>60.883726000000003</v>
      </c>
      <c r="T1159" s="7">
        <v>75</v>
      </c>
      <c r="U1159" s="7">
        <v>40.589151000000001</v>
      </c>
      <c r="V1159" s="7">
        <v>50</v>
      </c>
      <c r="W1159" s="7">
        <v>51.274320000000003</v>
      </c>
      <c r="X1159" s="7">
        <v>34.182879999999997</v>
      </c>
      <c r="Y1159" s="7">
        <v>50</v>
      </c>
      <c r="Z1159" s="7">
        <v>63.028536000000003</v>
      </c>
      <c r="AA1159" s="7">
        <v>47.682754000000003</v>
      </c>
      <c r="AB1159" s="7">
        <v>31.788502999999999</v>
      </c>
      <c r="AC1159" s="7">
        <v>50</v>
      </c>
      <c r="AD1159" s="7">
        <v>60.183908000000002</v>
      </c>
      <c r="AE1159" s="7">
        <v>40.122605</v>
      </c>
      <c r="AF1159" s="7">
        <v>50</v>
      </c>
      <c r="AG1159" s="7">
        <v>52</v>
      </c>
      <c r="AH1159" s="4" t="s">
        <v>124</v>
      </c>
      <c r="AI1159" s="7">
        <v>34.666666999999997</v>
      </c>
      <c r="AJ1159" s="7">
        <v>50</v>
      </c>
      <c r="AK1159" s="7">
        <v>14.11</v>
      </c>
      <c r="AL1159" s="7">
        <v>15.34</v>
      </c>
      <c r="AM1159" s="4" t="s">
        <v>124</v>
      </c>
      <c r="AN1159" s="7">
        <v>0.56369400000000003</v>
      </c>
      <c r="AO1159" s="7">
        <v>56.369354999999999</v>
      </c>
      <c r="AP1159" s="7">
        <v>100</v>
      </c>
      <c r="AQ1159" s="7">
        <v>0.55317300000000003</v>
      </c>
      <c r="AR1159" s="7">
        <v>55.317312999999999</v>
      </c>
      <c r="AS1159" s="7">
        <v>100</v>
      </c>
      <c r="AT1159" s="7">
        <v>0.59073200000000003</v>
      </c>
      <c r="AU1159" s="7">
        <v>0.47684399999999999</v>
      </c>
      <c r="AV1159" s="7">
        <v>59.073172999999997</v>
      </c>
      <c r="AW1159" s="7">
        <v>100</v>
      </c>
      <c r="AX1159" s="7">
        <v>0.56190499999999999</v>
      </c>
      <c r="AY1159" s="7">
        <v>0.52512499999999995</v>
      </c>
      <c r="AZ1159" s="7">
        <v>56.190520999999997</v>
      </c>
      <c r="BA1159" s="7">
        <v>100</v>
      </c>
      <c r="BB1159" s="4" t="s">
        <v>124</v>
      </c>
      <c r="BC1159" s="4" t="s">
        <v>124</v>
      </c>
      <c r="BD1159" s="4" t="s">
        <v>124</v>
      </c>
      <c r="BE1159" s="4" t="s">
        <v>124</v>
      </c>
      <c r="BF1159" s="4" t="s">
        <v>124</v>
      </c>
      <c r="BG1159" s="4" t="s">
        <v>124</v>
      </c>
      <c r="BH1159" s="7">
        <v>0</v>
      </c>
      <c r="BI1159" s="7">
        <v>1</v>
      </c>
      <c r="BJ1159" s="7">
        <v>1</v>
      </c>
      <c r="BK1159" s="7">
        <v>1</v>
      </c>
      <c r="BL1159" s="7">
        <v>1</v>
      </c>
      <c r="BM1159" s="7">
        <v>1</v>
      </c>
      <c r="BN1159" s="7">
        <v>1</v>
      </c>
      <c r="BO1159" s="7">
        <v>1</v>
      </c>
      <c r="BP1159" s="7">
        <v>1</v>
      </c>
      <c r="BQ1159" s="4" t="s">
        <v>124</v>
      </c>
      <c r="BR1159" s="7">
        <v>0.112676</v>
      </c>
      <c r="BS1159" s="7">
        <v>37.464789000000003</v>
      </c>
      <c r="BT1159" s="7">
        <v>50</v>
      </c>
      <c r="BU1159" s="7">
        <v>0.12963</v>
      </c>
      <c r="BV1159" s="7">
        <v>34.074074000000003</v>
      </c>
      <c r="BW1159" s="7">
        <v>50</v>
      </c>
      <c r="BX1159" s="4" t="s">
        <v>124</v>
      </c>
      <c r="BY1159" s="4" t="s">
        <v>124</v>
      </c>
      <c r="BZ1159" s="4" t="s">
        <v>124</v>
      </c>
      <c r="CA1159" s="4" t="s">
        <v>124</v>
      </c>
      <c r="CB1159" s="4" t="s">
        <v>124</v>
      </c>
      <c r="CC1159" s="4" t="s">
        <v>124</v>
      </c>
      <c r="CD1159" s="7">
        <v>0.95833299999999999</v>
      </c>
      <c r="CE1159" s="7">
        <v>50</v>
      </c>
      <c r="CF1159" s="7">
        <v>50</v>
      </c>
      <c r="CG1159" s="4" t="s">
        <v>124</v>
      </c>
      <c r="CH1159" s="4" t="s">
        <v>124</v>
      </c>
      <c r="CI1159" s="4" t="s">
        <v>124</v>
      </c>
      <c r="CJ1159" s="4" t="s">
        <v>124</v>
      </c>
      <c r="CK1159" s="4" t="s">
        <v>124</v>
      </c>
      <c r="CL1159" s="4" t="s">
        <v>124</v>
      </c>
      <c r="CM1159" s="4" t="s">
        <v>124</v>
      </c>
      <c r="CN1159" s="4" t="s">
        <v>124</v>
      </c>
      <c r="CO1159" s="4" t="s">
        <v>124</v>
      </c>
      <c r="CP1159" s="4" t="s">
        <v>124</v>
      </c>
      <c r="CQ1159" s="7">
        <v>0.49484499999999998</v>
      </c>
      <c r="CR1159" s="7">
        <v>0.97</v>
      </c>
      <c r="CS1159" s="7">
        <v>32.989691000000001</v>
      </c>
      <c r="CT1159" s="7">
        <v>50</v>
      </c>
      <c r="CU1159" s="4" t="s">
        <v>124</v>
      </c>
      <c r="CV1159" s="4" t="s">
        <v>124</v>
      </c>
      <c r="CW1159" s="4" t="s">
        <v>124</v>
      </c>
      <c r="CX1159" s="4" t="s">
        <v>124</v>
      </c>
      <c r="CY1159" s="4" t="s">
        <v>124</v>
      </c>
      <c r="CZ1159" s="4" t="s">
        <v>124</v>
      </c>
      <c r="DA1159" s="7">
        <v>15.314097</v>
      </c>
      <c r="DB1159" s="7">
        <v>17.400950000000002</v>
      </c>
      <c r="DC1159" s="7">
        <v>16.332519999999999</v>
      </c>
      <c r="DD1159" s="4" t="s">
        <v>124</v>
      </c>
      <c r="DE1159" s="7">
        <v>0</v>
      </c>
      <c r="DF1159" s="6"/>
      <c r="DG1159" s="6"/>
      <c r="DH1159" s="6"/>
      <c r="DI1159" s="6"/>
      <c r="DJ1159" s="7">
        <v>0</v>
      </c>
      <c r="DK1159" s="7">
        <v>0</v>
      </c>
      <c r="DL1159" s="7">
        <v>0</v>
      </c>
      <c r="DM1159" s="7">
        <v>0</v>
      </c>
      <c r="DN1159" s="7">
        <v>0</v>
      </c>
      <c r="DO1159" s="7">
        <v>0</v>
      </c>
      <c r="DP1159" s="6"/>
      <c r="DQ1159" s="4" t="s">
        <v>125</v>
      </c>
    </row>
    <row r="1160" spans="1:121" ht="20" customHeight="1" x14ac:dyDescent="0.15">
      <c r="A1160" s="5">
        <v>2018</v>
      </c>
      <c r="B1160" s="3" t="s">
        <v>263</v>
      </c>
      <c r="C1160" s="4" t="str">
        <f>"2450014"</f>
        <v>2450014</v>
      </c>
      <c r="D1160" s="4" t="s">
        <v>1305</v>
      </c>
      <c r="E1160" s="4" t="str">
        <f>"2456114"</f>
        <v>2456114</v>
      </c>
      <c r="F1160" s="4" t="s">
        <v>1283</v>
      </c>
      <c r="G1160" s="7">
        <v>9</v>
      </c>
      <c r="H1160" s="7">
        <v>12</v>
      </c>
      <c r="I1160" s="6"/>
      <c r="J1160" s="4" t="s">
        <v>330</v>
      </c>
      <c r="K1160" s="7">
        <v>990.308807</v>
      </c>
      <c r="L1160" s="7">
        <v>1050</v>
      </c>
      <c r="M1160" s="7">
        <v>94.315123999999997</v>
      </c>
      <c r="N1160" s="7">
        <v>1</v>
      </c>
      <c r="O1160" s="7">
        <v>0</v>
      </c>
      <c r="P1160" s="7">
        <v>71.383598000000006</v>
      </c>
      <c r="Q1160" s="7">
        <v>142.76719600000001</v>
      </c>
      <c r="R1160" s="7">
        <v>150</v>
      </c>
      <c r="S1160" s="4" t="s">
        <v>124</v>
      </c>
      <c r="T1160" s="7">
        <v>73.071428999999995</v>
      </c>
      <c r="U1160" s="4" t="s">
        <v>124</v>
      </c>
      <c r="V1160" s="4" t="s">
        <v>124</v>
      </c>
      <c r="W1160" s="7">
        <v>65.534391999999997</v>
      </c>
      <c r="X1160" s="7">
        <v>131.068783</v>
      </c>
      <c r="Y1160" s="7">
        <v>150</v>
      </c>
      <c r="Z1160" s="7">
        <v>66.411564999999996</v>
      </c>
      <c r="AA1160" s="4" t="s">
        <v>124</v>
      </c>
      <c r="AB1160" s="4" t="s">
        <v>124</v>
      </c>
      <c r="AC1160" s="4" t="s">
        <v>124</v>
      </c>
      <c r="AD1160" s="7">
        <v>78.484024000000005</v>
      </c>
      <c r="AE1160" s="7">
        <v>100</v>
      </c>
      <c r="AF1160" s="7">
        <v>100</v>
      </c>
      <c r="AG1160" s="4" t="s">
        <v>124</v>
      </c>
      <c r="AH1160" s="7">
        <v>75</v>
      </c>
      <c r="AI1160" s="4" t="s">
        <v>124</v>
      </c>
      <c r="AJ1160" s="4" t="s">
        <v>124</v>
      </c>
      <c r="AK1160" s="4" t="s">
        <v>124</v>
      </c>
      <c r="AL1160" s="4" t="s">
        <v>124</v>
      </c>
      <c r="AM1160" s="4" t="s">
        <v>124</v>
      </c>
      <c r="AN1160" s="4" t="s">
        <v>124</v>
      </c>
      <c r="AO1160" s="4" t="s">
        <v>124</v>
      </c>
      <c r="AP1160" s="4" t="s">
        <v>124</v>
      </c>
      <c r="AQ1160" s="4" t="s">
        <v>124</v>
      </c>
      <c r="AR1160" s="4" t="s">
        <v>124</v>
      </c>
      <c r="AS1160" s="4" t="s">
        <v>124</v>
      </c>
      <c r="AT1160" s="4" t="s">
        <v>124</v>
      </c>
      <c r="AU1160" s="4" t="s">
        <v>124</v>
      </c>
      <c r="AV1160" s="4" t="s">
        <v>124</v>
      </c>
      <c r="AW1160" s="4" t="s">
        <v>124</v>
      </c>
      <c r="AX1160" s="4" t="s">
        <v>124</v>
      </c>
      <c r="AY1160" s="4" t="s">
        <v>124</v>
      </c>
      <c r="AZ1160" s="4" t="s">
        <v>124</v>
      </c>
      <c r="BA1160" s="4" t="s">
        <v>124</v>
      </c>
      <c r="BB1160" s="4" t="s">
        <v>124</v>
      </c>
      <c r="BC1160" s="4" t="s">
        <v>124</v>
      </c>
      <c r="BD1160" s="4" t="s">
        <v>124</v>
      </c>
      <c r="BE1160" s="4" t="s">
        <v>124</v>
      </c>
      <c r="BF1160" s="4" t="s">
        <v>124</v>
      </c>
      <c r="BG1160" s="4" t="s">
        <v>124</v>
      </c>
      <c r="BH1160" s="7">
        <v>0</v>
      </c>
      <c r="BI1160" s="7">
        <v>0.95454499999999998</v>
      </c>
      <c r="BJ1160" s="4" t="s">
        <v>124</v>
      </c>
      <c r="BK1160" s="7">
        <v>1</v>
      </c>
      <c r="BL1160" s="7">
        <v>0.95454499999999998</v>
      </c>
      <c r="BM1160" s="4" t="s">
        <v>124</v>
      </c>
      <c r="BN1160" s="7">
        <v>1</v>
      </c>
      <c r="BO1160" s="7">
        <v>0.98484799999999995</v>
      </c>
      <c r="BP1160" s="4" t="s">
        <v>124</v>
      </c>
      <c r="BQ1160" s="7">
        <v>1</v>
      </c>
      <c r="BR1160" s="7">
        <v>5.2631999999999998E-2</v>
      </c>
      <c r="BS1160" s="7">
        <v>49.473683999999999</v>
      </c>
      <c r="BT1160" s="7">
        <v>50</v>
      </c>
      <c r="BU1160" s="7">
        <v>8.2192000000000001E-2</v>
      </c>
      <c r="BV1160" s="7">
        <v>43.561644000000001</v>
      </c>
      <c r="BW1160" s="7">
        <v>50</v>
      </c>
      <c r="BX1160" s="7">
        <v>1</v>
      </c>
      <c r="BY1160" s="7">
        <v>50</v>
      </c>
      <c r="BZ1160" s="7">
        <v>50</v>
      </c>
      <c r="CA1160" s="7">
        <v>0.72656299999999996</v>
      </c>
      <c r="CB1160" s="7">
        <v>48.4375</v>
      </c>
      <c r="CC1160" s="7">
        <v>50</v>
      </c>
      <c r="CD1160" s="7">
        <v>1</v>
      </c>
      <c r="CE1160" s="7">
        <v>50</v>
      </c>
      <c r="CF1160" s="7">
        <v>50</v>
      </c>
      <c r="CG1160" s="7">
        <v>1</v>
      </c>
      <c r="CH1160" s="7">
        <v>100</v>
      </c>
      <c r="CI1160" s="7">
        <v>100</v>
      </c>
      <c r="CJ1160" s="7">
        <v>0</v>
      </c>
      <c r="CK1160" s="7">
        <v>1</v>
      </c>
      <c r="CL1160" s="7">
        <v>100</v>
      </c>
      <c r="CM1160" s="7">
        <v>100</v>
      </c>
      <c r="CN1160" s="7">
        <v>0.81818199999999996</v>
      </c>
      <c r="CO1160" s="7">
        <v>100</v>
      </c>
      <c r="CP1160" s="7">
        <v>100</v>
      </c>
      <c r="CQ1160" s="7">
        <v>0.85714299999999999</v>
      </c>
      <c r="CR1160" s="7">
        <v>0.875</v>
      </c>
      <c r="CS1160" s="7">
        <v>25</v>
      </c>
      <c r="CT1160" s="7">
        <v>50</v>
      </c>
      <c r="CU1160" s="7">
        <v>0.74812000000000001</v>
      </c>
      <c r="CV1160" s="7">
        <v>50</v>
      </c>
      <c r="CW1160" s="7">
        <v>50</v>
      </c>
      <c r="CX1160" s="7">
        <v>1</v>
      </c>
      <c r="CY1160" s="7">
        <v>0.94</v>
      </c>
      <c r="CZ1160" s="7">
        <v>-0.06</v>
      </c>
      <c r="DA1160" s="7">
        <v>15.314097</v>
      </c>
      <c r="DB1160" s="7">
        <v>17.400950000000002</v>
      </c>
      <c r="DC1160" s="7">
        <v>16.332519999999999</v>
      </c>
      <c r="DD1160" s="7">
        <v>7.9891730000000001</v>
      </c>
      <c r="DE1160" s="7">
        <v>0</v>
      </c>
      <c r="DF1160" s="6"/>
      <c r="DG1160" s="6"/>
      <c r="DH1160" s="4" t="s">
        <v>331</v>
      </c>
      <c r="DI1160" s="4" t="s">
        <v>332</v>
      </c>
      <c r="DJ1160" s="7">
        <v>1</v>
      </c>
      <c r="DK1160" s="7">
        <v>0</v>
      </c>
      <c r="DL1160" s="7">
        <v>0</v>
      </c>
      <c r="DM1160" s="7">
        <v>0</v>
      </c>
      <c r="DN1160" s="7">
        <v>0</v>
      </c>
      <c r="DO1160" s="7">
        <v>0</v>
      </c>
      <c r="DP1160" s="6"/>
      <c r="DQ1160" s="4" t="s">
        <v>125</v>
      </c>
    </row>
    <row r="1161" spans="1:121" ht="20" customHeight="1" x14ac:dyDescent="0.15">
      <c r="A1161" s="5">
        <v>2018</v>
      </c>
      <c r="B1161" s="3" t="s">
        <v>263</v>
      </c>
      <c r="C1161" s="4" t="str">
        <f t="shared" ref="C1161:C1164" si="287">"2450014"</f>
        <v>2450014</v>
      </c>
      <c r="D1161" s="4" t="s">
        <v>1306</v>
      </c>
      <c r="E1161" s="4" t="str">
        <f>"2450114"</f>
        <v>2450114</v>
      </c>
      <c r="F1161" s="4" t="s">
        <v>1283</v>
      </c>
      <c r="G1161" s="4" t="s">
        <v>338</v>
      </c>
      <c r="H1161" s="7">
        <v>5</v>
      </c>
      <c r="I1161" s="4" t="s">
        <v>335</v>
      </c>
      <c r="J1161" s="4" t="s">
        <v>330</v>
      </c>
      <c r="K1161" s="7">
        <v>697.61051899999995</v>
      </c>
      <c r="L1161" s="7">
        <v>950</v>
      </c>
      <c r="M1161" s="7">
        <v>73.432686000000004</v>
      </c>
      <c r="N1161" s="7">
        <v>2</v>
      </c>
      <c r="O1161" s="7">
        <v>0</v>
      </c>
      <c r="P1161" s="7">
        <v>66.084475999999995</v>
      </c>
      <c r="Q1161" s="7">
        <v>44.056317</v>
      </c>
      <c r="R1161" s="7">
        <v>50</v>
      </c>
      <c r="S1161" s="7">
        <v>62.502440999999997</v>
      </c>
      <c r="T1161" s="7">
        <v>75</v>
      </c>
      <c r="U1161" s="7">
        <v>41.668294000000003</v>
      </c>
      <c r="V1161" s="7">
        <v>50</v>
      </c>
      <c r="W1161" s="7">
        <v>58.457697000000003</v>
      </c>
      <c r="X1161" s="7">
        <v>38.971798</v>
      </c>
      <c r="Y1161" s="7">
        <v>50</v>
      </c>
      <c r="Z1161" s="7">
        <v>70.368897000000004</v>
      </c>
      <c r="AA1161" s="7">
        <v>53.999313999999998</v>
      </c>
      <c r="AB1161" s="7">
        <v>35.999543000000003</v>
      </c>
      <c r="AC1161" s="7">
        <v>50</v>
      </c>
      <c r="AD1161" s="7">
        <v>65.076656</v>
      </c>
      <c r="AE1161" s="7">
        <v>43.384438000000003</v>
      </c>
      <c r="AF1161" s="7">
        <v>50</v>
      </c>
      <c r="AG1161" s="7">
        <v>59.058467999999998</v>
      </c>
      <c r="AH1161" s="7">
        <v>75</v>
      </c>
      <c r="AI1161" s="7">
        <v>39.372312000000001</v>
      </c>
      <c r="AJ1161" s="7">
        <v>50</v>
      </c>
      <c r="AK1161" s="7">
        <v>12.49</v>
      </c>
      <c r="AL1161" s="7">
        <v>16.36</v>
      </c>
      <c r="AM1161" s="7">
        <v>15.94</v>
      </c>
      <c r="AN1161" s="7">
        <v>0.72036599999999995</v>
      </c>
      <c r="AO1161" s="7">
        <v>72.036620999999997</v>
      </c>
      <c r="AP1161" s="7">
        <v>100</v>
      </c>
      <c r="AQ1161" s="7">
        <v>0.77694300000000005</v>
      </c>
      <c r="AR1161" s="7">
        <v>77.694265000000001</v>
      </c>
      <c r="AS1161" s="7">
        <v>100</v>
      </c>
      <c r="AT1161" s="7">
        <v>0.71118700000000001</v>
      </c>
      <c r="AU1161" s="7">
        <v>0.74312400000000001</v>
      </c>
      <c r="AV1161" s="7">
        <v>71.118673000000001</v>
      </c>
      <c r="AW1161" s="7">
        <v>100</v>
      </c>
      <c r="AX1161" s="7">
        <v>0.72229299999999996</v>
      </c>
      <c r="AY1161" s="7">
        <v>0.91242900000000005</v>
      </c>
      <c r="AZ1161" s="7">
        <v>72.229253</v>
      </c>
      <c r="BA1161" s="7">
        <v>100</v>
      </c>
      <c r="BB1161" s="7">
        <v>0.71203399999999994</v>
      </c>
      <c r="BC1161" s="7">
        <v>35.601694999999999</v>
      </c>
      <c r="BD1161" s="7">
        <v>50</v>
      </c>
      <c r="BE1161" s="7">
        <v>0.55244599999999999</v>
      </c>
      <c r="BF1161" s="7">
        <v>27.622319000000001</v>
      </c>
      <c r="BG1161" s="7">
        <v>50</v>
      </c>
      <c r="BH1161" s="7">
        <v>0</v>
      </c>
      <c r="BI1161" s="7">
        <v>0.97656299999999996</v>
      </c>
      <c r="BJ1161" s="7">
        <v>0.98387100000000005</v>
      </c>
      <c r="BK1161" s="7">
        <v>0.95714299999999997</v>
      </c>
      <c r="BL1161" s="7">
        <v>0.97656299999999996</v>
      </c>
      <c r="BM1161" s="7">
        <v>0.98387100000000005</v>
      </c>
      <c r="BN1161" s="7">
        <v>0.95714299999999997</v>
      </c>
      <c r="BO1161" s="7">
        <v>0.96875</v>
      </c>
      <c r="BP1161" s="7">
        <v>0.96969700000000003</v>
      </c>
      <c r="BQ1161" s="7">
        <v>0.96666700000000005</v>
      </c>
      <c r="BR1161" s="7">
        <v>9.8196000000000006E-2</v>
      </c>
      <c r="BS1161" s="7">
        <v>40.360720999999998</v>
      </c>
      <c r="BT1161" s="7">
        <v>50</v>
      </c>
      <c r="BU1161" s="7">
        <v>0.129412</v>
      </c>
      <c r="BV1161" s="7">
        <v>34.117646999999998</v>
      </c>
      <c r="BW1161" s="7">
        <v>50</v>
      </c>
      <c r="BX1161" s="4" t="s">
        <v>124</v>
      </c>
      <c r="BY1161" s="4" t="s">
        <v>124</v>
      </c>
      <c r="BZ1161" s="4" t="s">
        <v>124</v>
      </c>
      <c r="CA1161" s="4" t="s">
        <v>124</v>
      </c>
      <c r="CB1161" s="4" t="s">
        <v>124</v>
      </c>
      <c r="CC1161" s="4" t="s">
        <v>124</v>
      </c>
      <c r="CD1161" s="4" t="s">
        <v>124</v>
      </c>
      <c r="CE1161" s="4" t="s">
        <v>124</v>
      </c>
      <c r="CF1161" s="4" t="s">
        <v>124</v>
      </c>
      <c r="CG1161" s="4" t="s">
        <v>124</v>
      </c>
      <c r="CH1161" s="4" t="s">
        <v>124</v>
      </c>
      <c r="CI1161" s="4" t="s">
        <v>124</v>
      </c>
      <c r="CJ1161" s="4" t="s">
        <v>124</v>
      </c>
      <c r="CK1161" s="4" t="s">
        <v>124</v>
      </c>
      <c r="CL1161" s="4" t="s">
        <v>124</v>
      </c>
      <c r="CM1161" s="4" t="s">
        <v>124</v>
      </c>
      <c r="CN1161" s="4" t="s">
        <v>124</v>
      </c>
      <c r="CO1161" s="4" t="s">
        <v>124</v>
      </c>
      <c r="CP1161" s="4" t="s">
        <v>124</v>
      </c>
      <c r="CQ1161" s="7">
        <v>0.35064899999999999</v>
      </c>
      <c r="CR1161" s="7">
        <v>1.013158</v>
      </c>
      <c r="CS1161" s="7">
        <v>23.376622999999999</v>
      </c>
      <c r="CT1161" s="7">
        <v>50</v>
      </c>
      <c r="CU1161" s="4" t="s">
        <v>124</v>
      </c>
      <c r="CV1161" s="4" t="s">
        <v>124</v>
      </c>
      <c r="CW1161" s="4" t="s">
        <v>124</v>
      </c>
      <c r="CX1161" s="4" t="s">
        <v>124</v>
      </c>
      <c r="CY1161" s="4" t="s">
        <v>124</v>
      </c>
      <c r="CZ1161" s="4" t="s">
        <v>124</v>
      </c>
      <c r="DA1161" s="7">
        <v>15.314097</v>
      </c>
      <c r="DB1161" s="7">
        <v>17.400950000000002</v>
      </c>
      <c r="DC1161" s="7">
        <v>16.332519999999999</v>
      </c>
      <c r="DD1161" s="4" t="s">
        <v>124</v>
      </c>
      <c r="DE1161" s="7">
        <v>0</v>
      </c>
      <c r="DF1161" s="6"/>
      <c r="DG1161" s="6"/>
      <c r="DH1161" s="6"/>
      <c r="DI1161" s="6"/>
      <c r="DJ1161" s="7">
        <v>0</v>
      </c>
      <c r="DK1161" s="7">
        <v>0</v>
      </c>
      <c r="DL1161" s="7">
        <v>0</v>
      </c>
      <c r="DM1161" s="7">
        <v>0</v>
      </c>
      <c r="DN1161" s="7">
        <v>0</v>
      </c>
      <c r="DO1161" s="7">
        <v>0</v>
      </c>
      <c r="DP1161" s="6"/>
      <c r="DQ1161" s="4" t="s">
        <v>125</v>
      </c>
    </row>
    <row r="1162" spans="1:121" ht="20" customHeight="1" x14ac:dyDescent="0.15">
      <c r="A1162" s="5">
        <v>2018</v>
      </c>
      <c r="B1162" s="3" t="s">
        <v>263</v>
      </c>
      <c r="C1162" s="4" t="str">
        <f>"2450014"</f>
        <v>2450014</v>
      </c>
      <c r="D1162" s="4" t="s">
        <v>1307</v>
      </c>
      <c r="E1162" s="4" t="str">
        <f>"2450314"</f>
        <v>2450314</v>
      </c>
      <c r="F1162" s="4" t="s">
        <v>1283</v>
      </c>
      <c r="G1162" s="4" t="s">
        <v>328</v>
      </c>
      <c r="H1162" s="7">
        <v>5</v>
      </c>
      <c r="I1162" s="6"/>
      <c r="J1162" s="4" t="s">
        <v>330</v>
      </c>
      <c r="K1162" s="7">
        <v>554.68397400000003</v>
      </c>
      <c r="L1162" s="7">
        <v>950</v>
      </c>
      <c r="M1162" s="7">
        <v>58.387787000000003</v>
      </c>
      <c r="N1162" s="7">
        <v>3</v>
      </c>
      <c r="O1162" s="7">
        <v>0</v>
      </c>
      <c r="P1162" s="7">
        <v>62.262447999999999</v>
      </c>
      <c r="Q1162" s="7">
        <v>41.508299000000001</v>
      </c>
      <c r="R1162" s="7">
        <v>50</v>
      </c>
      <c r="S1162" s="7">
        <v>60.154280999999997</v>
      </c>
      <c r="T1162" s="7">
        <v>70.153013999999999</v>
      </c>
      <c r="U1162" s="7">
        <v>40.102854000000001</v>
      </c>
      <c r="V1162" s="7">
        <v>50</v>
      </c>
      <c r="W1162" s="7">
        <v>52.742801</v>
      </c>
      <c r="X1162" s="7">
        <v>35.161867000000001</v>
      </c>
      <c r="Y1162" s="7">
        <v>50</v>
      </c>
      <c r="Z1162" s="7">
        <v>64.194318999999993</v>
      </c>
      <c r="AA1162" s="7">
        <v>49.683236000000001</v>
      </c>
      <c r="AB1162" s="7">
        <v>33.122157000000001</v>
      </c>
      <c r="AC1162" s="7">
        <v>50</v>
      </c>
      <c r="AD1162" s="7">
        <v>55.865307999999999</v>
      </c>
      <c r="AE1162" s="7">
        <v>37.243538999999998</v>
      </c>
      <c r="AF1162" s="7">
        <v>50</v>
      </c>
      <c r="AG1162" s="7">
        <v>54.818638</v>
      </c>
      <c r="AH1162" s="4" t="s">
        <v>124</v>
      </c>
      <c r="AI1162" s="7">
        <v>36.545758999999997</v>
      </c>
      <c r="AJ1162" s="7">
        <v>50</v>
      </c>
      <c r="AK1162" s="7">
        <v>9.99</v>
      </c>
      <c r="AL1162" s="7">
        <v>14.51</v>
      </c>
      <c r="AM1162" s="4" t="s">
        <v>124</v>
      </c>
      <c r="AN1162" s="7">
        <v>0.57327700000000004</v>
      </c>
      <c r="AO1162" s="7">
        <v>57.327683</v>
      </c>
      <c r="AP1162" s="7">
        <v>100</v>
      </c>
      <c r="AQ1162" s="7">
        <v>0.54164299999999999</v>
      </c>
      <c r="AR1162" s="7">
        <v>54.164301999999999</v>
      </c>
      <c r="AS1162" s="7">
        <v>100</v>
      </c>
      <c r="AT1162" s="7">
        <v>0.60197400000000001</v>
      </c>
      <c r="AU1162" s="7">
        <v>0.48821100000000001</v>
      </c>
      <c r="AV1162" s="7">
        <v>60.197377000000003</v>
      </c>
      <c r="AW1162" s="7">
        <v>100</v>
      </c>
      <c r="AX1162" s="7">
        <v>0.48005300000000001</v>
      </c>
      <c r="AY1162" s="7">
        <v>0.72421199999999997</v>
      </c>
      <c r="AZ1162" s="7">
        <v>48.005343000000003</v>
      </c>
      <c r="BA1162" s="7">
        <v>100</v>
      </c>
      <c r="BB1162" s="7">
        <v>0.50869200000000003</v>
      </c>
      <c r="BC1162" s="7">
        <v>25.43458</v>
      </c>
      <c r="BD1162" s="7">
        <v>50</v>
      </c>
      <c r="BE1162" s="7">
        <v>0.387548</v>
      </c>
      <c r="BF1162" s="7">
        <v>19.377403999999999</v>
      </c>
      <c r="BG1162" s="7">
        <v>50</v>
      </c>
      <c r="BH1162" s="7">
        <v>0</v>
      </c>
      <c r="BI1162" s="7">
        <v>1</v>
      </c>
      <c r="BJ1162" s="7">
        <v>1</v>
      </c>
      <c r="BK1162" s="7">
        <v>1</v>
      </c>
      <c r="BL1162" s="7">
        <v>1</v>
      </c>
      <c r="BM1162" s="7">
        <v>1</v>
      </c>
      <c r="BN1162" s="7">
        <v>1</v>
      </c>
      <c r="BO1162" s="7">
        <v>1</v>
      </c>
      <c r="BP1162" s="7">
        <v>1</v>
      </c>
      <c r="BQ1162" s="4" t="s">
        <v>124</v>
      </c>
      <c r="BR1162" s="7">
        <v>0.15803800000000001</v>
      </c>
      <c r="BS1162" s="7">
        <v>28.392371000000001</v>
      </c>
      <c r="BT1162" s="7">
        <v>50</v>
      </c>
      <c r="BU1162" s="7">
        <v>0.19434599999999999</v>
      </c>
      <c r="BV1162" s="7">
        <v>21.130742000000001</v>
      </c>
      <c r="BW1162" s="7">
        <v>50</v>
      </c>
      <c r="BX1162" s="4" t="s">
        <v>124</v>
      </c>
      <c r="BY1162" s="4" t="s">
        <v>124</v>
      </c>
      <c r="BZ1162" s="4" t="s">
        <v>124</v>
      </c>
      <c r="CA1162" s="4" t="s">
        <v>124</v>
      </c>
      <c r="CB1162" s="4" t="s">
        <v>124</v>
      </c>
      <c r="CC1162" s="4" t="s">
        <v>124</v>
      </c>
      <c r="CD1162" s="4" t="s">
        <v>124</v>
      </c>
      <c r="CE1162" s="4" t="s">
        <v>124</v>
      </c>
      <c r="CF1162" s="4" t="s">
        <v>124</v>
      </c>
      <c r="CG1162" s="4" t="s">
        <v>124</v>
      </c>
      <c r="CH1162" s="4" t="s">
        <v>124</v>
      </c>
      <c r="CI1162" s="4" t="s">
        <v>124</v>
      </c>
      <c r="CJ1162" s="4" t="s">
        <v>124</v>
      </c>
      <c r="CK1162" s="4" t="s">
        <v>124</v>
      </c>
      <c r="CL1162" s="4" t="s">
        <v>124</v>
      </c>
      <c r="CM1162" s="4" t="s">
        <v>124</v>
      </c>
      <c r="CN1162" s="4" t="s">
        <v>124</v>
      </c>
      <c r="CO1162" s="4" t="s">
        <v>124</v>
      </c>
      <c r="CP1162" s="4" t="s">
        <v>124</v>
      </c>
      <c r="CQ1162" s="7">
        <v>0.25454500000000002</v>
      </c>
      <c r="CR1162" s="7">
        <v>1</v>
      </c>
      <c r="CS1162" s="7">
        <v>16.969697</v>
      </c>
      <c r="CT1162" s="7">
        <v>50</v>
      </c>
      <c r="CU1162" s="4" t="s">
        <v>124</v>
      </c>
      <c r="CV1162" s="4" t="s">
        <v>124</v>
      </c>
      <c r="CW1162" s="4" t="s">
        <v>124</v>
      </c>
      <c r="CX1162" s="4" t="s">
        <v>124</v>
      </c>
      <c r="CY1162" s="4" t="s">
        <v>124</v>
      </c>
      <c r="CZ1162" s="4" t="s">
        <v>124</v>
      </c>
      <c r="DA1162" s="7">
        <v>15.314097</v>
      </c>
      <c r="DB1162" s="7">
        <v>17.400950000000002</v>
      </c>
      <c r="DC1162" s="7">
        <v>16.332519999999999</v>
      </c>
      <c r="DD1162" s="4" t="s">
        <v>124</v>
      </c>
      <c r="DE1162" s="7">
        <v>0</v>
      </c>
      <c r="DF1162" s="6"/>
      <c r="DG1162" s="6"/>
      <c r="DH1162" s="6"/>
      <c r="DI1162" s="6"/>
      <c r="DJ1162" s="7">
        <v>0</v>
      </c>
      <c r="DK1162" s="7">
        <v>0</v>
      </c>
      <c r="DL1162" s="7">
        <v>0</v>
      </c>
      <c r="DM1162" s="7">
        <v>0</v>
      </c>
      <c r="DN1162" s="7">
        <v>0</v>
      </c>
      <c r="DO1162" s="7">
        <v>0</v>
      </c>
      <c r="DP1162" s="6"/>
      <c r="DQ1162" s="4" t="s">
        <v>125</v>
      </c>
    </row>
    <row r="1163" spans="1:121" ht="20" customHeight="1" x14ac:dyDescent="0.15">
      <c r="A1163" s="5">
        <v>2018</v>
      </c>
      <c r="B1163" s="3" t="s">
        <v>263</v>
      </c>
      <c r="C1163" s="4" t="str">
        <f>"2450014"</f>
        <v>2450014</v>
      </c>
      <c r="D1163" s="4" t="s">
        <v>1308</v>
      </c>
      <c r="E1163" s="4" t="str">
        <f>"2450214"</f>
        <v>2450214</v>
      </c>
      <c r="F1163" s="4" t="s">
        <v>1283</v>
      </c>
      <c r="G1163" s="4" t="s">
        <v>328</v>
      </c>
      <c r="H1163" s="4" t="s">
        <v>338</v>
      </c>
      <c r="I1163" s="4" t="s">
        <v>335</v>
      </c>
      <c r="J1163" s="4" t="s">
        <v>330</v>
      </c>
      <c r="K1163" s="7">
        <v>46.722420999999997</v>
      </c>
      <c r="L1163" s="7">
        <v>100</v>
      </c>
      <c r="M1163" s="7">
        <v>46.722420999999997</v>
      </c>
      <c r="N1163" s="4" t="s">
        <v>124</v>
      </c>
      <c r="O1163" s="4" t="s">
        <v>124</v>
      </c>
      <c r="P1163" s="4" t="s">
        <v>124</v>
      </c>
      <c r="Q1163" s="4" t="s">
        <v>124</v>
      </c>
      <c r="R1163" s="4" t="s">
        <v>124</v>
      </c>
      <c r="S1163" s="4" t="s">
        <v>124</v>
      </c>
      <c r="T1163" s="4" t="s">
        <v>124</v>
      </c>
      <c r="U1163" s="4" t="s">
        <v>124</v>
      </c>
      <c r="V1163" s="4" t="s">
        <v>124</v>
      </c>
      <c r="W1163" s="4" t="s">
        <v>124</v>
      </c>
      <c r="X1163" s="4" t="s">
        <v>124</v>
      </c>
      <c r="Y1163" s="4" t="s">
        <v>124</v>
      </c>
      <c r="Z1163" s="4" t="s">
        <v>124</v>
      </c>
      <c r="AA1163" s="4" t="s">
        <v>124</v>
      </c>
      <c r="AB1163" s="4" t="s">
        <v>124</v>
      </c>
      <c r="AC1163" s="4" t="s">
        <v>124</v>
      </c>
      <c r="AD1163" s="4" t="s">
        <v>124</v>
      </c>
      <c r="AE1163" s="4" t="s">
        <v>124</v>
      </c>
      <c r="AF1163" s="4" t="s">
        <v>124</v>
      </c>
      <c r="AG1163" s="4" t="s">
        <v>124</v>
      </c>
      <c r="AH1163" s="4" t="s">
        <v>124</v>
      </c>
      <c r="AI1163" s="4" t="s">
        <v>124</v>
      </c>
      <c r="AJ1163" s="4" t="s">
        <v>124</v>
      </c>
      <c r="AK1163" s="4" t="s">
        <v>124</v>
      </c>
      <c r="AL1163" s="4" t="s">
        <v>124</v>
      </c>
      <c r="AM1163" s="4" t="s">
        <v>124</v>
      </c>
      <c r="AN1163" s="4" t="s">
        <v>124</v>
      </c>
      <c r="AO1163" s="4" t="s">
        <v>124</v>
      </c>
      <c r="AP1163" s="4" t="s">
        <v>124</v>
      </c>
      <c r="AQ1163" s="4" t="s">
        <v>124</v>
      </c>
      <c r="AR1163" s="4" t="s">
        <v>124</v>
      </c>
      <c r="AS1163" s="4" t="s">
        <v>124</v>
      </c>
      <c r="AT1163" s="4" t="s">
        <v>124</v>
      </c>
      <c r="AU1163" s="4" t="s">
        <v>124</v>
      </c>
      <c r="AV1163" s="4" t="s">
        <v>124</v>
      </c>
      <c r="AW1163" s="4" t="s">
        <v>124</v>
      </c>
      <c r="AX1163" s="4" t="s">
        <v>124</v>
      </c>
      <c r="AY1163" s="4" t="s">
        <v>124</v>
      </c>
      <c r="AZ1163" s="4" t="s">
        <v>124</v>
      </c>
      <c r="BA1163" s="4" t="s">
        <v>124</v>
      </c>
      <c r="BB1163" s="4" t="s">
        <v>124</v>
      </c>
      <c r="BC1163" s="4" t="s">
        <v>124</v>
      </c>
      <c r="BD1163" s="4" t="s">
        <v>124</v>
      </c>
      <c r="BE1163" s="4" t="s">
        <v>124</v>
      </c>
      <c r="BF1163" s="4" t="s">
        <v>124</v>
      </c>
      <c r="BG1163" s="4" t="s">
        <v>124</v>
      </c>
      <c r="BH1163" s="4" t="s">
        <v>124</v>
      </c>
      <c r="BI1163" s="4" t="s">
        <v>124</v>
      </c>
      <c r="BJ1163" s="4" t="s">
        <v>124</v>
      </c>
      <c r="BK1163" s="4" t="s">
        <v>124</v>
      </c>
      <c r="BL1163" s="4" t="s">
        <v>124</v>
      </c>
      <c r="BM1163" s="4" t="s">
        <v>124</v>
      </c>
      <c r="BN1163" s="4" t="s">
        <v>124</v>
      </c>
      <c r="BO1163" s="4" t="s">
        <v>124</v>
      </c>
      <c r="BP1163" s="4" t="s">
        <v>124</v>
      </c>
      <c r="BQ1163" s="4" t="s">
        <v>124</v>
      </c>
      <c r="BR1163" s="7">
        <v>0.17283999999999999</v>
      </c>
      <c r="BS1163" s="7">
        <v>25.432099000000001</v>
      </c>
      <c r="BT1163" s="7">
        <v>50</v>
      </c>
      <c r="BU1163" s="7">
        <v>0.193548</v>
      </c>
      <c r="BV1163" s="7">
        <v>21.290323000000001</v>
      </c>
      <c r="BW1163" s="7">
        <v>50</v>
      </c>
      <c r="BX1163" s="4" t="s">
        <v>124</v>
      </c>
      <c r="BY1163" s="4" t="s">
        <v>124</v>
      </c>
      <c r="BZ1163" s="4" t="s">
        <v>124</v>
      </c>
      <c r="CA1163" s="4" t="s">
        <v>124</v>
      </c>
      <c r="CB1163" s="4" t="s">
        <v>124</v>
      </c>
      <c r="CC1163" s="4" t="s">
        <v>124</v>
      </c>
      <c r="CD1163" s="4" t="s">
        <v>124</v>
      </c>
      <c r="CE1163" s="4" t="s">
        <v>124</v>
      </c>
      <c r="CF1163" s="4" t="s">
        <v>124</v>
      </c>
      <c r="CG1163" s="4" t="s">
        <v>124</v>
      </c>
      <c r="CH1163" s="4" t="s">
        <v>124</v>
      </c>
      <c r="CI1163" s="4" t="s">
        <v>124</v>
      </c>
      <c r="CJ1163" s="4" t="s">
        <v>124</v>
      </c>
      <c r="CK1163" s="4" t="s">
        <v>124</v>
      </c>
      <c r="CL1163" s="4" t="s">
        <v>124</v>
      </c>
      <c r="CM1163" s="4" t="s">
        <v>124</v>
      </c>
      <c r="CN1163" s="4" t="s">
        <v>124</v>
      </c>
      <c r="CO1163" s="4" t="s">
        <v>124</v>
      </c>
      <c r="CP1163" s="4" t="s">
        <v>124</v>
      </c>
      <c r="CQ1163" s="4" t="s">
        <v>124</v>
      </c>
      <c r="CR1163" s="4" t="s">
        <v>124</v>
      </c>
      <c r="CS1163" s="4" t="s">
        <v>124</v>
      </c>
      <c r="CT1163" s="4" t="s">
        <v>124</v>
      </c>
      <c r="CU1163" s="4" t="s">
        <v>124</v>
      </c>
      <c r="CV1163" s="4" t="s">
        <v>124</v>
      </c>
      <c r="CW1163" s="4" t="s">
        <v>124</v>
      </c>
      <c r="CX1163" s="4" t="s">
        <v>124</v>
      </c>
      <c r="CY1163" s="4" t="s">
        <v>124</v>
      </c>
      <c r="CZ1163" s="4" t="s">
        <v>124</v>
      </c>
      <c r="DA1163" s="4" t="s">
        <v>124</v>
      </c>
      <c r="DB1163" s="4" t="s">
        <v>124</v>
      </c>
      <c r="DC1163" s="4" t="s">
        <v>124</v>
      </c>
      <c r="DD1163" s="4" t="s">
        <v>124</v>
      </c>
      <c r="DE1163" s="4" t="s">
        <v>124</v>
      </c>
      <c r="DF1163" s="6"/>
      <c r="DG1163" s="6"/>
      <c r="DH1163" s="6"/>
      <c r="DI1163" s="6"/>
      <c r="DJ1163" s="4" t="s">
        <v>124</v>
      </c>
      <c r="DK1163" s="4" t="s">
        <v>124</v>
      </c>
      <c r="DL1163" s="4" t="s">
        <v>124</v>
      </c>
      <c r="DM1163" s="4" t="s">
        <v>124</v>
      </c>
      <c r="DN1163" s="4" t="s">
        <v>124</v>
      </c>
      <c r="DO1163" s="4" t="s">
        <v>124</v>
      </c>
      <c r="DP1163" s="6"/>
      <c r="DQ1163" s="4" t="s">
        <v>125</v>
      </c>
    </row>
    <row r="1164" spans="1:121" ht="20" customHeight="1" x14ac:dyDescent="0.15">
      <c r="A1164" s="5">
        <v>2018</v>
      </c>
      <c r="B1164" s="3" t="s">
        <v>263</v>
      </c>
      <c r="C1164" s="4" t="str">
        <f t="shared" si="287"/>
        <v>2450014</v>
      </c>
      <c r="D1164" s="4" t="s">
        <v>1309</v>
      </c>
      <c r="E1164" s="4" t="str">
        <f>"2456214"</f>
        <v>2456214</v>
      </c>
      <c r="F1164" s="4" t="s">
        <v>1283</v>
      </c>
      <c r="G1164" s="7">
        <v>11</v>
      </c>
      <c r="H1164" s="7">
        <v>12</v>
      </c>
      <c r="I1164" s="4" t="s">
        <v>335</v>
      </c>
      <c r="J1164" s="4" t="s">
        <v>330</v>
      </c>
      <c r="K1164" s="7">
        <v>686.22185200000001</v>
      </c>
      <c r="L1164" s="7">
        <v>850</v>
      </c>
      <c r="M1164" s="7">
        <v>80.731983</v>
      </c>
      <c r="N1164" s="7">
        <v>2</v>
      </c>
      <c r="O1164" s="7">
        <v>0</v>
      </c>
      <c r="P1164" s="7">
        <v>60.098958000000003</v>
      </c>
      <c r="Q1164" s="7">
        <v>120.197917</v>
      </c>
      <c r="R1164" s="7">
        <v>150</v>
      </c>
      <c r="S1164" s="4" t="s">
        <v>124</v>
      </c>
      <c r="T1164" s="4" t="s">
        <v>124</v>
      </c>
      <c r="U1164" s="4" t="s">
        <v>124</v>
      </c>
      <c r="V1164" s="4" t="s">
        <v>124</v>
      </c>
      <c r="W1164" s="7">
        <v>55.744791999999997</v>
      </c>
      <c r="X1164" s="7">
        <v>111.489583</v>
      </c>
      <c r="Y1164" s="7">
        <v>150</v>
      </c>
      <c r="Z1164" s="4" t="s">
        <v>124</v>
      </c>
      <c r="AA1164" s="4" t="s">
        <v>124</v>
      </c>
      <c r="AB1164" s="4" t="s">
        <v>124</v>
      </c>
      <c r="AC1164" s="4" t="s">
        <v>124</v>
      </c>
      <c r="AD1164" s="7">
        <v>59.717948999999997</v>
      </c>
      <c r="AE1164" s="7">
        <v>79.623931999999996</v>
      </c>
      <c r="AF1164" s="7">
        <v>100</v>
      </c>
      <c r="AG1164" s="4" t="s">
        <v>124</v>
      </c>
      <c r="AH1164" s="4" t="s">
        <v>124</v>
      </c>
      <c r="AI1164" s="4" t="s">
        <v>124</v>
      </c>
      <c r="AJ1164" s="4" t="s">
        <v>124</v>
      </c>
      <c r="AK1164" s="4" t="s">
        <v>124</v>
      </c>
      <c r="AL1164" s="4" t="s">
        <v>124</v>
      </c>
      <c r="AM1164" s="4" t="s">
        <v>124</v>
      </c>
      <c r="AN1164" s="4" t="s">
        <v>124</v>
      </c>
      <c r="AO1164" s="4" t="s">
        <v>124</v>
      </c>
      <c r="AP1164" s="4" t="s">
        <v>124</v>
      </c>
      <c r="AQ1164" s="4" t="s">
        <v>124</v>
      </c>
      <c r="AR1164" s="4" t="s">
        <v>124</v>
      </c>
      <c r="AS1164" s="4" t="s">
        <v>124</v>
      </c>
      <c r="AT1164" s="4" t="s">
        <v>124</v>
      </c>
      <c r="AU1164" s="4" t="s">
        <v>124</v>
      </c>
      <c r="AV1164" s="4" t="s">
        <v>124</v>
      </c>
      <c r="AW1164" s="4" t="s">
        <v>124</v>
      </c>
      <c r="AX1164" s="4" t="s">
        <v>124</v>
      </c>
      <c r="AY1164" s="4" t="s">
        <v>124</v>
      </c>
      <c r="AZ1164" s="4" t="s">
        <v>124</v>
      </c>
      <c r="BA1164" s="4" t="s">
        <v>124</v>
      </c>
      <c r="BB1164" s="4" t="s">
        <v>124</v>
      </c>
      <c r="BC1164" s="4" t="s">
        <v>124</v>
      </c>
      <c r="BD1164" s="4" t="s">
        <v>124</v>
      </c>
      <c r="BE1164" s="4" t="s">
        <v>124</v>
      </c>
      <c r="BF1164" s="4" t="s">
        <v>124</v>
      </c>
      <c r="BG1164" s="4" t="s">
        <v>124</v>
      </c>
      <c r="BH1164" s="7">
        <v>0</v>
      </c>
      <c r="BI1164" s="7">
        <v>0.96969700000000003</v>
      </c>
      <c r="BJ1164" s="4" t="s">
        <v>124</v>
      </c>
      <c r="BK1164" s="4" t="s">
        <v>124</v>
      </c>
      <c r="BL1164" s="7">
        <v>0.96969700000000003</v>
      </c>
      <c r="BM1164" s="4" t="s">
        <v>124</v>
      </c>
      <c r="BN1164" s="4" t="s">
        <v>124</v>
      </c>
      <c r="BO1164" s="7">
        <v>1</v>
      </c>
      <c r="BP1164" s="4" t="s">
        <v>124</v>
      </c>
      <c r="BQ1164" s="4" t="s">
        <v>124</v>
      </c>
      <c r="BR1164" s="7">
        <v>9.375E-2</v>
      </c>
      <c r="BS1164" s="7">
        <v>41.25</v>
      </c>
      <c r="BT1164" s="7">
        <v>50</v>
      </c>
      <c r="BU1164" s="7">
        <v>0.103448</v>
      </c>
      <c r="BV1164" s="7">
        <v>39.310344999999998</v>
      </c>
      <c r="BW1164" s="7">
        <v>50</v>
      </c>
      <c r="BX1164" s="7">
        <v>1</v>
      </c>
      <c r="BY1164" s="7">
        <v>50</v>
      </c>
      <c r="BZ1164" s="7">
        <v>50</v>
      </c>
      <c r="CA1164" s="7">
        <v>0.328125</v>
      </c>
      <c r="CB1164" s="7">
        <v>21.875</v>
      </c>
      <c r="CC1164" s="7">
        <v>50</v>
      </c>
      <c r="CD1164" s="4" t="s">
        <v>124</v>
      </c>
      <c r="CE1164" s="4" t="s">
        <v>124</v>
      </c>
      <c r="CF1164" s="4" t="s">
        <v>124</v>
      </c>
      <c r="CG1164" s="7">
        <v>0.91176500000000005</v>
      </c>
      <c r="CH1164" s="7">
        <v>96.996245000000002</v>
      </c>
      <c r="CI1164" s="7">
        <v>100</v>
      </c>
      <c r="CJ1164" s="7">
        <v>0</v>
      </c>
      <c r="CK1164" s="4" t="s">
        <v>124</v>
      </c>
      <c r="CL1164" s="4" t="s">
        <v>124</v>
      </c>
      <c r="CM1164" s="4" t="s">
        <v>124</v>
      </c>
      <c r="CN1164" s="7">
        <v>0.67741899999999999</v>
      </c>
      <c r="CO1164" s="7">
        <v>90.322581</v>
      </c>
      <c r="CP1164" s="7">
        <v>100</v>
      </c>
      <c r="CQ1164" s="4" t="s">
        <v>124</v>
      </c>
      <c r="CR1164" s="4" t="s">
        <v>124</v>
      </c>
      <c r="CS1164" s="4" t="s">
        <v>124</v>
      </c>
      <c r="CT1164" s="4" t="s">
        <v>124</v>
      </c>
      <c r="CU1164" s="7">
        <v>0.421875</v>
      </c>
      <c r="CV1164" s="7">
        <v>35.15625</v>
      </c>
      <c r="CW1164" s="7">
        <v>50</v>
      </c>
      <c r="CX1164" s="4" t="s">
        <v>124</v>
      </c>
      <c r="CY1164" s="4" t="s">
        <v>124</v>
      </c>
      <c r="CZ1164" s="4" t="s">
        <v>124</v>
      </c>
      <c r="DA1164" s="7">
        <v>15.314097</v>
      </c>
      <c r="DB1164" s="7">
        <v>17.400950000000002</v>
      </c>
      <c r="DC1164" s="7">
        <v>16.332519999999999</v>
      </c>
      <c r="DD1164" s="7">
        <v>7.9891730000000001</v>
      </c>
      <c r="DE1164" s="7">
        <v>0</v>
      </c>
      <c r="DF1164" s="6"/>
      <c r="DG1164" s="6"/>
      <c r="DH1164" s="4" t="s">
        <v>331</v>
      </c>
      <c r="DI1164" s="4" t="s">
        <v>944</v>
      </c>
      <c r="DJ1164" s="7">
        <v>0</v>
      </c>
      <c r="DK1164" s="7">
        <v>0</v>
      </c>
      <c r="DL1164" s="7">
        <v>0</v>
      </c>
      <c r="DM1164" s="7">
        <v>0</v>
      </c>
      <c r="DN1164" s="7">
        <v>0</v>
      </c>
      <c r="DO1164" s="7">
        <v>1</v>
      </c>
      <c r="DP1164" s="6"/>
      <c r="DQ1164" s="4" t="s">
        <v>125</v>
      </c>
    </row>
    <row r="1165" spans="1:121" ht="20" customHeight="1" x14ac:dyDescent="0.15">
      <c r="A1165" s="5">
        <v>2018</v>
      </c>
      <c r="B1165" s="3" t="s">
        <v>264</v>
      </c>
      <c r="C1165" s="4" t="str">
        <f t="shared" si="137"/>
        <v>2530014</v>
      </c>
      <c r="D1165" s="4" t="s">
        <v>1310</v>
      </c>
      <c r="E1165" s="4" t="str">
        <f>"2536014"</f>
        <v>2536014</v>
      </c>
      <c r="F1165" s="4" t="s">
        <v>1283</v>
      </c>
      <c r="G1165" s="7">
        <v>9</v>
      </c>
      <c r="H1165" s="7">
        <v>12</v>
      </c>
      <c r="I1165" s="4" t="s">
        <v>335</v>
      </c>
      <c r="J1165" s="4" t="s">
        <v>330</v>
      </c>
      <c r="K1165" s="7">
        <v>633.72480099999996</v>
      </c>
      <c r="L1165" s="7">
        <v>950</v>
      </c>
      <c r="M1165" s="7">
        <v>66.707874000000004</v>
      </c>
      <c r="N1165" s="7">
        <v>3</v>
      </c>
      <c r="O1165" s="7">
        <v>0</v>
      </c>
      <c r="P1165" s="7">
        <v>57.111111000000001</v>
      </c>
      <c r="Q1165" s="7">
        <v>114.222222</v>
      </c>
      <c r="R1165" s="7">
        <v>150</v>
      </c>
      <c r="S1165" s="4" t="s">
        <v>124</v>
      </c>
      <c r="T1165" s="4" t="s">
        <v>124</v>
      </c>
      <c r="U1165" s="4" t="s">
        <v>124</v>
      </c>
      <c r="V1165" s="4" t="s">
        <v>124</v>
      </c>
      <c r="W1165" s="7">
        <v>41.055556000000003</v>
      </c>
      <c r="X1165" s="7">
        <v>82.111110999999994</v>
      </c>
      <c r="Y1165" s="7">
        <v>150</v>
      </c>
      <c r="Z1165" s="4" t="s">
        <v>124</v>
      </c>
      <c r="AA1165" s="4" t="s">
        <v>124</v>
      </c>
      <c r="AB1165" s="4" t="s">
        <v>124</v>
      </c>
      <c r="AC1165" s="4" t="s">
        <v>124</v>
      </c>
      <c r="AD1165" s="7">
        <v>57.487178999999998</v>
      </c>
      <c r="AE1165" s="7">
        <v>76.649573000000004</v>
      </c>
      <c r="AF1165" s="7">
        <v>100</v>
      </c>
      <c r="AG1165" s="4" t="s">
        <v>124</v>
      </c>
      <c r="AH1165" s="4" t="s">
        <v>124</v>
      </c>
      <c r="AI1165" s="4" t="s">
        <v>124</v>
      </c>
      <c r="AJ1165" s="4" t="s">
        <v>124</v>
      </c>
      <c r="AK1165" s="4" t="s">
        <v>124</v>
      </c>
      <c r="AL1165" s="4" t="s">
        <v>124</v>
      </c>
      <c r="AM1165" s="4" t="s">
        <v>124</v>
      </c>
      <c r="AN1165" s="4" t="s">
        <v>124</v>
      </c>
      <c r="AO1165" s="4" t="s">
        <v>124</v>
      </c>
      <c r="AP1165" s="4" t="s">
        <v>124</v>
      </c>
      <c r="AQ1165" s="4" t="s">
        <v>124</v>
      </c>
      <c r="AR1165" s="4" t="s">
        <v>124</v>
      </c>
      <c r="AS1165" s="4" t="s">
        <v>124</v>
      </c>
      <c r="AT1165" s="4" t="s">
        <v>124</v>
      </c>
      <c r="AU1165" s="4" t="s">
        <v>124</v>
      </c>
      <c r="AV1165" s="4" t="s">
        <v>124</v>
      </c>
      <c r="AW1165" s="4" t="s">
        <v>124</v>
      </c>
      <c r="AX1165" s="4" t="s">
        <v>124</v>
      </c>
      <c r="AY1165" s="4" t="s">
        <v>124</v>
      </c>
      <c r="AZ1165" s="4" t="s">
        <v>124</v>
      </c>
      <c r="BA1165" s="4" t="s">
        <v>124</v>
      </c>
      <c r="BB1165" s="4" t="s">
        <v>124</v>
      </c>
      <c r="BC1165" s="4" t="s">
        <v>124</v>
      </c>
      <c r="BD1165" s="4" t="s">
        <v>124</v>
      </c>
      <c r="BE1165" s="4" t="s">
        <v>124</v>
      </c>
      <c r="BF1165" s="4" t="s">
        <v>124</v>
      </c>
      <c r="BG1165" s="4" t="s">
        <v>124</v>
      </c>
      <c r="BH1165" s="7">
        <v>0</v>
      </c>
      <c r="BI1165" s="7">
        <v>1</v>
      </c>
      <c r="BJ1165" s="4" t="s">
        <v>124</v>
      </c>
      <c r="BK1165" s="4" t="s">
        <v>124</v>
      </c>
      <c r="BL1165" s="7">
        <v>1</v>
      </c>
      <c r="BM1165" s="4" t="s">
        <v>124</v>
      </c>
      <c r="BN1165" s="4" t="s">
        <v>124</v>
      </c>
      <c r="BO1165" s="7">
        <v>1</v>
      </c>
      <c r="BP1165" s="4" t="s">
        <v>124</v>
      </c>
      <c r="BQ1165" s="4" t="s">
        <v>124</v>
      </c>
      <c r="BR1165" s="7">
        <v>0.24576300000000001</v>
      </c>
      <c r="BS1165" s="7">
        <v>10.847458</v>
      </c>
      <c r="BT1165" s="7">
        <v>50</v>
      </c>
      <c r="BU1165" s="7">
        <v>0.269841</v>
      </c>
      <c r="BV1165" s="7">
        <v>6.0317460000000001</v>
      </c>
      <c r="BW1165" s="7">
        <v>50</v>
      </c>
      <c r="BX1165" s="7">
        <v>0.56363600000000003</v>
      </c>
      <c r="BY1165" s="7">
        <v>37.575758</v>
      </c>
      <c r="BZ1165" s="7">
        <v>50</v>
      </c>
      <c r="CA1165" s="7">
        <v>0.163636</v>
      </c>
      <c r="CB1165" s="7">
        <v>10.909091</v>
      </c>
      <c r="CC1165" s="7">
        <v>50</v>
      </c>
      <c r="CD1165" s="7">
        <v>1</v>
      </c>
      <c r="CE1165" s="7">
        <v>50</v>
      </c>
      <c r="CF1165" s="7">
        <v>50</v>
      </c>
      <c r="CG1165" s="7">
        <v>0.89655200000000002</v>
      </c>
      <c r="CH1165" s="7">
        <v>95.377842999999999</v>
      </c>
      <c r="CI1165" s="7">
        <v>100</v>
      </c>
      <c r="CJ1165" s="7">
        <v>0</v>
      </c>
      <c r="CK1165" s="4" t="s">
        <v>124</v>
      </c>
      <c r="CL1165" s="4" t="s">
        <v>124</v>
      </c>
      <c r="CM1165" s="4" t="s">
        <v>124</v>
      </c>
      <c r="CN1165" s="7">
        <v>0.67857100000000004</v>
      </c>
      <c r="CO1165" s="7">
        <v>90.476190000000003</v>
      </c>
      <c r="CP1165" s="7">
        <v>100</v>
      </c>
      <c r="CQ1165" s="7">
        <v>0.14285700000000001</v>
      </c>
      <c r="CR1165" s="7">
        <v>0.93333299999999997</v>
      </c>
      <c r="CS1165" s="7">
        <v>9.5238099999999992</v>
      </c>
      <c r="CT1165" s="7">
        <v>50</v>
      </c>
      <c r="CU1165" s="7">
        <v>0.85593200000000003</v>
      </c>
      <c r="CV1165" s="7">
        <v>50</v>
      </c>
      <c r="CW1165" s="7">
        <v>50</v>
      </c>
      <c r="CX1165" s="4" t="s">
        <v>124</v>
      </c>
      <c r="CY1165" s="4" t="s">
        <v>124</v>
      </c>
      <c r="CZ1165" s="4" t="s">
        <v>124</v>
      </c>
      <c r="DA1165" s="7">
        <v>15.314097</v>
      </c>
      <c r="DB1165" s="7">
        <v>17.400950000000002</v>
      </c>
      <c r="DC1165" s="7">
        <v>16.332519999999999</v>
      </c>
      <c r="DD1165" s="7">
        <v>7.9891730000000001</v>
      </c>
      <c r="DE1165" s="7">
        <v>0</v>
      </c>
      <c r="DF1165" s="6"/>
      <c r="DG1165" s="6"/>
      <c r="DH1165" s="4" t="s">
        <v>331</v>
      </c>
      <c r="DI1165" s="4" t="s">
        <v>944</v>
      </c>
      <c r="DJ1165" s="7">
        <v>0</v>
      </c>
      <c r="DK1165" s="7">
        <v>0</v>
      </c>
      <c r="DL1165" s="7">
        <v>0</v>
      </c>
      <c r="DM1165" s="7">
        <v>0</v>
      </c>
      <c r="DN1165" s="7">
        <v>0</v>
      </c>
      <c r="DO1165" s="7">
        <v>1</v>
      </c>
      <c r="DP1165" s="6"/>
      <c r="DQ1165" s="4" t="s">
        <v>125</v>
      </c>
    </row>
    <row r="1166" spans="1:121" ht="20" customHeight="1" x14ac:dyDescent="0.15">
      <c r="A1166" s="5">
        <v>2018</v>
      </c>
      <c r="B1166" s="3" t="s">
        <v>264</v>
      </c>
      <c r="C1166" s="4" t="str">
        <f>"2530014"</f>
        <v>2530014</v>
      </c>
      <c r="D1166" s="4" t="s">
        <v>1311</v>
      </c>
      <c r="E1166" s="4" t="str">
        <f>"2536114"</f>
        <v>2536114</v>
      </c>
      <c r="F1166" s="4" t="s">
        <v>1283</v>
      </c>
      <c r="G1166" s="7">
        <v>9</v>
      </c>
      <c r="H1166" s="7">
        <v>12</v>
      </c>
      <c r="I1166" s="4" t="s">
        <v>335</v>
      </c>
      <c r="J1166" s="4" t="s">
        <v>330</v>
      </c>
      <c r="K1166" s="7">
        <v>892.27558699999997</v>
      </c>
      <c r="L1166" s="7">
        <v>1450</v>
      </c>
      <c r="M1166" s="7">
        <v>61.536247000000003</v>
      </c>
      <c r="N1166" s="7">
        <v>3</v>
      </c>
      <c r="O1166" s="7">
        <v>0</v>
      </c>
      <c r="P1166" s="7">
        <v>49.421985999999997</v>
      </c>
      <c r="Q1166" s="7">
        <v>98.843971999999994</v>
      </c>
      <c r="R1166" s="7">
        <v>150</v>
      </c>
      <c r="S1166" s="7">
        <v>47.96</v>
      </c>
      <c r="T1166" s="7">
        <v>51.083333000000003</v>
      </c>
      <c r="U1166" s="7">
        <v>95.92</v>
      </c>
      <c r="V1166" s="7">
        <v>150</v>
      </c>
      <c r="W1166" s="7">
        <v>42.127659999999999</v>
      </c>
      <c r="X1166" s="7">
        <v>84.255319</v>
      </c>
      <c r="Y1166" s="7">
        <v>150</v>
      </c>
      <c r="Z1166" s="7">
        <v>42.583333000000003</v>
      </c>
      <c r="AA1166" s="7">
        <v>41.726666999999999</v>
      </c>
      <c r="AB1166" s="7">
        <v>83.453333000000001</v>
      </c>
      <c r="AC1166" s="7">
        <v>150</v>
      </c>
      <c r="AD1166" s="7">
        <v>51.937728999999997</v>
      </c>
      <c r="AE1166" s="7">
        <v>69.250304999999997</v>
      </c>
      <c r="AF1166" s="7">
        <v>100</v>
      </c>
      <c r="AG1166" s="7">
        <v>48.230769000000002</v>
      </c>
      <c r="AH1166" s="7">
        <v>56.015385000000002</v>
      </c>
      <c r="AI1166" s="7">
        <v>64.307692000000003</v>
      </c>
      <c r="AJ1166" s="7">
        <v>100</v>
      </c>
      <c r="AK1166" s="7">
        <v>3.12</v>
      </c>
      <c r="AL1166" s="7">
        <v>0.85</v>
      </c>
      <c r="AM1166" s="7">
        <v>7.78</v>
      </c>
      <c r="AN1166" s="4" t="s">
        <v>124</v>
      </c>
      <c r="AO1166" s="4" t="s">
        <v>124</v>
      </c>
      <c r="AP1166" s="4" t="s">
        <v>124</v>
      </c>
      <c r="AQ1166" s="4" t="s">
        <v>124</v>
      </c>
      <c r="AR1166" s="4" t="s">
        <v>124</v>
      </c>
      <c r="AS1166" s="4" t="s">
        <v>124</v>
      </c>
      <c r="AT1166" s="4" t="s">
        <v>124</v>
      </c>
      <c r="AU1166" s="4" t="s">
        <v>124</v>
      </c>
      <c r="AV1166" s="4" t="s">
        <v>124</v>
      </c>
      <c r="AW1166" s="4" t="s">
        <v>124</v>
      </c>
      <c r="AX1166" s="4" t="s">
        <v>124</v>
      </c>
      <c r="AY1166" s="4" t="s">
        <v>124</v>
      </c>
      <c r="AZ1166" s="4" t="s">
        <v>124</v>
      </c>
      <c r="BA1166" s="4" t="s">
        <v>124</v>
      </c>
      <c r="BB1166" s="4" t="s">
        <v>124</v>
      </c>
      <c r="BC1166" s="4" t="s">
        <v>124</v>
      </c>
      <c r="BD1166" s="4" t="s">
        <v>124</v>
      </c>
      <c r="BE1166" s="4" t="s">
        <v>124</v>
      </c>
      <c r="BF1166" s="4" t="s">
        <v>124</v>
      </c>
      <c r="BG1166" s="4" t="s">
        <v>124</v>
      </c>
      <c r="BH1166" s="7">
        <v>1</v>
      </c>
      <c r="BI1166" s="7">
        <v>0.97959200000000002</v>
      </c>
      <c r="BJ1166" s="7">
        <v>1</v>
      </c>
      <c r="BK1166" s="7">
        <v>0.95652199999999998</v>
      </c>
      <c r="BL1166" s="7">
        <v>0.97959200000000002</v>
      </c>
      <c r="BM1166" s="7">
        <v>1</v>
      </c>
      <c r="BN1166" s="7">
        <v>0.95652199999999998</v>
      </c>
      <c r="BO1166" s="7">
        <v>0.91489399999999999</v>
      </c>
      <c r="BP1166" s="7">
        <v>0.88461500000000004</v>
      </c>
      <c r="BQ1166" s="7">
        <v>0.95238100000000003</v>
      </c>
      <c r="BR1166" s="7">
        <v>0.40131600000000001</v>
      </c>
      <c r="BS1166" s="7">
        <v>0</v>
      </c>
      <c r="BT1166" s="7">
        <v>50</v>
      </c>
      <c r="BU1166" s="7">
        <v>0.49382700000000002</v>
      </c>
      <c r="BV1166" s="7">
        <v>0</v>
      </c>
      <c r="BW1166" s="7">
        <v>50</v>
      </c>
      <c r="BX1166" s="7">
        <v>0.868421</v>
      </c>
      <c r="BY1166" s="7">
        <v>50</v>
      </c>
      <c r="BZ1166" s="7">
        <v>50</v>
      </c>
      <c r="CA1166" s="7">
        <v>0.17105300000000001</v>
      </c>
      <c r="CB1166" s="7">
        <v>11.403509</v>
      </c>
      <c r="CC1166" s="7">
        <v>50</v>
      </c>
      <c r="CD1166" s="7">
        <v>0.85</v>
      </c>
      <c r="CE1166" s="7">
        <v>45.212766000000002</v>
      </c>
      <c r="CF1166" s="7">
        <v>50</v>
      </c>
      <c r="CG1166" s="7">
        <v>0.74509800000000004</v>
      </c>
      <c r="CH1166" s="7">
        <v>79.265749</v>
      </c>
      <c r="CI1166" s="7">
        <v>100</v>
      </c>
      <c r="CJ1166" s="7">
        <v>0</v>
      </c>
      <c r="CK1166" s="7">
        <v>0.78571400000000002</v>
      </c>
      <c r="CL1166" s="7">
        <v>83.586625999999995</v>
      </c>
      <c r="CM1166" s="7">
        <v>100</v>
      </c>
      <c r="CN1166" s="7">
        <v>0.6</v>
      </c>
      <c r="CO1166" s="7">
        <v>80</v>
      </c>
      <c r="CP1166" s="7">
        <v>100</v>
      </c>
      <c r="CQ1166" s="7">
        <v>0.2</v>
      </c>
      <c r="CR1166" s="7">
        <v>1.052632</v>
      </c>
      <c r="CS1166" s="7">
        <v>13.333333</v>
      </c>
      <c r="CT1166" s="7">
        <v>50</v>
      </c>
      <c r="CU1166" s="7">
        <v>0.40131600000000001</v>
      </c>
      <c r="CV1166" s="7">
        <v>33.442982000000001</v>
      </c>
      <c r="CW1166" s="7">
        <v>50</v>
      </c>
      <c r="CX1166" s="7">
        <v>0.78571400000000002</v>
      </c>
      <c r="CY1166" s="4" t="s">
        <v>124</v>
      </c>
      <c r="CZ1166" s="4" t="s">
        <v>124</v>
      </c>
      <c r="DA1166" s="7">
        <v>15.314097</v>
      </c>
      <c r="DB1166" s="7">
        <v>17.400950000000002</v>
      </c>
      <c r="DC1166" s="7">
        <v>16.332519999999999</v>
      </c>
      <c r="DD1166" s="7">
        <v>7.9891730000000001</v>
      </c>
      <c r="DE1166" s="7">
        <v>1</v>
      </c>
      <c r="DF1166" s="6"/>
      <c r="DG1166" s="6"/>
      <c r="DH1166" s="6"/>
      <c r="DI1166" s="6"/>
      <c r="DJ1166" s="7">
        <v>0</v>
      </c>
      <c r="DK1166" s="7">
        <v>0</v>
      </c>
      <c r="DL1166" s="7">
        <v>0</v>
      </c>
      <c r="DM1166" s="7">
        <v>0</v>
      </c>
      <c r="DN1166" s="7">
        <v>0</v>
      </c>
      <c r="DO1166" s="7">
        <v>0</v>
      </c>
      <c r="DP1166" s="6"/>
      <c r="DQ1166" s="4" t="s">
        <v>125</v>
      </c>
    </row>
    <row r="1167" spans="1:121" ht="20" customHeight="1" x14ac:dyDescent="0.15">
      <c r="A1167" s="5">
        <v>2018</v>
      </c>
      <c r="B1167" s="3" t="s">
        <v>265</v>
      </c>
      <c r="C1167" s="4" t="str">
        <f t="shared" si="138"/>
        <v>2610013</v>
      </c>
      <c r="D1167" s="4" t="s">
        <v>1312</v>
      </c>
      <c r="E1167" s="4" t="str">
        <f>"2610113"</f>
        <v>2610113</v>
      </c>
      <c r="F1167" s="4" t="s">
        <v>1313</v>
      </c>
      <c r="G1167" s="4" t="s">
        <v>328</v>
      </c>
      <c r="H1167" s="7">
        <v>12</v>
      </c>
      <c r="I1167" s="4" t="s">
        <v>335</v>
      </c>
      <c r="J1167" s="4" t="s">
        <v>330</v>
      </c>
      <c r="K1167" s="7">
        <v>536.88705500000003</v>
      </c>
      <c r="L1167" s="7">
        <v>950</v>
      </c>
      <c r="M1167" s="7">
        <v>56.514426999999998</v>
      </c>
      <c r="N1167" s="7">
        <v>3</v>
      </c>
      <c r="O1167" s="7">
        <v>0</v>
      </c>
      <c r="P1167" s="7">
        <v>58.245651000000002</v>
      </c>
      <c r="Q1167" s="7">
        <v>38.830433999999997</v>
      </c>
      <c r="R1167" s="7">
        <v>50</v>
      </c>
      <c r="S1167" s="7">
        <v>54.484695000000002</v>
      </c>
      <c r="T1167" s="7">
        <v>62.754643000000002</v>
      </c>
      <c r="U1167" s="7">
        <v>36.323129999999999</v>
      </c>
      <c r="V1167" s="7">
        <v>50</v>
      </c>
      <c r="W1167" s="7">
        <v>51.529867000000003</v>
      </c>
      <c r="X1167" s="7">
        <v>34.353245000000001</v>
      </c>
      <c r="Y1167" s="7">
        <v>50</v>
      </c>
      <c r="Z1167" s="7">
        <v>55.212721000000002</v>
      </c>
      <c r="AA1167" s="7">
        <v>48.491937</v>
      </c>
      <c r="AB1167" s="7">
        <v>32.327958000000002</v>
      </c>
      <c r="AC1167" s="7">
        <v>50</v>
      </c>
      <c r="AD1167" s="7">
        <v>55.303016</v>
      </c>
      <c r="AE1167" s="7">
        <v>36.868676999999998</v>
      </c>
      <c r="AF1167" s="7">
        <v>50</v>
      </c>
      <c r="AG1167" s="7">
        <v>51.984532999999999</v>
      </c>
      <c r="AH1167" s="7">
        <v>58.77234</v>
      </c>
      <c r="AI1167" s="7">
        <v>34.656354999999998</v>
      </c>
      <c r="AJ1167" s="7">
        <v>50</v>
      </c>
      <c r="AK1167" s="7">
        <v>8.26</v>
      </c>
      <c r="AL1167" s="7">
        <v>6.72</v>
      </c>
      <c r="AM1167" s="7">
        <v>6.78</v>
      </c>
      <c r="AN1167" s="7">
        <v>0.48300399999999999</v>
      </c>
      <c r="AO1167" s="7">
        <v>48.300362999999997</v>
      </c>
      <c r="AP1167" s="7">
        <v>100</v>
      </c>
      <c r="AQ1167" s="7">
        <v>0.44305899999999998</v>
      </c>
      <c r="AR1167" s="7">
        <v>44.30594</v>
      </c>
      <c r="AS1167" s="7">
        <v>100</v>
      </c>
      <c r="AT1167" s="7">
        <v>0.442716</v>
      </c>
      <c r="AU1167" s="7">
        <v>0.52750399999999997</v>
      </c>
      <c r="AV1167" s="7">
        <v>44.271648999999996</v>
      </c>
      <c r="AW1167" s="7">
        <v>100</v>
      </c>
      <c r="AX1167" s="7">
        <v>0.43593599999999999</v>
      </c>
      <c r="AY1167" s="7">
        <v>0.45103799999999999</v>
      </c>
      <c r="AZ1167" s="7">
        <v>43.593598</v>
      </c>
      <c r="BA1167" s="7">
        <v>100</v>
      </c>
      <c r="BB1167" s="4" t="s">
        <v>124</v>
      </c>
      <c r="BC1167" s="4" t="s">
        <v>124</v>
      </c>
      <c r="BD1167" s="4" t="s">
        <v>124</v>
      </c>
      <c r="BE1167" s="4" t="s">
        <v>124</v>
      </c>
      <c r="BF1167" s="4" t="s">
        <v>124</v>
      </c>
      <c r="BG1167" s="4" t="s">
        <v>124</v>
      </c>
      <c r="BH1167" s="7">
        <v>0</v>
      </c>
      <c r="BI1167" s="7">
        <v>0.99758999999999998</v>
      </c>
      <c r="BJ1167" s="7">
        <v>0.995726</v>
      </c>
      <c r="BK1167" s="7">
        <v>1</v>
      </c>
      <c r="BL1167" s="7">
        <v>0.99277099999999996</v>
      </c>
      <c r="BM1167" s="7">
        <v>0.995726</v>
      </c>
      <c r="BN1167" s="7">
        <v>0.98895</v>
      </c>
      <c r="BO1167" s="7">
        <v>0.97857099999999997</v>
      </c>
      <c r="BP1167" s="7">
        <v>0.972603</v>
      </c>
      <c r="BQ1167" s="7">
        <v>0.98507500000000003</v>
      </c>
      <c r="BR1167" s="7">
        <v>0.179758</v>
      </c>
      <c r="BS1167" s="7">
        <v>24.048338000000001</v>
      </c>
      <c r="BT1167" s="7">
        <v>50</v>
      </c>
      <c r="BU1167" s="7">
        <v>0.19528599999999999</v>
      </c>
      <c r="BV1167" s="7">
        <v>20.942761000000001</v>
      </c>
      <c r="BW1167" s="7">
        <v>50</v>
      </c>
      <c r="BX1167" s="4" t="s">
        <v>124</v>
      </c>
      <c r="BY1167" s="4" t="s">
        <v>124</v>
      </c>
      <c r="BZ1167" s="4" t="s">
        <v>124</v>
      </c>
      <c r="CA1167" s="4" t="s">
        <v>124</v>
      </c>
      <c r="CB1167" s="4" t="s">
        <v>124</v>
      </c>
      <c r="CC1167" s="4" t="s">
        <v>124</v>
      </c>
      <c r="CD1167" s="7">
        <v>0.90384600000000004</v>
      </c>
      <c r="CE1167" s="7">
        <v>48.076923000000001</v>
      </c>
      <c r="CF1167" s="7">
        <v>50</v>
      </c>
      <c r="CG1167" s="4" t="s">
        <v>124</v>
      </c>
      <c r="CH1167" s="4" t="s">
        <v>124</v>
      </c>
      <c r="CI1167" s="4" t="s">
        <v>124</v>
      </c>
      <c r="CJ1167" s="4" t="s">
        <v>124</v>
      </c>
      <c r="CK1167" s="4" t="s">
        <v>124</v>
      </c>
      <c r="CL1167" s="4" t="s">
        <v>124</v>
      </c>
      <c r="CM1167" s="4" t="s">
        <v>124</v>
      </c>
      <c r="CN1167" s="4" t="s">
        <v>124</v>
      </c>
      <c r="CO1167" s="4" t="s">
        <v>124</v>
      </c>
      <c r="CP1167" s="4" t="s">
        <v>124</v>
      </c>
      <c r="CQ1167" s="7">
        <v>0.49246200000000001</v>
      </c>
      <c r="CR1167" s="7">
        <v>0.995</v>
      </c>
      <c r="CS1167" s="7">
        <v>32.830821</v>
      </c>
      <c r="CT1167" s="7">
        <v>50</v>
      </c>
      <c r="CU1167" s="7">
        <v>0.20588200000000001</v>
      </c>
      <c r="CV1167" s="7">
        <v>17.156863000000001</v>
      </c>
      <c r="CW1167" s="7">
        <v>50</v>
      </c>
      <c r="CX1167" s="4" t="s">
        <v>124</v>
      </c>
      <c r="CY1167" s="4" t="s">
        <v>124</v>
      </c>
      <c r="CZ1167" s="4" t="s">
        <v>124</v>
      </c>
      <c r="DA1167" s="7">
        <v>15.314097</v>
      </c>
      <c r="DB1167" s="7">
        <v>17.400950000000002</v>
      </c>
      <c r="DC1167" s="7">
        <v>16.332519999999999</v>
      </c>
      <c r="DD1167" s="4" t="s">
        <v>124</v>
      </c>
      <c r="DE1167" s="7">
        <v>0</v>
      </c>
      <c r="DF1167" s="6"/>
      <c r="DG1167" s="6"/>
      <c r="DH1167" s="6"/>
      <c r="DI1167" s="6"/>
      <c r="DJ1167" s="7">
        <v>0</v>
      </c>
      <c r="DK1167" s="7">
        <v>0</v>
      </c>
      <c r="DL1167" s="7">
        <v>0</v>
      </c>
      <c r="DM1167" s="7">
        <v>0</v>
      </c>
      <c r="DN1167" s="7">
        <v>0</v>
      </c>
      <c r="DO1167" s="7">
        <v>0</v>
      </c>
      <c r="DP1167" s="6"/>
      <c r="DQ1167" s="4" t="s">
        <v>125</v>
      </c>
    </row>
    <row r="1168" spans="1:121" ht="20" customHeight="1" x14ac:dyDescent="0.15">
      <c r="A1168" s="5">
        <v>2018</v>
      </c>
      <c r="B1168" s="3" t="s">
        <v>266</v>
      </c>
      <c r="C1168" s="4" t="str">
        <f>"2630013"</f>
        <v>2630013</v>
      </c>
      <c r="D1168" s="4" t="s">
        <v>1314</v>
      </c>
      <c r="E1168" s="4" t="str">
        <f>"2635113"</f>
        <v>2635113</v>
      </c>
      <c r="F1168" s="4" t="s">
        <v>1313</v>
      </c>
      <c r="G1168" s="4" t="s">
        <v>338</v>
      </c>
      <c r="H1168" s="7">
        <v>8</v>
      </c>
      <c r="I1168" s="4" t="s">
        <v>335</v>
      </c>
      <c r="J1168" s="4" t="s">
        <v>330</v>
      </c>
      <c r="K1168" s="7">
        <v>740.48101799999995</v>
      </c>
      <c r="L1168" s="7">
        <v>1000</v>
      </c>
      <c r="M1168" s="7">
        <v>74.048102</v>
      </c>
      <c r="N1168" s="7">
        <v>2</v>
      </c>
      <c r="O1168" s="7">
        <v>0</v>
      </c>
      <c r="P1168" s="7">
        <v>69.066524000000001</v>
      </c>
      <c r="Q1168" s="7">
        <v>46.044348999999997</v>
      </c>
      <c r="R1168" s="7">
        <v>50</v>
      </c>
      <c r="S1168" s="7">
        <v>64.276443</v>
      </c>
      <c r="T1168" s="7">
        <v>73.901371999999995</v>
      </c>
      <c r="U1168" s="7">
        <v>42.850962000000003</v>
      </c>
      <c r="V1168" s="7">
        <v>50</v>
      </c>
      <c r="W1168" s="7">
        <v>65.245142999999999</v>
      </c>
      <c r="X1168" s="7">
        <v>43.496761999999997</v>
      </c>
      <c r="Y1168" s="7">
        <v>50</v>
      </c>
      <c r="Z1168" s="7">
        <v>68.869848000000005</v>
      </c>
      <c r="AA1168" s="7">
        <v>61.687562</v>
      </c>
      <c r="AB1168" s="7">
        <v>41.125042000000001</v>
      </c>
      <c r="AC1168" s="7">
        <v>50</v>
      </c>
      <c r="AD1168" s="7">
        <v>65.798528000000005</v>
      </c>
      <c r="AE1168" s="7">
        <v>43.865684999999999</v>
      </c>
      <c r="AF1168" s="7">
        <v>50</v>
      </c>
      <c r="AG1168" s="7">
        <v>62.051468999999997</v>
      </c>
      <c r="AH1168" s="7">
        <v>69.649671999999995</v>
      </c>
      <c r="AI1168" s="7">
        <v>41.367646000000001</v>
      </c>
      <c r="AJ1168" s="7">
        <v>50</v>
      </c>
      <c r="AK1168" s="7">
        <v>9.6199999999999992</v>
      </c>
      <c r="AL1168" s="7">
        <v>7.18</v>
      </c>
      <c r="AM1168" s="7">
        <v>7.59</v>
      </c>
      <c r="AN1168" s="7">
        <v>0.66884399999999999</v>
      </c>
      <c r="AO1168" s="7">
        <v>66.884395999999995</v>
      </c>
      <c r="AP1168" s="7">
        <v>100</v>
      </c>
      <c r="AQ1168" s="7">
        <v>0.68443299999999996</v>
      </c>
      <c r="AR1168" s="7">
        <v>68.443264999999997</v>
      </c>
      <c r="AS1168" s="7">
        <v>100</v>
      </c>
      <c r="AT1168" s="7">
        <v>0.64549900000000004</v>
      </c>
      <c r="AU1168" s="7">
        <v>0.688994</v>
      </c>
      <c r="AV1168" s="7">
        <v>64.549886000000001</v>
      </c>
      <c r="AW1168" s="7">
        <v>100</v>
      </c>
      <c r="AX1168" s="7">
        <v>0.64676100000000003</v>
      </c>
      <c r="AY1168" s="7">
        <v>0.71694899999999995</v>
      </c>
      <c r="AZ1168" s="7">
        <v>64.676068999999998</v>
      </c>
      <c r="BA1168" s="7">
        <v>100</v>
      </c>
      <c r="BB1168" s="7">
        <v>0.50989700000000004</v>
      </c>
      <c r="BC1168" s="7">
        <v>25.494838999999999</v>
      </c>
      <c r="BD1168" s="7">
        <v>50</v>
      </c>
      <c r="BE1168" s="7">
        <v>0.51215500000000003</v>
      </c>
      <c r="BF1168" s="7">
        <v>25.607724999999999</v>
      </c>
      <c r="BG1168" s="7">
        <v>50</v>
      </c>
      <c r="BH1168" s="7">
        <v>0</v>
      </c>
      <c r="BI1168" s="7">
        <v>1</v>
      </c>
      <c r="BJ1168" s="7">
        <v>1</v>
      </c>
      <c r="BK1168" s="7">
        <v>1</v>
      </c>
      <c r="BL1168" s="7">
        <v>0.99541299999999999</v>
      </c>
      <c r="BM1168" s="7">
        <v>1</v>
      </c>
      <c r="BN1168" s="7">
        <v>0.99082599999999998</v>
      </c>
      <c r="BO1168" s="7">
        <v>1</v>
      </c>
      <c r="BP1168" s="7">
        <v>1</v>
      </c>
      <c r="BQ1168" s="7">
        <v>1</v>
      </c>
      <c r="BR1168" s="7">
        <v>5.8824000000000001E-2</v>
      </c>
      <c r="BS1168" s="7">
        <v>48.235294000000003</v>
      </c>
      <c r="BT1168" s="7">
        <v>50</v>
      </c>
      <c r="BU1168" s="7">
        <v>7.2289000000000006E-2</v>
      </c>
      <c r="BV1168" s="7">
        <v>45.542169000000001</v>
      </c>
      <c r="BW1168" s="7">
        <v>50</v>
      </c>
      <c r="BX1168" s="4" t="s">
        <v>124</v>
      </c>
      <c r="BY1168" s="4" t="s">
        <v>124</v>
      </c>
      <c r="BZ1168" s="4" t="s">
        <v>124</v>
      </c>
      <c r="CA1168" s="4" t="s">
        <v>124</v>
      </c>
      <c r="CB1168" s="4" t="s">
        <v>124</v>
      </c>
      <c r="CC1168" s="4" t="s">
        <v>124</v>
      </c>
      <c r="CD1168" s="7">
        <v>0.9375</v>
      </c>
      <c r="CE1168" s="7">
        <v>49.867021000000001</v>
      </c>
      <c r="CF1168" s="7">
        <v>50</v>
      </c>
      <c r="CG1168" s="4" t="s">
        <v>124</v>
      </c>
      <c r="CH1168" s="4" t="s">
        <v>124</v>
      </c>
      <c r="CI1168" s="4" t="s">
        <v>124</v>
      </c>
      <c r="CJ1168" s="4" t="s">
        <v>124</v>
      </c>
      <c r="CK1168" s="4" t="s">
        <v>124</v>
      </c>
      <c r="CL1168" s="4" t="s">
        <v>124</v>
      </c>
      <c r="CM1168" s="4" t="s">
        <v>124</v>
      </c>
      <c r="CN1168" s="4" t="s">
        <v>124</v>
      </c>
      <c r="CO1168" s="4" t="s">
        <v>124</v>
      </c>
      <c r="CP1168" s="4" t="s">
        <v>124</v>
      </c>
      <c r="CQ1168" s="7">
        <v>0.336449</v>
      </c>
      <c r="CR1168" s="7">
        <v>0.99074099999999998</v>
      </c>
      <c r="CS1168" s="7">
        <v>22.429907</v>
      </c>
      <c r="CT1168" s="7">
        <v>50</v>
      </c>
      <c r="CU1168" s="4" t="s">
        <v>124</v>
      </c>
      <c r="CV1168" s="4" t="s">
        <v>124</v>
      </c>
      <c r="CW1168" s="4" t="s">
        <v>124</v>
      </c>
      <c r="CX1168" s="4" t="s">
        <v>124</v>
      </c>
      <c r="CY1168" s="4" t="s">
        <v>124</v>
      </c>
      <c r="CZ1168" s="4" t="s">
        <v>124</v>
      </c>
      <c r="DA1168" s="7">
        <v>15.314097</v>
      </c>
      <c r="DB1168" s="7">
        <v>17.400950000000002</v>
      </c>
      <c r="DC1168" s="7">
        <v>16.332519999999999</v>
      </c>
      <c r="DD1168" s="4" t="s">
        <v>124</v>
      </c>
      <c r="DE1168" s="7">
        <v>0</v>
      </c>
      <c r="DF1168" s="6"/>
      <c r="DG1168" s="6"/>
      <c r="DH1168" s="6"/>
      <c r="DI1168" s="6"/>
      <c r="DJ1168" s="7">
        <v>0</v>
      </c>
      <c r="DK1168" s="7">
        <v>0</v>
      </c>
      <c r="DL1168" s="7">
        <v>0</v>
      </c>
      <c r="DM1168" s="7">
        <v>0</v>
      </c>
      <c r="DN1168" s="7">
        <v>0</v>
      </c>
      <c r="DO1168" s="7">
        <v>0</v>
      </c>
      <c r="DP1168" s="6"/>
      <c r="DQ1168" s="4" t="s">
        <v>125</v>
      </c>
    </row>
    <row r="1169" spans="1:121" ht="20" customHeight="1" x14ac:dyDescent="0.15">
      <c r="A1169" s="5">
        <v>2018</v>
      </c>
      <c r="B1169" s="3" t="s">
        <v>267</v>
      </c>
      <c r="C1169" s="4" t="str">
        <f t="shared" si="139"/>
        <v>2640013</v>
      </c>
      <c r="D1169" s="4" t="s">
        <v>1315</v>
      </c>
      <c r="E1169" s="4" t="str">
        <f>"2640113"</f>
        <v>2640113</v>
      </c>
      <c r="F1169" s="4" t="s">
        <v>1313</v>
      </c>
      <c r="G1169" s="4" t="s">
        <v>328</v>
      </c>
      <c r="H1169" s="7">
        <v>8</v>
      </c>
      <c r="I1169" s="4" t="s">
        <v>335</v>
      </c>
      <c r="J1169" s="4" t="s">
        <v>330</v>
      </c>
      <c r="K1169" s="7">
        <v>733.78830800000003</v>
      </c>
      <c r="L1169" s="7">
        <v>1000</v>
      </c>
      <c r="M1169" s="7">
        <v>73.378831000000005</v>
      </c>
      <c r="N1169" s="7">
        <v>2</v>
      </c>
      <c r="O1169" s="7">
        <v>0</v>
      </c>
      <c r="P1169" s="7">
        <v>67.430136000000005</v>
      </c>
      <c r="Q1169" s="7">
        <v>44.953423999999998</v>
      </c>
      <c r="R1169" s="7">
        <v>50</v>
      </c>
      <c r="S1169" s="7">
        <v>61.999834999999997</v>
      </c>
      <c r="T1169" s="7">
        <v>73.260564000000002</v>
      </c>
      <c r="U1169" s="7">
        <v>41.333222999999997</v>
      </c>
      <c r="V1169" s="7">
        <v>50</v>
      </c>
      <c r="W1169" s="7">
        <v>60.592610000000001</v>
      </c>
      <c r="X1169" s="7">
        <v>40.395074000000001</v>
      </c>
      <c r="Y1169" s="7">
        <v>50</v>
      </c>
      <c r="Z1169" s="7">
        <v>64.909591000000006</v>
      </c>
      <c r="AA1169" s="7">
        <v>56.571894</v>
      </c>
      <c r="AB1169" s="7">
        <v>37.714596</v>
      </c>
      <c r="AC1169" s="7">
        <v>50</v>
      </c>
      <c r="AD1169" s="7">
        <v>68.753253000000001</v>
      </c>
      <c r="AE1169" s="7">
        <v>45.835501999999998</v>
      </c>
      <c r="AF1169" s="7">
        <v>50</v>
      </c>
      <c r="AG1169" s="7">
        <v>64.026537000000005</v>
      </c>
      <c r="AH1169" s="7">
        <v>72.534626000000003</v>
      </c>
      <c r="AI1169" s="7">
        <v>42.684358000000003</v>
      </c>
      <c r="AJ1169" s="7">
        <v>50</v>
      </c>
      <c r="AK1169" s="7">
        <v>11.26</v>
      </c>
      <c r="AL1169" s="7">
        <v>8.33</v>
      </c>
      <c r="AM1169" s="7">
        <v>8.5</v>
      </c>
      <c r="AN1169" s="7">
        <v>0.52647299999999997</v>
      </c>
      <c r="AO1169" s="7">
        <v>52.647275</v>
      </c>
      <c r="AP1169" s="7">
        <v>100</v>
      </c>
      <c r="AQ1169" s="7">
        <v>0.66329300000000002</v>
      </c>
      <c r="AR1169" s="7">
        <v>66.329255000000003</v>
      </c>
      <c r="AS1169" s="7">
        <v>100</v>
      </c>
      <c r="AT1169" s="7">
        <v>0.50417900000000004</v>
      </c>
      <c r="AU1169" s="7">
        <v>0.54572699999999996</v>
      </c>
      <c r="AV1169" s="7">
        <v>50.417853999999998</v>
      </c>
      <c r="AW1169" s="7">
        <v>100</v>
      </c>
      <c r="AX1169" s="7">
        <v>0.67450699999999997</v>
      </c>
      <c r="AY1169" s="7">
        <v>0.65360799999999997</v>
      </c>
      <c r="AZ1169" s="7">
        <v>67.450659000000002</v>
      </c>
      <c r="BA1169" s="7">
        <v>100</v>
      </c>
      <c r="BB1169" s="7">
        <v>0.62668599999999997</v>
      </c>
      <c r="BC1169" s="7">
        <v>31.334313999999999</v>
      </c>
      <c r="BD1169" s="7">
        <v>50</v>
      </c>
      <c r="BE1169" s="7">
        <v>0.59946900000000003</v>
      </c>
      <c r="BF1169" s="7">
        <v>29.973451000000001</v>
      </c>
      <c r="BG1169" s="7">
        <v>50</v>
      </c>
      <c r="BH1169" s="7">
        <v>0</v>
      </c>
      <c r="BI1169" s="7">
        <v>0.98507500000000003</v>
      </c>
      <c r="BJ1169" s="7">
        <v>1</v>
      </c>
      <c r="BK1169" s="7">
        <v>0.96969700000000003</v>
      </c>
      <c r="BL1169" s="7">
        <v>0.98507500000000003</v>
      </c>
      <c r="BM1169" s="7">
        <v>1</v>
      </c>
      <c r="BN1169" s="7">
        <v>0.96969700000000003</v>
      </c>
      <c r="BO1169" s="7">
        <v>1</v>
      </c>
      <c r="BP1169" s="7">
        <v>1</v>
      </c>
      <c r="BQ1169" s="7">
        <v>1</v>
      </c>
      <c r="BR1169" s="7">
        <v>0.04</v>
      </c>
      <c r="BS1169" s="7">
        <v>50</v>
      </c>
      <c r="BT1169" s="7">
        <v>50</v>
      </c>
      <c r="BU1169" s="7">
        <v>5.6337999999999999E-2</v>
      </c>
      <c r="BV1169" s="7">
        <v>48.732393999999999</v>
      </c>
      <c r="BW1169" s="7">
        <v>50</v>
      </c>
      <c r="BX1169" s="4" t="s">
        <v>124</v>
      </c>
      <c r="BY1169" s="4" t="s">
        <v>124</v>
      </c>
      <c r="BZ1169" s="4" t="s">
        <v>124</v>
      </c>
      <c r="CA1169" s="4" t="s">
        <v>124</v>
      </c>
      <c r="CB1169" s="4" t="s">
        <v>124</v>
      </c>
      <c r="CC1169" s="4" t="s">
        <v>124</v>
      </c>
      <c r="CD1169" s="7">
        <v>0.96551699999999996</v>
      </c>
      <c r="CE1169" s="7">
        <v>50</v>
      </c>
      <c r="CF1169" s="7">
        <v>50</v>
      </c>
      <c r="CG1169" s="4" t="s">
        <v>124</v>
      </c>
      <c r="CH1169" s="4" t="s">
        <v>124</v>
      </c>
      <c r="CI1169" s="4" t="s">
        <v>124</v>
      </c>
      <c r="CJ1169" s="4" t="s">
        <v>124</v>
      </c>
      <c r="CK1169" s="4" t="s">
        <v>124</v>
      </c>
      <c r="CL1169" s="4" t="s">
        <v>124</v>
      </c>
      <c r="CM1169" s="4" t="s">
        <v>124</v>
      </c>
      <c r="CN1169" s="4" t="s">
        <v>124</v>
      </c>
      <c r="CO1169" s="4" t="s">
        <v>124</v>
      </c>
      <c r="CP1169" s="4" t="s">
        <v>124</v>
      </c>
      <c r="CQ1169" s="7">
        <v>0.50980400000000003</v>
      </c>
      <c r="CR1169" s="7">
        <v>1</v>
      </c>
      <c r="CS1169" s="7">
        <v>33.986927999999999</v>
      </c>
      <c r="CT1169" s="7">
        <v>50</v>
      </c>
      <c r="CU1169" s="4" t="s">
        <v>124</v>
      </c>
      <c r="CV1169" s="4" t="s">
        <v>124</v>
      </c>
      <c r="CW1169" s="4" t="s">
        <v>124</v>
      </c>
      <c r="CX1169" s="4" t="s">
        <v>124</v>
      </c>
      <c r="CY1169" s="4" t="s">
        <v>124</v>
      </c>
      <c r="CZ1169" s="4" t="s">
        <v>124</v>
      </c>
      <c r="DA1169" s="7">
        <v>15.314097</v>
      </c>
      <c r="DB1169" s="7">
        <v>17.400950000000002</v>
      </c>
      <c r="DC1169" s="7">
        <v>16.332519999999999</v>
      </c>
      <c r="DD1169" s="4" t="s">
        <v>124</v>
      </c>
      <c r="DE1169" s="7">
        <v>0</v>
      </c>
      <c r="DF1169" s="6"/>
      <c r="DG1169" s="6"/>
      <c r="DH1169" s="6"/>
      <c r="DI1169" s="6"/>
      <c r="DJ1169" s="7">
        <v>0</v>
      </c>
      <c r="DK1169" s="7">
        <v>0</v>
      </c>
      <c r="DL1169" s="7">
        <v>0</v>
      </c>
      <c r="DM1169" s="7">
        <v>0</v>
      </c>
      <c r="DN1169" s="7">
        <v>0</v>
      </c>
      <c r="DO1169" s="7">
        <v>0</v>
      </c>
      <c r="DP1169" s="6"/>
      <c r="DQ1169" s="4" t="s">
        <v>125</v>
      </c>
    </row>
    <row r="1170" spans="1:121" ht="20" customHeight="1" x14ac:dyDescent="0.15">
      <c r="A1170" s="5">
        <v>2018</v>
      </c>
      <c r="B1170" s="3" t="s">
        <v>268</v>
      </c>
      <c r="C1170" s="4" t="str">
        <f t="shared" si="140"/>
        <v>2650013</v>
      </c>
      <c r="D1170" s="4" t="s">
        <v>1316</v>
      </c>
      <c r="E1170" s="4" t="str">
        <f>"2655113"</f>
        <v>2655113</v>
      </c>
      <c r="F1170" s="4" t="s">
        <v>1313</v>
      </c>
      <c r="G1170" s="7">
        <v>6</v>
      </c>
      <c r="H1170" s="7">
        <v>8</v>
      </c>
      <c r="I1170" s="4" t="s">
        <v>335</v>
      </c>
      <c r="J1170" s="4" t="s">
        <v>330</v>
      </c>
      <c r="K1170" s="7">
        <v>599.97569799999997</v>
      </c>
      <c r="L1170" s="7">
        <v>1000</v>
      </c>
      <c r="M1170" s="7">
        <v>59.997570000000003</v>
      </c>
      <c r="N1170" s="7">
        <v>3</v>
      </c>
      <c r="O1170" s="7">
        <v>0</v>
      </c>
      <c r="P1170" s="7">
        <v>57.330294000000002</v>
      </c>
      <c r="Q1170" s="7">
        <v>38.220196000000001</v>
      </c>
      <c r="R1170" s="7">
        <v>50</v>
      </c>
      <c r="S1170" s="7">
        <v>54.632936000000001</v>
      </c>
      <c r="T1170" s="7">
        <v>65.731900999999993</v>
      </c>
      <c r="U1170" s="7">
        <v>36.421956999999999</v>
      </c>
      <c r="V1170" s="7">
        <v>50</v>
      </c>
      <c r="W1170" s="7">
        <v>46.764758</v>
      </c>
      <c r="X1170" s="7">
        <v>31.176504999999999</v>
      </c>
      <c r="Y1170" s="7">
        <v>50</v>
      </c>
      <c r="Z1170" s="7">
        <v>53.757151999999998</v>
      </c>
      <c r="AA1170" s="7">
        <v>44.519831000000003</v>
      </c>
      <c r="AB1170" s="7">
        <v>29.679887000000001</v>
      </c>
      <c r="AC1170" s="7">
        <v>50</v>
      </c>
      <c r="AD1170" s="7">
        <v>52.221552000000003</v>
      </c>
      <c r="AE1170" s="7">
        <v>34.814368000000002</v>
      </c>
      <c r="AF1170" s="7">
        <v>50</v>
      </c>
      <c r="AG1170" s="7">
        <v>49.247126000000002</v>
      </c>
      <c r="AH1170" s="7">
        <v>61.144827999999997</v>
      </c>
      <c r="AI1170" s="7">
        <v>32.831417999999999</v>
      </c>
      <c r="AJ1170" s="7">
        <v>50</v>
      </c>
      <c r="AK1170" s="7">
        <v>11.09</v>
      </c>
      <c r="AL1170" s="7">
        <v>9.23</v>
      </c>
      <c r="AM1170" s="7">
        <v>11.89</v>
      </c>
      <c r="AN1170" s="7">
        <v>0.50406200000000001</v>
      </c>
      <c r="AO1170" s="7">
        <v>50.406182999999999</v>
      </c>
      <c r="AP1170" s="7">
        <v>100</v>
      </c>
      <c r="AQ1170" s="7">
        <v>0.43598199999999998</v>
      </c>
      <c r="AR1170" s="7">
        <v>43.598196000000002</v>
      </c>
      <c r="AS1170" s="7">
        <v>100</v>
      </c>
      <c r="AT1170" s="7">
        <v>0.505888</v>
      </c>
      <c r="AU1170" s="7">
        <v>0.49883699999999997</v>
      </c>
      <c r="AV1170" s="7">
        <v>50.588766</v>
      </c>
      <c r="AW1170" s="7">
        <v>100</v>
      </c>
      <c r="AX1170" s="7">
        <v>0.47232800000000003</v>
      </c>
      <c r="AY1170" s="7">
        <v>0.33197599999999999</v>
      </c>
      <c r="AZ1170" s="7">
        <v>47.232812000000003</v>
      </c>
      <c r="BA1170" s="7">
        <v>100</v>
      </c>
      <c r="BB1170" s="7">
        <v>0.57960299999999998</v>
      </c>
      <c r="BC1170" s="7">
        <v>28.980159</v>
      </c>
      <c r="BD1170" s="7">
        <v>50</v>
      </c>
      <c r="BE1170" s="7">
        <v>0.67495700000000003</v>
      </c>
      <c r="BF1170" s="7">
        <v>33.747857000000003</v>
      </c>
      <c r="BG1170" s="7">
        <v>50</v>
      </c>
      <c r="BH1170" s="7">
        <v>0</v>
      </c>
      <c r="BI1170" s="7">
        <v>0.99609400000000003</v>
      </c>
      <c r="BJ1170" s="7">
        <v>0.99487199999999998</v>
      </c>
      <c r="BK1170" s="7">
        <v>1</v>
      </c>
      <c r="BL1170" s="7">
        <v>0.99609400000000003</v>
      </c>
      <c r="BM1170" s="7">
        <v>0.99487199999999998</v>
      </c>
      <c r="BN1170" s="7">
        <v>1</v>
      </c>
      <c r="BO1170" s="7">
        <v>1</v>
      </c>
      <c r="BP1170" s="7">
        <v>1</v>
      </c>
      <c r="BQ1170" s="7">
        <v>1</v>
      </c>
      <c r="BR1170" s="7">
        <v>0.101563</v>
      </c>
      <c r="BS1170" s="7">
        <v>39.6875</v>
      </c>
      <c r="BT1170" s="7">
        <v>50</v>
      </c>
      <c r="BU1170" s="7">
        <v>0.13541700000000001</v>
      </c>
      <c r="BV1170" s="7">
        <v>32.916666999999997</v>
      </c>
      <c r="BW1170" s="7">
        <v>50</v>
      </c>
      <c r="BX1170" s="4" t="s">
        <v>124</v>
      </c>
      <c r="BY1170" s="4" t="s">
        <v>124</v>
      </c>
      <c r="BZ1170" s="4" t="s">
        <v>124</v>
      </c>
      <c r="CA1170" s="4" t="s">
        <v>124</v>
      </c>
      <c r="CB1170" s="4" t="s">
        <v>124</v>
      </c>
      <c r="CC1170" s="4" t="s">
        <v>124</v>
      </c>
      <c r="CD1170" s="7">
        <v>0.93243200000000004</v>
      </c>
      <c r="CE1170" s="7">
        <v>49.597470000000001</v>
      </c>
      <c r="CF1170" s="7">
        <v>50</v>
      </c>
      <c r="CG1170" s="4" t="s">
        <v>124</v>
      </c>
      <c r="CH1170" s="4" t="s">
        <v>124</v>
      </c>
      <c r="CI1170" s="4" t="s">
        <v>124</v>
      </c>
      <c r="CJ1170" s="4" t="s">
        <v>124</v>
      </c>
      <c r="CK1170" s="4" t="s">
        <v>124</v>
      </c>
      <c r="CL1170" s="4" t="s">
        <v>124</v>
      </c>
      <c r="CM1170" s="4" t="s">
        <v>124</v>
      </c>
      <c r="CN1170" s="4" t="s">
        <v>124</v>
      </c>
      <c r="CO1170" s="4" t="s">
        <v>124</v>
      </c>
      <c r="CP1170" s="4" t="s">
        <v>124</v>
      </c>
      <c r="CQ1170" s="7">
        <v>0.30113600000000001</v>
      </c>
      <c r="CR1170" s="7">
        <v>1.0232559999999999</v>
      </c>
      <c r="CS1170" s="7">
        <v>20.075758</v>
      </c>
      <c r="CT1170" s="7">
        <v>50</v>
      </c>
      <c r="CU1170" s="4" t="s">
        <v>124</v>
      </c>
      <c r="CV1170" s="4" t="s">
        <v>124</v>
      </c>
      <c r="CW1170" s="4" t="s">
        <v>124</v>
      </c>
      <c r="CX1170" s="4" t="s">
        <v>124</v>
      </c>
      <c r="CY1170" s="4" t="s">
        <v>124</v>
      </c>
      <c r="CZ1170" s="4" t="s">
        <v>124</v>
      </c>
      <c r="DA1170" s="7">
        <v>15.314097</v>
      </c>
      <c r="DB1170" s="7">
        <v>17.400950000000002</v>
      </c>
      <c r="DC1170" s="7">
        <v>16.332519999999999</v>
      </c>
      <c r="DD1170" s="4" t="s">
        <v>124</v>
      </c>
      <c r="DE1170" s="7">
        <v>0</v>
      </c>
      <c r="DF1170" s="6"/>
      <c r="DG1170" s="6"/>
      <c r="DH1170" s="6"/>
      <c r="DI1170" s="6"/>
      <c r="DJ1170" s="7">
        <v>0</v>
      </c>
      <c r="DK1170" s="7">
        <v>0</v>
      </c>
      <c r="DL1170" s="7">
        <v>0</v>
      </c>
      <c r="DM1170" s="7">
        <v>0</v>
      </c>
      <c r="DN1170" s="7">
        <v>0</v>
      </c>
      <c r="DO1170" s="7">
        <v>0</v>
      </c>
      <c r="DP1170" s="6"/>
      <c r="DQ1170" s="4" t="s">
        <v>125</v>
      </c>
    </row>
    <row r="1171" spans="1:121" ht="20" customHeight="1" x14ac:dyDescent="0.15">
      <c r="A1171" s="5">
        <v>2018</v>
      </c>
      <c r="B1171" s="3" t="s">
        <v>269</v>
      </c>
      <c r="C1171" s="4" t="str">
        <f t="shared" si="141"/>
        <v>2680013</v>
      </c>
      <c r="D1171" s="4" t="s">
        <v>1317</v>
      </c>
      <c r="E1171" s="4" t="str">
        <f>"2686113"</f>
        <v>2686113</v>
      </c>
      <c r="F1171" s="4" t="s">
        <v>1313</v>
      </c>
      <c r="G1171" s="7">
        <v>9</v>
      </c>
      <c r="H1171" s="7">
        <v>12</v>
      </c>
      <c r="I1171" s="4" t="s">
        <v>335</v>
      </c>
      <c r="J1171" s="4" t="s">
        <v>330</v>
      </c>
      <c r="K1171" s="7">
        <v>944.75327500000003</v>
      </c>
      <c r="L1171" s="7">
        <v>1450</v>
      </c>
      <c r="M1171" s="7">
        <v>65.155398000000005</v>
      </c>
      <c r="N1171" s="7">
        <v>3</v>
      </c>
      <c r="O1171" s="7">
        <v>0</v>
      </c>
      <c r="P1171" s="7">
        <v>43.388888999999999</v>
      </c>
      <c r="Q1171" s="7">
        <v>86.777777999999998</v>
      </c>
      <c r="R1171" s="7">
        <v>150</v>
      </c>
      <c r="S1171" s="7">
        <v>41.102150999999999</v>
      </c>
      <c r="T1171" s="4" t="s">
        <v>124</v>
      </c>
      <c r="U1171" s="7">
        <v>82.204301000000001</v>
      </c>
      <c r="V1171" s="7">
        <v>150</v>
      </c>
      <c r="W1171" s="7">
        <v>38.311965999999998</v>
      </c>
      <c r="X1171" s="7">
        <v>76.623931999999996</v>
      </c>
      <c r="Y1171" s="7">
        <v>150</v>
      </c>
      <c r="Z1171" s="4" t="s">
        <v>124</v>
      </c>
      <c r="AA1171" s="7">
        <v>37.376344000000003</v>
      </c>
      <c r="AB1171" s="7">
        <v>74.752688000000006</v>
      </c>
      <c r="AC1171" s="7">
        <v>150</v>
      </c>
      <c r="AD1171" s="7">
        <v>42.463563000000001</v>
      </c>
      <c r="AE1171" s="7">
        <v>56.618084000000003</v>
      </c>
      <c r="AF1171" s="7">
        <v>100</v>
      </c>
      <c r="AG1171" s="7">
        <v>40.361538000000003</v>
      </c>
      <c r="AH1171" s="4" t="s">
        <v>124</v>
      </c>
      <c r="AI1171" s="7">
        <v>53.815384999999999</v>
      </c>
      <c r="AJ1171" s="7">
        <v>100</v>
      </c>
      <c r="AK1171" s="4" t="s">
        <v>124</v>
      </c>
      <c r="AL1171" s="4" t="s">
        <v>124</v>
      </c>
      <c r="AM1171" s="4" t="s">
        <v>124</v>
      </c>
      <c r="AN1171" s="4" t="s">
        <v>124</v>
      </c>
      <c r="AO1171" s="4" t="s">
        <v>124</v>
      </c>
      <c r="AP1171" s="4" t="s">
        <v>124</v>
      </c>
      <c r="AQ1171" s="4" t="s">
        <v>124</v>
      </c>
      <c r="AR1171" s="4" t="s">
        <v>124</v>
      </c>
      <c r="AS1171" s="4" t="s">
        <v>124</v>
      </c>
      <c r="AT1171" s="4" t="s">
        <v>124</v>
      </c>
      <c r="AU1171" s="4" t="s">
        <v>124</v>
      </c>
      <c r="AV1171" s="4" t="s">
        <v>124</v>
      </c>
      <c r="AW1171" s="4" t="s">
        <v>124</v>
      </c>
      <c r="AX1171" s="4" t="s">
        <v>124</v>
      </c>
      <c r="AY1171" s="4" t="s">
        <v>124</v>
      </c>
      <c r="AZ1171" s="4" t="s">
        <v>124</v>
      </c>
      <c r="BA1171" s="4" t="s">
        <v>124</v>
      </c>
      <c r="BB1171" s="4" t="s">
        <v>124</v>
      </c>
      <c r="BC1171" s="4" t="s">
        <v>124</v>
      </c>
      <c r="BD1171" s="4" t="s">
        <v>124</v>
      </c>
      <c r="BE1171" s="4" t="s">
        <v>124</v>
      </c>
      <c r="BF1171" s="4" t="s">
        <v>124</v>
      </c>
      <c r="BG1171" s="4" t="s">
        <v>124</v>
      </c>
      <c r="BH1171" s="7">
        <v>0</v>
      </c>
      <c r="BI1171" s="7">
        <v>1</v>
      </c>
      <c r="BJ1171" s="7">
        <v>1</v>
      </c>
      <c r="BK1171" s="4" t="s">
        <v>124</v>
      </c>
      <c r="BL1171" s="7">
        <v>1</v>
      </c>
      <c r="BM1171" s="7">
        <v>1</v>
      </c>
      <c r="BN1171" s="4" t="s">
        <v>124</v>
      </c>
      <c r="BO1171" s="7">
        <v>0.97560999999999998</v>
      </c>
      <c r="BP1171" s="7">
        <v>0.96875</v>
      </c>
      <c r="BQ1171" s="4" t="s">
        <v>124</v>
      </c>
      <c r="BR1171" s="7">
        <v>0.12562799999999999</v>
      </c>
      <c r="BS1171" s="7">
        <v>34.874372000000001</v>
      </c>
      <c r="BT1171" s="7">
        <v>50</v>
      </c>
      <c r="BU1171" s="7">
        <v>0.162162</v>
      </c>
      <c r="BV1171" s="7">
        <v>27.567568000000001</v>
      </c>
      <c r="BW1171" s="7">
        <v>50</v>
      </c>
      <c r="BX1171" s="7">
        <v>0.88095199999999996</v>
      </c>
      <c r="BY1171" s="7">
        <v>50</v>
      </c>
      <c r="BZ1171" s="7">
        <v>50</v>
      </c>
      <c r="CA1171" s="7">
        <v>0.25</v>
      </c>
      <c r="CB1171" s="7">
        <v>16.666667</v>
      </c>
      <c r="CC1171" s="7">
        <v>50</v>
      </c>
      <c r="CD1171" s="7">
        <v>0.93442599999999998</v>
      </c>
      <c r="CE1171" s="7">
        <v>49.703522999999997</v>
      </c>
      <c r="CF1171" s="7">
        <v>50</v>
      </c>
      <c r="CG1171" s="7">
        <v>0.91891900000000004</v>
      </c>
      <c r="CH1171" s="7">
        <v>97.757332000000005</v>
      </c>
      <c r="CI1171" s="7">
        <v>100</v>
      </c>
      <c r="CJ1171" s="7">
        <v>0</v>
      </c>
      <c r="CK1171" s="7">
        <v>0.92592600000000003</v>
      </c>
      <c r="CL1171" s="7">
        <v>98.502758</v>
      </c>
      <c r="CM1171" s="7">
        <v>100</v>
      </c>
      <c r="CN1171" s="7">
        <v>0.66666700000000001</v>
      </c>
      <c r="CO1171" s="7">
        <v>88.888889000000006</v>
      </c>
      <c r="CP1171" s="7">
        <v>100</v>
      </c>
      <c r="CQ1171" s="7">
        <v>0</v>
      </c>
      <c r="CR1171" s="7">
        <v>0.83928599999999998</v>
      </c>
      <c r="CS1171" s="7">
        <v>0</v>
      </c>
      <c r="CT1171" s="7">
        <v>50</v>
      </c>
      <c r="CU1171" s="7">
        <v>0.66331700000000005</v>
      </c>
      <c r="CV1171" s="7">
        <v>50</v>
      </c>
      <c r="CW1171" s="7">
        <v>50</v>
      </c>
      <c r="CX1171" s="7">
        <v>0.92592600000000003</v>
      </c>
      <c r="CY1171" s="4" t="s">
        <v>124</v>
      </c>
      <c r="CZ1171" s="4" t="s">
        <v>124</v>
      </c>
      <c r="DA1171" s="7">
        <v>15.314097</v>
      </c>
      <c r="DB1171" s="7">
        <v>17.400950000000002</v>
      </c>
      <c r="DC1171" s="7">
        <v>16.332519999999999</v>
      </c>
      <c r="DD1171" s="7">
        <v>7.9891730000000001</v>
      </c>
      <c r="DE1171" s="7">
        <v>0</v>
      </c>
      <c r="DF1171" s="6"/>
      <c r="DG1171" s="6"/>
      <c r="DH1171" s="6"/>
      <c r="DI1171" s="6"/>
      <c r="DJ1171" s="7">
        <v>0</v>
      </c>
      <c r="DK1171" s="7">
        <v>0</v>
      </c>
      <c r="DL1171" s="7">
        <v>0</v>
      </c>
      <c r="DM1171" s="7">
        <v>0</v>
      </c>
      <c r="DN1171" s="7">
        <v>0</v>
      </c>
      <c r="DO1171" s="7">
        <v>0</v>
      </c>
      <c r="DP1171" s="6"/>
      <c r="DQ1171" s="4" t="s">
        <v>125</v>
      </c>
    </row>
    <row r="1172" spans="1:121" ht="20" customHeight="1" x14ac:dyDescent="0.15">
      <c r="A1172" s="5">
        <v>2018</v>
      </c>
      <c r="B1172" s="3" t="s">
        <v>270</v>
      </c>
      <c r="C1172" s="4" t="str">
        <f t="shared" si="142"/>
        <v>2690013</v>
      </c>
      <c r="D1172" s="4" t="s">
        <v>1318</v>
      </c>
      <c r="E1172" s="4" t="str">
        <f>"2696113"</f>
        <v>2696113</v>
      </c>
      <c r="F1172" s="4" t="s">
        <v>1313</v>
      </c>
      <c r="G1172" s="7">
        <v>7</v>
      </c>
      <c r="H1172" s="7">
        <v>12</v>
      </c>
      <c r="I1172" s="4" t="s">
        <v>329</v>
      </c>
      <c r="J1172" s="4" t="s">
        <v>330</v>
      </c>
      <c r="K1172" s="7">
        <v>803.825917</v>
      </c>
      <c r="L1172" s="7">
        <v>1350</v>
      </c>
      <c r="M1172" s="7">
        <v>59.542661000000003</v>
      </c>
      <c r="N1172" s="7">
        <v>3</v>
      </c>
      <c r="O1172" s="7">
        <v>0</v>
      </c>
      <c r="P1172" s="7">
        <v>53.134168000000003</v>
      </c>
      <c r="Q1172" s="7">
        <v>35.422778000000001</v>
      </c>
      <c r="R1172" s="7">
        <v>50</v>
      </c>
      <c r="S1172" s="7">
        <v>51.462896999999998</v>
      </c>
      <c r="T1172" s="7">
        <v>60.019804999999998</v>
      </c>
      <c r="U1172" s="7">
        <v>34.308598000000003</v>
      </c>
      <c r="V1172" s="7">
        <v>50</v>
      </c>
      <c r="W1172" s="7">
        <v>44.241345000000003</v>
      </c>
      <c r="X1172" s="7">
        <v>29.494230000000002</v>
      </c>
      <c r="Y1172" s="7">
        <v>50</v>
      </c>
      <c r="Z1172" s="7">
        <v>47.099710999999999</v>
      </c>
      <c r="AA1172" s="7">
        <v>43.540765</v>
      </c>
      <c r="AB1172" s="7">
        <v>29.027176999999998</v>
      </c>
      <c r="AC1172" s="7">
        <v>50</v>
      </c>
      <c r="AD1172" s="7">
        <v>47.586194999999996</v>
      </c>
      <c r="AE1172" s="7">
        <v>31.724129999999999</v>
      </c>
      <c r="AF1172" s="7">
        <v>50</v>
      </c>
      <c r="AG1172" s="7">
        <v>46.704166000000001</v>
      </c>
      <c r="AH1172" s="4" t="s">
        <v>124</v>
      </c>
      <c r="AI1172" s="7">
        <v>31.136111</v>
      </c>
      <c r="AJ1172" s="7">
        <v>50</v>
      </c>
      <c r="AK1172" s="7">
        <v>8.5500000000000007</v>
      </c>
      <c r="AL1172" s="7">
        <v>3.55</v>
      </c>
      <c r="AM1172" s="4" t="s">
        <v>124</v>
      </c>
      <c r="AN1172" s="7">
        <v>0.51880899999999996</v>
      </c>
      <c r="AO1172" s="7">
        <v>51.880938999999998</v>
      </c>
      <c r="AP1172" s="7">
        <v>100</v>
      </c>
      <c r="AQ1172" s="7">
        <v>0.54472299999999996</v>
      </c>
      <c r="AR1172" s="7">
        <v>54.472251</v>
      </c>
      <c r="AS1172" s="7">
        <v>100</v>
      </c>
      <c r="AT1172" s="7">
        <v>0.49775900000000001</v>
      </c>
      <c r="AU1172" s="4" t="s">
        <v>124</v>
      </c>
      <c r="AV1172" s="7">
        <v>49.7759</v>
      </c>
      <c r="AW1172" s="7">
        <v>100</v>
      </c>
      <c r="AX1172" s="7">
        <v>0.55478799999999995</v>
      </c>
      <c r="AY1172" s="4" t="s">
        <v>124</v>
      </c>
      <c r="AZ1172" s="7">
        <v>55.478845999999997</v>
      </c>
      <c r="BA1172" s="7">
        <v>100</v>
      </c>
      <c r="BB1172" s="4" t="s">
        <v>124</v>
      </c>
      <c r="BC1172" s="4" t="s">
        <v>124</v>
      </c>
      <c r="BD1172" s="4" t="s">
        <v>124</v>
      </c>
      <c r="BE1172" s="4" t="s">
        <v>124</v>
      </c>
      <c r="BF1172" s="4" t="s">
        <v>124</v>
      </c>
      <c r="BG1172" s="4" t="s">
        <v>124</v>
      </c>
      <c r="BH1172" s="7">
        <v>0</v>
      </c>
      <c r="BI1172" s="7">
        <v>1</v>
      </c>
      <c r="BJ1172" s="7">
        <v>1</v>
      </c>
      <c r="BK1172" s="7">
        <v>1</v>
      </c>
      <c r="BL1172" s="7">
        <v>1</v>
      </c>
      <c r="BM1172" s="7">
        <v>1</v>
      </c>
      <c r="BN1172" s="7">
        <v>1</v>
      </c>
      <c r="BO1172" s="7">
        <v>1</v>
      </c>
      <c r="BP1172" s="7">
        <v>1</v>
      </c>
      <c r="BQ1172" s="4" t="s">
        <v>124</v>
      </c>
      <c r="BR1172" s="7">
        <v>0.17829500000000001</v>
      </c>
      <c r="BS1172" s="7">
        <v>24.341085</v>
      </c>
      <c r="BT1172" s="7">
        <v>50</v>
      </c>
      <c r="BU1172" s="7">
        <v>0.19069800000000001</v>
      </c>
      <c r="BV1172" s="7">
        <v>21.860465000000001</v>
      </c>
      <c r="BW1172" s="7">
        <v>50</v>
      </c>
      <c r="BX1172" s="7">
        <v>5.7971000000000002E-2</v>
      </c>
      <c r="BY1172" s="7">
        <v>3.8647339999999999</v>
      </c>
      <c r="BZ1172" s="7">
        <v>50</v>
      </c>
      <c r="CA1172" s="7">
        <v>5.7971000000000002E-2</v>
      </c>
      <c r="CB1172" s="7">
        <v>3.8647339999999999</v>
      </c>
      <c r="CC1172" s="7">
        <v>50</v>
      </c>
      <c r="CD1172" s="7">
        <v>0.87878800000000001</v>
      </c>
      <c r="CE1172" s="7">
        <v>46.744036000000001</v>
      </c>
      <c r="CF1172" s="7">
        <v>50</v>
      </c>
      <c r="CG1172" s="7">
        <v>0.78048799999999996</v>
      </c>
      <c r="CH1172" s="7">
        <v>83.030618000000004</v>
      </c>
      <c r="CI1172" s="7">
        <v>100</v>
      </c>
      <c r="CJ1172" s="7">
        <v>0</v>
      </c>
      <c r="CK1172" s="7">
        <v>0.87096799999999996</v>
      </c>
      <c r="CL1172" s="7">
        <v>92.656143</v>
      </c>
      <c r="CM1172" s="7">
        <v>100</v>
      </c>
      <c r="CN1172" s="7">
        <v>0.8</v>
      </c>
      <c r="CO1172" s="7">
        <v>100</v>
      </c>
      <c r="CP1172" s="7">
        <v>100</v>
      </c>
      <c r="CQ1172" s="7">
        <v>0.34065899999999999</v>
      </c>
      <c r="CR1172" s="7">
        <v>1.0581400000000001</v>
      </c>
      <c r="CS1172" s="7">
        <v>22.710622999999998</v>
      </c>
      <c r="CT1172" s="7">
        <v>50</v>
      </c>
      <c r="CU1172" s="7">
        <v>2.4389999999999998E-2</v>
      </c>
      <c r="CV1172" s="7">
        <v>2.0325199999999999</v>
      </c>
      <c r="CW1172" s="7">
        <v>50</v>
      </c>
      <c r="CX1172" s="7">
        <v>0.87096799999999996</v>
      </c>
      <c r="CY1172" s="4" t="s">
        <v>124</v>
      </c>
      <c r="CZ1172" s="4" t="s">
        <v>124</v>
      </c>
      <c r="DA1172" s="7">
        <v>15.314097</v>
      </c>
      <c r="DB1172" s="7">
        <v>17.400950000000002</v>
      </c>
      <c r="DC1172" s="7">
        <v>16.332519999999999</v>
      </c>
      <c r="DD1172" s="7">
        <v>7.9891730000000001</v>
      </c>
      <c r="DE1172" s="7">
        <v>0</v>
      </c>
      <c r="DF1172" s="6"/>
      <c r="DG1172" s="6"/>
      <c r="DH1172" s="6"/>
      <c r="DI1172" s="6"/>
      <c r="DJ1172" s="7">
        <v>0</v>
      </c>
      <c r="DK1172" s="7">
        <v>0</v>
      </c>
      <c r="DL1172" s="7">
        <v>0</v>
      </c>
      <c r="DM1172" s="7">
        <v>0</v>
      </c>
      <c r="DN1172" s="7">
        <v>0</v>
      </c>
      <c r="DO1172" s="7">
        <v>0</v>
      </c>
      <c r="DP1172" s="6"/>
      <c r="DQ1172" s="4" t="s">
        <v>125</v>
      </c>
    </row>
    <row r="1173" spans="1:121" ht="20" customHeight="1" x14ac:dyDescent="0.15">
      <c r="A1173" s="5">
        <v>2018</v>
      </c>
      <c r="B1173" s="3" t="s">
        <v>271</v>
      </c>
      <c r="C1173" s="4" t="str">
        <f t="shared" si="143"/>
        <v>2700013</v>
      </c>
      <c r="D1173" s="4" t="s">
        <v>1319</v>
      </c>
      <c r="E1173" s="4" t="str">
        <f>"2700113"</f>
        <v>2700113</v>
      </c>
      <c r="F1173" s="4" t="s">
        <v>1313</v>
      </c>
      <c r="G1173" s="4" t="s">
        <v>328</v>
      </c>
      <c r="H1173" s="7">
        <v>8</v>
      </c>
      <c r="I1173" s="4" t="s">
        <v>335</v>
      </c>
      <c r="J1173" s="4" t="s">
        <v>330</v>
      </c>
      <c r="K1173" s="7">
        <v>684.33468900000003</v>
      </c>
      <c r="L1173" s="7">
        <v>850</v>
      </c>
      <c r="M1173" s="7">
        <v>80.509962999999999</v>
      </c>
      <c r="N1173" s="7">
        <v>2</v>
      </c>
      <c r="O1173" s="7">
        <v>0</v>
      </c>
      <c r="P1173" s="7">
        <v>68.885129000000006</v>
      </c>
      <c r="Q1173" s="7">
        <v>45.923419000000003</v>
      </c>
      <c r="R1173" s="7">
        <v>50</v>
      </c>
      <c r="S1173" s="7">
        <v>65.887624000000002</v>
      </c>
      <c r="T1173" s="7">
        <v>75</v>
      </c>
      <c r="U1173" s="7">
        <v>43.925082000000003</v>
      </c>
      <c r="V1173" s="7">
        <v>50</v>
      </c>
      <c r="W1173" s="7">
        <v>67.802205999999998</v>
      </c>
      <c r="X1173" s="7">
        <v>45.201470999999998</v>
      </c>
      <c r="Y1173" s="7">
        <v>50</v>
      </c>
      <c r="Z1173" s="7">
        <v>73.681101999999996</v>
      </c>
      <c r="AA1173" s="7">
        <v>65.218075999999996</v>
      </c>
      <c r="AB1173" s="7">
        <v>43.478717000000003</v>
      </c>
      <c r="AC1173" s="7">
        <v>50</v>
      </c>
      <c r="AD1173" s="7">
        <v>71.076195999999996</v>
      </c>
      <c r="AE1173" s="7">
        <v>47.384130999999996</v>
      </c>
      <c r="AF1173" s="7">
        <v>50</v>
      </c>
      <c r="AG1173" s="7">
        <v>69.579851000000005</v>
      </c>
      <c r="AH1173" s="4" t="s">
        <v>124</v>
      </c>
      <c r="AI1173" s="7">
        <v>46.386566999999999</v>
      </c>
      <c r="AJ1173" s="7">
        <v>50</v>
      </c>
      <c r="AK1173" s="7">
        <v>9.11</v>
      </c>
      <c r="AL1173" s="7">
        <v>8.4600000000000009</v>
      </c>
      <c r="AM1173" s="4" t="s">
        <v>124</v>
      </c>
      <c r="AN1173" s="7">
        <v>0.64149800000000001</v>
      </c>
      <c r="AO1173" s="7">
        <v>64.149805999999998</v>
      </c>
      <c r="AP1173" s="7">
        <v>100</v>
      </c>
      <c r="AQ1173" s="7">
        <v>0.76246899999999995</v>
      </c>
      <c r="AR1173" s="7">
        <v>76.246922999999995</v>
      </c>
      <c r="AS1173" s="7">
        <v>100</v>
      </c>
      <c r="AT1173" s="7">
        <v>0.61407500000000004</v>
      </c>
      <c r="AU1173" s="7">
        <v>0.69634399999999996</v>
      </c>
      <c r="AV1173" s="7">
        <v>61.407499999999999</v>
      </c>
      <c r="AW1173" s="7">
        <v>100</v>
      </c>
      <c r="AX1173" s="7">
        <v>0.73810200000000004</v>
      </c>
      <c r="AY1173" s="7">
        <v>0.81120300000000001</v>
      </c>
      <c r="AZ1173" s="7">
        <v>73.810215999999997</v>
      </c>
      <c r="BA1173" s="7">
        <v>100</v>
      </c>
      <c r="BB1173" s="4" t="s">
        <v>124</v>
      </c>
      <c r="BC1173" s="4" t="s">
        <v>124</v>
      </c>
      <c r="BD1173" s="4" t="s">
        <v>124</v>
      </c>
      <c r="BE1173" s="4" t="s">
        <v>124</v>
      </c>
      <c r="BF1173" s="4" t="s">
        <v>124</v>
      </c>
      <c r="BG1173" s="4" t="s">
        <v>124</v>
      </c>
      <c r="BH1173" s="7">
        <v>0</v>
      </c>
      <c r="BI1173" s="7">
        <v>1</v>
      </c>
      <c r="BJ1173" s="7">
        <v>1</v>
      </c>
      <c r="BK1173" s="7">
        <v>1</v>
      </c>
      <c r="BL1173" s="7">
        <v>1</v>
      </c>
      <c r="BM1173" s="7">
        <v>1</v>
      </c>
      <c r="BN1173" s="7">
        <v>1</v>
      </c>
      <c r="BO1173" s="7">
        <v>1</v>
      </c>
      <c r="BP1173" s="7">
        <v>1</v>
      </c>
      <c r="BQ1173" s="4" t="s">
        <v>124</v>
      </c>
      <c r="BR1173" s="7">
        <v>4.0404000000000002E-2</v>
      </c>
      <c r="BS1173" s="7">
        <v>50</v>
      </c>
      <c r="BT1173" s="7">
        <v>50</v>
      </c>
      <c r="BU1173" s="7">
        <v>5.1471000000000003E-2</v>
      </c>
      <c r="BV1173" s="7">
        <v>49.705882000000003</v>
      </c>
      <c r="BW1173" s="7">
        <v>50</v>
      </c>
      <c r="BX1173" s="4" t="s">
        <v>124</v>
      </c>
      <c r="BY1173" s="4" t="s">
        <v>124</v>
      </c>
      <c r="BZ1173" s="4" t="s">
        <v>124</v>
      </c>
      <c r="CA1173" s="4" t="s">
        <v>124</v>
      </c>
      <c r="CB1173" s="4" t="s">
        <v>124</v>
      </c>
      <c r="CC1173" s="4" t="s">
        <v>124</v>
      </c>
      <c r="CD1173" s="4" t="s">
        <v>124</v>
      </c>
      <c r="CE1173" s="4" t="s">
        <v>124</v>
      </c>
      <c r="CF1173" s="4" t="s">
        <v>124</v>
      </c>
      <c r="CG1173" s="4" t="s">
        <v>124</v>
      </c>
      <c r="CH1173" s="4" t="s">
        <v>124</v>
      </c>
      <c r="CI1173" s="4" t="s">
        <v>124</v>
      </c>
      <c r="CJ1173" s="4" t="s">
        <v>124</v>
      </c>
      <c r="CK1173" s="4" t="s">
        <v>124</v>
      </c>
      <c r="CL1173" s="4" t="s">
        <v>124</v>
      </c>
      <c r="CM1173" s="4" t="s">
        <v>124</v>
      </c>
      <c r="CN1173" s="4" t="s">
        <v>124</v>
      </c>
      <c r="CO1173" s="4" t="s">
        <v>124</v>
      </c>
      <c r="CP1173" s="4" t="s">
        <v>124</v>
      </c>
      <c r="CQ1173" s="7">
        <v>0.55072500000000002</v>
      </c>
      <c r="CR1173" s="7">
        <v>1</v>
      </c>
      <c r="CS1173" s="7">
        <v>36.714976</v>
      </c>
      <c r="CT1173" s="7">
        <v>50</v>
      </c>
      <c r="CU1173" s="4" t="s">
        <v>124</v>
      </c>
      <c r="CV1173" s="4" t="s">
        <v>124</v>
      </c>
      <c r="CW1173" s="4" t="s">
        <v>124</v>
      </c>
      <c r="CX1173" s="4" t="s">
        <v>124</v>
      </c>
      <c r="CY1173" s="4" t="s">
        <v>124</v>
      </c>
      <c r="CZ1173" s="4" t="s">
        <v>124</v>
      </c>
      <c r="DA1173" s="7">
        <v>15.314097</v>
      </c>
      <c r="DB1173" s="7">
        <v>17.400950000000002</v>
      </c>
      <c r="DC1173" s="7">
        <v>16.332519999999999</v>
      </c>
      <c r="DD1173" s="4" t="s">
        <v>124</v>
      </c>
      <c r="DE1173" s="7">
        <v>0</v>
      </c>
      <c r="DF1173" s="6"/>
      <c r="DG1173" s="6"/>
      <c r="DH1173" s="6"/>
      <c r="DI1173" s="6"/>
      <c r="DJ1173" s="7">
        <v>0</v>
      </c>
      <c r="DK1173" s="7">
        <v>0</v>
      </c>
      <c r="DL1173" s="7">
        <v>0</v>
      </c>
      <c r="DM1173" s="7">
        <v>0</v>
      </c>
      <c r="DN1173" s="7">
        <v>0</v>
      </c>
      <c r="DO1173" s="7">
        <v>0</v>
      </c>
      <c r="DP1173" s="6"/>
      <c r="DQ1173" s="4" t="s">
        <v>125</v>
      </c>
    </row>
    <row r="1174" spans="1:121" ht="20" customHeight="1" x14ac:dyDescent="0.15">
      <c r="A1174" s="5">
        <v>2018</v>
      </c>
      <c r="B1174" s="3" t="s">
        <v>272</v>
      </c>
      <c r="C1174" s="4" t="str">
        <f t="shared" si="144"/>
        <v>2720013</v>
      </c>
      <c r="D1174" s="4" t="s">
        <v>1320</v>
      </c>
      <c r="E1174" s="4" t="str">
        <f>"2726113"</f>
        <v>2726113</v>
      </c>
      <c r="F1174" s="4" t="s">
        <v>1313</v>
      </c>
      <c r="G1174" s="7">
        <v>9</v>
      </c>
      <c r="H1174" s="7">
        <v>12</v>
      </c>
      <c r="I1174" s="6"/>
      <c r="J1174" s="4" t="s">
        <v>330</v>
      </c>
      <c r="K1174" s="7">
        <v>494.95209599999998</v>
      </c>
      <c r="L1174" s="7">
        <v>850</v>
      </c>
      <c r="M1174" s="7">
        <v>58.229658000000001</v>
      </c>
      <c r="N1174" s="7">
        <v>3</v>
      </c>
      <c r="O1174" s="7">
        <v>0</v>
      </c>
      <c r="P1174" s="7">
        <v>48.75</v>
      </c>
      <c r="Q1174" s="7">
        <v>97.5</v>
      </c>
      <c r="R1174" s="7">
        <v>150</v>
      </c>
      <c r="S1174" s="4" t="s">
        <v>124</v>
      </c>
      <c r="T1174" s="4" t="s">
        <v>124</v>
      </c>
      <c r="U1174" s="4" t="s">
        <v>124</v>
      </c>
      <c r="V1174" s="4" t="s">
        <v>124</v>
      </c>
      <c r="W1174" s="7">
        <v>39.166666999999997</v>
      </c>
      <c r="X1174" s="7">
        <v>78.333332999999996</v>
      </c>
      <c r="Y1174" s="7">
        <v>150</v>
      </c>
      <c r="Z1174" s="4" t="s">
        <v>124</v>
      </c>
      <c r="AA1174" s="4" t="s">
        <v>124</v>
      </c>
      <c r="AB1174" s="4" t="s">
        <v>124</v>
      </c>
      <c r="AC1174" s="4" t="s">
        <v>124</v>
      </c>
      <c r="AD1174" s="7">
        <v>53.186813000000001</v>
      </c>
      <c r="AE1174" s="7">
        <v>70.915751</v>
      </c>
      <c r="AF1174" s="7">
        <v>100</v>
      </c>
      <c r="AG1174" s="4" t="s">
        <v>124</v>
      </c>
      <c r="AH1174" s="4" t="s">
        <v>124</v>
      </c>
      <c r="AI1174" s="4" t="s">
        <v>124</v>
      </c>
      <c r="AJ1174" s="4" t="s">
        <v>124</v>
      </c>
      <c r="AK1174" s="4" t="s">
        <v>124</v>
      </c>
      <c r="AL1174" s="4" t="s">
        <v>124</v>
      </c>
      <c r="AM1174" s="4" t="s">
        <v>124</v>
      </c>
      <c r="AN1174" s="4" t="s">
        <v>124</v>
      </c>
      <c r="AO1174" s="4" t="s">
        <v>124</v>
      </c>
      <c r="AP1174" s="4" t="s">
        <v>124</v>
      </c>
      <c r="AQ1174" s="4" t="s">
        <v>124</v>
      </c>
      <c r="AR1174" s="4" t="s">
        <v>124</v>
      </c>
      <c r="AS1174" s="4" t="s">
        <v>124</v>
      </c>
      <c r="AT1174" s="4" t="s">
        <v>124</v>
      </c>
      <c r="AU1174" s="4" t="s">
        <v>124</v>
      </c>
      <c r="AV1174" s="4" t="s">
        <v>124</v>
      </c>
      <c r="AW1174" s="4" t="s">
        <v>124</v>
      </c>
      <c r="AX1174" s="4" t="s">
        <v>124</v>
      </c>
      <c r="AY1174" s="4" t="s">
        <v>124</v>
      </c>
      <c r="AZ1174" s="4" t="s">
        <v>124</v>
      </c>
      <c r="BA1174" s="4" t="s">
        <v>124</v>
      </c>
      <c r="BB1174" s="4" t="s">
        <v>124</v>
      </c>
      <c r="BC1174" s="4" t="s">
        <v>124</v>
      </c>
      <c r="BD1174" s="4" t="s">
        <v>124</v>
      </c>
      <c r="BE1174" s="4" t="s">
        <v>124</v>
      </c>
      <c r="BF1174" s="4" t="s">
        <v>124</v>
      </c>
      <c r="BG1174" s="4" t="s">
        <v>124</v>
      </c>
      <c r="BH1174" s="7">
        <v>0</v>
      </c>
      <c r="BI1174" s="7">
        <v>1</v>
      </c>
      <c r="BJ1174" s="4" t="s">
        <v>124</v>
      </c>
      <c r="BK1174" s="4" t="s">
        <v>124</v>
      </c>
      <c r="BL1174" s="7">
        <v>1</v>
      </c>
      <c r="BM1174" s="4" t="s">
        <v>124</v>
      </c>
      <c r="BN1174" s="4" t="s">
        <v>124</v>
      </c>
      <c r="BO1174" s="7">
        <v>1</v>
      </c>
      <c r="BP1174" s="4" t="s">
        <v>124</v>
      </c>
      <c r="BQ1174" s="4" t="s">
        <v>124</v>
      </c>
      <c r="BR1174" s="7">
        <v>0.29411799999999999</v>
      </c>
      <c r="BS1174" s="7">
        <v>1.176471</v>
      </c>
      <c r="BT1174" s="7">
        <v>50</v>
      </c>
      <c r="BU1174" s="7">
        <v>0.30158699999999999</v>
      </c>
      <c r="BV1174" s="7">
        <v>0</v>
      </c>
      <c r="BW1174" s="7">
        <v>50</v>
      </c>
      <c r="BX1174" s="7">
        <v>0.77083299999999999</v>
      </c>
      <c r="BY1174" s="7">
        <v>50</v>
      </c>
      <c r="BZ1174" s="7">
        <v>50</v>
      </c>
      <c r="CA1174" s="7">
        <v>0.125</v>
      </c>
      <c r="CB1174" s="7">
        <v>8.3333329999999997</v>
      </c>
      <c r="CC1174" s="7">
        <v>50</v>
      </c>
      <c r="CD1174" s="4" t="s">
        <v>124</v>
      </c>
      <c r="CE1174" s="4" t="s">
        <v>124</v>
      </c>
      <c r="CF1174" s="4" t="s">
        <v>124</v>
      </c>
      <c r="CG1174" s="7">
        <v>0.82142899999999996</v>
      </c>
      <c r="CH1174" s="7">
        <v>87.386018000000007</v>
      </c>
      <c r="CI1174" s="7">
        <v>100</v>
      </c>
      <c r="CJ1174" s="7">
        <v>0</v>
      </c>
      <c r="CK1174" s="4" t="s">
        <v>124</v>
      </c>
      <c r="CL1174" s="4" t="s">
        <v>124</v>
      </c>
      <c r="CM1174" s="4" t="s">
        <v>124</v>
      </c>
      <c r="CN1174" s="7">
        <v>0.45833299999999999</v>
      </c>
      <c r="CO1174" s="7">
        <v>61.111111000000001</v>
      </c>
      <c r="CP1174" s="7">
        <v>100</v>
      </c>
      <c r="CQ1174" s="4" t="s">
        <v>124</v>
      </c>
      <c r="CR1174" s="4" t="s">
        <v>124</v>
      </c>
      <c r="CS1174" s="4" t="s">
        <v>124</v>
      </c>
      <c r="CT1174" s="4" t="s">
        <v>124</v>
      </c>
      <c r="CU1174" s="7">
        <v>0.48235299999999998</v>
      </c>
      <c r="CV1174" s="7">
        <v>40.196078</v>
      </c>
      <c r="CW1174" s="7">
        <v>50</v>
      </c>
      <c r="CX1174" s="4" t="s">
        <v>124</v>
      </c>
      <c r="CY1174" s="4" t="s">
        <v>124</v>
      </c>
      <c r="CZ1174" s="4" t="s">
        <v>124</v>
      </c>
      <c r="DA1174" s="7">
        <v>15.314097</v>
      </c>
      <c r="DB1174" s="7">
        <v>17.400950000000002</v>
      </c>
      <c r="DC1174" s="7">
        <v>16.332519999999999</v>
      </c>
      <c r="DD1174" s="7">
        <v>7.9891730000000001</v>
      </c>
      <c r="DE1174" s="7">
        <v>0</v>
      </c>
      <c r="DF1174" s="6"/>
      <c r="DG1174" s="6"/>
      <c r="DH1174" s="4" t="s">
        <v>331</v>
      </c>
      <c r="DI1174" s="4" t="s">
        <v>944</v>
      </c>
      <c r="DJ1174" s="7">
        <v>0</v>
      </c>
      <c r="DK1174" s="7">
        <v>0</v>
      </c>
      <c r="DL1174" s="7">
        <v>0</v>
      </c>
      <c r="DM1174" s="7">
        <v>0</v>
      </c>
      <c r="DN1174" s="7">
        <v>0</v>
      </c>
      <c r="DO1174" s="7">
        <v>1</v>
      </c>
      <c r="DP1174" s="6"/>
      <c r="DQ1174" s="4" t="s">
        <v>125</v>
      </c>
    </row>
    <row r="1175" spans="1:121" ht="20" customHeight="1" x14ac:dyDescent="0.15">
      <c r="A1175" s="5">
        <v>2018</v>
      </c>
      <c r="B1175" s="3" t="s">
        <v>310</v>
      </c>
      <c r="C1175" s="4" t="str">
        <f t="shared" si="179"/>
        <v>2780013</v>
      </c>
      <c r="D1175" s="4" t="s">
        <v>1321</v>
      </c>
      <c r="E1175" s="4" t="str">
        <f>"2785113"</f>
        <v>2785113</v>
      </c>
      <c r="F1175" s="4" t="s">
        <v>1313</v>
      </c>
      <c r="G1175" s="7">
        <v>6</v>
      </c>
      <c r="H1175" s="7">
        <v>8</v>
      </c>
      <c r="I1175" s="4" t="s">
        <v>335</v>
      </c>
      <c r="J1175" s="4" t="s">
        <v>330</v>
      </c>
      <c r="K1175" s="7">
        <v>516.61743100000001</v>
      </c>
      <c r="L1175" s="7">
        <v>900</v>
      </c>
      <c r="M1175" s="7">
        <v>57.401936999999997</v>
      </c>
      <c r="N1175" s="7">
        <v>5</v>
      </c>
      <c r="O1175" s="7">
        <v>0</v>
      </c>
      <c r="P1175" s="7">
        <v>49.265135000000001</v>
      </c>
      <c r="Q1175" s="7">
        <v>32.843423999999999</v>
      </c>
      <c r="R1175" s="7">
        <v>50</v>
      </c>
      <c r="S1175" s="7">
        <v>48.409213999999999</v>
      </c>
      <c r="T1175" s="7">
        <v>52.346454000000001</v>
      </c>
      <c r="U1175" s="7">
        <v>32.272809000000002</v>
      </c>
      <c r="V1175" s="7">
        <v>50</v>
      </c>
      <c r="W1175" s="7">
        <v>35.727752000000002</v>
      </c>
      <c r="X1175" s="7">
        <v>23.818501000000001</v>
      </c>
      <c r="Y1175" s="7">
        <v>50</v>
      </c>
      <c r="Z1175" s="7">
        <v>37.896659</v>
      </c>
      <c r="AA1175" s="7">
        <v>35.125278000000002</v>
      </c>
      <c r="AB1175" s="7">
        <v>23.416851999999999</v>
      </c>
      <c r="AC1175" s="7">
        <v>50</v>
      </c>
      <c r="AD1175" s="7">
        <v>43.364398999999999</v>
      </c>
      <c r="AE1175" s="7">
        <v>28.909599</v>
      </c>
      <c r="AF1175" s="7">
        <v>50</v>
      </c>
      <c r="AG1175" s="7">
        <v>43.241379000000002</v>
      </c>
      <c r="AH1175" s="4" t="s">
        <v>124</v>
      </c>
      <c r="AI1175" s="7">
        <v>28.827586</v>
      </c>
      <c r="AJ1175" s="7">
        <v>50</v>
      </c>
      <c r="AK1175" s="7">
        <v>3.93</v>
      </c>
      <c r="AL1175" s="7">
        <v>2.77</v>
      </c>
      <c r="AM1175" s="4" t="s">
        <v>124</v>
      </c>
      <c r="AN1175" s="7">
        <v>0.537968</v>
      </c>
      <c r="AO1175" s="7">
        <v>53.796807999999999</v>
      </c>
      <c r="AP1175" s="7">
        <v>100</v>
      </c>
      <c r="AQ1175" s="7">
        <v>0.37008200000000002</v>
      </c>
      <c r="AR1175" s="7">
        <v>37.008159999999997</v>
      </c>
      <c r="AS1175" s="7">
        <v>100</v>
      </c>
      <c r="AT1175" s="7">
        <v>0.56554300000000002</v>
      </c>
      <c r="AU1175" s="7">
        <v>0.446052</v>
      </c>
      <c r="AV1175" s="7">
        <v>56.554301000000002</v>
      </c>
      <c r="AW1175" s="7">
        <v>100</v>
      </c>
      <c r="AX1175" s="7">
        <v>0.415491</v>
      </c>
      <c r="AY1175" s="7">
        <v>0.218718</v>
      </c>
      <c r="AZ1175" s="7">
        <v>41.549081000000001</v>
      </c>
      <c r="BA1175" s="7">
        <v>100</v>
      </c>
      <c r="BB1175" s="4" t="s">
        <v>124</v>
      </c>
      <c r="BC1175" s="4" t="s">
        <v>124</v>
      </c>
      <c r="BD1175" s="4" t="s">
        <v>124</v>
      </c>
      <c r="BE1175" s="4" t="s">
        <v>124</v>
      </c>
      <c r="BF1175" s="4" t="s">
        <v>124</v>
      </c>
      <c r="BG1175" s="4" t="s">
        <v>124</v>
      </c>
      <c r="BH1175" s="7">
        <v>1</v>
      </c>
      <c r="BI1175" s="7">
        <v>0.97637799999999997</v>
      </c>
      <c r="BJ1175" s="7">
        <v>1</v>
      </c>
      <c r="BK1175" s="7">
        <v>0.89655200000000002</v>
      </c>
      <c r="BL1175" s="7">
        <v>0.96850400000000003</v>
      </c>
      <c r="BM1175" s="7">
        <v>0.98979600000000001</v>
      </c>
      <c r="BN1175" s="7">
        <v>0.89655200000000002</v>
      </c>
      <c r="BO1175" s="7">
        <v>0.90909099999999998</v>
      </c>
      <c r="BP1175" s="7">
        <v>0.87878800000000001</v>
      </c>
      <c r="BQ1175" s="4" t="s">
        <v>124</v>
      </c>
      <c r="BR1175" s="7">
        <v>3.1746000000000003E-2</v>
      </c>
      <c r="BS1175" s="7">
        <v>50</v>
      </c>
      <c r="BT1175" s="7">
        <v>50</v>
      </c>
      <c r="BU1175" s="7">
        <v>3.2786999999999997E-2</v>
      </c>
      <c r="BV1175" s="7">
        <v>50</v>
      </c>
      <c r="BW1175" s="7">
        <v>50</v>
      </c>
      <c r="BX1175" s="4" t="s">
        <v>124</v>
      </c>
      <c r="BY1175" s="4" t="s">
        <v>124</v>
      </c>
      <c r="BZ1175" s="4" t="s">
        <v>124</v>
      </c>
      <c r="CA1175" s="4" t="s">
        <v>124</v>
      </c>
      <c r="CB1175" s="4" t="s">
        <v>124</v>
      </c>
      <c r="CC1175" s="4" t="s">
        <v>124</v>
      </c>
      <c r="CD1175" s="7">
        <v>0.56521699999999997</v>
      </c>
      <c r="CE1175" s="7">
        <v>30.064755000000002</v>
      </c>
      <c r="CF1175" s="7">
        <v>50</v>
      </c>
      <c r="CG1175" s="4" t="s">
        <v>124</v>
      </c>
      <c r="CH1175" s="4" t="s">
        <v>124</v>
      </c>
      <c r="CI1175" s="4" t="s">
        <v>124</v>
      </c>
      <c r="CJ1175" s="4" t="s">
        <v>124</v>
      </c>
      <c r="CK1175" s="4" t="s">
        <v>124</v>
      </c>
      <c r="CL1175" s="4" t="s">
        <v>124</v>
      </c>
      <c r="CM1175" s="4" t="s">
        <v>124</v>
      </c>
      <c r="CN1175" s="4" t="s">
        <v>124</v>
      </c>
      <c r="CO1175" s="4" t="s">
        <v>124</v>
      </c>
      <c r="CP1175" s="4" t="s">
        <v>124</v>
      </c>
      <c r="CQ1175" s="7">
        <v>0.41333300000000001</v>
      </c>
      <c r="CR1175" s="7">
        <v>0.91463399999999995</v>
      </c>
      <c r="CS1175" s="7">
        <v>27.555555999999999</v>
      </c>
      <c r="CT1175" s="7">
        <v>50</v>
      </c>
      <c r="CU1175" s="4" t="s">
        <v>124</v>
      </c>
      <c r="CV1175" s="4" t="s">
        <v>124</v>
      </c>
      <c r="CW1175" s="4" t="s">
        <v>124</v>
      </c>
      <c r="CX1175" s="4" t="s">
        <v>124</v>
      </c>
      <c r="CY1175" s="4" t="s">
        <v>124</v>
      </c>
      <c r="CZ1175" s="4" t="s">
        <v>124</v>
      </c>
      <c r="DA1175" s="7">
        <v>15.314097</v>
      </c>
      <c r="DB1175" s="7">
        <v>17.400950000000002</v>
      </c>
      <c r="DC1175" s="7">
        <v>16.332519999999999</v>
      </c>
      <c r="DD1175" s="4" t="s">
        <v>124</v>
      </c>
      <c r="DE1175" s="7">
        <v>1</v>
      </c>
      <c r="DF1175" s="4" t="s">
        <v>375</v>
      </c>
      <c r="DG1175" s="4" t="s">
        <v>376</v>
      </c>
      <c r="DH1175" s="6"/>
      <c r="DI1175" s="6"/>
      <c r="DJ1175" s="7">
        <v>0</v>
      </c>
      <c r="DK1175" s="7">
        <v>0</v>
      </c>
      <c r="DL1175" s="7">
        <v>0</v>
      </c>
      <c r="DM1175" s="7">
        <v>0</v>
      </c>
      <c r="DN1175" s="7">
        <v>0</v>
      </c>
      <c r="DO1175" s="7">
        <v>0</v>
      </c>
      <c r="DP1175" s="6"/>
      <c r="DQ1175" s="4" t="s">
        <v>125</v>
      </c>
    </row>
    <row r="1176" spans="1:121" ht="20" customHeight="1" x14ac:dyDescent="0.15">
      <c r="A1176" s="5">
        <v>2018</v>
      </c>
      <c r="B1176" s="3" t="s">
        <v>311</v>
      </c>
      <c r="C1176" s="4" t="str">
        <f>"2790013"</f>
        <v>2790013</v>
      </c>
      <c r="D1176" s="4" t="s">
        <v>1322</v>
      </c>
      <c r="E1176" s="4" t="str">
        <f>"2795113"</f>
        <v>2795113</v>
      </c>
      <c r="F1176" s="4" t="s">
        <v>1313</v>
      </c>
      <c r="G1176" s="4" t="s">
        <v>338</v>
      </c>
      <c r="H1176" s="7">
        <v>12</v>
      </c>
      <c r="I1176" s="4" t="s">
        <v>335</v>
      </c>
      <c r="J1176" s="4" t="s">
        <v>330</v>
      </c>
      <c r="K1176" s="7">
        <v>1158.9113890000001</v>
      </c>
      <c r="L1176" s="7">
        <v>1450</v>
      </c>
      <c r="M1176" s="7">
        <v>79.924923000000007</v>
      </c>
      <c r="N1176" s="7">
        <v>2</v>
      </c>
      <c r="O1176" s="7">
        <v>0</v>
      </c>
      <c r="P1176" s="7">
        <v>66.904189000000002</v>
      </c>
      <c r="Q1176" s="7">
        <v>44.602792999999998</v>
      </c>
      <c r="R1176" s="7">
        <v>50</v>
      </c>
      <c r="S1176" s="7">
        <v>66.904189000000002</v>
      </c>
      <c r="T1176" s="4" t="s">
        <v>124</v>
      </c>
      <c r="U1176" s="7">
        <v>44.602792999999998</v>
      </c>
      <c r="V1176" s="7">
        <v>50</v>
      </c>
      <c r="W1176" s="7">
        <v>63.654426000000001</v>
      </c>
      <c r="X1176" s="7">
        <v>42.436284000000001</v>
      </c>
      <c r="Y1176" s="7">
        <v>50</v>
      </c>
      <c r="Z1176" s="4" t="s">
        <v>124</v>
      </c>
      <c r="AA1176" s="7">
        <v>63.654426000000001</v>
      </c>
      <c r="AB1176" s="7">
        <v>42.436284000000001</v>
      </c>
      <c r="AC1176" s="7">
        <v>50</v>
      </c>
      <c r="AD1176" s="7">
        <v>58.209553</v>
      </c>
      <c r="AE1176" s="7">
        <v>38.806368999999997</v>
      </c>
      <c r="AF1176" s="7">
        <v>50</v>
      </c>
      <c r="AG1176" s="7">
        <v>58.209553</v>
      </c>
      <c r="AH1176" s="4" t="s">
        <v>124</v>
      </c>
      <c r="AI1176" s="7">
        <v>38.806368999999997</v>
      </c>
      <c r="AJ1176" s="7">
        <v>50</v>
      </c>
      <c r="AK1176" s="4" t="s">
        <v>124</v>
      </c>
      <c r="AL1176" s="4" t="s">
        <v>124</v>
      </c>
      <c r="AM1176" s="4" t="s">
        <v>124</v>
      </c>
      <c r="AN1176" s="7">
        <v>0.63679600000000003</v>
      </c>
      <c r="AO1176" s="7">
        <v>63.679642999999999</v>
      </c>
      <c r="AP1176" s="7">
        <v>100</v>
      </c>
      <c r="AQ1176" s="7">
        <v>0.64774699999999996</v>
      </c>
      <c r="AR1176" s="7">
        <v>64.774736000000004</v>
      </c>
      <c r="AS1176" s="7">
        <v>100</v>
      </c>
      <c r="AT1176" s="7">
        <v>0.63679600000000003</v>
      </c>
      <c r="AU1176" s="4" t="s">
        <v>124</v>
      </c>
      <c r="AV1176" s="7">
        <v>63.679642999999999</v>
      </c>
      <c r="AW1176" s="7">
        <v>100</v>
      </c>
      <c r="AX1176" s="7">
        <v>0.64774699999999996</v>
      </c>
      <c r="AY1176" s="4" t="s">
        <v>124</v>
      </c>
      <c r="AZ1176" s="7">
        <v>64.774736000000004</v>
      </c>
      <c r="BA1176" s="7">
        <v>100</v>
      </c>
      <c r="BB1176" s="7">
        <v>0.52819499999999997</v>
      </c>
      <c r="BC1176" s="7">
        <v>26.409754</v>
      </c>
      <c r="BD1176" s="7">
        <v>50</v>
      </c>
      <c r="BE1176" s="7">
        <v>0.62043599999999999</v>
      </c>
      <c r="BF1176" s="7">
        <v>31.021809000000001</v>
      </c>
      <c r="BG1176" s="7">
        <v>50</v>
      </c>
      <c r="BH1176" s="7">
        <v>0</v>
      </c>
      <c r="BI1176" s="7">
        <v>0.99310299999999996</v>
      </c>
      <c r="BJ1176" s="7">
        <v>0.99310299999999996</v>
      </c>
      <c r="BK1176" s="4" t="s">
        <v>124</v>
      </c>
      <c r="BL1176" s="7">
        <v>0.99137900000000001</v>
      </c>
      <c r="BM1176" s="7">
        <v>0.99137900000000001</v>
      </c>
      <c r="BN1176" s="4" t="s">
        <v>124</v>
      </c>
      <c r="BO1176" s="7">
        <v>0.96943199999999996</v>
      </c>
      <c r="BP1176" s="7">
        <v>0.96943199999999996</v>
      </c>
      <c r="BQ1176" s="4" t="s">
        <v>124</v>
      </c>
      <c r="BR1176" s="7">
        <v>7.1084999999999995E-2</v>
      </c>
      <c r="BS1176" s="7">
        <v>45.782901000000003</v>
      </c>
      <c r="BT1176" s="7">
        <v>50</v>
      </c>
      <c r="BU1176" s="7">
        <v>6.4802999999999999E-2</v>
      </c>
      <c r="BV1176" s="7">
        <v>47.039389999999997</v>
      </c>
      <c r="BW1176" s="7">
        <v>50</v>
      </c>
      <c r="BX1176" s="7">
        <v>1</v>
      </c>
      <c r="BY1176" s="7">
        <v>50</v>
      </c>
      <c r="BZ1176" s="7">
        <v>50</v>
      </c>
      <c r="CA1176" s="7">
        <v>0.524752</v>
      </c>
      <c r="CB1176" s="7">
        <v>34.983497999999997</v>
      </c>
      <c r="CC1176" s="7">
        <v>50</v>
      </c>
      <c r="CD1176" s="7">
        <v>0.944828</v>
      </c>
      <c r="CE1176" s="7">
        <v>50</v>
      </c>
      <c r="CF1176" s="7">
        <v>50</v>
      </c>
      <c r="CG1176" s="7">
        <v>0.95454499999999998</v>
      </c>
      <c r="CH1176" s="7">
        <v>100</v>
      </c>
      <c r="CI1176" s="7">
        <v>100</v>
      </c>
      <c r="CJ1176" s="7">
        <v>0</v>
      </c>
      <c r="CK1176" s="7">
        <v>0.96428599999999998</v>
      </c>
      <c r="CL1176" s="7">
        <v>100</v>
      </c>
      <c r="CM1176" s="7">
        <v>100</v>
      </c>
      <c r="CN1176" s="7">
        <v>0.911111</v>
      </c>
      <c r="CO1176" s="7">
        <v>100</v>
      </c>
      <c r="CP1176" s="7">
        <v>100</v>
      </c>
      <c r="CQ1176" s="7">
        <v>0.27652700000000002</v>
      </c>
      <c r="CR1176" s="7">
        <v>0.94528900000000005</v>
      </c>
      <c r="CS1176" s="7">
        <v>18.435155000000002</v>
      </c>
      <c r="CT1176" s="7">
        <v>50</v>
      </c>
      <c r="CU1176" s="7">
        <v>0.55967100000000003</v>
      </c>
      <c r="CV1176" s="7">
        <v>46.639232</v>
      </c>
      <c r="CW1176" s="7">
        <v>50</v>
      </c>
      <c r="CX1176" s="7">
        <v>0.96428599999999998</v>
      </c>
      <c r="CY1176" s="4" t="s">
        <v>124</v>
      </c>
      <c r="CZ1176" s="4" t="s">
        <v>124</v>
      </c>
      <c r="DA1176" s="7">
        <v>15.314097</v>
      </c>
      <c r="DB1176" s="7">
        <v>17.400950000000002</v>
      </c>
      <c r="DC1176" s="7">
        <v>16.332519999999999</v>
      </c>
      <c r="DD1176" s="7">
        <v>7.9891730000000001</v>
      </c>
      <c r="DE1176" s="7">
        <v>0</v>
      </c>
      <c r="DF1176" s="6"/>
      <c r="DG1176" s="6"/>
      <c r="DH1176" s="6"/>
      <c r="DI1176" s="6"/>
      <c r="DJ1176" s="7">
        <v>0</v>
      </c>
      <c r="DK1176" s="7">
        <v>0</v>
      </c>
      <c r="DL1176" s="7">
        <v>0</v>
      </c>
      <c r="DM1176" s="7">
        <v>0</v>
      </c>
      <c r="DN1176" s="7">
        <v>0</v>
      </c>
      <c r="DO1176" s="7">
        <v>0</v>
      </c>
      <c r="DP1176" s="6"/>
      <c r="DQ1176" s="4" t="s">
        <v>125</v>
      </c>
    </row>
    <row r="1177" spans="1:121" ht="20" customHeight="1" x14ac:dyDescent="0.15">
      <c r="A1177" s="5">
        <v>2018</v>
      </c>
      <c r="B1177" s="3" t="s">
        <v>312</v>
      </c>
      <c r="C1177" s="4" t="str">
        <f>"2800013"</f>
        <v>2800013</v>
      </c>
      <c r="D1177" s="4" t="s">
        <v>1323</v>
      </c>
      <c r="E1177" s="4" t="str">
        <f>"2800113"</f>
        <v>2800113</v>
      </c>
      <c r="F1177" s="4" t="s">
        <v>1313</v>
      </c>
      <c r="G1177" s="4" t="s">
        <v>328</v>
      </c>
      <c r="H1177" s="7">
        <v>8</v>
      </c>
      <c r="I1177" s="4" t="s">
        <v>335</v>
      </c>
      <c r="J1177" s="4" t="s">
        <v>330</v>
      </c>
      <c r="K1177" s="7">
        <v>604.93026799999996</v>
      </c>
      <c r="L1177" s="7">
        <v>900</v>
      </c>
      <c r="M1177" s="7">
        <v>67.214473999999996</v>
      </c>
      <c r="N1177" s="7">
        <v>3</v>
      </c>
      <c r="O1177" s="7">
        <v>0</v>
      </c>
      <c r="P1177" s="7">
        <v>59.334319999999998</v>
      </c>
      <c r="Q1177" s="7">
        <v>39.556213</v>
      </c>
      <c r="R1177" s="7">
        <v>50</v>
      </c>
      <c r="S1177" s="7">
        <v>58.805492000000001</v>
      </c>
      <c r="T1177" s="7">
        <v>63.640495000000001</v>
      </c>
      <c r="U1177" s="7">
        <v>39.203660999999997</v>
      </c>
      <c r="V1177" s="7">
        <v>50</v>
      </c>
      <c r="W1177" s="7">
        <v>51.125101999999998</v>
      </c>
      <c r="X1177" s="7">
        <v>34.083401000000002</v>
      </c>
      <c r="Y1177" s="7">
        <v>50</v>
      </c>
      <c r="Z1177" s="7">
        <v>55.469557000000002</v>
      </c>
      <c r="AA1177" s="7">
        <v>50.591571999999999</v>
      </c>
      <c r="AB1177" s="7">
        <v>33.727715000000003</v>
      </c>
      <c r="AC1177" s="7">
        <v>50</v>
      </c>
      <c r="AD1177" s="7">
        <v>55.260351</v>
      </c>
      <c r="AE1177" s="7">
        <v>36.840234000000002</v>
      </c>
      <c r="AF1177" s="7">
        <v>50</v>
      </c>
      <c r="AG1177" s="7">
        <v>54.319876999999998</v>
      </c>
      <c r="AH1177" s="4" t="s">
        <v>124</v>
      </c>
      <c r="AI1177" s="7">
        <v>36.213251</v>
      </c>
      <c r="AJ1177" s="7">
        <v>50</v>
      </c>
      <c r="AK1177" s="7">
        <v>4.83</v>
      </c>
      <c r="AL1177" s="7">
        <v>4.87</v>
      </c>
      <c r="AM1177" s="4" t="s">
        <v>124</v>
      </c>
      <c r="AN1177" s="7">
        <v>0.62781299999999995</v>
      </c>
      <c r="AO1177" s="7">
        <v>62.781300000000002</v>
      </c>
      <c r="AP1177" s="7">
        <v>100</v>
      </c>
      <c r="AQ1177" s="7">
        <v>0.72543500000000005</v>
      </c>
      <c r="AR1177" s="7">
        <v>72.543451000000005</v>
      </c>
      <c r="AS1177" s="7">
        <v>100</v>
      </c>
      <c r="AT1177" s="7">
        <v>0.622556</v>
      </c>
      <c r="AU1177" s="4" t="s">
        <v>124</v>
      </c>
      <c r="AV1177" s="7">
        <v>62.255588000000003</v>
      </c>
      <c r="AW1177" s="7">
        <v>100</v>
      </c>
      <c r="AX1177" s="7">
        <v>0.72268100000000002</v>
      </c>
      <c r="AY1177" s="4" t="s">
        <v>124</v>
      </c>
      <c r="AZ1177" s="7">
        <v>72.268130999999997</v>
      </c>
      <c r="BA1177" s="7">
        <v>100</v>
      </c>
      <c r="BB1177" s="4" t="s">
        <v>124</v>
      </c>
      <c r="BC1177" s="4" t="s">
        <v>124</v>
      </c>
      <c r="BD1177" s="4" t="s">
        <v>124</v>
      </c>
      <c r="BE1177" s="4" t="s">
        <v>124</v>
      </c>
      <c r="BF1177" s="4" t="s">
        <v>124</v>
      </c>
      <c r="BG1177" s="4" t="s">
        <v>124</v>
      </c>
      <c r="BH1177" s="7">
        <v>0</v>
      </c>
      <c r="BI1177" s="7">
        <v>1</v>
      </c>
      <c r="BJ1177" s="7">
        <v>1</v>
      </c>
      <c r="BK1177" s="7">
        <v>1</v>
      </c>
      <c r="BL1177" s="7">
        <v>1</v>
      </c>
      <c r="BM1177" s="7">
        <v>1</v>
      </c>
      <c r="BN1177" s="7">
        <v>1</v>
      </c>
      <c r="BO1177" s="7">
        <v>1</v>
      </c>
      <c r="BP1177" s="7">
        <v>1</v>
      </c>
      <c r="BQ1177" s="4" t="s">
        <v>124</v>
      </c>
      <c r="BR1177" s="7">
        <v>0.12230199999999999</v>
      </c>
      <c r="BS1177" s="7">
        <v>35.539568000000003</v>
      </c>
      <c r="BT1177" s="7">
        <v>50</v>
      </c>
      <c r="BU1177" s="7">
        <v>0.13445399999999999</v>
      </c>
      <c r="BV1177" s="7">
        <v>33.109243999999997</v>
      </c>
      <c r="BW1177" s="7">
        <v>50</v>
      </c>
      <c r="BX1177" s="4" t="s">
        <v>124</v>
      </c>
      <c r="BY1177" s="4" t="s">
        <v>124</v>
      </c>
      <c r="BZ1177" s="4" t="s">
        <v>124</v>
      </c>
      <c r="CA1177" s="4" t="s">
        <v>124</v>
      </c>
      <c r="CB1177" s="4" t="s">
        <v>124</v>
      </c>
      <c r="CC1177" s="4" t="s">
        <v>124</v>
      </c>
      <c r="CD1177" s="7">
        <v>0.88</v>
      </c>
      <c r="CE1177" s="7">
        <v>46.808511000000003</v>
      </c>
      <c r="CF1177" s="7">
        <v>50</v>
      </c>
      <c r="CG1177" s="4" t="s">
        <v>124</v>
      </c>
      <c r="CH1177" s="4" t="s">
        <v>124</v>
      </c>
      <c r="CI1177" s="4" t="s">
        <v>124</v>
      </c>
      <c r="CJ1177" s="4" t="s">
        <v>124</v>
      </c>
      <c r="CK1177" s="4" t="s">
        <v>124</v>
      </c>
      <c r="CL1177" s="4" t="s">
        <v>124</v>
      </c>
      <c r="CM1177" s="4" t="s">
        <v>124</v>
      </c>
      <c r="CN1177" s="4" t="s">
        <v>124</v>
      </c>
      <c r="CO1177" s="4" t="s">
        <v>124</v>
      </c>
      <c r="CP1177" s="4" t="s">
        <v>124</v>
      </c>
      <c r="CQ1177" s="4" t="s">
        <v>124</v>
      </c>
      <c r="CR1177" s="7">
        <v>0</v>
      </c>
      <c r="CS1177" s="7">
        <v>0</v>
      </c>
      <c r="CT1177" s="7">
        <v>50</v>
      </c>
      <c r="CU1177" s="4" t="s">
        <v>124</v>
      </c>
      <c r="CV1177" s="4" t="s">
        <v>124</v>
      </c>
      <c r="CW1177" s="4" t="s">
        <v>124</v>
      </c>
      <c r="CX1177" s="4" t="s">
        <v>124</v>
      </c>
      <c r="CY1177" s="4" t="s">
        <v>124</v>
      </c>
      <c r="CZ1177" s="4" t="s">
        <v>124</v>
      </c>
      <c r="DA1177" s="7">
        <v>15.314097</v>
      </c>
      <c r="DB1177" s="7">
        <v>17.400950000000002</v>
      </c>
      <c r="DC1177" s="7">
        <v>16.332519999999999</v>
      </c>
      <c r="DD1177" s="4" t="s">
        <v>124</v>
      </c>
      <c r="DE1177" s="7">
        <v>0</v>
      </c>
      <c r="DF1177" s="6"/>
      <c r="DG1177" s="6"/>
      <c r="DH1177" s="6"/>
      <c r="DI1177" s="6"/>
      <c r="DJ1177" s="7">
        <v>0</v>
      </c>
      <c r="DK1177" s="7">
        <v>0</v>
      </c>
      <c r="DL1177" s="7">
        <v>0</v>
      </c>
      <c r="DM1177" s="7">
        <v>0</v>
      </c>
      <c r="DN1177" s="7">
        <v>0</v>
      </c>
      <c r="DO1177" s="7">
        <v>0</v>
      </c>
      <c r="DP1177" s="6"/>
      <c r="DQ1177" s="4" t="s">
        <v>125</v>
      </c>
    </row>
    <row r="1178" spans="1:121" ht="20" customHeight="1" x14ac:dyDescent="0.15">
      <c r="A1178" s="5">
        <v>2018</v>
      </c>
      <c r="B1178" s="3" t="s">
        <v>313</v>
      </c>
      <c r="C1178" s="4" t="str">
        <f t="shared" si="180"/>
        <v>2820013</v>
      </c>
      <c r="D1178" s="4" t="s">
        <v>1324</v>
      </c>
      <c r="E1178" s="4" t="str">
        <f>"2826013"</f>
        <v>2826013</v>
      </c>
      <c r="F1178" s="4" t="s">
        <v>1313</v>
      </c>
      <c r="G1178" s="7">
        <v>9</v>
      </c>
      <c r="H1178" s="7">
        <v>12</v>
      </c>
      <c r="I1178" s="4" t="s">
        <v>335</v>
      </c>
      <c r="J1178" s="4" t="s">
        <v>330</v>
      </c>
      <c r="K1178" s="7">
        <v>435.348927</v>
      </c>
      <c r="L1178" s="7">
        <v>1250</v>
      </c>
      <c r="M1178" s="7">
        <v>34.827914</v>
      </c>
      <c r="N1178" s="7">
        <v>5</v>
      </c>
      <c r="O1178" s="7">
        <v>0</v>
      </c>
      <c r="P1178" s="7">
        <v>33.637681000000001</v>
      </c>
      <c r="Q1178" s="7">
        <v>67.275362000000001</v>
      </c>
      <c r="R1178" s="7">
        <v>150</v>
      </c>
      <c r="S1178" s="7">
        <v>33.637681000000001</v>
      </c>
      <c r="T1178" s="4" t="s">
        <v>124</v>
      </c>
      <c r="U1178" s="7">
        <v>67.275362000000001</v>
      </c>
      <c r="V1178" s="7">
        <v>150</v>
      </c>
      <c r="W1178" s="7">
        <v>29.173912999999999</v>
      </c>
      <c r="X1178" s="7">
        <v>58.347825999999998</v>
      </c>
      <c r="Y1178" s="7">
        <v>150</v>
      </c>
      <c r="Z1178" s="4" t="s">
        <v>124</v>
      </c>
      <c r="AA1178" s="7">
        <v>29.173912999999999</v>
      </c>
      <c r="AB1178" s="7">
        <v>58.347825999999998</v>
      </c>
      <c r="AC1178" s="7">
        <v>150</v>
      </c>
      <c r="AD1178" s="4" t="s">
        <v>124</v>
      </c>
      <c r="AE1178" s="4" t="s">
        <v>124</v>
      </c>
      <c r="AF1178" s="4" t="s">
        <v>124</v>
      </c>
      <c r="AG1178" s="4" t="s">
        <v>124</v>
      </c>
      <c r="AH1178" s="4" t="s">
        <v>124</v>
      </c>
      <c r="AI1178" s="4" t="s">
        <v>124</v>
      </c>
      <c r="AJ1178" s="4" t="s">
        <v>124</v>
      </c>
      <c r="AK1178" s="4" t="s">
        <v>124</v>
      </c>
      <c r="AL1178" s="4" t="s">
        <v>124</v>
      </c>
      <c r="AM1178" s="4" t="s">
        <v>124</v>
      </c>
      <c r="AN1178" s="4" t="s">
        <v>124</v>
      </c>
      <c r="AO1178" s="4" t="s">
        <v>124</v>
      </c>
      <c r="AP1178" s="4" t="s">
        <v>124</v>
      </c>
      <c r="AQ1178" s="4" t="s">
        <v>124</v>
      </c>
      <c r="AR1178" s="4" t="s">
        <v>124</v>
      </c>
      <c r="AS1178" s="4" t="s">
        <v>124</v>
      </c>
      <c r="AT1178" s="4" t="s">
        <v>124</v>
      </c>
      <c r="AU1178" s="4" t="s">
        <v>124</v>
      </c>
      <c r="AV1178" s="4" t="s">
        <v>124</v>
      </c>
      <c r="AW1178" s="4" t="s">
        <v>124</v>
      </c>
      <c r="AX1178" s="4" t="s">
        <v>124</v>
      </c>
      <c r="AY1178" s="4" t="s">
        <v>124</v>
      </c>
      <c r="AZ1178" s="4" t="s">
        <v>124</v>
      </c>
      <c r="BA1178" s="4" t="s">
        <v>124</v>
      </c>
      <c r="BB1178" s="4" t="s">
        <v>124</v>
      </c>
      <c r="BC1178" s="4" t="s">
        <v>124</v>
      </c>
      <c r="BD1178" s="4" t="s">
        <v>124</v>
      </c>
      <c r="BE1178" s="4" t="s">
        <v>124</v>
      </c>
      <c r="BF1178" s="4" t="s">
        <v>124</v>
      </c>
      <c r="BG1178" s="4" t="s">
        <v>124</v>
      </c>
      <c r="BH1178" s="7">
        <v>1</v>
      </c>
      <c r="BI1178" s="7">
        <v>0.763158</v>
      </c>
      <c r="BJ1178" s="7">
        <v>0.763158</v>
      </c>
      <c r="BK1178" s="4" t="s">
        <v>124</v>
      </c>
      <c r="BL1178" s="7">
        <v>0.763158</v>
      </c>
      <c r="BM1178" s="7">
        <v>0.763158</v>
      </c>
      <c r="BN1178" s="4" t="s">
        <v>124</v>
      </c>
      <c r="BO1178" s="7">
        <v>0.62162200000000001</v>
      </c>
      <c r="BP1178" s="7">
        <v>0.62162200000000001</v>
      </c>
      <c r="BQ1178" s="4" t="s">
        <v>124</v>
      </c>
      <c r="BR1178" s="7">
        <v>0.73333300000000001</v>
      </c>
      <c r="BS1178" s="7">
        <v>0</v>
      </c>
      <c r="BT1178" s="7">
        <v>50</v>
      </c>
      <c r="BU1178" s="7">
        <v>0.72580599999999995</v>
      </c>
      <c r="BV1178" s="7">
        <v>0</v>
      </c>
      <c r="BW1178" s="7">
        <v>50</v>
      </c>
      <c r="BX1178" s="7">
        <v>0</v>
      </c>
      <c r="BY1178" s="7">
        <v>0</v>
      </c>
      <c r="BZ1178" s="7">
        <v>50</v>
      </c>
      <c r="CA1178" s="4" t="s">
        <v>124</v>
      </c>
      <c r="CB1178" s="4" t="s">
        <v>124</v>
      </c>
      <c r="CC1178" s="7">
        <v>50</v>
      </c>
      <c r="CD1178" s="7">
        <v>0.17499999999999999</v>
      </c>
      <c r="CE1178" s="7">
        <v>9.3085109999999993</v>
      </c>
      <c r="CF1178" s="7">
        <v>50</v>
      </c>
      <c r="CG1178" s="7">
        <v>0.45454499999999998</v>
      </c>
      <c r="CH1178" s="7">
        <v>48.355899000000001</v>
      </c>
      <c r="CI1178" s="7">
        <v>100</v>
      </c>
      <c r="CJ1178" s="7">
        <v>0</v>
      </c>
      <c r="CK1178" s="7">
        <v>0.44</v>
      </c>
      <c r="CL1178" s="7">
        <v>46.808511000000003</v>
      </c>
      <c r="CM1178" s="7">
        <v>100</v>
      </c>
      <c r="CN1178" s="7">
        <v>0.16666700000000001</v>
      </c>
      <c r="CO1178" s="7">
        <v>22.222221999999999</v>
      </c>
      <c r="CP1178" s="7">
        <v>100</v>
      </c>
      <c r="CQ1178" s="7">
        <v>0.111111</v>
      </c>
      <c r="CR1178" s="7">
        <v>1.5</v>
      </c>
      <c r="CS1178" s="7">
        <v>7.4074070000000001</v>
      </c>
      <c r="CT1178" s="7">
        <v>50</v>
      </c>
      <c r="CU1178" s="7">
        <v>0.73333300000000001</v>
      </c>
      <c r="CV1178" s="7">
        <v>50</v>
      </c>
      <c r="CW1178" s="7">
        <v>50</v>
      </c>
      <c r="CX1178" s="7">
        <v>0.44</v>
      </c>
      <c r="CY1178" s="4" t="s">
        <v>124</v>
      </c>
      <c r="CZ1178" s="4" t="s">
        <v>124</v>
      </c>
      <c r="DA1178" s="7">
        <v>15.314097</v>
      </c>
      <c r="DB1178" s="7">
        <v>17.400950000000002</v>
      </c>
      <c r="DC1178" s="7">
        <v>16.332519999999999</v>
      </c>
      <c r="DD1178" s="7">
        <v>7.9891730000000001</v>
      </c>
      <c r="DE1178" s="7">
        <v>1</v>
      </c>
      <c r="DF1178" s="4" t="s">
        <v>375</v>
      </c>
      <c r="DG1178" s="4" t="s">
        <v>378</v>
      </c>
      <c r="DH1178" s="6"/>
      <c r="DI1178" s="6"/>
      <c r="DJ1178" s="7">
        <v>0</v>
      </c>
      <c r="DK1178" s="7">
        <v>0</v>
      </c>
      <c r="DL1178" s="7">
        <v>0</v>
      </c>
      <c r="DM1178" s="7">
        <v>0</v>
      </c>
      <c r="DN1178" s="7">
        <v>0</v>
      </c>
      <c r="DO1178" s="7">
        <v>0</v>
      </c>
      <c r="DP1178" s="6"/>
      <c r="DQ1178" s="4" t="s">
        <v>125</v>
      </c>
    </row>
    <row r="1179" spans="1:121" ht="20" customHeight="1" x14ac:dyDescent="0.15">
      <c r="A1179" s="5">
        <v>2018</v>
      </c>
      <c r="B1179" s="3" t="s">
        <v>314</v>
      </c>
      <c r="C1179" s="4" t="str">
        <f t="shared" si="181"/>
        <v>2830013</v>
      </c>
      <c r="D1179" s="4" t="s">
        <v>1325</v>
      </c>
      <c r="E1179" s="4" t="str">
        <f>"2835113"</f>
        <v>2835113</v>
      </c>
      <c r="F1179" s="4" t="s">
        <v>1313</v>
      </c>
      <c r="G1179" s="7">
        <v>5</v>
      </c>
      <c r="H1179" s="7">
        <v>8</v>
      </c>
      <c r="I1179" s="4" t="s">
        <v>335</v>
      </c>
      <c r="J1179" s="4" t="s">
        <v>330</v>
      </c>
      <c r="K1179" s="7">
        <v>770.79726500000004</v>
      </c>
      <c r="L1179" s="7">
        <v>1000</v>
      </c>
      <c r="M1179" s="7">
        <v>77.079727000000005</v>
      </c>
      <c r="N1179" s="7">
        <v>2</v>
      </c>
      <c r="O1179" s="7">
        <v>0</v>
      </c>
      <c r="P1179" s="7">
        <v>65.141030000000001</v>
      </c>
      <c r="Q1179" s="7">
        <v>43.427354000000001</v>
      </c>
      <c r="R1179" s="7">
        <v>50</v>
      </c>
      <c r="S1179" s="7">
        <v>63.915284999999997</v>
      </c>
      <c r="T1179" s="7">
        <v>72.670608000000001</v>
      </c>
      <c r="U1179" s="7">
        <v>42.610190000000003</v>
      </c>
      <c r="V1179" s="7">
        <v>50</v>
      </c>
      <c r="W1179" s="7">
        <v>58.415045999999997</v>
      </c>
      <c r="X1179" s="7">
        <v>38.943364000000003</v>
      </c>
      <c r="Y1179" s="7">
        <v>50</v>
      </c>
      <c r="Z1179" s="7">
        <v>64.457650000000001</v>
      </c>
      <c r="AA1179" s="7">
        <v>57.414749999999998</v>
      </c>
      <c r="AB1179" s="7">
        <v>38.276499999999999</v>
      </c>
      <c r="AC1179" s="7">
        <v>50</v>
      </c>
      <c r="AD1179" s="7">
        <v>63.744953000000002</v>
      </c>
      <c r="AE1179" s="7">
        <v>42.496634999999998</v>
      </c>
      <c r="AF1179" s="7">
        <v>50</v>
      </c>
      <c r="AG1179" s="7">
        <v>63.20147</v>
      </c>
      <c r="AH1179" s="7">
        <v>66.838623999999996</v>
      </c>
      <c r="AI1179" s="7">
        <v>42.134312999999999</v>
      </c>
      <c r="AJ1179" s="7">
        <v>50</v>
      </c>
      <c r="AK1179" s="7">
        <v>8.75</v>
      </c>
      <c r="AL1179" s="7">
        <v>7.04</v>
      </c>
      <c r="AM1179" s="7">
        <v>3.63</v>
      </c>
      <c r="AN1179" s="7">
        <v>0.75438099999999997</v>
      </c>
      <c r="AO1179" s="7">
        <v>75.438101000000003</v>
      </c>
      <c r="AP1179" s="7">
        <v>100</v>
      </c>
      <c r="AQ1179" s="7">
        <v>0.81030899999999995</v>
      </c>
      <c r="AR1179" s="7">
        <v>81.030890999999997</v>
      </c>
      <c r="AS1179" s="7">
        <v>100</v>
      </c>
      <c r="AT1179" s="7">
        <v>0.75942500000000002</v>
      </c>
      <c r="AU1179" s="7">
        <v>0.72306400000000004</v>
      </c>
      <c r="AV1179" s="7">
        <v>75.942536000000004</v>
      </c>
      <c r="AW1179" s="7">
        <v>100</v>
      </c>
      <c r="AX1179" s="7">
        <v>0.78960600000000003</v>
      </c>
      <c r="AY1179" s="7">
        <v>0.93668200000000001</v>
      </c>
      <c r="AZ1179" s="7">
        <v>78.960622000000001</v>
      </c>
      <c r="BA1179" s="7">
        <v>100</v>
      </c>
      <c r="BB1179" s="7">
        <v>0.56246700000000005</v>
      </c>
      <c r="BC1179" s="7">
        <v>28.123346000000002</v>
      </c>
      <c r="BD1179" s="7">
        <v>50</v>
      </c>
      <c r="BE1179" s="7">
        <v>0.69819799999999999</v>
      </c>
      <c r="BF1179" s="7">
        <v>34.90992</v>
      </c>
      <c r="BG1179" s="7">
        <v>50</v>
      </c>
      <c r="BH1179" s="7">
        <v>0</v>
      </c>
      <c r="BI1179" s="7">
        <v>1</v>
      </c>
      <c r="BJ1179" s="7">
        <v>1</v>
      </c>
      <c r="BK1179" s="7">
        <v>1</v>
      </c>
      <c r="BL1179" s="7">
        <v>0.98853899999999995</v>
      </c>
      <c r="BM1179" s="7">
        <v>0.98666699999999996</v>
      </c>
      <c r="BN1179" s="7">
        <v>1</v>
      </c>
      <c r="BO1179" s="7">
        <v>1</v>
      </c>
      <c r="BP1179" s="7">
        <v>1</v>
      </c>
      <c r="BQ1179" s="7">
        <v>1</v>
      </c>
      <c r="BR1179" s="7">
        <v>3.7248999999999997E-2</v>
      </c>
      <c r="BS1179" s="7">
        <v>50</v>
      </c>
      <c r="BT1179" s="7">
        <v>50</v>
      </c>
      <c r="BU1179" s="7">
        <v>0.04</v>
      </c>
      <c r="BV1179" s="7">
        <v>50</v>
      </c>
      <c r="BW1179" s="7">
        <v>50</v>
      </c>
      <c r="BX1179" s="4" t="s">
        <v>124</v>
      </c>
      <c r="BY1179" s="4" t="s">
        <v>124</v>
      </c>
      <c r="BZ1179" s="4" t="s">
        <v>124</v>
      </c>
      <c r="CA1179" s="4" t="s">
        <v>124</v>
      </c>
      <c r="CB1179" s="4" t="s">
        <v>124</v>
      </c>
      <c r="CC1179" s="4" t="s">
        <v>124</v>
      </c>
      <c r="CD1179" s="7">
        <v>0.836364</v>
      </c>
      <c r="CE1179" s="7">
        <v>44.487426999999997</v>
      </c>
      <c r="CF1179" s="7">
        <v>50</v>
      </c>
      <c r="CG1179" s="4" t="s">
        <v>124</v>
      </c>
      <c r="CH1179" s="4" t="s">
        <v>124</v>
      </c>
      <c r="CI1179" s="4" t="s">
        <v>124</v>
      </c>
      <c r="CJ1179" s="4" t="s">
        <v>124</v>
      </c>
      <c r="CK1179" s="4" t="s">
        <v>124</v>
      </c>
      <c r="CL1179" s="4" t="s">
        <v>124</v>
      </c>
      <c r="CM1179" s="4" t="s">
        <v>124</v>
      </c>
      <c r="CN1179" s="4" t="s">
        <v>124</v>
      </c>
      <c r="CO1179" s="4" t="s">
        <v>124</v>
      </c>
      <c r="CP1179" s="4" t="s">
        <v>124</v>
      </c>
      <c r="CQ1179" s="7">
        <v>6.0241000000000003E-2</v>
      </c>
      <c r="CR1179" s="7">
        <v>1</v>
      </c>
      <c r="CS1179" s="7">
        <v>4.0160640000000001</v>
      </c>
      <c r="CT1179" s="7">
        <v>50</v>
      </c>
      <c r="CU1179" s="4" t="s">
        <v>124</v>
      </c>
      <c r="CV1179" s="4" t="s">
        <v>124</v>
      </c>
      <c r="CW1179" s="4" t="s">
        <v>124</v>
      </c>
      <c r="CX1179" s="4" t="s">
        <v>124</v>
      </c>
      <c r="CY1179" s="4" t="s">
        <v>124</v>
      </c>
      <c r="CZ1179" s="4" t="s">
        <v>124</v>
      </c>
      <c r="DA1179" s="7">
        <v>15.314097</v>
      </c>
      <c r="DB1179" s="7">
        <v>17.400950000000002</v>
      </c>
      <c r="DC1179" s="7">
        <v>16.332519999999999</v>
      </c>
      <c r="DD1179" s="4" t="s">
        <v>124</v>
      </c>
      <c r="DE1179" s="7">
        <v>0</v>
      </c>
      <c r="DF1179" s="6"/>
      <c r="DG1179" s="6"/>
      <c r="DH1179" s="4" t="s">
        <v>331</v>
      </c>
      <c r="DI1179" s="4" t="s">
        <v>596</v>
      </c>
      <c r="DJ1179" s="7">
        <v>0</v>
      </c>
      <c r="DK1179" s="7">
        <v>0</v>
      </c>
      <c r="DL1179" s="7">
        <v>0</v>
      </c>
      <c r="DM1179" s="7">
        <v>1</v>
      </c>
      <c r="DN1179" s="7">
        <v>1</v>
      </c>
      <c r="DO1179" s="7">
        <v>0</v>
      </c>
      <c r="DP1179" s="6"/>
      <c r="DQ1179" s="4" t="s">
        <v>125</v>
      </c>
    </row>
    <row r="1180" spans="1:121" ht="20" customHeight="1" x14ac:dyDescent="0.15">
      <c r="A1180" s="5">
        <v>2018</v>
      </c>
      <c r="B1180" s="3" t="s">
        <v>315</v>
      </c>
      <c r="C1180" s="4" t="str">
        <f>"2850013"</f>
        <v>2850013</v>
      </c>
      <c r="D1180" s="4" t="s">
        <v>1326</v>
      </c>
      <c r="E1180" s="4" t="str">
        <f>"2850113"</f>
        <v>2850113</v>
      </c>
      <c r="F1180" s="4" t="s">
        <v>1313</v>
      </c>
      <c r="G1180" s="4" t="s">
        <v>338</v>
      </c>
      <c r="H1180" s="7">
        <v>12</v>
      </c>
      <c r="I1180" s="4" t="s">
        <v>335</v>
      </c>
      <c r="J1180" s="4" t="s">
        <v>330</v>
      </c>
      <c r="K1180" s="7">
        <v>1172.4080509999999</v>
      </c>
      <c r="L1180" s="7">
        <v>1450</v>
      </c>
      <c r="M1180" s="7">
        <v>80.855727999999999</v>
      </c>
      <c r="N1180" s="7">
        <v>2</v>
      </c>
      <c r="O1180" s="7">
        <v>0</v>
      </c>
      <c r="P1180" s="7">
        <v>72.170604999999995</v>
      </c>
      <c r="Q1180" s="7">
        <v>48.113736000000003</v>
      </c>
      <c r="R1180" s="7">
        <v>50</v>
      </c>
      <c r="S1180" s="7">
        <v>72.264791000000002</v>
      </c>
      <c r="T1180" s="4" t="s">
        <v>124</v>
      </c>
      <c r="U1180" s="7">
        <v>48.176527</v>
      </c>
      <c r="V1180" s="7">
        <v>50</v>
      </c>
      <c r="W1180" s="7">
        <v>66.127139999999997</v>
      </c>
      <c r="X1180" s="7">
        <v>44.084760000000003</v>
      </c>
      <c r="Y1180" s="7">
        <v>50</v>
      </c>
      <c r="Z1180" s="4" t="s">
        <v>124</v>
      </c>
      <c r="AA1180" s="7">
        <v>66.207729999999998</v>
      </c>
      <c r="AB1180" s="7">
        <v>44.138486999999998</v>
      </c>
      <c r="AC1180" s="7">
        <v>50</v>
      </c>
      <c r="AD1180" s="7">
        <v>64.022942999999998</v>
      </c>
      <c r="AE1180" s="7">
        <v>42.681961999999999</v>
      </c>
      <c r="AF1180" s="7">
        <v>50</v>
      </c>
      <c r="AG1180" s="7">
        <v>64.037760000000006</v>
      </c>
      <c r="AH1180" s="4" t="s">
        <v>124</v>
      </c>
      <c r="AI1180" s="7">
        <v>42.691839999999999</v>
      </c>
      <c r="AJ1180" s="7">
        <v>50</v>
      </c>
      <c r="AK1180" s="4" t="s">
        <v>124</v>
      </c>
      <c r="AL1180" s="4" t="s">
        <v>124</v>
      </c>
      <c r="AM1180" s="4" t="s">
        <v>124</v>
      </c>
      <c r="AN1180" s="7">
        <v>0.70649700000000004</v>
      </c>
      <c r="AO1180" s="7">
        <v>70.649707000000006</v>
      </c>
      <c r="AP1180" s="7">
        <v>100</v>
      </c>
      <c r="AQ1180" s="7">
        <v>0.61767099999999997</v>
      </c>
      <c r="AR1180" s="7">
        <v>61.767100999999997</v>
      </c>
      <c r="AS1180" s="7">
        <v>100</v>
      </c>
      <c r="AT1180" s="7">
        <v>0.70445599999999997</v>
      </c>
      <c r="AU1180" s="4" t="s">
        <v>124</v>
      </c>
      <c r="AV1180" s="7">
        <v>70.445586000000006</v>
      </c>
      <c r="AW1180" s="7">
        <v>100</v>
      </c>
      <c r="AX1180" s="7">
        <v>0.61461699999999997</v>
      </c>
      <c r="AY1180" s="4" t="s">
        <v>124</v>
      </c>
      <c r="AZ1180" s="7">
        <v>61.461682000000003</v>
      </c>
      <c r="BA1180" s="7">
        <v>100</v>
      </c>
      <c r="BB1180" s="7">
        <v>0.56917499999999999</v>
      </c>
      <c r="BC1180" s="7">
        <v>28.458735999999998</v>
      </c>
      <c r="BD1180" s="7">
        <v>50</v>
      </c>
      <c r="BE1180" s="7">
        <v>0.49007899999999999</v>
      </c>
      <c r="BF1180" s="7">
        <v>24.503962999999999</v>
      </c>
      <c r="BG1180" s="7">
        <v>50</v>
      </c>
      <c r="BH1180" s="7">
        <v>0</v>
      </c>
      <c r="BI1180" s="7">
        <v>0.993344</v>
      </c>
      <c r="BJ1180" s="7">
        <v>0.99328899999999998</v>
      </c>
      <c r="BK1180" s="4" t="s">
        <v>124</v>
      </c>
      <c r="BL1180" s="7">
        <v>0.99333300000000002</v>
      </c>
      <c r="BM1180" s="7">
        <v>0.99327699999999997</v>
      </c>
      <c r="BN1180" s="4" t="s">
        <v>124</v>
      </c>
      <c r="BO1180" s="7">
        <v>0.96982800000000002</v>
      </c>
      <c r="BP1180" s="7">
        <v>0.96956500000000001</v>
      </c>
      <c r="BQ1180" s="4" t="s">
        <v>124</v>
      </c>
      <c r="BR1180" s="7">
        <v>5.7438999999999997E-2</v>
      </c>
      <c r="BS1180" s="7">
        <v>48.512241000000003</v>
      </c>
      <c r="BT1180" s="7">
        <v>50</v>
      </c>
      <c r="BU1180" s="7">
        <v>6.1303000000000003E-2</v>
      </c>
      <c r="BV1180" s="7">
        <v>47.739463999999998</v>
      </c>
      <c r="BW1180" s="7">
        <v>50</v>
      </c>
      <c r="BX1180" s="7">
        <v>1</v>
      </c>
      <c r="BY1180" s="7">
        <v>50</v>
      </c>
      <c r="BZ1180" s="7">
        <v>50</v>
      </c>
      <c r="CA1180" s="7">
        <v>0.51578900000000005</v>
      </c>
      <c r="CB1180" s="7">
        <v>34.385964999999999</v>
      </c>
      <c r="CC1180" s="7">
        <v>50</v>
      </c>
      <c r="CD1180" s="7">
        <v>0.88050300000000004</v>
      </c>
      <c r="CE1180" s="7">
        <v>46.835273999999998</v>
      </c>
      <c r="CF1180" s="7">
        <v>50</v>
      </c>
      <c r="CG1180" s="7">
        <v>0.73333300000000001</v>
      </c>
      <c r="CH1180" s="7">
        <v>78.014184</v>
      </c>
      <c r="CI1180" s="7">
        <v>100</v>
      </c>
      <c r="CJ1180" s="7">
        <v>0</v>
      </c>
      <c r="CK1180" s="7">
        <v>0.96428599999999998</v>
      </c>
      <c r="CL1180" s="7">
        <v>100</v>
      </c>
      <c r="CM1180" s="7">
        <v>100</v>
      </c>
      <c r="CN1180" s="7">
        <v>0.89285700000000001</v>
      </c>
      <c r="CO1180" s="7">
        <v>100</v>
      </c>
      <c r="CP1180" s="7">
        <v>100</v>
      </c>
      <c r="CQ1180" s="7">
        <v>0.5</v>
      </c>
      <c r="CR1180" s="7">
        <v>1.1858409999999999</v>
      </c>
      <c r="CS1180" s="7">
        <v>33.333333000000003</v>
      </c>
      <c r="CT1180" s="7">
        <v>50</v>
      </c>
      <c r="CU1180" s="7">
        <v>0.55696199999999996</v>
      </c>
      <c r="CV1180" s="7">
        <v>46.413502000000001</v>
      </c>
      <c r="CW1180" s="7">
        <v>50</v>
      </c>
      <c r="CX1180" s="7">
        <v>0.96428599999999998</v>
      </c>
      <c r="CY1180" s="4" t="s">
        <v>124</v>
      </c>
      <c r="CZ1180" s="4" t="s">
        <v>124</v>
      </c>
      <c r="DA1180" s="7">
        <v>15.314097</v>
      </c>
      <c r="DB1180" s="7">
        <v>17.400950000000002</v>
      </c>
      <c r="DC1180" s="7">
        <v>16.332519999999999</v>
      </c>
      <c r="DD1180" s="7">
        <v>7.9891730000000001</v>
      </c>
      <c r="DE1180" s="7">
        <v>0</v>
      </c>
      <c r="DF1180" s="6"/>
      <c r="DG1180" s="6"/>
      <c r="DH1180" s="6"/>
      <c r="DI1180" s="6"/>
      <c r="DJ1180" s="7">
        <v>0</v>
      </c>
      <c r="DK1180" s="7">
        <v>0</v>
      </c>
      <c r="DL1180" s="7">
        <v>0</v>
      </c>
      <c r="DM1180" s="7">
        <v>0</v>
      </c>
      <c r="DN1180" s="7">
        <v>0</v>
      </c>
      <c r="DO1180" s="7">
        <v>0</v>
      </c>
      <c r="DP1180" s="6"/>
      <c r="DQ1180" s="4" t="s">
        <v>125</v>
      </c>
    </row>
    <row r="1181" spans="1:121" ht="20" customHeight="1" x14ac:dyDescent="0.15">
      <c r="A1181" s="5">
        <v>2018</v>
      </c>
      <c r="B1181" s="3" t="s">
        <v>316</v>
      </c>
      <c r="C1181" s="4" t="str">
        <f t="shared" si="182"/>
        <v>2860013</v>
      </c>
      <c r="D1181" s="4" t="s">
        <v>1327</v>
      </c>
      <c r="E1181" s="4" t="str">
        <f>"2860113"</f>
        <v>2860113</v>
      </c>
      <c r="F1181" s="4" t="s">
        <v>1313</v>
      </c>
      <c r="G1181" s="4" t="s">
        <v>328</v>
      </c>
      <c r="H1181" s="7">
        <v>12</v>
      </c>
      <c r="I1181" s="4" t="s">
        <v>335</v>
      </c>
      <c r="J1181" s="4" t="s">
        <v>330</v>
      </c>
      <c r="K1181" s="7">
        <v>908.82007599999997</v>
      </c>
      <c r="L1181" s="7">
        <v>1250</v>
      </c>
      <c r="M1181" s="7">
        <v>72.705606000000003</v>
      </c>
      <c r="N1181" s="7">
        <v>2</v>
      </c>
      <c r="O1181" s="7">
        <v>0</v>
      </c>
      <c r="P1181" s="7">
        <v>59.033707999999997</v>
      </c>
      <c r="Q1181" s="7">
        <v>39.355804999999997</v>
      </c>
      <c r="R1181" s="7">
        <v>50</v>
      </c>
      <c r="S1181" s="7">
        <v>57.495038000000001</v>
      </c>
      <c r="T1181" s="7">
        <v>65.225021999999996</v>
      </c>
      <c r="U1181" s="7">
        <v>38.330024999999999</v>
      </c>
      <c r="V1181" s="7">
        <v>50</v>
      </c>
      <c r="W1181" s="7">
        <v>50.367431000000003</v>
      </c>
      <c r="X1181" s="7">
        <v>33.578287000000003</v>
      </c>
      <c r="Y1181" s="7">
        <v>50</v>
      </c>
      <c r="Z1181" s="7">
        <v>56.426958999999997</v>
      </c>
      <c r="AA1181" s="7">
        <v>48.861511999999998</v>
      </c>
      <c r="AB1181" s="7">
        <v>32.574342000000001</v>
      </c>
      <c r="AC1181" s="7">
        <v>50</v>
      </c>
      <c r="AD1181" s="7">
        <v>52.623086000000001</v>
      </c>
      <c r="AE1181" s="7">
        <v>35.082056999999999</v>
      </c>
      <c r="AF1181" s="7">
        <v>50</v>
      </c>
      <c r="AG1181" s="7">
        <v>51.524884999999998</v>
      </c>
      <c r="AH1181" s="4" t="s">
        <v>124</v>
      </c>
      <c r="AI1181" s="7">
        <v>34.349922999999997</v>
      </c>
      <c r="AJ1181" s="7">
        <v>50</v>
      </c>
      <c r="AK1181" s="7">
        <v>7.72</v>
      </c>
      <c r="AL1181" s="7">
        <v>7.56</v>
      </c>
      <c r="AM1181" s="4" t="s">
        <v>124</v>
      </c>
      <c r="AN1181" s="7">
        <v>0.55426299999999995</v>
      </c>
      <c r="AO1181" s="7">
        <v>55.426260999999997</v>
      </c>
      <c r="AP1181" s="7">
        <v>100</v>
      </c>
      <c r="AQ1181" s="7">
        <v>0.55017000000000005</v>
      </c>
      <c r="AR1181" s="7">
        <v>55.016997000000003</v>
      </c>
      <c r="AS1181" s="7">
        <v>100</v>
      </c>
      <c r="AT1181" s="7">
        <v>0.56563200000000002</v>
      </c>
      <c r="AU1181" s="7">
        <v>0.50988599999999995</v>
      </c>
      <c r="AV1181" s="7">
        <v>56.563187999999997</v>
      </c>
      <c r="AW1181" s="7">
        <v>100</v>
      </c>
      <c r="AX1181" s="7">
        <v>0.55130599999999996</v>
      </c>
      <c r="AY1181" s="7">
        <v>0.54573499999999997</v>
      </c>
      <c r="AZ1181" s="7">
        <v>55.130628999999999</v>
      </c>
      <c r="BA1181" s="7">
        <v>100</v>
      </c>
      <c r="BB1181" s="4" t="s">
        <v>124</v>
      </c>
      <c r="BC1181" s="4" t="s">
        <v>124</v>
      </c>
      <c r="BD1181" s="4" t="s">
        <v>124</v>
      </c>
      <c r="BE1181" s="4" t="s">
        <v>124</v>
      </c>
      <c r="BF1181" s="4" t="s">
        <v>124</v>
      </c>
      <c r="BG1181" s="4" t="s">
        <v>124</v>
      </c>
      <c r="BH1181" s="7">
        <v>0</v>
      </c>
      <c r="BI1181" s="7">
        <v>0.995305</v>
      </c>
      <c r="BJ1181" s="7">
        <v>0.99411799999999995</v>
      </c>
      <c r="BK1181" s="7">
        <v>1</v>
      </c>
      <c r="BL1181" s="7">
        <v>0.995305</v>
      </c>
      <c r="BM1181" s="7">
        <v>0.99411799999999995</v>
      </c>
      <c r="BN1181" s="7">
        <v>1</v>
      </c>
      <c r="BO1181" s="7">
        <v>0.97402599999999995</v>
      </c>
      <c r="BP1181" s="7">
        <v>0.96825399999999995</v>
      </c>
      <c r="BQ1181" s="4" t="s">
        <v>124</v>
      </c>
      <c r="BR1181" s="7">
        <v>9.0666999999999998E-2</v>
      </c>
      <c r="BS1181" s="7">
        <v>41.866667</v>
      </c>
      <c r="BT1181" s="7">
        <v>50</v>
      </c>
      <c r="BU1181" s="7">
        <v>0.10689700000000001</v>
      </c>
      <c r="BV1181" s="7">
        <v>38.620690000000003</v>
      </c>
      <c r="BW1181" s="7">
        <v>50</v>
      </c>
      <c r="BX1181" s="7">
        <v>0.81481499999999996</v>
      </c>
      <c r="BY1181" s="7">
        <v>50</v>
      </c>
      <c r="BZ1181" s="7">
        <v>50</v>
      </c>
      <c r="CA1181" s="7">
        <v>7.4074000000000001E-2</v>
      </c>
      <c r="CB1181" s="7">
        <v>4.9382720000000004</v>
      </c>
      <c r="CC1181" s="7">
        <v>50</v>
      </c>
      <c r="CD1181" s="7">
        <v>0.93333299999999997</v>
      </c>
      <c r="CE1181" s="7">
        <v>49.645389999999999</v>
      </c>
      <c r="CF1181" s="7">
        <v>50</v>
      </c>
      <c r="CG1181" s="7">
        <v>1</v>
      </c>
      <c r="CH1181" s="7">
        <v>100</v>
      </c>
      <c r="CI1181" s="7">
        <v>100</v>
      </c>
      <c r="CJ1181" s="4" t="s">
        <v>124</v>
      </c>
      <c r="CK1181" s="4" t="s">
        <v>124</v>
      </c>
      <c r="CL1181" s="4" t="s">
        <v>124</v>
      </c>
      <c r="CM1181" s="4" t="s">
        <v>124</v>
      </c>
      <c r="CN1181" s="7">
        <v>0.71428599999999998</v>
      </c>
      <c r="CO1181" s="7">
        <v>95.238095000000001</v>
      </c>
      <c r="CP1181" s="7">
        <v>100</v>
      </c>
      <c r="CQ1181" s="7">
        <v>0.77391299999999996</v>
      </c>
      <c r="CR1181" s="7">
        <v>0.98290599999999995</v>
      </c>
      <c r="CS1181" s="7">
        <v>50</v>
      </c>
      <c r="CT1181" s="7">
        <v>50</v>
      </c>
      <c r="CU1181" s="7">
        <v>0.51724099999999995</v>
      </c>
      <c r="CV1181" s="7">
        <v>43.103448</v>
      </c>
      <c r="CW1181" s="7">
        <v>50</v>
      </c>
      <c r="CX1181" s="4" t="s">
        <v>124</v>
      </c>
      <c r="CY1181" s="4" t="s">
        <v>124</v>
      </c>
      <c r="CZ1181" s="4" t="s">
        <v>124</v>
      </c>
      <c r="DA1181" s="7">
        <v>15.314097</v>
      </c>
      <c r="DB1181" s="7">
        <v>17.400950000000002</v>
      </c>
      <c r="DC1181" s="7">
        <v>16.332519999999999</v>
      </c>
      <c r="DD1181" s="4" t="s">
        <v>124</v>
      </c>
      <c r="DE1181" s="7">
        <v>0</v>
      </c>
      <c r="DF1181" s="6"/>
      <c r="DG1181" s="6"/>
      <c r="DH1181" s="6"/>
      <c r="DI1181" s="6"/>
      <c r="DJ1181" s="7">
        <v>0</v>
      </c>
      <c r="DK1181" s="7">
        <v>0</v>
      </c>
      <c r="DL1181" s="7">
        <v>0</v>
      </c>
      <c r="DM1181" s="7">
        <v>0</v>
      </c>
      <c r="DN1181" s="7">
        <v>0</v>
      </c>
      <c r="DO1181" s="7">
        <v>0</v>
      </c>
      <c r="DP1181" s="6"/>
      <c r="DQ1181" s="4" t="s">
        <v>125</v>
      </c>
    </row>
    <row r="1182" spans="1:121" ht="20" customHeight="1" x14ac:dyDescent="0.15">
      <c r="A1182" s="5">
        <v>2018</v>
      </c>
      <c r="B1182" s="3" t="s">
        <v>317</v>
      </c>
      <c r="C1182" s="4" t="str">
        <f t="shared" si="183"/>
        <v>2880013</v>
      </c>
      <c r="D1182" s="4" t="s">
        <v>1328</v>
      </c>
      <c r="E1182" s="4" t="str">
        <f>"2880113"</f>
        <v>2880113</v>
      </c>
      <c r="F1182" s="4" t="s">
        <v>1313</v>
      </c>
      <c r="G1182" s="4" t="s">
        <v>338</v>
      </c>
      <c r="H1182" s="7">
        <v>12</v>
      </c>
      <c r="I1182" s="4" t="s">
        <v>335</v>
      </c>
      <c r="J1182" s="4" t="s">
        <v>330</v>
      </c>
      <c r="K1182" s="7">
        <v>1084.670881</v>
      </c>
      <c r="L1182" s="7">
        <v>1450</v>
      </c>
      <c r="M1182" s="7">
        <v>74.804888000000005</v>
      </c>
      <c r="N1182" s="7">
        <v>2</v>
      </c>
      <c r="O1182" s="7">
        <v>0</v>
      </c>
      <c r="P1182" s="7">
        <v>68.906041000000002</v>
      </c>
      <c r="Q1182" s="7">
        <v>45.937361000000003</v>
      </c>
      <c r="R1182" s="7">
        <v>50</v>
      </c>
      <c r="S1182" s="7">
        <v>68.886385000000004</v>
      </c>
      <c r="T1182" s="4" t="s">
        <v>124</v>
      </c>
      <c r="U1182" s="7">
        <v>45.924256999999997</v>
      </c>
      <c r="V1182" s="7">
        <v>50</v>
      </c>
      <c r="W1182" s="7">
        <v>65.083838999999998</v>
      </c>
      <c r="X1182" s="7">
        <v>43.389226000000001</v>
      </c>
      <c r="Y1182" s="7">
        <v>50</v>
      </c>
      <c r="Z1182" s="4" t="s">
        <v>124</v>
      </c>
      <c r="AA1182" s="7">
        <v>65.075581999999997</v>
      </c>
      <c r="AB1182" s="7">
        <v>43.383721000000001</v>
      </c>
      <c r="AC1182" s="7">
        <v>50</v>
      </c>
      <c r="AD1182" s="7">
        <v>56.779539</v>
      </c>
      <c r="AE1182" s="7">
        <v>37.853026</v>
      </c>
      <c r="AF1182" s="7">
        <v>50</v>
      </c>
      <c r="AG1182" s="7">
        <v>56.779539</v>
      </c>
      <c r="AH1182" s="4" t="s">
        <v>124</v>
      </c>
      <c r="AI1182" s="7">
        <v>37.853026</v>
      </c>
      <c r="AJ1182" s="7">
        <v>50</v>
      </c>
      <c r="AK1182" s="4" t="s">
        <v>124</v>
      </c>
      <c r="AL1182" s="4" t="s">
        <v>124</v>
      </c>
      <c r="AM1182" s="4" t="s">
        <v>124</v>
      </c>
      <c r="AN1182" s="7">
        <v>0.60180999999999996</v>
      </c>
      <c r="AO1182" s="7">
        <v>60.180979000000001</v>
      </c>
      <c r="AP1182" s="7">
        <v>100</v>
      </c>
      <c r="AQ1182" s="7">
        <v>0.57427700000000004</v>
      </c>
      <c r="AR1182" s="7">
        <v>57.427740999999997</v>
      </c>
      <c r="AS1182" s="7">
        <v>100</v>
      </c>
      <c r="AT1182" s="7">
        <v>0.60180999999999996</v>
      </c>
      <c r="AU1182" s="4" t="s">
        <v>124</v>
      </c>
      <c r="AV1182" s="7">
        <v>60.180979000000001</v>
      </c>
      <c r="AW1182" s="7">
        <v>100</v>
      </c>
      <c r="AX1182" s="7">
        <v>0.57427700000000004</v>
      </c>
      <c r="AY1182" s="4" t="s">
        <v>124</v>
      </c>
      <c r="AZ1182" s="7">
        <v>57.427740999999997</v>
      </c>
      <c r="BA1182" s="7">
        <v>100</v>
      </c>
      <c r="BB1182" s="7">
        <v>0.42502800000000002</v>
      </c>
      <c r="BC1182" s="7">
        <v>21.251407</v>
      </c>
      <c r="BD1182" s="7">
        <v>50</v>
      </c>
      <c r="BE1182" s="7">
        <v>0.32444000000000001</v>
      </c>
      <c r="BF1182" s="7">
        <v>16.222003000000001</v>
      </c>
      <c r="BG1182" s="7">
        <v>50</v>
      </c>
      <c r="BH1182" s="7">
        <v>0</v>
      </c>
      <c r="BI1182" s="7">
        <v>0.99689399999999995</v>
      </c>
      <c r="BJ1182" s="7">
        <v>0.99688500000000002</v>
      </c>
      <c r="BK1182" s="4" t="s">
        <v>124</v>
      </c>
      <c r="BL1182" s="7">
        <v>0.99534199999999995</v>
      </c>
      <c r="BM1182" s="7">
        <v>0.99532699999999996</v>
      </c>
      <c r="BN1182" s="4" t="s">
        <v>124</v>
      </c>
      <c r="BO1182" s="7">
        <v>1</v>
      </c>
      <c r="BP1182" s="7">
        <v>1</v>
      </c>
      <c r="BQ1182" s="4" t="s">
        <v>124</v>
      </c>
      <c r="BR1182" s="7">
        <v>6.5298999999999996E-2</v>
      </c>
      <c r="BS1182" s="7">
        <v>46.940299000000003</v>
      </c>
      <c r="BT1182" s="7">
        <v>50</v>
      </c>
      <c r="BU1182" s="7">
        <v>6.2717999999999996E-2</v>
      </c>
      <c r="BV1182" s="7">
        <v>47.456446</v>
      </c>
      <c r="BW1182" s="7">
        <v>50</v>
      </c>
      <c r="BX1182" s="7">
        <v>1</v>
      </c>
      <c r="BY1182" s="7">
        <v>50</v>
      </c>
      <c r="BZ1182" s="7">
        <v>50</v>
      </c>
      <c r="CA1182" s="7">
        <v>0.51351400000000003</v>
      </c>
      <c r="CB1182" s="7">
        <v>34.234234000000001</v>
      </c>
      <c r="CC1182" s="7">
        <v>50</v>
      </c>
      <c r="CD1182" s="7">
        <v>0.84506999999999999</v>
      </c>
      <c r="CE1182" s="7">
        <v>44.950553999999997</v>
      </c>
      <c r="CF1182" s="7">
        <v>50</v>
      </c>
      <c r="CG1182" s="7">
        <v>0.885714</v>
      </c>
      <c r="CH1182" s="7">
        <v>94.224924000000001</v>
      </c>
      <c r="CI1182" s="7">
        <v>100</v>
      </c>
      <c r="CJ1182" s="7">
        <v>0</v>
      </c>
      <c r="CK1182" s="7">
        <v>0.97142899999999999</v>
      </c>
      <c r="CL1182" s="7">
        <v>100</v>
      </c>
      <c r="CM1182" s="7">
        <v>100</v>
      </c>
      <c r="CN1182" s="7">
        <v>0.764706</v>
      </c>
      <c r="CO1182" s="7">
        <v>100</v>
      </c>
      <c r="CP1182" s="7">
        <v>100</v>
      </c>
      <c r="CQ1182" s="7">
        <v>0.19658100000000001</v>
      </c>
      <c r="CR1182" s="7">
        <v>0.65363099999999996</v>
      </c>
      <c r="CS1182" s="7">
        <v>3.2763529999999998</v>
      </c>
      <c r="CT1182" s="7">
        <v>50</v>
      </c>
      <c r="CU1182" s="7">
        <v>0.43867899999999999</v>
      </c>
      <c r="CV1182" s="7">
        <v>36.556604</v>
      </c>
      <c r="CW1182" s="7">
        <v>50</v>
      </c>
      <c r="CX1182" s="7">
        <v>0.97142899999999999</v>
      </c>
      <c r="CY1182" s="4" t="s">
        <v>124</v>
      </c>
      <c r="CZ1182" s="4" t="s">
        <v>124</v>
      </c>
      <c r="DA1182" s="7">
        <v>15.314097</v>
      </c>
      <c r="DB1182" s="7">
        <v>17.400950000000002</v>
      </c>
      <c r="DC1182" s="7">
        <v>16.332519999999999</v>
      </c>
      <c r="DD1182" s="7">
        <v>7.9891730000000001</v>
      </c>
      <c r="DE1182" s="7">
        <v>0</v>
      </c>
      <c r="DF1182" s="6"/>
      <c r="DG1182" s="6"/>
      <c r="DH1182" s="6"/>
      <c r="DI1182" s="6"/>
      <c r="DJ1182" s="7">
        <v>0</v>
      </c>
      <c r="DK1182" s="7">
        <v>0</v>
      </c>
      <c r="DL1182" s="7">
        <v>0</v>
      </c>
      <c r="DM1182" s="7">
        <v>0</v>
      </c>
      <c r="DN1182" s="7">
        <v>0</v>
      </c>
      <c r="DO1182" s="7">
        <v>0</v>
      </c>
      <c r="DP1182" s="6"/>
      <c r="DQ1182" s="4" t="s">
        <v>125</v>
      </c>
    </row>
    <row r="1183" spans="1:121" ht="20" customHeight="1" x14ac:dyDescent="0.15">
      <c r="A1183" s="5">
        <v>2018</v>
      </c>
      <c r="B1183" s="3" t="s">
        <v>318</v>
      </c>
      <c r="C1183" s="4" t="str">
        <f>"2890013"</f>
        <v>2890013</v>
      </c>
      <c r="D1183" s="4" t="s">
        <v>1329</v>
      </c>
      <c r="E1183" s="4" t="str">
        <f>"2890113"</f>
        <v>2890113</v>
      </c>
      <c r="F1183" s="4" t="s">
        <v>1313</v>
      </c>
      <c r="G1183" s="4" t="s">
        <v>338</v>
      </c>
      <c r="H1183" s="7">
        <v>12</v>
      </c>
      <c r="I1183" s="4" t="s">
        <v>335</v>
      </c>
      <c r="J1183" s="4" t="s">
        <v>330</v>
      </c>
      <c r="K1183" s="7">
        <v>1027.2138689999999</v>
      </c>
      <c r="L1183" s="7">
        <v>1350</v>
      </c>
      <c r="M1183" s="7">
        <v>76.089916000000002</v>
      </c>
      <c r="N1183" s="7">
        <v>2</v>
      </c>
      <c r="O1183" s="7">
        <v>0</v>
      </c>
      <c r="P1183" s="7">
        <v>68.201100999999994</v>
      </c>
      <c r="Q1183" s="7">
        <v>45.467399999999998</v>
      </c>
      <c r="R1183" s="7">
        <v>50</v>
      </c>
      <c r="S1183" s="7">
        <v>68.160968999999994</v>
      </c>
      <c r="T1183" s="4" t="s">
        <v>124</v>
      </c>
      <c r="U1183" s="7">
        <v>45.440646000000001</v>
      </c>
      <c r="V1183" s="7">
        <v>50</v>
      </c>
      <c r="W1183" s="7">
        <v>64.464442000000005</v>
      </c>
      <c r="X1183" s="7">
        <v>42.976294000000003</v>
      </c>
      <c r="Y1183" s="7">
        <v>50</v>
      </c>
      <c r="Z1183" s="4" t="s">
        <v>124</v>
      </c>
      <c r="AA1183" s="7">
        <v>64.486881999999994</v>
      </c>
      <c r="AB1183" s="7">
        <v>42.991255000000002</v>
      </c>
      <c r="AC1183" s="7">
        <v>50</v>
      </c>
      <c r="AD1183" s="7">
        <v>58.242457000000002</v>
      </c>
      <c r="AE1183" s="7">
        <v>38.828305</v>
      </c>
      <c r="AF1183" s="7">
        <v>50</v>
      </c>
      <c r="AG1183" s="7">
        <v>58.242457000000002</v>
      </c>
      <c r="AH1183" s="4" t="s">
        <v>124</v>
      </c>
      <c r="AI1183" s="7">
        <v>38.828305</v>
      </c>
      <c r="AJ1183" s="7">
        <v>50</v>
      </c>
      <c r="AK1183" s="4" t="s">
        <v>124</v>
      </c>
      <c r="AL1183" s="4" t="s">
        <v>124</v>
      </c>
      <c r="AM1183" s="4" t="s">
        <v>124</v>
      </c>
      <c r="AN1183" s="7">
        <v>0.64899899999999999</v>
      </c>
      <c r="AO1183" s="7">
        <v>64.899941999999996</v>
      </c>
      <c r="AP1183" s="7">
        <v>100</v>
      </c>
      <c r="AQ1183" s="7">
        <v>0.61199899999999996</v>
      </c>
      <c r="AR1183" s="7">
        <v>61.199862000000003</v>
      </c>
      <c r="AS1183" s="7">
        <v>100</v>
      </c>
      <c r="AT1183" s="7">
        <v>0.64747100000000002</v>
      </c>
      <c r="AU1183" s="4" t="s">
        <v>124</v>
      </c>
      <c r="AV1183" s="7">
        <v>64.747060000000005</v>
      </c>
      <c r="AW1183" s="7">
        <v>100</v>
      </c>
      <c r="AX1183" s="7">
        <v>0.610344</v>
      </c>
      <c r="AY1183" s="4" t="s">
        <v>124</v>
      </c>
      <c r="AZ1183" s="7">
        <v>61.034438000000002</v>
      </c>
      <c r="BA1183" s="7">
        <v>100</v>
      </c>
      <c r="BB1183" s="7">
        <v>0.35378399999999999</v>
      </c>
      <c r="BC1183" s="7">
        <v>17.689178999999999</v>
      </c>
      <c r="BD1183" s="7">
        <v>50</v>
      </c>
      <c r="BE1183" s="7">
        <v>0.44099100000000002</v>
      </c>
      <c r="BF1183" s="7">
        <v>22.049569000000002</v>
      </c>
      <c r="BG1183" s="7">
        <v>50</v>
      </c>
      <c r="BH1183" s="7">
        <v>0</v>
      </c>
      <c r="BI1183" s="7">
        <v>0.98607900000000004</v>
      </c>
      <c r="BJ1183" s="7">
        <v>0.985981</v>
      </c>
      <c r="BK1183" s="4" t="s">
        <v>124</v>
      </c>
      <c r="BL1183" s="7">
        <v>0.98607900000000004</v>
      </c>
      <c r="BM1183" s="7">
        <v>0.985981</v>
      </c>
      <c r="BN1183" s="4" t="s">
        <v>124</v>
      </c>
      <c r="BO1183" s="7">
        <v>0.95428599999999997</v>
      </c>
      <c r="BP1183" s="7">
        <v>0.95428599999999997</v>
      </c>
      <c r="BQ1183" s="4" t="s">
        <v>124</v>
      </c>
      <c r="BR1183" s="7">
        <v>9.0909000000000004E-2</v>
      </c>
      <c r="BS1183" s="7">
        <v>41.818182</v>
      </c>
      <c r="BT1183" s="7">
        <v>50</v>
      </c>
      <c r="BU1183" s="7">
        <v>9.8720000000000002E-2</v>
      </c>
      <c r="BV1183" s="7">
        <v>40.255941</v>
      </c>
      <c r="BW1183" s="7">
        <v>50</v>
      </c>
      <c r="BX1183" s="7">
        <v>1</v>
      </c>
      <c r="BY1183" s="7">
        <v>50</v>
      </c>
      <c r="BZ1183" s="7">
        <v>50</v>
      </c>
      <c r="CA1183" s="7">
        <v>0.52702700000000002</v>
      </c>
      <c r="CB1183" s="7">
        <v>35.135134999999998</v>
      </c>
      <c r="CC1183" s="7">
        <v>50</v>
      </c>
      <c r="CD1183" s="7">
        <v>0.90816300000000005</v>
      </c>
      <c r="CE1183" s="7">
        <v>48.306556999999998</v>
      </c>
      <c r="CF1183" s="7">
        <v>50</v>
      </c>
      <c r="CG1183" s="7">
        <v>0.961538</v>
      </c>
      <c r="CH1183" s="7">
        <v>100</v>
      </c>
      <c r="CI1183" s="7">
        <v>100</v>
      </c>
      <c r="CJ1183" s="4" t="s">
        <v>124</v>
      </c>
      <c r="CK1183" s="4" t="s">
        <v>124</v>
      </c>
      <c r="CL1183" s="4" t="s">
        <v>124</v>
      </c>
      <c r="CM1183" s="4" t="s">
        <v>124</v>
      </c>
      <c r="CN1183" s="7">
        <v>0.86206899999999997</v>
      </c>
      <c r="CO1183" s="7">
        <v>100</v>
      </c>
      <c r="CP1183" s="7">
        <v>100</v>
      </c>
      <c r="CQ1183" s="7">
        <v>0.36206899999999997</v>
      </c>
      <c r="CR1183" s="7">
        <v>0.98305100000000001</v>
      </c>
      <c r="CS1183" s="7">
        <v>24.137930999999998</v>
      </c>
      <c r="CT1183" s="7">
        <v>50</v>
      </c>
      <c r="CU1183" s="7">
        <v>0.496894</v>
      </c>
      <c r="CV1183" s="7">
        <v>41.407867000000003</v>
      </c>
      <c r="CW1183" s="7">
        <v>50</v>
      </c>
      <c r="CX1183" s="4" t="s">
        <v>124</v>
      </c>
      <c r="CY1183" s="4" t="s">
        <v>124</v>
      </c>
      <c r="CZ1183" s="4" t="s">
        <v>124</v>
      </c>
      <c r="DA1183" s="7">
        <v>15.314097</v>
      </c>
      <c r="DB1183" s="7">
        <v>17.400950000000002</v>
      </c>
      <c r="DC1183" s="7">
        <v>16.332519999999999</v>
      </c>
      <c r="DD1183" s="4" t="s">
        <v>124</v>
      </c>
      <c r="DE1183" s="7">
        <v>0</v>
      </c>
      <c r="DF1183" s="6"/>
      <c r="DG1183" s="6"/>
      <c r="DH1183" s="6"/>
      <c r="DI1183" s="6"/>
      <c r="DJ1183" s="7">
        <v>0</v>
      </c>
      <c r="DK1183" s="7">
        <v>0</v>
      </c>
      <c r="DL1183" s="7">
        <v>0</v>
      </c>
      <c r="DM1183" s="7">
        <v>0</v>
      </c>
      <c r="DN1183" s="7">
        <v>0</v>
      </c>
      <c r="DO1183" s="7">
        <v>0</v>
      </c>
      <c r="DP1183" s="6"/>
      <c r="DQ1183" s="4" t="s">
        <v>125</v>
      </c>
    </row>
    <row r="1184" spans="1:121" ht="20" customHeight="1" x14ac:dyDescent="0.15">
      <c r="A1184" s="5">
        <v>2018</v>
      </c>
      <c r="B1184" s="3" t="s">
        <v>319</v>
      </c>
      <c r="C1184" s="4" t="str">
        <f>"2900013"</f>
        <v>2900013</v>
      </c>
      <c r="D1184" s="4" t="s">
        <v>1330</v>
      </c>
      <c r="E1184" s="4" t="str">
        <f>"2900113"</f>
        <v>2900113</v>
      </c>
      <c r="F1184" s="4" t="s">
        <v>1313</v>
      </c>
      <c r="G1184" s="4" t="s">
        <v>328</v>
      </c>
      <c r="H1184" s="7">
        <v>6</v>
      </c>
      <c r="I1184" s="4" t="s">
        <v>329</v>
      </c>
      <c r="J1184" s="4" t="s">
        <v>330</v>
      </c>
      <c r="K1184" s="7">
        <v>590.90684699999997</v>
      </c>
      <c r="L1184" s="7">
        <v>850</v>
      </c>
      <c r="M1184" s="7">
        <v>69.518452999999994</v>
      </c>
      <c r="N1184" s="7">
        <v>3</v>
      </c>
      <c r="O1184" s="7">
        <v>0</v>
      </c>
      <c r="P1184" s="7">
        <v>71.601861999999997</v>
      </c>
      <c r="Q1184" s="7">
        <v>47.734574000000002</v>
      </c>
      <c r="R1184" s="7">
        <v>50</v>
      </c>
      <c r="S1184" s="7">
        <v>68.785413000000005</v>
      </c>
      <c r="T1184" s="7">
        <v>75</v>
      </c>
      <c r="U1184" s="7">
        <v>45.856941999999997</v>
      </c>
      <c r="V1184" s="7">
        <v>50</v>
      </c>
      <c r="W1184" s="7">
        <v>66.716514000000004</v>
      </c>
      <c r="X1184" s="7">
        <v>44.477676000000002</v>
      </c>
      <c r="Y1184" s="7">
        <v>50</v>
      </c>
      <c r="Z1184" s="7">
        <v>73.548327999999998</v>
      </c>
      <c r="AA1184" s="7">
        <v>64.025193000000002</v>
      </c>
      <c r="AB1184" s="7">
        <v>42.683461999999999</v>
      </c>
      <c r="AC1184" s="7">
        <v>50</v>
      </c>
      <c r="AD1184" s="7">
        <v>78.131048000000007</v>
      </c>
      <c r="AE1184" s="7">
        <v>50</v>
      </c>
      <c r="AF1184" s="7">
        <v>50</v>
      </c>
      <c r="AG1184" s="7">
        <v>76.467742000000001</v>
      </c>
      <c r="AH1184" s="4" t="s">
        <v>124</v>
      </c>
      <c r="AI1184" s="7">
        <v>50</v>
      </c>
      <c r="AJ1184" s="7">
        <v>50</v>
      </c>
      <c r="AK1184" s="7">
        <v>6.21</v>
      </c>
      <c r="AL1184" s="7">
        <v>9.52</v>
      </c>
      <c r="AM1184" s="4" t="s">
        <v>124</v>
      </c>
      <c r="AN1184" s="7">
        <v>0.50933099999999998</v>
      </c>
      <c r="AO1184" s="7">
        <v>50.933101000000001</v>
      </c>
      <c r="AP1184" s="7">
        <v>100</v>
      </c>
      <c r="AQ1184" s="7">
        <v>0.52999300000000005</v>
      </c>
      <c r="AR1184" s="7">
        <v>52.999324000000001</v>
      </c>
      <c r="AS1184" s="7">
        <v>100</v>
      </c>
      <c r="AT1184" s="7">
        <v>0.51198299999999997</v>
      </c>
      <c r="AU1184" s="7">
        <v>0.50369600000000003</v>
      </c>
      <c r="AV1184" s="7">
        <v>51.198278999999999</v>
      </c>
      <c r="AW1184" s="7">
        <v>100</v>
      </c>
      <c r="AX1184" s="7">
        <v>0.48871399999999998</v>
      </c>
      <c r="AY1184" s="7">
        <v>0.61771200000000004</v>
      </c>
      <c r="AZ1184" s="7">
        <v>48.871388000000003</v>
      </c>
      <c r="BA1184" s="7">
        <v>100</v>
      </c>
      <c r="BB1184" s="4" t="s">
        <v>124</v>
      </c>
      <c r="BC1184" s="4" t="s">
        <v>124</v>
      </c>
      <c r="BD1184" s="4" t="s">
        <v>124</v>
      </c>
      <c r="BE1184" s="4" t="s">
        <v>124</v>
      </c>
      <c r="BF1184" s="4" t="s">
        <v>124</v>
      </c>
      <c r="BG1184" s="4" t="s">
        <v>124</v>
      </c>
      <c r="BH1184" s="7">
        <v>0</v>
      </c>
      <c r="BI1184" s="7">
        <v>1</v>
      </c>
      <c r="BJ1184" s="7">
        <v>1</v>
      </c>
      <c r="BK1184" s="7">
        <v>1</v>
      </c>
      <c r="BL1184" s="7">
        <v>1</v>
      </c>
      <c r="BM1184" s="7">
        <v>1</v>
      </c>
      <c r="BN1184" s="7">
        <v>1</v>
      </c>
      <c r="BO1184" s="7">
        <v>1</v>
      </c>
      <c r="BP1184" s="7">
        <v>1</v>
      </c>
      <c r="BQ1184" s="4" t="s">
        <v>124</v>
      </c>
      <c r="BR1184" s="7">
        <v>8.7649000000000005E-2</v>
      </c>
      <c r="BS1184" s="7">
        <v>42.470120000000001</v>
      </c>
      <c r="BT1184" s="7">
        <v>50</v>
      </c>
      <c r="BU1184" s="7">
        <v>0.112903</v>
      </c>
      <c r="BV1184" s="7">
        <v>37.419355000000003</v>
      </c>
      <c r="BW1184" s="7">
        <v>50</v>
      </c>
      <c r="BX1184" s="4" t="s">
        <v>124</v>
      </c>
      <c r="BY1184" s="4" t="s">
        <v>124</v>
      </c>
      <c r="BZ1184" s="4" t="s">
        <v>124</v>
      </c>
      <c r="CA1184" s="4" t="s">
        <v>124</v>
      </c>
      <c r="CB1184" s="4" t="s">
        <v>124</v>
      </c>
      <c r="CC1184" s="4" t="s">
        <v>124</v>
      </c>
      <c r="CD1184" s="4" t="s">
        <v>124</v>
      </c>
      <c r="CE1184" s="4" t="s">
        <v>124</v>
      </c>
      <c r="CF1184" s="4" t="s">
        <v>124</v>
      </c>
      <c r="CG1184" s="4" t="s">
        <v>124</v>
      </c>
      <c r="CH1184" s="4" t="s">
        <v>124</v>
      </c>
      <c r="CI1184" s="4" t="s">
        <v>124</v>
      </c>
      <c r="CJ1184" s="4" t="s">
        <v>124</v>
      </c>
      <c r="CK1184" s="4" t="s">
        <v>124</v>
      </c>
      <c r="CL1184" s="4" t="s">
        <v>124</v>
      </c>
      <c r="CM1184" s="4" t="s">
        <v>124</v>
      </c>
      <c r="CN1184" s="4" t="s">
        <v>124</v>
      </c>
      <c r="CO1184" s="4" t="s">
        <v>124</v>
      </c>
      <c r="CP1184" s="4" t="s">
        <v>124</v>
      </c>
      <c r="CQ1184" s="7">
        <v>0.39393899999999998</v>
      </c>
      <c r="CR1184" s="7">
        <v>0.90410999999999997</v>
      </c>
      <c r="CS1184" s="7">
        <v>26.262626000000001</v>
      </c>
      <c r="CT1184" s="7">
        <v>50</v>
      </c>
      <c r="CU1184" s="4" t="s">
        <v>124</v>
      </c>
      <c r="CV1184" s="4" t="s">
        <v>124</v>
      </c>
      <c r="CW1184" s="4" t="s">
        <v>124</v>
      </c>
      <c r="CX1184" s="4" t="s">
        <v>124</v>
      </c>
      <c r="CY1184" s="4" t="s">
        <v>124</v>
      </c>
      <c r="CZ1184" s="4" t="s">
        <v>124</v>
      </c>
      <c r="DA1184" s="7">
        <v>15.314097</v>
      </c>
      <c r="DB1184" s="7">
        <v>17.400950000000002</v>
      </c>
      <c r="DC1184" s="7">
        <v>16.332519999999999</v>
      </c>
      <c r="DD1184" s="4" t="s">
        <v>124</v>
      </c>
      <c r="DE1184" s="7">
        <v>0</v>
      </c>
      <c r="DF1184" s="6"/>
      <c r="DG1184" s="6"/>
      <c r="DH1184" s="6"/>
      <c r="DI1184" s="6"/>
      <c r="DJ1184" s="7">
        <v>0</v>
      </c>
      <c r="DK1184" s="7">
        <v>0</v>
      </c>
      <c r="DL1184" s="7">
        <v>0</v>
      </c>
      <c r="DM1184" s="7">
        <v>0</v>
      </c>
      <c r="DN1184" s="7">
        <v>0</v>
      </c>
      <c r="DO1184" s="7">
        <v>0</v>
      </c>
      <c r="DP1184" s="6"/>
      <c r="DQ1184" s="4" t="s">
        <v>125</v>
      </c>
    </row>
    <row r="1185" spans="1:121" ht="20" customHeight="1" x14ac:dyDescent="0.15">
      <c r="A1185" s="5">
        <v>2018</v>
      </c>
      <c r="B1185" s="3" t="s">
        <v>320</v>
      </c>
      <c r="C1185" s="4" t="str">
        <f t="shared" si="184"/>
        <v>2910013</v>
      </c>
      <c r="D1185" s="4" t="s">
        <v>1331</v>
      </c>
      <c r="E1185" s="4" t="str">
        <f>"2910113"</f>
        <v>2910113</v>
      </c>
      <c r="F1185" s="4" t="s">
        <v>1313</v>
      </c>
      <c r="G1185" s="4" t="s">
        <v>328</v>
      </c>
      <c r="H1185" s="7">
        <v>4</v>
      </c>
      <c r="I1185" s="4" t="s">
        <v>335</v>
      </c>
      <c r="J1185" s="4" t="s">
        <v>330</v>
      </c>
      <c r="K1185" s="7">
        <v>240.90757199999999</v>
      </c>
      <c r="L1185" s="7">
        <v>300</v>
      </c>
      <c r="M1185" s="7">
        <v>80.302524000000005</v>
      </c>
      <c r="N1185" s="7">
        <v>2</v>
      </c>
      <c r="O1185" s="7">
        <v>0</v>
      </c>
      <c r="P1185" s="7">
        <v>64.032691999999997</v>
      </c>
      <c r="Q1185" s="7">
        <v>85.376923000000005</v>
      </c>
      <c r="R1185" s="7">
        <v>100</v>
      </c>
      <c r="S1185" s="4" t="s">
        <v>124</v>
      </c>
      <c r="T1185" s="7">
        <v>68.166610000000006</v>
      </c>
      <c r="U1185" s="4" t="s">
        <v>124</v>
      </c>
      <c r="V1185" s="4" t="s">
        <v>124</v>
      </c>
      <c r="W1185" s="7">
        <v>53.220514999999999</v>
      </c>
      <c r="X1185" s="7">
        <v>70.960686999999993</v>
      </c>
      <c r="Y1185" s="7">
        <v>100</v>
      </c>
      <c r="Z1185" s="7">
        <v>56.931038999999998</v>
      </c>
      <c r="AA1185" s="4" t="s">
        <v>124</v>
      </c>
      <c r="AB1185" s="4" t="s">
        <v>124</v>
      </c>
      <c r="AC1185" s="4" t="s">
        <v>124</v>
      </c>
      <c r="AD1185" s="4" t="s">
        <v>124</v>
      </c>
      <c r="AE1185" s="4" t="s">
        <v>124</v>
      </c>
      <c r="AF1185" s="4" t="s">
        <v>124</v>
      </c>
      <c r="AG1185" s="4" t="s">
        <v>124</v>
      </c>
      <c r="AH1185" s="4" t="s">
        <v>124</v>
      </c>
      <c r="AI1185" s="4" t="s">
        <v>124</v>
      </c>
      <c r="AJ1185" s="4" t="s">
        <v>124</v>
      </c>
      <c r="AK1185" s="4" t="s">
        <v>124</v>
      </c>
      <c r="AL1185" s="4" t="s">
        <v>124</v>
      </c>
      <c r="AM1185" s="4" t="s">
        <v>124</v>
      </c>
      <c r="AN1185" s="4" t="s">
        <v>124</v>
      </c>
      <c r="AO1185" s="4" t="s">
        <v>124</v>
      </c>
      <c r="AP1185" s="4" t="s">
        <v>124</v>
      </c>
      <c r="AQ1185" s="4" t="s">
        <v>124</v>
      </c>
      <c r="AR1185" s="4" t="s">
        <v>124</v>
      </c>
      <c r="AS1185" s="4" t="s">
        <v>124</v>
      </c>
      <c r="AT1185" s="4" t="s">
        <v>124</v>
      </c>
      <c r="AU1185" s="4" t="s">
        <v>124</v>
      </c>
      <c r="AV1185" s="4" t="s">
        <v>124</v>
      </c>
      <c r="AW1185" s="4" t="s">
        <v>124</v>
      </c>
      <c r="AX1185" s="4" t="s">
        <v>124</v>
      </c>
      <c r="AY1185" s="4" t="s">
        <v>124</v>
      </c>
      <c r="AZ1185" s="4" t="s">
        <v>124</v>
      </c>
      <c r="BA1185" s="4" t="s">
        <v>124</v>
      </c>
      <c r="BB1185" s="4" t="s">
        <v>124</v>
      </c>
      <c r="BC1185" s="4" t="s">
        <v>124</v>
      </c>
      <c r="BD1185" s="4" t="s">
        <v>124</v>
      </c>
      <c r="BE1185" s="4" t="s">
        <v>124</v>
      </c>
      <c r="BF1185" s="4" t="s">
        <v>124</v>
      </c>
      <c r="BG1185" s="4" t="s">
        <v>124</v>
      </c>
      <c r="BH1185" s="7">
        <v>0</v>
      </c>
      <c r="BI1185" s="7">
        <v>1</v>
      </c>
      <c r="BJ1185" s="4" t="s">
        <v>124</v>
      </c>
      <c r="BK1185" s="7">
        <v>1</v>
      </c>
      <c r="BL1185" s="7">
        <v>1</v>
      </c>
      <c r="BM1185" s="4" t="s">
        <v>124</v>
      </c>
      <c r="BN1185" s="7">
        <v>1</v>
      </c>
      <c r="BO1185" s="4" t="s">
        <v>124</v>
      </c>
      <c r="BP1185" s="4" t="s">
        <v>124</v>
      </c>
      <c r="BQ1185" s="4" t="s">
        <v>124</v>
      </c>
      <c r="BR1185" s="7">
        <v>8.9430999999999997E-2</v>
      </c>
      <c r="BS1185" s="7">
        <v>42.113821000000002</v>
      </c>
      <c r="BT1185" s="7">
        <v>50</v>
      </c>
      <c r="BU1185" s="7">
        <v>8.7719000000000005E-2</v>
      </c>
      <c r="BV1185" s="7">
        <v>42.456139999999998</v>
      </c>
      <c r="BW1185" s="7">
        <v>50</v>
      </c>
      <c r="BX1185" s="4" t="s">
        <v>124</v>
      </c>
      <c r="BY1185" s="4" t="s">
        <v>124</v>
      </c>
      <c r="BZ1185" s="4" t="s">
        <v>124</v>
      </c>
      <c r="CA1185" s="4" t="s">
        <v>124</v>
      </c>
      <c r="CB1185" s="4" t="s">
        <v>124</v>
      </c>
      <c r="CC1185" s="4" t="s">
        <v>124</v>
      </c>
      <c r="CD1185" s="4" t="s">
        <v>124</v>
      </c>
      <c r="CE1185" s="4" t="s">
        <v>124</v>
      </c>
      <c r="CF1185" s="4" t="s">
        <v>124</v>
      </c>
      <c r="CG1185" s="4" t="s">
        <v>124</v>
      </c>
      <c r="CH1185" s="4" t="s">
        <v>124</v>
      </c>
      <c r="CI1185" s="4" t="s">
        <v>124</v>
      </c>
      <c r="CJ1185" s="4" t="s">
        <v>124</v>
      </c>
      <c r="CK1185" s="4" t="s">
        <v>124</v>
      </c>
      <c r="CL1185" s="4" t="s">
        <v>124</v>
      </c>
      <c r="CM1185" s="4" t="s">
        <v>124</v>
      </c>
      <c r="CN1185" s="4" t="s">
        <v>124</v>
      </c>
      <c r="CO1185" s="4" t="s">
        <v>124</v>
      </c>
      <c r="CP1185" s="4" t="s">
        <v>124</v>
      </c>
      <c r="CQ1185" s="4" t="s">
        <v>124</v>
      </c>
      <c r="CR1185" s="4" t="s">
        <v>124</v>
      </c>
      <c r="CS1185" s="4" t="s">
        <v>124</v>
      </c>
      <c r="CT1185" s="4" t="s">
        <v>124</v>
      </c>
      <c r="CU1185" s="4" t="s">
        <v>124</v>
      </c>
      <c r="CV1185" s="4" t="s">
        <v>124</v>
      </c>
      <c r="CW1185" s="4" t="s">
        <v>124</v>
      </c>
      <c r="CX1185" s="4" t="s">
        <v>124</v>
      </c>
      <c r="CY1185" s="4" t="s">
        <v>124</v>
      </c>
      <c r="CZ1185" s="4" t="s">
        <v>124</v>
      </c>
      <c r="DA1185" s="7">
        <v>15.314097</v>
      </c>
      <c r="DB1185" s="7">
        <v>17.400950000000002</v>
      </c>
      <c r="DC1185" s="7">
        <v>16.332519999999999</v>
      </c>
      <c r="DD1185" s="4" t="s">
        <v>124</v>
      </c>
      <c r="DE1185" s="7">
        <v>0</v>
      </c>
      <c r="DF1185" s="6"/>
      <c r="DG1185" s="6"/>
      <c r="DH1185" s="6"/>
      <c r="DI1185" s="6"/>
      <c r="DJ1185" s="7">
        <v>0</v>
      </c>
      <c r="DK1185" s="7">
        <v>0</v>
      </c>
      <c r="DL1185" s="7">
        <v>0</v>
      </c>
      <c r="DM1185" s="7">
        <v>0</v>
      </c>
      <c r="DN1185" s="7">
        <v>0</v>
      </c>
      <c r="DO1185" s="7">
        <v>0</v>
      </c>
      <c r="DP1185" s="6"/>
      <c r="DQ1185" s="4" t="s">
        <v>125</v>
      </c>
    </row>
    <row r="1186" spans="1:121" ht="20" customHeight="1" x14ac:dyDescent="0.15">
      <c r="A1186" s="5">
        <v>2018</v>
      </c>
      <c r="B1186" s="3" t="s">
        <v>321</v>
      </c>
      <c r="C1186" s="4" t="str">
        <f>"2940013"</f>
        <v>2940013</v>
      </c>
      <c r="D1186" s="4" t="s">
        <v>1332</v>
      </c>
      <c r="E1186" s="4" t="str">
        <f>"2940113"</f>
        <v>2940113</v>
      </c>
      <c r="F1186" s="4" t="s">
        <v>1313</v>
      </c>
      <c r="G1186" s="7">
        <v>6</v>
      </c>
      <c r="H1186" s="7">
        <v>10</v>
      </c>
      <c r="I1186" s="4" t="s">
        <v>335</v>
      </c>
      <c r="J1186" s="4" t="s">
        <v>330</v>
      </c>
      <c r="K1186" s="7">
        <v>506.40380699999997</v>
      </c>
      <c r="L1186" s="7">
        <v>1050</v>
      </c>
      <c r="M1186" s="7">
        <v>48.228934000000002</v>
      </c>
      <c r="N1186" s="7">
        <v>3</v>
      </c>
      <c r="O1186" s="7">
        <v>0</v>
      </c>
      <c r="P1186" s="7">
        <v>52.266235000000002</v>
      </c>
      <c r="Q1186" s="7">
        <v>34.844157000000003</v>
      </c>
      <c r="R1186" s="7">
        <v>50</v>
      </c>
      <c r="S1186" s="7">
        <v>50.670878999999999</v>
      </c>
      <c r="T1186" s="7">
        <v>60.211111000000002</v>
      </c>
      <c r="U1186" s="7">
        <v>33.780586</v>
      </c>
      <c r="V1186" s="7">
        <v>50</v>
      </c>
      <c r="W1186" s="7">
        <v>43.126134</v>
      </c>
      <c r="X1186" s="7">
        <v>28.750755999999999</v>
      </c>
      <c r="Y1186" s="7">
        <v>50</v>
      </c>
      <c r="Z1186" s="7">
        <v>52.912014999999997</v>
      </c>
      <c r="AA1186" s="7">
        <v>41.161098000000003</v>
      </c>
      <c r="AB1186" s="7">
        <v>27.440732000000001</v>
      </c>
      <c r="AC1186" s="7">
        <v>50</v>
      </c>
      <c r="AD1186" s="7">
        <v>52.082521</v>
      </c>
      <c r="AE1186" s="7">
        <v>34.721680999999997</v>
      </c>
      <c r="AF1186" s="7">
        <v>50</v>
      </c>
      <c r="AG1186" s="7">
        <v>51.426907</v>
      </c>
      <c r="AH1186" s="4" t="s">
        <v>124</v>
      </c>
      <c r="AI1186" s="7">
        <v>34.284604000000002</v>
      </c>
      <c r="AJ1186" s="7">
        <v>50</v>
      </c>
      <c r="AK1186" s="7">
        <v>9.5399999999999991</v>
      </c>
      <c r="AL1186" s="7">
        <v>11.75</v>
      </c>
      <c r="AM1186" s="4" t="s">
        <v>124</v>
      </c>
      <c r="AN1186" s="7">
        <v>0.58294100000000004</v>
      </c>
      <c r="AO1186" s="7">
        <v>58.294097999999998</v>
      </c>
      <c r="AP1186" s="7">
        <v>100</v>
      </c>
      <c r="AQ1186" s="7">
        <v>0.405061</v>
      </c>
      <c r="AR1186" s="7">
        <v>40.506138</v>
      </c>
      <c r="AS1186" s="7">
        <v>100</v>
      </c>
      <c r="AT1186" s="7">
        <v>0.55626299999999995</v>
      </c>
      <c r="AU1186" s="7">
        <v>0.712924</v>
      </c>
      <c r="AV1186" s="7">
        <v>55.626330000000003</v>
      </c>
      <c r="AW1186" s="7">
        <v>100</v>
      </c>
      <c r="AX1186" s="7">
        <v>0.38648100000000002</v>
      </c>
      <c r="AY1186" s="7">
        <v>0.49409399999999998</v>
      </c>
      <c r="AZ1186" s="7">
        <v>38.648063</v>
      </c>
      <c r="BA1186" s="7">
        <v>100</v>
      </c>
      <c r="BB1186" s="7">
        <v>0.52063300000000001</v>
      </c>
      <c r="BC1186" s="7">
        <v>26.031665</v>
      </c>
      <c r="BD1186" s="7">
        <v>50</v>
      </c>
      <c r="BE1186" s="7">
        <v>0.32341700000000001</v>
      </c>
      <c r="BF1186" s="7">
        <v>16.170852</v>
      </c>
      <c r="BG1186" s="7">
        <v>50</v>
      </c>
      <c r="BH1186" s="7">
        <v>0</v>
      </c>
      <c r="BI1186" s="7">
        <v>0.98697100000000004</v>
      </c>
      <c r="BJ1186" s="7">
        <v>0.98828099999999997</v>
      </c>
      <c r="BK1186" s="7">
        <v>0.98039200000000004</v>
      </c>
      <c r="BL1186" s="7">
        <v>0.98697100000000004</v>
      </c>
      <c r="BM1186" s="7">
        <v>0.98828099999999997</v>
      </c>
      <c r="BN1186" s="7">
        <v>0.98039200000000004</v>
      </c>
      <c r="BO1186" s="7">
        <v>0.98912999999999995</v>
      </c>
      <c r="BP1186" s="7">
        <v>0.98648599999999997</v>
      </c>
      <c r="BQ1186" s="4" t="s">
        <v>124</v>
      </c>
      <c r="BR1186" s="7">
        <v>0.234043</v>
      </c>
      <c r="BS1186" s="7">
        <v>13.191489000000001</v>
      </c>
      <c r="BT1186" s="7">
        <v>50</v>
      </c>
      <c r="BU1186" s="7">
        <v>0.24712600000000001</v>
      </c>
      <c r="BV1186" s="7">
        <v>10.574712999999999</v>
      </c>
      <c r="BW1186" s="7">
        <v>50</v>
      </c>
      <c r="BX1186" s="4" t="s">
        <v>124</v>
      </c>
      <c r="BY1186" s="4" t="s">
        <v>124</v>
      </c>
      <c r="BZ1186" s="4" t="s">
        <v>124</v>
      </c>
      <c r="CA1186" s="4" t="s">
        <v>124</v>
      </c>
      <c r="CB1186" s="4" t="s">
        <v>124</v>
      </c>
      <c r="CC1186" s="4" t="s">
        <v>124</v>
      </c>
      <c r="CD1186" s="7">
        <v>0.24427499999999999</v>
      </c>
      <c r="CE1186" s="7">
        <v>12.993340999999999</v>
      </c>
      <c r="CF1186" s="7">
        <v>50</v>
      </c>
      <c r="CG1186" s="4" t="s">
        <v>124</v>
      </c>
      <c r="CH1186" s="4" t="s">
        <v>124</v>
      </c>
      <c r="CI1186" s="4" t="s">
        <v>124</v>
      </c>
      <c r="CJ1186" s="4" t="s">
        <v>124</v>
      </c>
      <c r="CK1186" s="4" t="s">
        <v>124</v>
      </c>
      <c r="CL1186" s="4" t="s">
        <v>124</v>
      </c>
      <c r="CM1186" s="4" t="s">
        <v>124</v>
      </c>
      <c r="CN1186" s="4" t="s">
        <v>124</v>
      </c>
      <c r="CO1186" s="4" t="s">
        <v>124</v>
      </c>
      <c r="CP1186" s="4" t="s">
        <v>124</v>
      </c>
      <c r="CQ1186" s="7">
        <v>0.13147400000000001</v>
      </c>
      <c r="CR1186" s="7">
        <v>0.97286799999999996</v>
      </c>
      <c r="CS1186" s="7">
        <v>8.7649399999999993</v>
      </c>
      <c r="CT1186" s="7">
        <v>50</v>
      </c>
      <c r="CU1186" s="7">
        <v>0.38135599999999997</v>
      </c>
      <c r="CV1186" s="7">
        <v>31.779661000000001</v>
      </c>
      <c r="CW1186" s="7">
        <v>50</v>
      </c>
      <c r="CX1186" s="4" t="s">
        <v>124</v>
      </c>
      <c r="CY1186" s="4" t="s">
        <v>124</v>
      </c>
      <c r="CZ1186" s="4" t="s">
        <v>124</v>
      </c>
      <c r="DA1186" s="7">
        <v>15.314097</v>
      </c>
      <c r="DB1186" s="7">
        <v>17.400950000000002</v>
      </c>
      <c r="DC1186" s="7">
        <v>16.332519999999999</v>
      </c>
      <c r="DD1186" s="4" t="s">
        <v>124</v>
      </c>
      <c r="DE1186" s="7">
        <v>0</v>
      </c>
      <c r="DF1186" s="6"/>
      <c r="DG1186" s="6"/>
      <c r="DH1186" s="6"/>
      <c r="DI1186" s="6"/>
      <c r="DJ1186" s="7">
        <v>0</v>
      </c>
      <c r="DK1186" s="7">
        <v>0</v>
      </c>
      <c r="DL1186" s="7">
        <v>0</v>
      </c>
      <c r="DM1186" s="7">
        <v>0</v>
      </c>
      <c r="DN1186" s="7">
        <v>0</v>
      </c>
      <c r="DO1186" s="7">
        <v>0</v>
      </c>
      <c r="DP1186" s="6"/>
      <c r="DQ1186" s="4" t="s">
        <v>125</v>
      </c>
    </row>
    <row r="1187" spans="1:121" ht="20" customHeight="1" x14ac:dyDescent="0.15">
      <c r="A1187" s="5">
        <v>2018</v>
      </c>
      <c r="B1187" s="3" t="s">
        <v>322</v>
      </c>
      <c r="C1187" s="4" t="str">
        <f>"2950013"</f>
        <v>2950013</v>
      </c>
      <c r="D1187" s="4" t="s">
        <v>1333</v>
      </c>
      <c r="E1187" s="4" t="str">
        <f>"2950113"</f>
        <v>2950113</v>
      </c>
      <c r="F1187" s="4" t="s">
        <v>1313</v>
      </c>
      <c r="G1187" s="4" t="s">
        <v>338</v>
      </c>
      <c r="H1187" s="7">
        <v>5</v>
      </c>
      <c r="I1187" s="4" t="s">
        <v>335</v>
      </c>
      <c r="J1187" s="4" t="s">
        <v>330</v>
      </c>
      <c r="K1187" s="7">
        <v>525.14587500000005</v>
      </c>
      <c r="L1187" s="7">
        <v>850</v>
      </c>
      <c r="M1187" s="7">
        <v>61.781868000000003</v>
      </c>
      <c r="N1187" s="7">
        <v>3</v>
      </c>
      <c r="O1187" s="7">
        <v>0</v>
      </c>
      <c r="P1187" s="7">
        <v>66.593853999999993</v>
      </c>
      <c r="Q1187" s="7">
        <v>44.395902</v>
      </c>
      <c r="R1187" s="7">
        <v>50</v>
      </c>
      <c r="S1187" s="7">
        <v>64.704437999999996</v>
      </c>
      <c r="T1187" s="4" t="s">
        <v>124</v>
      </c>
      <c r="U1187" s="7">
        <v>43.136291999999997</v>
      </c>
      <c r="V1187" s="7">
        <v>50</v>
      </c>
      <c r="W1187" s="7">
        <v>64.060057999999998</v>
      </c>
      <c r="X1187" s="7">
        <v>42.706704999999999</v>
      </c>
      <c r="Y1187" s="7">
        <v>50</v>
      </c>
      <c r="Z1187" s="4" t="s">
        <v>124</v>
      </c>
      <c r="AA1187" s="7">
        <v>62.409542000000002</v>
      </c>
      <c r="AB1187" s="7">
        <v>41.606361</v>
      </c>
      <c r="AC1187" s="7">
        <v>50</v>
      </c>
      <c r="AD1187" s="7">
        <v>61.344515999999999</v>
      </c>
      <c r="AE1187" s="7">
        <v>40.896343999999999</v>
      </c>
      <c r="AF1187" s="7">
        <v>50</v>
      </c>
      <c r="AG1187" s="7">
        <v>59.612903000000003</v>
      </c>
      <c r="AH1187" s="4" t="s">
        <v>124</v>
      </c>
      <c r="AI1187" s="7">
        <v>39.741934999999998</v>
      </c>
      <c r="AJ1187" s="7">
        <v>50</v>
      </c>
      <c r="AK1187" s="4" t="s">
        <v>124</v>
      </c>
      <c r="AL1187" s="4" t="s">
        <v>124</v>
      </c>
      <c r="AM1187" s="4" t="s">
        <v>124</v>
      </c>
      <c r="AN1187" s="7">
        <v>0.42341800000000002</v>
      </c>
      <c r="AO1187" s="7">
        <v>42.341779000000002</v>
      </c>
      <c r="AP1187" s="7">
        <v>100</v>
      </c>
      <c r="AQ1187" s="7">
        <v>0.41669699999999998</v>
      </c>
      <c r="AR1187" s="7">
        <v>41.669651999999999</v>
      </c>
      <c r="AS1187" s="7">
        <v>100</v>
      </c>
      <c r="AT1187" s="7">
        <v>0.42871399999999998</v>
      </c>
      <c r="AU1187" s="4" t="s">
        <v>124</v>
      </c>
      <c r="AV1187" s="7">
        <v>42.871388000000003</v>
      </c>
      <c r="AW1187" s="7">
        <v>100</v>
      </c>
      <c r="AX1187" s="7">
        <v>0.40751199999999999</v>
      </c>
      <c r="AY1187" s="4" t="s">
        <v>124</v>
      </c>
      <c r="AZ1187" s="7">
        <v>40.751195000000003</v>
      </c>
      <c r="BA1187" s="7">
        <v>100</v>
      </c>
      <c r="BB1187" s="4" t="s">
        <v>124</v>
      </c>
      <c r="BC1187" s="4" t="s">
        <v>124</v>
      </c>
      <c r="BD1187" s="4" t="s">
        <v>124</v>
      </c>
      <c r="BE1187" s="4" t="s">
        <v>124</v>
      </c>
      <c r="BF1187" s="4" t="s">
        <v>124</v>
      </c>
      <c r="BG1187" s="4" t="s">
        <v>124</v>
      </c>
      <c r="BH1187" s="7">
        <v>0</v>
      </c>
      <c r="BI1187" s="7">
        <v>1</v>
      </c>
      <c r="BJ1187" s="7">
        <v>1</v>
      </c>
      <c r="BK1187" s="4" t="s">
        <v>124</v>
      </c>
      <c r="BL1187" s="7">
        <v>1</v>
      </c>
      <c r="BM1187" s="7">
        <v>1</v>
      </c>
      <c r="BN1187" s="4" t="s">
        <v>124</v>
      </c>
      <c r="BO1187" s="7">
        <v>1</v>
      </c>
      <c r="BP1187" s="7">
        <v>1</v>
      </c>
      <c r="BQ1187" s="4" t="s">
        <v>124</v>
      </c>
      <c r="BR1187" s="7">
        <v>0.12209299999999999</v>
      </c>
      <c r="BS1187" s="7">
        <v>35.581395000000001</v>
      </c>
      <c r="BT1187" s="7">
        <v>50</v>
      </c>
      <c r="BU1187" s="7">
        <v>0.14788699999999999</v>
      </c>
      <c r="BV1187" s="7">
        <v>30.422535</v>
      </c>
      <c r="BW1187" s="7">
        <v>50</v>
      </c>
      <c r="BX1187" s="4" t="s">
        <v>124</v>
      </c>
      <c r="BY1187" s="4" t="s">
        <v>124</v>
      </c>
      <c r="BZ1187" s="4" t="s">
        <v>124</v>
      </c>
      <c r="CA1187" s="4" t="s">
        <v>124</v>
      </c>
      <c r="CB1187" s="4" t="s">
        <v>124</v>
      </c>
      <c r="CC1187" s="4" t="s">
        <v>124</v>
      </c>
      <c r="CD1187" s="4" t="s">
        <v>124</v>
      </c>
      <c r="CE1187" s="4" t="s">
        <v>124</v>
      </c>
      <c r="CF1187" s="4" t="s">
        <v>124</v>
      </c>
      <c r="CG1187" s="4" t="s">
        <v>124</v>
      </c>
      <c r="CH1187" s="4" t="s">
        <v>124</v>
      </c>
      <c r="CI1187" s="4" t="s">
        <v>124</v>
      </c>
      <c r="CJ1187" s="4" t="s">
        <v>124</v>
      </c>
      <c r="CK1187" s="4" t="s">
        <v>124</v>
      </c>
      <c r="CL1187" s="4" t="s">
        <v>124</v>
      </c>
      <c r="CM1187" s="4" t="s">
        <v>124</v>
      </c>
      <c r="CN1187" s="4" t="s">
        <v>124</v>
      </c>
      <c r="CO1187" s="4" t="s">
        <v>124</v>
      </c>
      <c r="CP1187" s="4" t="s">
        <v>124</v>
      </c>
      <c r="CQ1187" s="7">
        <v>0.58536600000000005</v>
      </c>
      <c r="CR1187" s="7">
        <v>1</v>
      </c>
      <c r="CS1187" s="7">
        <v>39.024389999999997</v>
      </c>
      <c r="CT1187" s="7">
        <v>50</v>
      </c>
      <c r="CU1187" s="4" t="s">
        <v>124</v>
      </c>
      <c r="CV1187" s="4" t="s">
        <v>124</v>
      </c>
      <c r="CW1187" s="4" t="s">
        <v>124</v>
      </c>
      <c r="CX1187" s="4" t="s">
        <v>124</v>
      </c>
      <c r="CY1187" s="4" t="s">
        <v>124</v>
      </c>
      <c r="CZ1187" s="4" t="s">
        <v>124</v>
      </c>
      <c r="DA1187" s="7">
        <v>15.314097</v>
      </c>
      <c r="DB1187" s="7">
        <v>17.400950000000002</v>
      </c>
      <c r="DC1187" s="7">
        <v>16.332519999999999</v>
      </c>
      <c r="DD1187" s="4" t="s">
        <v>124</v>
      </c>
      <c r="DE1187" s="7">
        <v>0</v>
      </c>
      <c r="DF1187" s="6"/>
      <c r="DG1187" s="6"/>
      <c r="DH1187" s="6"/>
      <c r="DI1187" s="6"/>
      <c r="DJ1187" s="7">
        <v>0</v>
      </c>
      <c r="DK1187" s="7">
        <v>0</v>
      </c>
      <c r="DL1187" s="7">
        <v>0</v>
      </c>
      <c r="DM1187" s="7">
        <v>0</v>
      </c>
      <c r="DN1187" s="7">
        <v>0</v>
      </c>
      <c r="DO1187" s="7">
        <v>0</v>
      </c>
      <c r="DP1187" s="6"/>
      <c r="DQ1187" s="4" t="s">
        <v>125</v>
      </c>
    </row>
    <row r="1188" spans="1:121" ht="20" customHeight="1" x14ac:dyDescent="0.15">
      <c r="A1188" s="5">
        <v>2018</v>
      </c>
      <c r="B1188" s="3" t="s">
        <v>323</v>
      </c>
      <c r="C1188" s="4" t="str">
        <f t="shared" si="185"/>
        <v>2960013</v>
      </c>
      <c r="D1188" s="4" t="s">
        <v>1334</v>
      </c>
      <c r="E1188" s="4" t="str">
        <f>"2960113"</f>
        <v>2960113</v>
      </c>
      <c r="F1188" s="4" t="s">
        <v>1313</v>
      </c>
      <c r="G1188" s="4" t="s">
        <v>328</v>
      </c>
      <c r="H1188" s="7">
        <v>4</v>
      </c>
      <c r="I1188" s="4" t="s">
        <v>335</v>
      </c>
      <c r="J1188" s="4" t="s">
        <v>330</v>
      </c>
      <c r="K1188" s="7">
        <v>628.23225600000001</v>
      </c>
      <c r="L1188" s="7">
        <v>750</v>
      </c>
      <c r="M1188" s="7">
        <v>83.764301000000003</v>
      </c>
      <c r="N1188" s="7">
        <v>2</v>
      </c>
      <c r="O1188" s="7">
        <v>0</v>
      </c>
      <c r="P1188" s="7">
        <v>86.921521999999996</v>
      </c>
      <c r="Q1188" s="7">
        <v>50</v>
      </c>
      <c r="R1188" s="7">
        <v>50</v>
      </c>
      <c r="S1188" s="7">
        <v>84.965452999999997</v>
      </c>
      <c r="T1188" s="7">
        <v>75</v>
      </c>
      <c r="U1188" s="7">
        <v>50</v>
      </c>
      <c r="V1188" s="7">
        <v>50</v>
      </c>
      <c r="W1188" s="7">
        <v>86.071667000000005</v>
      </c>
      <c r="X1188" s="7">
        <v>50</v>
      </c>
      <c r="Y1188" s="7">
        <v>50</v>
      </c>
      <c r="Z1188" s="7">
        <v>75</v>
      </c>
      <c r="AA1188" s="7">
        <v>83.683981000000003</v>
      </c>
      <c r="AB1188" s="7">
        <v>50</v>
      </c>
      <c r="AC1188" s="7">
        <v>50</v>
      </c>
      <c r="AD1188" s="4" t="s">
        <v>124</v>
      </c>
      <c r="AE1188" s="4" t="s">
        <v>124</v>
      </c>
      <c r="AF1188" s="4" t="s">
        <v>124</v>
      </c>
      <c r="AG1188" s="4" t="s">
        <v>124</v>
      </c>
      <c r="AH1188" s="4" t="s">
        <v>124</v>
      </c>
      <c r="AI1188" s="4" t="s">
        <v>124</v>
      </c>
      <c r="AJ1188" s="4" t="s">
        <v>124</v>
      </c>
      <c r="AK1188" s="7">
        <v>-9.9600000000000009</v>
      </c>
      <c r="AL1188" s="7">
        <v>-8.68</v>
      </c>
      <c r="AM1188" s="4" t="s">
        <v>124</v>
      </c>
      <c r="AN1188" s="7">
        <v>0.89843700000000004</v>
      </c>
      <c r="AO1188" s="7">
        <v>89.843736000000007</v>
      </c>
      <c r="AP1188" s="7">
        <v>100</v>
      </c>
      <c r="AQ1188" s="7">
        <v>0.74051500000000003</v>
      </c>
      <c r="AR1188" s="7">
        <v>74.051452999999995</v>
      </c>
      <c r="AS1188" s="7">
        <v>100</v>
      </c>
      <c r="AT1188" s="7">
        <v>0.82647000000000004</v>
      </c>
      <c r="AU1188" s="4" t="s">
        <v>124</v>
      </c>
      <c r="AV1188" s="7">
        <v>82.646975999999995</v>
      </c>
      <c r="AW1188" s="7">
        <v>100</v>
      </c>
      <c r="AX1188" s="7">
        <v>0.65598400000000001</v>
      </c>
      <c r="AY1188" s="4" t="s">
        <v>124</v>
      </c>
      <c r="AZ1188" s="7">
        <v>65.598352000000006</v>
      </c>
      <c r="BA1188" s="7">
        <v>100</v>
      </c>
      <c r="BB1188" s="4" t="s">
        <v>124</v>
      </c>
      <c r="BC1188" s="4" t="s">
        <v>124</v>
      </c>
      <c r="BD1188" s="4" t="s">
        <v>124</v>
      </c>
      <c r="BE1188" s="4" t="s">
        <v>124</v>
      </c>
      <c r="BF1188" s="4" t="s">
        <v>124</v>
      </c>
      <c r="BG1188" s="4" t="s">
        <v>124</v>
      </c>
      <c r="BH1188" s="7">
        <v>0</v>
      </c>
      <c r="BI1188" s="7">
        <v>1</v>
      </c>
      <c r="BJ1188" s="7">
        <v>1</v>
      </c>
      <c r="BK1188" s="7">
        <v>1</v>
      </c>
      <c r="BL1188" s="7">
        <v>1</v>
      </c>
      <c r="BM1188" s="7">
        <v>1</v>
      </c>
      <c r="BN1188" s="7">
        <v>1</v>
      </c>
      <c r="BO1188" s="4" t="s">
        <v>124</v>
      </c>
      <c r="BP1188" s="4" t="s">
        <v>124</v>
      </c>
      <c r="BQ1188" s="4" t="s">
        <v>124</v>
      </c>
      <c r="BR1188" s="7">
        <v>9.5784999999999995E-2</v>
      </c>
      <c r="BS1188" s="7">
        <v>40.842911999999998</v>
      </c>
      <c r="BT1188" s="7">
        <v>50</v>
      </c>
      <c r="BU1188" s="7">
        <v>7.0422999999999999E-2</v>
      </c>
      <c r="BV1188" s="7">
        <v>45.915492999999998</v>
      </c>
      <c r="BW1188" s="7">
        <v>50</v>
      </c>
      <c r="BX1188" s="4" t="s">
        <v>124</v>
      </c>
      <c r="BY1188" s="4" t="s">
        <v>124</v>
      </c>
      <c r="BZ1188" s="4" t="s">
        <v>124</v>
      </c>
      <c r="CA1188" s="4" t="s">
        <v>124</v>
      </c>
      <c r="CB1188" s="4" t="s">
        <v>124</v>
      </c>
      <c r="CC1188" s="4" t="s">
        <v>124</v>
      </c>
      <c r="CD1188" s="4" t="s">
        <v>124</v>
      </c>
      <c r="CE1188" s="4" t="s">
        <v>124</v>
      </c>
      <c r="CF1188" s="4" t="s">
        <v>124</v>
      </c>
      <c r="CG1188" s="4" t="s">
        <v>124</v>
      </c>
      <c r="CH1188" s="4" t="s">
        <v>124</v>
      </c>
      <c r="CI1188" s="4" t="s">
        <v>124</v>
      </c>
      <c r="CJ1188" s="4" t="s">
        <v>124</v>
      </c>
      <c r="CK1188" s="4" t="s">
        <v>124</v>
      </c>
      <c r="CL1188" s="4" t="s">
        <v>124</v>
      </c>
      <c r="CM1188" s="4" t="s">
        <v>124</v>
      </c>
      <c r="CN1188" s="4" t="s">
        <v>124</v>
      </c>
      <c r="CO1188" s="4" t="s">
        <v>124</v>
      </c>
      <c r="CP1188" s="4" t="s">
        <v>124</v>
      </c>
      <c r="CQ1188" s="7">
        <v>0.44</v>
      </c>
      <c r="CR1188" s="7">
        <v>0.98039200000000004</v>
      </c>
      <c r="CS1188" s="7">
        <v>29.333333</v>
      </c>
      <c r="CT1188" s="7">
        <v>50</v>
      </c>
      <c r="CU1188" s="4" t="s">
        <v>124</v>
      </c>
      <c r="CV1188" s="4" t="s">
        <v>124</v>
      </c>
      <c r="CW1188" s="4" t="s">
        <v>124</v>
      </c>
      <c r="CX1188" s="4" t="s">
        <v>124</v>
      </c>
      <c r="CY1188" s="4" t="s">
        <v>124</v>
      </c>
      <c r="CZ1188" s="4" t="s">
        <v>124</v>
      </c>
      <c r="DA1188" s="7">
        <v>15.314097</v>
      </c>
      <c r="DB1188" s="7">
        <v>17.400950000000002</v>
      </c>
      <c r="DC1188" s="7">
        <v>16.332519999999999</v>
      </c>
      <c r="DD1188" s="4" t="s">
        <v>124</v>
      </c>
      <c r="DE1188" s="7">
        <v>0</v>
      </c>
      <c r="DF1188" s="6"/>
      <c r="DG1188" s="6"/>
      <c r="DH1188" s="4" t="s">
        <v>331</v>
      </c>
      <c r="DI1188" s="4" t="s">
        <v>528</v>
      </c>
      <c r="DJ1188" s="7">
        <v>0</v>
      </c>
      <c r="DK1188" s="7">
        <v>1</v>
      </c>
      <c r="DL1188" s="7">
        <v>0</v>
      </c>
      <c r="DM1188" s="7">
        <v>1</v>
      </c>
      <c r="DN1188" s="7">
        <v>0</v>
      </c>
      <c r="DO1188" s="7">
        <v>0</v>
      </c>
      <c r="DP1188" s="6"/>
      <c r="DQ1188" s="4" t="s">
        <v>125</v>
      </c>
    </row>
    <row r="1189" spans="1:121" ht="20" customHeight="1" x14ac:dyDescent="0.15">
      <c r="A1189" s="5">
        <v>2018</v>
      </c>
      <c r="B1189" s="3" t="s">
        <v>324</v>
      </c>
      <c r="C1189" s="4" t="str">
        <f t="shared" si="186"/>
        <v>2970013</v>
      </c>
      <c r="D1189" s="4" t="s">
        <v>1335</v>
      </c>
      <c r="E1189" s="4" t="str">
        <f>"2970113"</f>
        <v>2970113</v>
      </c>
      <c r="F1189" s="4" t="s">
        <v>1313</v>
      </c>
      <c r="G1189" s="4" t="s">
        <v>338</v>
      </c>
      <c r="H1189" s="7">
        <v>12</v>
      </c>
      <c r="I1189" s="4" t="s">
        <v>335</v>
      </c>
      <c r="J1189" s="4" t="s">
        <v>330</v>
      </c>
      <c r="K1189" s="7">
        <v>761.48371399999996</v>
      </c>
      <c r="L1189" s="7">
        <v>1250</v>
      </c>
      <c r="M1189" s="7">
        <v>60.918697000000002</v>
      </c>
      <c r="N1189" s="7">
        <v>3</v>
      </c>
      <c r="O1189" s="7">
        <v>0</v>
      </c>
      <c r="P1189" s="7">
        <v>57.136149000000003</v>
      </c>
      <c r="Q1189" s="7">
        <v>38.090766000000002</v>
      </c>
      <c r="R1189" s="7">
        <v>50</v>
      </c>
      <c r="S1189" s="7">
        <v>56.295921</v>
      </c>
      <c r="T1189" s="7">
        <v>60.902687999999998</v>
      </c>
      <c r="U1189" s="7">
        <v>37.530614</v>
      </c>
      <c r="V1189" s="7">
        <v>50</v>
      </c>
      <c r="W1189" s="7">
        <v>51.671360999999997</v>
      </c>
      <c r="X1189" s="7">
        <v>34.447574000000003</v>
      </c>
      <c r="Y1189" s="7">
        <v>50</v>
      </c>
      <c r="Z1189" s="7">
        <v>54.993409999999997</v>
      </c>
      <c r="AA1189" s="7">
        <v>50.943064999999997</v>
      </c>
      <c r="AB1189" s="7">
        <v>33.962043000000001</v>
      </c>
      <c r="AC1189" s="7">
        <v>50</v>
      </c>
      <c r="AD1189" s="7">
        <v>53.19623</v>
      </c>
      <c r="AE1189" s="7">
        <v>35.464153000000003</v>
      </c>
      <c r="AF1189" s="7">
        <v>50</v>
      </c>
      <c r="AG1189" s="7">
        <v>51.997228999999997</v>
      </c>
      <c r="AH1189" s="7">
        <v>57.692484999999998</v>
      </c>
      <c r="AI1189" s="7">
        <v>34.664819000000001</v>
      </c>
      <c r="AJ1189" s="7">
        <v>50</v>
      </c>
      <c r="AK1189" s="7">
        <v>4.5999999999999996</v>
      </c>
      <c r="AL1189" s="7">
        <v>4.05</v>
      </c>
      <c r="AM1189" s="7">
        <v>5.69</v>
      </c>
      <c r="AN1189" s="7">
        <v>0.51252399999999998</v>
      </c>
      <c r="AO1189" s="7">
        <v>51.252378</v>
      </c>
      <c r="AP1189" s="7">
        <v>100</v>
      </c>
      <c r="AQ1189" s="7">
        <v>0.64471500000000004</v>
      </c>
      <c r="AR1189" s="7">
        <v>64.471486999999996</v>
      </c>
      <c r="AS1189" s="7">
        <v>100</v>
      </c>
      <c r="AT1189" s="7">
        <v>0.51894899999999999</v>
      </c>
      <c r="AU1189" s="7">
        <v>0.48286800000000002</v>
      </c>
      <c r="AV1189" s="7">
        <v>51.894928999999998</v>
      </c>
      <c r="AW1189" s="7">
        <v>100</v>
      </c>
      <c r="AX1189" s="7">
        <v>0.640733</v>
      </c>
      <c r="AY1189" s="7">
        <v>0.66357600000000005</v>
      </c>
      <c r="AZ1189" s="7">
        <v>64.073316000000005</v>
      </c>
      <c r="BA1189" s="7">
        <v>100</v>
      </c>
      <c r="BB1189" s="4" t="s">
        <v>124</v>
      </c>
      <c r="BC1189" s="4" t="s">
        <v>124</v>
      </c>
      <c r="BD1189" s="4" t="s">
        <v>124</v>
      </c>
      <c r="BE1189" s="4" t="s">
        <v>124</v>
      </c>
      <c r="BF1189" s="4" t="s">
        <v>124</v>
      </c>
      <c r="BG1189" s="4" t="s">
        <v>124</v>
      </c>
      <c r="BH1189" s="7">
        <v>0</v>
      </c>
      <c r="BI1189" s="7">
        <v>1</v>
      </c>
      <c r="BJ1189" s="7">
        <v>1</v>
      </c>
      <c r="BK1189" s="7">
        <v>1</v>
      </c>
      <c r="BL1189" s="7">
        <v>1</v>
      </c>
      <c r="BM1189" s="7">
        <v>1</v>
      </c>
      <c r="BN1189" s="7">
        <v>1</v>
      </c>
      <c r="BO1189" s="7">
        <v>0.99280599999999997</v>
      </c>
      <c r="BP1189" s="7">
        <v>0.99056599999999995</v>
      </c>
      <c r="BQ1189" s="7">
        <v>1</v>
      </c>
      <c r="BR1189" s="7">
        <v>0.111481</v>
      </c>
      <c r="BS1189" s="7">
        <v>37.703826999999997</v>
      </c>
      <c r="BT1189" s="7">
        <v>50</v>
      </c>
      <c r="BU1189" s="7">
        <v>0.124736</v>
      </c>
      <c r="BV1189" s="7">
        <v>35.052854000000004</v>
      </c>
      <c r="BW1189" s="7">
        <v>50</v>
      </c>
      <c r="BX1189" s="7">
        <v>0.169014</v>
      </c>
      <c r="BY1189" s="7">
        <v>11.267606000000001</v>
      </c>
      <c r="BZ1189" s="7">
        <v>50</v>
      </c>
      <c r="CA1189" s="7">
        <v>0.140845</v>
      </c>
      <c r="CB1189" s="7">
        <v>9.3896709999999999</v>
      </c>
      <c r="CC1189" s="7">
        <v>50</v>
      </c>
      <c r="CD1189" s="7">
        <v>0.91176500000000005</v>
      </c>
      <c r="CE1189" s="7">
        <v>48.498123</v>
      </c>
      <c r="CF1189" s="7">
        <v>50</v>
      </c>
      <c r="CG1189" s="7">
        <v>0.5625</v>
      </c>
      <c r="CH1189" s="7">
        <v>59.840426000000001</v>
      </c>
      <c r="CI1189" s="7">
        <v>100</v>
      </c>
      <c r="CJ1189" s="4" t="s">
        <v>124</v>
      </c>
      <c r="CK1189" s="4" t="s">
        <v>124</v>
      </c>
      <c r="CL1189" s="4" t="s">
        <v>124</v>
      </c>
      <c r="CM1189" s="4" t="s">
        <v>124</v>
      </c>
      <c r="CN1189" s="7">
        <v>0.76</v>
      </c>
      <c r="CO1189" s="7">
        <v>100</v>
      </c>
      <c r="CP1189" s="7">
        <v>100</v>
      </c>
      <c r="CQ1189" s="7">
        <v>0.40112999999999999</v>
      </c>
      <c r="CR1189" s="7">
        <v>0.89393900000000004</v>
      </c>
      <c r="CS1189" s="7">
        <v>13.370998</v>
      </c>
      <c r="CT1189" s="7">
        <v>50</v>
      </c>
      <c r="CU1189" s="7">
        <v>6.0980000000000001E-3</v>
      </c>
      <c r="CV1189" s="7">
        <v>0.50812999999999997</v>
      </c>
      <c r="CW1189" s="7">
        <v>50</v>
      </c>
      <c r="CX1189" s="4" t="s">
        <v>124</v>
      </c>
      <c r="CY1189" s="4" t="s">
        <v>124</v>
      </c>
      <c r="CZ1189" s="4" t="s">
        <v>124</v>
      </c>
      <c r="DA1189" s="7">
        <v>15.314097</v>
      </c>
      <c r="DB1189" s="7">
        <v>17.400950000000002</v>
      </c>
      <c r="DC1189" s="7">
        <v>16.332519999999999</v>
      </c>
      <c r="DD1189" s="4" t="s">
        <v>124</v>
      </c>
      <c r="DE1189" s="7">
        <v>0</v>
      </c>
      <c r="DF1189" s="6"/>
      <c r="DG1189" s="6"/>
      <c r="DH1189" s="6"/>
      <c r="DI1189" s="6"/>
      <c r="DJ1189" s="7">
        <v>0</v>
      </c>
      <c r="DK1189" s="7">
        <v>0</v>
      </c>
      <c r="DL1189" s="7">
        <v>0</v>
      </c>
      <c r="DM1189" s="7">
        <v>0</v>
      </c>
      <c r="DN1189" s="7">
        <v>0</v>
      </c>
      <c r="DO1189" s="7">
        <v>0</v>
      </c>
      <c r="DP1189" s="6"/>
      <c r="DQ1189" s="4" t="s">
        <v>125</v>
      </c>
    </row>
    <row r="1190" spans="1:121" ht="20" customHeight="1" x14ac:dyDescent="0.15">
      <c r="A1190" s="5">
        <v>2018</v>
      </c>
      <c r="B1190" s="3" t="s">
        <v>325</v>
      </c>
      <c r="C1190" s="4" t="str">
        <f t="shared" si="187"/>
        <v>3360015</v>
      </c>
      <c r="D1190" s="4" t="s">
        <v>1336</v>
      </c>
      <c r="E1190" s="4" t="str">
        <f>"3360115"</f>
        <v>3360115</v>
      </c>
      <c r="F1190" s="4" t="s">
        <v>1337</v>
      </c>
      <c r="G1190" s="7">
        <v>9</v>
      </c>
      <c r="H1190" s="7">
        <v>12</v>
      </c>
      <c r="I1190" s="6"/>
      <c r="J1190" s="4" t="s">
        <v>330</v>
      </c>
      <c r="K1190" s="7">
        <v>0</v>
      </c>
      <c r="L1190" s="7">
        <v>0</v>
      </c>
      <c r="M1190" s="7">
        <v>0</v>
      </c>
      <c r="N1190" s="4" t="s">
        <v>124</v>
      </c>
      <c r="O1190" s="4" t="s">
        <v>124</v>
      </c>
      <c r="P1190" s="4" t="s">
        <v>124</v>
      </c>
      <c r="Q1190" s="4" t="s">
        <v>124</v>
      </c>
      <c r="R1190" s="4" t="s">
        <v>124</v>
      </c>
      <c r="S1190" s="4" t="s">
        <v>124</v>
      </c>
      <c r="T1190" s="4" t="s">
        <v>124</v>
      </c>
      <c r="U1190" s="4" t="s">
        <v>124</v>
      </c>
      <c r="V1190" s="4" t="s">
        <v>124</v>
      </c>
      <c r="W1190" s="4" t="s">
        <v>124</v>
      </c>
      <c r="X1190" s="4" t="s">
        <v>124</v>
      </c>
      <c r="Y1190" s="4" t="s">
        <v>124</v>
      </c>
      <c r="Z1190" s="4" t="s">
        <v>124</v>
      </c>
      <c r="AA1190" s="4" t="s">
        <v>124</v>
      </c>
      <c r="AB1190" s="4" t="s">
        <v>124</v>
      </c>
      <c r="AC1190" s="4" t="s">
        <v>124</v>
      </c>
      <c r="AD1190" s="4" t="s">
        <v>124</v>
      </c>
      <c r="AE1190" s="4" t="s">
        <v>124</v>
      </c>
      <c r="AF1190" s="4" t="s">
        <v>124</v>
      </c>
      <c r="AG1190" s="4" t="s">
        <v>124</v>
      </c>
      <c r="AH1190" s="4" t="s">
        <v>124</v>
      </c>
      <c r="AI1190" s="4" t="s">
        <v>124</v>
      </c>
      <c r="AJ1190" s="4" t="s">
        <v>124</v>
      </c>
      <c r="AK1190" s="4" t="s">
        <v>124</v>
      </c>
      <c r="AL1190" s="4" t="s">
        <v>124</v>
      </c>
      <c r="AM1190" s="4" t="s">
        <v>124</v>
      </c>
      <c r="AN1190" s="4" t="s">
        <v>124</v>
      </c>
      <c r="AO1190" s="4" t="s">
        <v>124</v>
      </c>
      <c r="AP1190" s="4" t="s">
        <v>124</v>
      </c>
      <c r="AQ1190" s="4" t="s">
        <v>124</v>
      </c>
      <c r="AR1190" s="4" t="s">
        <v>124</v>
      </c>
      <c r="AS1190" s="4" t="s">
        <v>124</v>
      </c>
      <c r="AT1190" s="4" t="s">
        <v>124</v>
      </c>
      <c r="AU1190" s="4" t="s">
        <v>124</v>
      </c>
      <c r="AV1190" s="4" t="s">
        <v>124</v>
      </c>
      <c r="AW1190" s="4" t="s">
        <v>124</v>
      </c>
      <c r="AX1190" s="4" t="s">
        <v>124</v>
      </c>
      <c r="AY1190" s="4" t="s">
        <v>124</v>
      </c>
      <c r="AZ1190" s="4" t="s">
        <v>124</v>
      </c>
      <c r="BA1190" s="4" t="s">
        <v>124</v>
      </c>
      <c r="BB1190" s="4" t="s">
        <v>124</v>
      </c>
      <c r="BC1190" s="4" t="s">
        <v>124</v>
      </c>
      <c r="BD1190" s="4" t="s">
        <v>124</v>
      </c>
      <c r="BE1190" s="4" t="s">
        <v>124</v>
      </c>
      <c r="BF1190" s="4" t="s">
        <v>124</v>
      </c>
      <c r="BG1190" s="4" t="s">
        <v>124</v>
      </c>
      <c r="BH1190" s="4" t="s">
        <v>124</v>
      </c>
      <c r="BI1190" s="4" t="s">
        <v>124</v>
      </c>
      <c r="BJ1190" s="4" t="s">
        <v>124</v>
      </c>
      <c r="BK1190" s="4" t="s">
        <v>124</v>
      </c>
      <c r="BL1190" s="4" t="s">
        <v>124</v>
      </c>
      <c r="BM1190" s="4" t="s">
        <v>124</v>
      </c>
      <c r="BN1190" s="4" t="s">
        <v>124</v>
      </c>
      <c r="BO1190" s="4" t="s">
        <v>124</v>
      </c>
      <c r="BP1190" s="4" t="s">
        <v>124</v>
      </c>
      <c r="BQ1190" s="4" t="s">
        <v>124</v>
      </c>
      <c r="BR1190" s="4" t="s">
        <v>124</v>
      </c>
      <c r="BS1190" s="4" t="s">
        <v>124</v>
      </c>
      <c r="BT1190" s="4" t="s">
        <v>124</v>
      </c>
      <c r="BU1190" s="4" t="s">
        <v>124</v>
      </c>
      <c r="BV1190" s="4" t="s">
        <v>124</v>
      </c>
      <c r="BW1190" s="4" t="s">
        <v>124</v>
      </c>
      <c r="BX1190" s="4" t="s">
        <v>124</v>
      </c>
      <c r="BY1190" s="4" t="s">
        <v>124</v>
      </c>
      <c r="BZ1190" s="4" t="s">
        <v>124</v>
      </c>
      <c r="CA1190" s="4" t="s">
        <v>124</v>
      </c>
      <c r="CB1190" s="4" t="s">
        <v>124</v>
      </c>
      <c r="CC1190" s="4" t="s">
        <v>124</v>
      </c>
      <c r="CD1190" s="4" t="s">
        <v>124</v>
      </c>
      <c r="CE1190" s="4" t="s">
        <v>124</v>
      </c>
      <c r="CF1190" s="4" t="s">
        <v>124</v>
      </c>
      <c r="CG1190" s="4" t="s">
        <v>124</v>
      </c>
      <c r="CH1190" s="4" t="s">
        <v>124</v>
      </c>
      <c r="CI1190" s="4" t="s">
        <v>124</v>
      </c>
      <c r="CJ1190" s="4" t="s">
        <v>124</v>
      </c>
      <c r="CK1190" s="4" t="s">
        <v>124</v>
      </c>
      <c r="CL1190" s="4" t="s">
        <v>124</v>
      </c>
      <c r="CM1190" s="4" t="s">
        <v>124</v>
      </c>
      <c r="CN1190" s="4" t="s">
        <v>124</v>
      </c>
      <c r="CO1190" s="4" t="s">
        <v>124</v>
      </c>
      <c r="CP1190" s="4" t="s">
        <v>124</v>
      </c>
      <c r="CQ1190" s="4" t="s">
        <v>124</v>
      </c>
      <c r="CR1190" s="4" t="s">
        <v>124</v>
      </c>
      <c r="CS1190" s="4" t="s">
        <v>124</v>
      </c>
      <c r="CT1190" s="4" t="s">
        <v>124</v>
      </c>
      <c r="CU1190" s="4" t="s">
        <v>124</v>
      </c>
      <c r="CV1190" s="4" t="s">
        <v>124</v>
      </c>
      <c r="CW1190" s="4" t="s">
        <v>124</v>
      </c>
      <c r="CX1190" s="4" t="s">
        <v>124</v>
      </c>
      <c r="CY1190" s="4" t="s">
        <v>124</v>
      </c>
      <c r="CZ1190" s="4" t="s">
        <v>124</v>
      </c>
      <c r="DA1190" s="4" t="s">
        <v>124</v>
      </c>
      <c r="DB1190" s="4" t="s">
        <v>124</v>
      </c>
      <c r="DC1190" s="4" t="s">
        <v>124</v>
      </c>
      <c r="DD1190" s="4" t="s">
        <v>124</v>
      </c>
      <c r="DE1190" s="4" t="s">
        <v>124</v>
      </c>
      <c r="DF1190" s="6"/>
      <c r="DG1190" s="6"/>
      <c r="DH1190" s="6"/>
      <c r="DI1190" s="6"/>
      <c r="DJ1190" s="4" t="s">
        <v>124</v>
      </c>
      <c r="DK1190" s="4" t="s">
        <v>124</v>
      </c>
      <c r="DL1190" s="4" t="s">
        <v>124</v>
      </c>
      <c r="DM1190" s="4" t="s">
        <v>124</v>
      </c>
      <c r="DN1190" s="4" t="s">
        <v>124</v>
      </c>
      <c r="DO1190" s="4" t="s">
        <v>124</v>
      </c>
      <c r="DP1190" s="6"/>
      <c r="DQ1190" s="4" t="s">
        <v>125</v>
      </c>
    </row>
    <row r="1191" spans="1:121" ht="20" customHeight="1" x14ac:dyDescent="0.15">
      <c r="A1191" s="5">
        <v>2018</v>
      </c>
      <c r="B1191" s="3" t="s">
        <v>325</v>
      </c>
      <c r="C1191" s="4" t="str">
        <f t="shared" ref="C1191:C1200" si="288">"3360015"</f>
        <v>3360015</v>
      </c>
      <c r="D1191" s="4" t="s">
        <v>1338</v>
      </c>
      <c r="E1191" s="4" t="str">
        <f>"3360315"</f>
        <v>3360315</v>
      </c>
      <c r="F1191" s="4" t="s">
        <v>1337</v>
      </c>
      <c r="G1191" s="7">
        <v>9</v>
      </c>
      <c r="H1191" s="7">
        <v>12</v>
      </c>
      <c r="I1191" s="6"/>
      <c r="J1191" s="4" t="s">
        <v>330</v>
      </c>
      <c r="K1191" s="7">
        <v>0</v>
      </c>
      <c r="L1191" s="7">
        <v>0</v>
      </c>
      <c r="M1191" s="7">
        <v>0</v>
      </c>
      <c r="N1191" s="4" t="s">
        <v>124</v>
      </c>
      <c r="O1191" s="4" t="s">
        <v>124</v>
      </c>
      <c r="P1191" s="4" t="s">
        <v>124</v>
      </c>
      <c r="Q1191" s="4" t="s">
        <v>124</v>
      </c>
      <c r="R1191" s="4" t="s">
        <v>124</v>
      </c>
      <c r="S1191" s="4" t="s">
        <v>124</v>
      </c>
      <c r="T1191" s="4" t="s">
        <v>124</v>
      </c>
      <c r="U1191" s="4" t="s">
        <v>124</v>
      </c>
      <c r="V1191" s="4" t="s">
        <v>124</v>
      </c>
      <c r="W1191" s="4" t="s">
        <v>124</v>
      </c>
      <c r="X1191" s="4" t="s">
        <v>124</v>
      </c>
      <c r="Y1191" s="4" t="s">
        <v>124</v>
      </c>
      <c r="Z1191" s="4" t="s">
        <v>124</v>
      </c>
      <c r="AA1191" s="4" t="s">
        <v>124</v>
      </c>
      <c r="AB1191" s="4" t="s">
        <v>124</v>
      </c>
      <c r="AC1191" s="4" t="s">
        <v>124</v>
      </c>
      <c r="AD1191" s="4" t="s">
        <v>124</v>
      </c>
      <c r="AE1191" s="4" t="s">
        <v>124</v>
      </c>
      <c r="AF1191" s="4" t="s">
        <v>124</v>
      </c>
      <c r="AG1191" s="4" t="s">
        <v>124</v>
      </c>
      <c r="AH1191" s="4" t="s">
        <v>124</v>
      </c>
      <c r="AI1191" s="4" t="s">
        <v>124</v>
      </c>
      <c r="AJ1191" s="4" t="s">
        <v>124</v>
      </c>
      <c r="AK1191" s="4" t="s">
        <v>124</v>
      </c>
      <c r="AL1191" s="4" t="s">
        <v>124</v>
      </c>
      <c r="AM1191" s="4" t="s">
        <v>124</v>
      </c>
      <c r="AN1191" s="4" t="s">
        <v>124</v>
      </c>
      <c r="AO1191" s="4" t="s">
        <v>124</v>
      </c>
      <c r="AP1191" s="4" t="s">
        <v>124</v>
      </c>
      <c r="AQ1191" s="4" t="s">
        <v>124</v>
      </c>
      <c r="AR1191" s="4" t="s">
        <v>124</v>
      </c>
      <c r="AS1191" s="4" t="s">
        <v>124</v>
      </c>
      <c r="AT1191" s="4" t="s">
        <v>124</v>
      </c>
      <c r="AU1191" s="4" t="s">
        <v>124</v>
      </c>
      <c r="AV1191" s="4" t="s">
        <v>124</v>
      </c>
      <c r="AW1191" s="4" t="s">
        <v>124</v>
      </c>
      <c r="AX1191" s="4" t="s">
        <v>124</v>
      </c>
      <c r="AY1191" s="4" t="s">
        <v>124</v>
      </c>
      <c r="AZ1191" s="4" t="s">
        <v>124</v>
      </c>
      <c r="BA1191" s="4" t="s">
        <v>124</v>
      </c>
      <c r="BB1191" s="4" t="s">
        <v>124</v>
      </c>
      <c r="BC1191" s="4" t="s">
        <v>124</v>
      </c>
      <c r="BD1191" s="4" t="s">
        <v>124</v>
      </c>
      <c r="BE1191" s="4" t="s">
        <v>124</v>
      </c>
      <c r="BF1191" s="4" t="s">
        <v>124</v>
      </c>
      <c r="BG1191" s="4" t="s">
        <v>124</v>
      </c>
      <c r="BH1191" s="4" t="s">
        <v>124</v>
      </c>
      <c r="BI1191" s="4" t="s">
        <v>124</v>
      </c>
      <c r="BJ1191" s="4" t="s">
        <v>124</v>
      </c>
      <c r="BK1191" s="4" t="s">
        <v>124</v>
      </c>
      <c r="BL1191" s="4" t="s">
        <v>124</v>
      </c>
      <c r="BM1191" s="4" t="s">
        <v>124</v>
      </c>
      <c r="BN1191" s="4" t="s">
        <v>124</v>
      </c>
      <c r="BO1191" s="4" t="s">
        <v>124</v>
      </c>
      <c r="BP1191" s="4" t="s">
        <v>124</v>
      </c>
      <c r="BQ1191" s="4" t="s">
        <v>124</v>
      </c>
      <c r="BR1191" s="4" t="s">
        <v>124</v>
      </c>
      <c r="BS1191" s="4" t="s">
        <v>124</v>
      </c>
      <c r="BT1191" s="4" t="s">
        <v>124</v>
      </c>
      <c r="BU1191" s="4" t="s">
        <v>124</v>
      </c>
      <c r="BV1191" s="4" t="s">
        <v>124</v>
      </c>
      <c r="BW1191" s="4" t="s">
        <v>124</v>
      </c>
      <c r="BX1191" s="4" t="s">
        <v>124</v>
      </c>
      <c r="BY1191" s="4" t="s">
        <v>124</v>
      </c>
      <c r="BZ1191" s="4" t="s">
        <v>124</v>
      </c>
      <c r="CA1191" s="4" t="s">
        <v>124</v>
      </c>
      <c r="CB1191" s="4" t="s">
        <v>124</v>
      </c>
      <c r="CC1191" s="4" t="s">
        <v>124</v>
      </c>
      <c r="CD1191" s="4" t="s">
        <v>124</v>
      </c>
      <c r="CE1191" s="4" t="s">
        <v>124</v>
      </c>
      <c r="CF1191" s="4" t="s">
        <v>124</v>
      </c>
      <c r="CG1191" s="4" t="s">
        <v>124</v>
      </c>
      <c r="CH1191" s="4" t="s">
        <v>124</v>
      </c>
      <c r="CI1191" s="4" t="s">
        <v>124</v>
      </c>
      <c r="CJ1191" s="4" t="s">
        <v>124</v>
      </c>
      <c r="CK1191" s="4" t="s">
        <v>124</v>
      </c>
      <c r="CL1191" s="4" t="s">
        <v>124</v>
      </c>
      <c r="CM1191" s="4" t="s">
        <v>124</v>
      </c>
      <c r="CN1191" s="4" t="s">
        <v>124</v>
      </c>
      <c r="CO1191" s="4" t="s">
        <v>124</v>
      </c>
      <c r="CP1191" s="4" t="s">
        <v>124</v>
      </c>
      <c r="CQ1191" s="4" t="s">
        <v>124</v>
      </c>
      <c r="CR1191" s="4" t="s">
        <v>124</v>
      </c>
      <c r="CS1191" s="4" t="s">
        <v>124</v>
      </c>
      <c r="CT1191" s="4" t="s">
        <v>124</v>
      </c>
      <c r="CU1191" s="4" t="s">
        <v>124</v>
      </c>
      <c r="CV1191" s="4" t="s">
        <v>124</v>
      </c>
      <c r="CW1191" s="4" t="s">
        <v>124</v>
      </c>
      <c r="CX1191" s="4" t="s">
        <v>124</v>
      </c>
      <c r="CY1191" s="4" t="s">
        <v>124</v>
      </c>
      <c r="CZ1191" s="4" t="s">
        <v>124</v>
      </c>
      <c r="DA1191" s="4" t="s">
        <v>124</v>
      </c>
      <c r="DB1191" s="4" t="s">
        <v>124</v>
      </c>
      <c r="DC1191" s="4" t="s">
        <v>124</v>
      </c>
      <c r="DD1191" s="4" t="s">
        <v>124</v>
      </c>
      <c r="DE1191" s="4" t="s">
        <v>124</v>
      </c>
      <c r="DF1191" s="6"/>
      <c r="DG1191" s="6"/>
      <c r="DH1191" s="6"/>
      <c r="DI1191" s="6"/>
      <c r="DJ1191" s="4" t="s">
        <v>124</v>
      </c>
      <c r="DK1191" s="4" t="s">
        <v>124</v>
      </c>
      <c r="DL1191" s="4" t="s">
        <v>124</v>
      </c>
      <c r="DM1191" s="4" t="s">
        <v>124</v>
      </c>
      <c r="DN1191" s="4" t="s">
        <v>124</v>
      </c>
      <c r="DO1191" s="4" t="s">
        <v>124</v>
      </c>
      <c r="DP1191" s="6"/>
      <c r="DQ1191" s="4" t="s">
        <v>125</v>
      </c>
    </row>
    <row r="1192" spans="1:121" ht="20" customHeight="1" x14ac:dyDescent="0.15">
      <c r="A1192" s="5">
        <v>2018</v>
      </c>
      <c r="B1192" s="3" t="s">
        <v>325</v>
      </c>
      <c r="C1192" s="4" t="str">
        <f t="shared" si="288"/>
        <v>3360015</v>
      </c>
      <c r="D1192" s="4" t="s">
        <v>1339</v>
      </c>
      <c r="E1192" s="4" t="str">
        <f>"3362415"</f>
        <v>3362415</v>
      </c>
      <c r="F1192" s="4" t="s">
        <v>1337</v>
      </c>
      <c r="G1192" s="7">
        <v>9</v>
      </c>
      <c r="H1192" s="7">
        <v>12</v>
      </c>
      <c r="I1192" s="6"/>
      <c r="J1192" s="4" t="s">
        <v>330</v>
      </c>
      <c r="K1192" s="7">
        <v>0</v>
      </c>
      <c r="L1192" s="7">
        <v>0</v>
      </c>
      <c r="M1192" s="7">
        <v>0</v>
      </c>
      <c r="N1192" s="4" t="s">
        <v>124</v>
      </c>
      <c r="O1192" s="4" t="s">
        <v>124</v>
      </c>
      <c r="P1192" s="4" t="s">
        <v>124</v>
      </c>
      <c r="Q1192" s="4" t="s">
        <v>124</v>
      </c>
      <c r="R1192" s="4" t="s">
        <v>124</v>
      </c>
      <c r="S1192" s="4" t="s">
        <v>124</v>
      </c>
      <c r="T1192" s="4" t="s">
        <v>124</v>
      </c>
      <c r="U1192" s="4" t="s">
        <v>124</v>
      </c>
      <c r="V1192" s="4" t="s">
        <v>124</v>
      </c>
      <c r="W1192" s="4" t="s">
        <v>124</v>
      </c>
      <c r="X1192" s="4" t="s">
        <v>124</v>
      </c>
      <c r="Y1192" s="4" t="s">
        <v>124</v>
      </c>
      <c r="Z1192" s="4" t="s">
        <v>124</v>
      </c>
      <c r="AA1192" s="4" t="s">
        <v>124</v>
      </c>
      <c r="AB1192" s="4" t="s">
        <v>124</v>
      </c>
      <c r="AC1192" s="4" t="s">
        <v>124</v>
      </c>
      <c r="AD1192" s="4" t="s">
        <v>124</v>
      </c>
      <c r="AE1192" s="4" t="s">
        <v>124</v>
      </c>
      <c r="AF1192" s="4" t="s">
        <v>124</v>
      </c>
      <c r="AG1192" s="4" t="s">
        <v>124</v>
      </c>
      <c r="AH1192" s="4" t="s">
        <v>124</v>
      </c>
      <c r="AI1192" s="4" t="s">
        <v>124</v>
      </c>
      <c r="AJ1192" s="4" t="s">
        <v>124</v>
      </c>
      <c r="AK1192" s="4" t="s">
        <v>124</v>
      </c>
      <c r="AL1192" s="4" t="s">
        <v>124</v>
      </c>
      <c r="AM1192" s="4" t="s">
        <v>124</v>
      </c>
      <c r="AN1192" s="4" t="s">
        <v>124</v>
      </c>
      <c r="AO1192" s="4" t="s">
        <v>124</v>
      </c>
      <c r="AP1192" s="4" t="s">
        <v>124</v>
      </c>
      <c r="AQ1192" s="4" t="s">
        <v>124</v>
      </c>
      <c r="AR1192" s="4" t="s">
        <v>124</v>
      </c>
      <c r="AS1192" s="4" t="s">
        <v>124</v>
      </c>
      <c r="AT1192" s="4" t="s">
        <v>124</v>
      </c>
      <c r="AU1192" s="4" t="s">
        <v>124</v>
      </c>
      <c r="AV1192" s="4" t="s">
        <v>124</v>
      </c>
      <c r="AW1192" s="4" t="s">
        <v>124</v>
      </c>
      <c r="AX1192" s="4" t="s">
        <v>124</v>
      </c>
      <c r="AY1192" s="4" t="s">
        <v>124</v>
      </c>
      <c r="AZ1192" s="4" t="s">
        <v>124</v>
      </c>
      <c r="BA1192" s="4" t="s">
        <v>124</v>
      </c>
      <c r="BB1192" s="4" t="s">
        <v>124</v>
      </c>
      <c r="BC1192" s="4" t="s">
        <v>124</v>
      </c>
      <c r="BD1192" s="4" t="s">
        <v>124</v>
      </c>
      <c r="BE1192" s="4" t="s">
        <v>124</v>
      </c>
      <c r="BF1192" s="4" t="s">
        <v>124</v>
      </c>
      <c r="BG1192" s="4" t="s">
        <v>124</v>
      </c>
      <c r="BH1192" s="4" t="s">
        <v>124</v>
      </c>
      <c r="BI1192" s="4" t="s">
        <v>124</v>
      </c>
      <c r="BJ1192" s="4" t="s">
        <v>124</v>
      </c>
      <c r="BK1192" s="4" t="s">
        <v>124</v>
      </c>
      <c r="BL1192" s="4" t="s">
        <v>124</v>
      </c>
      <c r="BM1192" s="4" t="s">
        <v>124</v>
      </c>
      <c r="BN1192" s="4" t="s">
        <v>124</v>
      </c>
      <c r="BO1192" s="4" t="s">
        <v>124</v>
      </c>
      <c r="BP1192" s="4" t="s">
        <v>124</v>
      </c>
      <c r="BQ1192" s="4" t="s">
        <v>124</v>
      </c>
      <c r="BR1192" s="4" t="s">
        <v>124</v>
      </c>
      <c r="BS1192" s="4" t="s">
        <v>124</v>
      </c>
      <c r="BT1192" s="4" t="s">
        <v>124</v>
      </c>
      <c r="BU1192" s="4" t="s">
        <v>124</v>
      </c>
      <c r="BV1192" s="4" t="s">
        <v>124</v>
      </c>
      <c r="BW1192" s="4" t="s">
        <v>124</v>
      </c>
      <c r="BX1192" s="4" t="s">
        <v>124</v>
      </c>
      <c r="BY1192" s="4" t="s">
        <v>124</v>
      </c>
      <c r="BZ1192" s="4" t="s">
        <v>124</v>
      </c>
      <c r="CA1192" s="4" t="s">
        <v>124</v>
      </c>
      <c r="CB1192" s="4" t="s">
        <v>124</v>
      </c>
      <c r="CC1192" s="4" t="s">
        <v>124</v>
      </c>
      <c r="CD1192" s="4" t="s">
        <v>124</v>
      </c>
      <c r="CE1192" s="4" t="s">
        <v>124</v>
      </c>
      <c r="CF1192" s="4" t="s">
        <v>124</v>
      </c>
      <c r="CG1192" s="4" t="s">
        <v>124</v>
      </c>
      <c r="CH1192" s="4" t="s">
        <v>124</v>
      </c>
      <c r="CI1192" s="4" t="s">
        <v>124</v>
      </c>
      <c r="CJ1192" s="4" t="s">
        <v>124</v>
      </c>
      <c r="CK1192" s="4" t="s">
        <v>124</v>
      </c>
      <c r="CL1192" s="4" t="s">
        <v>124</v>
      </c>
      <c r="CM1192" s="4" t="s">
        <v>124</v>
      </c>
      <c r="CN1192" s="4" t="s">
        <v>124</v>
      </c>
      <c r="CO1192" s="4" t="s">
        <v>124</v>
      </c>
      <c r="CP1192" s="4" t="s">
        <v>124</v>
      </c>
      <c r="CQ1192" s="4" t="s">
        <v>124</v>
      </c>
      <c r="CR1192" s="4" t="s">
        <v>124</v>
      </c>
      <c r="CS1192" s="4" t="s">
        <v>124</v>
      </c>
      <c r="CT1192" s="4" t="s">
        <v>124</v>
      </c>
      <c r="CU1192" s="4" t="s">
        <v>124</v>
      </c>
      <c r="CV1192" s="4" t="s">
        <v>124</v>
      </c>
      <c r="CW1192" s="4" t="s">
        <v>124</v>
      </c>
      <c r="CX1192" s="4" t="s">
        <v>124</v>
      </c>
      <c r="CY1192" s="4" t="s">
        <v>124</v>
      </c>
      <c r="CZ1192" s="4" t="s">
        <v>124</v>
      </c>
      <c r="DA1192" s="4" t="s">
        <v>124</v>
      </c>
      <c r="DB1192" s="4" t="s">
        <v>124</v>
      </c>
      <c r="DC1192" s="4" t="s">
        <v>124</v>
      </c>
      <c r="DD1192" s="4" t="s">
        <v>124</v>
      </c>
      <c r="DE1192" s="4" t="s">
        <v>124</v>
      </c>
      <c r="DF1192" s="6"/>
      <c r="DG1192" s="6"/>
      <c r="DH1192" s="6"/>
      <c r="DI1192" s="6"/>
      <c r="DJ1192" s="4" t="s">
        <v>124</v>
      </c>
      <c r="DK1192" s="4" t="s">
        <v>124</v>
      </c>
      <c r="DL1192" s="4" t="s">
        <v>124</v>
      </c>
      <c r="DM1192" s="4" t="s">
        <v>124</v>
      </c>
      <c r="DN1192" s="4" t="s">
        <v>124</v>
      </c>
      <c r="DO1192" s="4" t="s">
        <v>124</v>
      </c>
      <c r="DP1192" s="6"/>
      <c r="DQ1192" s="4" t="s">
        <v>125</v>
      </c>
    </row>
    <row r="1193" spans="1:121" ht="20" customHeight="1" x14ac:dyDescent="0.15">
      <c r="A1193" s="5">
        <v>2018</v>
      </c>
      <c r="B1193" s="3" t="s">
        <v>325</v>
      </c>
      <c r="C1193" s="4" t="str">
        <f t="shared" si="288"/>
        <v>3360015</v>
      </c>
      <c r="D1193" s="4" t="s">
        <v>1340</v>
      </c>
      <c r="E1193" s="4" t="str">
        <f>"3361915"</f>
        <v>3361915</v>
      </c>
      <c r="F1193" s="4" t="s">
        <v>1337</v>
      </c>
      <c r="G1193" s="7">
        <v>9</v>
      </c>
      <c r="H1193" s="7">
        <v>12</v>
      </c>
      <c r="I1193" s="6"/>
      <c r="J1193" s="4" t="s">
        <v>330</v>
      </c>
      <c r="K1193" s="7">
        <v>0</v>
      </c>
      <c r="L1193" s="7">
        <v>0</v>
      </c>
      <c r="M1193" s="7">
        <v>0</v>
      </c>
      <c r="N1193" s="4" t="s">
        <v>124</v>
      </c>
      <c r="O1193" s="4" t="s">
        <v>124</v>
      </c>
      <c r="P1193" s="4" t="s">
        <v>124</v>
      </c>
      <c r="Q1193" s="4" t="s">
        <v>124</v>
      </c>
      <c r="R1193" s="4" t="s">
        <v>124</v>
      </c>
      <c r="S1193" s="4" t="s">
        <v>124</v>
      </c>
      <c r="T1193" s="4" t="s">
        <v>124</v>
      </c>
      <c r="U1193" s="4" t="s">
        <v>124</v>
      </c>
      <c r="V1193" s="4" t="s">
        <v>124</v>
      </c>
      <c r="W1193" s="4" t="s">
        <v>124</v>
      </c>
      <c r="X1193" s="4" t="s">
        <v>124</v>
      </c>
      <c r="Y1193" s="4" t="s">
        <v>124</v>
      </c>
      <c r="Z1193" s="4" t="s">
        <v>124</v>
      </c>
      <c r="AA1193" s="4" t="s">
        <v>124</v>
      </c>
      <c r="AB1193" s="4" t="s">
        <v>124</v>
      </c>
      <c r="AC1193" s="4" t="s">
        <v>124</v>
      </c>
      <c r="AD1193" s="4" t="s">
        <v>124</v>
      </c>
      <c r="AE1193" s="4" t="s">
        <v>124</v>
      </c>
      <c r="AF1193" s="4" t="s">
        <v>124</v>
      </c>
      <c r="AG1193" s="4" t="s">
        <v>124</v>
      </c>
      <c r="AH1193" s="4" t="s">
        <v>124</v>
      </c>
      <c r="AI1193" s="4" t="s">
        <v>124</v>
      </c>
      <c r="AJ1193" s="4" t="s">
        <v>124</v>
      </c>
      <c r="AK1193" s="4" t="s">
        <v>124</v>
      </c>
      <c r="AL1193" s="4" t="s">
        <v>124</v>
      </c>
      <c r="AM1193" s="4" t="s">
        <v>124</v>
      </c>
      <c r="AN1193" s="4" t="s">
        <v>124</v>
      </c>
      <c r="AO1193" s="4" t="s">
        <v>124</v>
      </c>
      <c r="AP1193" s="4" t="s">
        <v>124</v>
      </c>
      <c r="AQ1193" s="4" t="s">
        <v>124</v>
      </c>
      <c r="AR1193" s="4" t="s">
        <v>124</v>
      </c>
      <c r="AS1193" s="4" t="s">
        <v>124</v>
      </c>
      <c r="AT1193" s="4" t="s">
        <v>124</v>
      </c>
      <c r="AU1193" s="4" t="s">
        <v>124</v>
      </c>
      <c r="AV1193" s="4" t="s">
        <v>124</v>
      </c>
      <c r="AW1193" s="4" t="s">
        <v>124</v>
      </c>
      <c r="AX1193" s="4" t="s">
        <v>124</v>
      </c>
      <c r="AY1193" s="4" t="s">
        <v>124</v>
      </c>
      <c r="AZ1193" s="4" t="s">
        <v>124</v>
      </c>
      <c r="BA1193" s="4" t="s">
        <v>124</v>
      </c>
      <c r="BB1193" s="4" t="s">
        <v>124</v>
      </c>
      <c r="BC1193" s="4" t="s">
        <v>124</v>
      </c>
      <c r="BD1193" s="4" t="s">
        <v>124</v>
      </c>
      <c r="BE1193" s="4" t="s">
        <v>124</v>
      </c>
      <c r="BF1193" s="4" t="s">
        <v>124</v>
      </c>
      <c r="BG1193" s="4" t="s">
        <v>124</v>
      </c>
      <c r="BH1193" s="4" t="s">
        <v>124</v>
      </c>
      <c r="BI1193" s="4" t="s">
        <v>124</v>
      </c>
      <c r="BJ1193" s="4" t="s">
        <v>124</v>
      </c>
      <c r="BK1193" s="4" t="s">
        <v>124</v>
      </c>
      <c r="BL1193" s="4" t="s">
        <v>124</v>
      </c>
      <c r="BM1193" s="4" t="s">
        <v>124</v>
      </c>
      <c r="BN1193" s="4" t="s">
        <v>124</v>
      </c>
      <c r="BO1193" s="4" t="s">
        <v>124</v>
      </c>
      <c r="BP1193" s="4" t="s">
        <v>124</v>
      </c>
      <c r="BQ1193" s="4" t="s">
        <v>124</v>
      </c>
      <c r="BR1193" s="4" t="s">
        <v>124</v>
      </c>
      <c r="BS1193" s="4" t="s">
        <v>124</v>
      </c>
      <c r="BT1193" s="4" t="s">
        <v>124</v>
      </c>
      <c r="BU1193" s="4" t="s">
        <v>124</v>
      </c>
      <c r="BV1193" s="4" t="s">
        <v>124</v>
      </c>
      <c r="BW1193" s="4" t="s">
        <v>124</v>
      </c>
      <c r="BX1193" s="4" t="s">
        <v>124</v>
      </c>
      <c r="BY1193" s="4" t="s">
        <v>124</v>
      </c>
      <c r="BZ1193" s="4" t="s">
        <v>124</v>
      </c>
      <c r="CA1193" s="4" t="s">
        <v>124</v>
      </c>
      <c r="CB1193" s="4" t="s">
        <v>124</v>
      </c>
      <c r="CC1193" s="4" t="s">
        <v>124</v>
      </c>
      <c r="CD1193" s="4" t="s">
        <v>124</v>
      </c>
      <c r="CE1193" s="4" t="s">
        <v>124</v>
      </c>
      <c r="CF1193" s="4" t="s">
        <v>124</v>
      </c>
      <c r="CG1193" s="4" t="s">
        <v>124</v>
      </c>
      <c r="CH1193" s="4" t="s">
        <v>124</v>
      </c>
      <c r="CI1193" s="4" t="s">
        <v>124</v>
      </c>
      <c r="CJ1193" s="4" t="s">
        <v>124</v>
      </c>
      <c r="CK1193" s="4" t="s">
        <v>124</v>
      </c>
      <c r="CL1193" s="4" t="s">
        <v>124</v>
      </c>
      <c r="CM1193" s="4" t="s">
        <v>124</v>
      </c>
      <c r="CN1193" s="4" t="s">
        <v>124</v>
      </c>
      <c r="CO1193" s="4" t="s">
        <v>124</v>
      </c>
      <c r="CP1193" s="4" t="s">
        <v>124</v>
      </c>
      <c r="CQ1193" s="4" t="s">
        <v>124</v>
      </c>
      <c r="CR1193" s="4" t="s">
        <v>124</v>
      </c>
      <c r="CS1193" s="4" t="s">
        <v>124</v>
      </c>
      <c r="CT1193" s="4" t="s">
        <v>124</v>
      </c>
      <c r="CU1193" s="4" t="s">
        <v>124</v>
      </c>
      <c r="CV1193" s="4" t="s">
        <v>124</v>
      </c>
      <c r="CW1193" s="4" t="s">
        <v>124</v>
      </c>
      <c r="CX1193" s="4" t="s">
        <v>124</v>
      </c>
      <c r="CY1193" s="4" t="s">
        <v>124</v>
      </c>
      <c r="CZ1193" s="4" t="s">
        <v>124</v>
      </c>
      <c r="DA1193" s="4" t="s">
        <v>124</v>
      </c>
      <c r="DB1193" s="4" t="s">
        <v>124</v>
      </c>
      <c r="DC1193" s="4" t="s">
        <v>124</v>
      </c>
      <c r="DD1193" s="4" t="s">
        <v>124</v>
      </c>
      <c r="DE1193" s="4" t="s">
        <v>124</v>
      </c>
      <c r="DF1193" s="6"/>
      <c r="DG1193" s="6"/>
      <c r="DH1193" s="6"/>
      <c r="DI1193" s="6"/>
      <c r="DJ1193" s="4" t="s">
        <v>124</v>
      </c>
      <c r="DK1193" s="4" t="s">
        <v>124</v>
      </c>
      <c r="DL1193" s="4" t="s">
        <v>124</v>
      </c>
      <c r="DM1193" s="4" t="s">
        <v>124</v>
      </c>
      <c r="DN1193" s="4" t="s">
        <v>124</v>
      </c>
      <c r="DO1193" s="4" t="s">
        <v>124</v>
      </c>
      <c r="DP1193" s="6"/>
      <c r="DQ1193" s="4" t="s">
        <v>125</v>
      </c>
    </row>
    <row r="1194" spans="1:121" ht="20" customHeight="1" x14ac:dyDescent="0.15">
      <c r="A1194" s="5">
        <v>2018</v>
      </c>
      <c r="B1194" s="3" t="s">
        <v>325</v>
      </c>
      <c r="C1194" s="4" t="str">
        <f t="shared" si="288"/>
        <v>3360015</v>
      </c>
      <c r="D1194" s="4" t="s">
        <v>1341</v>
      </c>
      <c r="E1194" s="4" t="str">
        <f>"3362215"</f>
        <v>3362215</v>
      </c>
      <c r="F1194" s="4" t="s">
        <v>1337</v>
      </c>
      <c r="G1194" s="7">
        <v>7</v>
      </c>
      <c r="H1194" s="7">
        <v>12</v>
      </c>
      <c r="I1194" s="6"/>
      <c r="J1194" s="4" t="s">
        <v>330</v>
      </c>
      <c r="K1194" s="7">
        <v>0</v>
      </c>
      <c r="L1194" s="7">
        <v>0</v>
      </c>
      <c r="M1194" s="7">
        <v>0</v>
      </c>
      <c r="N1194" s="4" t="s">
        <v>124</v>
      </c>
      <c r="O1194" s="4" t="s">
        <v>124</v>
      </c>
      <c r="P1194" s="4" t="s">
        <v>124</v>
      </c>
      <c r="Q1194" s="4" t="s">
        <v>124</v>
      </c>
      <c r="R1194" s="4" t="s">
        <v>124</v>
      </c>
      <c r="S1194" s="4" t="s">
        <v>124</v>
      </c>
      <c r="T1194" s="4" t="s">
        <v>124</v>
      </c>
      <c r="U1194" s="4" t="s">
        <v>124</v>
      </c>
      <c r="V1194" s="4" t="s">
        <v>124</v>
      </c>
      <c r="W1194" s="4" t="s">
        <v>124</v>
      </c>
      <c r="X1194" s="4" t="s">
        <v>124</v>
      </c>
      <c r="Y1194" s="4" t="s">
        <v>124</v>
      </c>
      <c r="Z1194" s="4" t="s">
        <v>124</v>
      </c>
      <c r="AA1194" s="4" t="s">
        <v>124</v>
      </c>
      <c r="AB1194" s="4" t="s">
        <v>124</v>
      </c>
      <c r="AC1194" s="4" t="s">
        <v>124</v>
      </c>
      <c r="AD1194" s="4" t="s">
        <v>124</v>
      </c>
      <c r="AE1194" s="4" t="s">
        <v>124</v>
      </c>
      <c r="AF1194" s="4" t="s">
        <v>124</v>
      </c>
      <c r="AG1194" s="4" t="s">
        <v>124</v>
      </c>
      <c r="AH1194" s="4" t="s">
        <v>124</v>
      </c>
      <c r="AI1194" s="4" t="s">
        <v>124</v>
      </c>
      <c r="AJ1194" s="4" t="s">
        <v>124</v>
      </c>
      <c r="AK1194" s="4" t="s">
        <v>124</v>
      </c>
      <c r="AL1194" s="4" t="s">
        <v>124</v>
      </c>
      <c r="AM1194" s="4" t="s">
        <v>124</v>
      </c>
      <c r="AN1194" s="4" t="s">
        <v>124</v>
      </c>
      <c r="AO1194" s="4" t="s">
        <v>124</v>
      </c>
      <c r="AP1194" s="4" t="s">
        <v>124</v>
      </c>
      <c r="AQ1194" s="4" t="s">
        <v>124</v>
      </c>
      <c r="AR1194" s="4" t="s">
        <v>124</v>
      </c>
      <c r="AS1194" s="4" t="s">
        <v>124</v>
      </c>
      <c r="AT1194" s="4" t="s">
        <v>124</v>
      </c>
      <c r="AU1194" s="4" t="s">
        <v>124</v>
      </c>
      <c r="AV1194" s="4" t="s">
        <v>124</v>
      </c>
      <c r="AW1194" s="4" t="s">
        <v>124</v>
      </c>
      <c r="AX1194" s="4" t="s">
        <v>124</v>
      </c>
      <c r="AY1194" s="4" t="s">
        <v>124</v>
      </c>
      <c r="AZ1194" s="4" t="s">
        <v>124</v>
      </c>
      <c r="BA1194" s="4" t="s">
        <v>124</v>
      </c>
      <c r="BB1194" s="4" t="s">
        <v>124</v>
      </c>
      <c r="BC1194" s="4" t="s">
        <v>124</v>
      </c>
      <c r="BD1194" s="4" t="s">
        <v>124</v>
      </c>
      <c r="BE1194" s="4" t="s">
        <v>124</v>
      </c>
      <c r="BF1194" s="4" t="s">
        <v>124</v>
      </c>
      <c r="BG1194" s="4" t="s">
        <v>124</v>
      </c>
      <c r="BH1194" s="4" t="s">
        <v>124</v>
      </c>
      <c r="BI1194" s="4" t="s">
        <v>124</v>
      </c>
      <c r="BJ1194" s="4" t="s">
        <v>124</v>
      </c>
      <c r="BK1194" s="4" t="s">
        <v>124</v>
      </c>
      <c r="BL1194" s="4" t="s">
        <v>124</v>
      </c>
      <c r="BM1194" s="4" t="s">
        <v>124</v>
      </c>
      <c r="BN1194" s="4" t="s">
        <v>124</v>
      </c>
      <c r="BO1194" s="4" t="s">
        <v>124</v>
      </c>
      <c r="BP1194" s="4" t="s">
        <v>124</v>
      </c>
      <c r="BQ1194" s="4" t="s">
        <v>124</v>
      </c>
      <c r="BR1194" s="4" t="s">
        <v>124</v>
      </c>
      <c r="BS1194" s="4" t="s">
        <v>124</v>
      </c>
      <c r="BT1194" s="4" t="s">
        <v>124</v>
      </c>
      <c r="BU1194" s="4" t="s">
        <v>124</v>
      </c>
      <c r="BV1194" s="4" t="s">
        <v>124</v>
      </c>
      <c r="BW1194" s="4" t="s">
        <v>124</v>
      </c>
      <c r="BX1194" s="4" t="s">
        <v>124</v>
      </c>
      <c r="BY1194" s="4" t="s">
        <v>124</v>
      </c>
      <c r="BZ1194" s="4" t="s">
        <v>124</v>
      </c>
      <c r="CA1194" s="4" t="s">
        <v>124</v>
      </c>
      <c r="CB1194" s="4" t="s">
        <v>124</v>
      </c>
      <c r="CC1194" s="4" t="s">
        <v>124</v>
      </c>
      <c r="CD1194" s="4" t="s">
        <v>124</v>
      </c>
      <c r="CE1194" s="4" t="s">
        <v>124</v>
      </c>
      <c r="CF1194" s="4" t="s">
        <v>124</v>
      </c>
      <c r="CG1194" s="4" t="s">
        <v>124</v>
      </c>
      <c r="CH1194" s="4" t="s">
        <v>124</v>
      </c>
      <c r="CI1194" s="4" t="s">
        <v>124</v>
      </c>
      <c r="CJ1194" s="4" t="s">
        <v>124</v>
      </c>
      <c r="CK1194" s="4" t="s">
        <v>124</v>
      </c>
      <c r="CL1194" s="4" t="s">
        <v>124</v>
      </c>
      <c r="CM1194" s="4" t="s">
        <v>124</v>
      </c>
      <c r="CN1194" s="4" t="s">
        <v>124</v>
      </c>
      <c r="CO1194" s="4" t="s">
        <v>124</v>
      </c>
      <c r="CP1194" s="4" t="s">
        <v>124</v>
      </c>
      <c r="CQ1194" s="4" t="s">
        <v>124</v>
      </c>
      <c r="CR1194" s="4" t="s">
        <v>124</v>
      </c>
      <c r="CS1194" s="4" t="s">
        <v>124</v>
      </c>
      <c r="CT1194" s="4" t="s">
        <v>124</v>
      </c>
      <c r="CU1194" s="4" t="s">
        <v>124</v>
      </c>
      <c r="CV1194" s="4" t="s">
        <v>124</v>
      </c>
      <c r="CW1194" s="4" t="s">
        <v>124</v>
      </c>
      <c r="CX1194" s="4" t="s">
        <v>124</v>
      </c>
      <c r="CY1194" s="4" t="s">
        <v>124</v>
      </c>
      <c r="CZ1194" s="4" t="s">
        <v>124</v>
      </c>
      <c r="DA1194" s="4" t="s">
        <v>124</v>
      </c>
      <c r="DB1194" s="4" t="s">
        <v>124</v>
      </c>
      <c r="DC1194" s="4" t="s">
        <v>124</v>
      </c>
      <c r="DD1194" s="4" t="s">
        <v>124</v>
      </c>
      <c r="DE1194" s="4" t="s">
        <v>124</v>
      </c>
      <c r="DF1194" s="6"/>
      <c r="DG1194" s="6"/>
      <c r="DH1194" s="6"/>
      <c r="DI1194" s="6"/>
      <c r="DJ1194" s="4" t="s">
        <v>124</v>
      </c>
      <c r="DK1194" s="4" t="s">
        <v>124</v>
      </c>
      <c r="DL1194" s="4" t="s">
        <v>124</v>
      </c>
      <c r="DM1194" s="4" t="s">
        <v>124</v>
      </c>
      <c r="DN1194" s="4" t="s">
        <v>124</v>
      </c>
      <c r="DO1194" s="4" t="s">
        <v>124</v>
      </c>
      <c r="DP1194" s="6"/>
      <c r="DQ1194" s="4" t="s">
        <v>125</v>
      </c>
    </row>
    <row r="1195" spans="1:121" ht="20" customHeight="1" x14ac:dyDescent="0.15">
      <c r="A1195" s="5">
        <v>2018</v>
      </c>
      <c r="B1195" s="3" t="s">
        <v>325</v>
      </c>
      <c r="C1195" s="4" t="str">
        <f t="shared" si="288"/>
        <v>3360015</v>
      </c>
      <c r="D1195" s="4" t="s">
        <v>1342</v>
      </c>
      <c r="E1195" s="4" t="str">
        <f>"3361115"</f>
        <v>3361115</v>
      </c>
      <c r="F1195" s="4" t="s">
        <v>1337</v>
      </c>
      <c r="G1195" s="7">
        <v>7</v>
      </c>
      <c r="H1195" s="7">
        <v>12</v>
      </c>
      <c r="I1195" s="6"/>
      <c r="J1195" s="4" t="s">
        <v>330</v>
      </c>
      <c r="K1195" s="7">
        <v>100.967118</v>
      </c>
      <c r="L1195" s="7">
        <v>250</v>
      </c>
      <c r="M1195" s="7">
        <v>40.386847000000003</v>
      </c>
      <c r="N1195" s="4" t="s">
        <v>124</v>
      </c>
      <c r="O1195" s="4" t="s">
        <v>124</v>
      </c>
      <c r="P1195" s="4" t="s">
        <v>124</v>
      </c>
      <c r="Q1195" s="4" t="s">
        <v>124</v>
      </c>
      <c r="R1195" s="4" t="s">
        <v>124</v>
      </c>
      <c r="S1195" s="4" t="s">
        <v>124</v>
      </c>
      <c r="T1195" s="4" t="s">
        <v>124</v>
      </c>
      <c r="U1195" s="4" t="s">
        <v>124</v>
      </c>
      <c r="V1195" s="4" t="s">
        <v>124</v>
      </c>
      <c r="W1195" s="4" t="s">
        <v>124</v>
      </c>
      <c r="X1195" s="4" t="s">
        <v>124</v>
      </c>
      <c r="Y1195" s="4" t="s">
        <v>124</v>
      </c>
      <c r="Z1195" s="4" t="s">
        <v>124</v>
      </c>
      <c r="AA1195" s="4" t="s">
        <v>124</v>
      </c>
      <c r="AB1195" s="4" t="s">
        <v>124</v>
      </c>
      <c r="AC1195" s="4" t="s">
        <v>124</v>
      </c>
      <c r="AD1195" s="4" t="s">
        <v>124</v>
      </c>
      <c r="AE1195" s="4" t="s">
        <v>124</v>
      </c>
      <c r="AF1195" s="4" t="s">
        <v>124</v>
      </c>
      <c r="AG1195" s="4" t="s">
        <v>124</v>
      </c>
      <c r="AH1195" s="4" t="s">
        <v>124</v>
      </c>
      <c r="AI1195" s="4" t="s">
        <v>124</v>
      </c>
      <c r="AJ1195" s="4" t="s">
        <v>124</v>
      </c>
      <c r="AK1195" s="4" t="s">
        <v>124</v>
      </c>
      <c r="AL1195" s="4" t="s">
        <v>124</v>
      </c>
      <c r="AM1195" s="4" t="s">
        <v>124</v>
      </c>
      <c r="AN1195" s="4" t="s">
        <v>124</v>
      </c>
      <c r="AO1195" s="4" t="s">
        <v>124</v>
      </c>
      <c r="AP1195" s="4" t="s">
        <v>124</v>
      </c>
      <c r="AQ1195" s="4" t="s">
        <v>124</v>
      </c>
      <c r="AR1195" s="4" t="s">
        <v>124</v>
      </c>
      <c r="AS1195" s="4" t="s">
        <v>124</v>
      </c>
      <c r="AT1195" s="4" t="s">
        <v>124</v>
      </c>
      <c r="AU1195" s="4" t="s">
        <v>124</v>
      </c>
      <c r="AV1195" s="4" t="s">
        <v>124</v>
      </c>
      <c r="AW1195" s="4" t="s">
        <v>124</v>
      </c>
      <c r="AX1195" s="4" t="s">
        <v>124</v>
      </c>
      <c r="AY1195" s="4" t="s">
        <v>124</v>
      </c>
      <c r="AZ1195" s="4" t="s">
        <v>124</v>
      </c>
      <c r="BA1195" s="4" t="s">
        <v>124</v>
      </c>
      <c r="BB1195" s="4" t="s">
        <v>124</v>
      </c>
      <c r="BC1195" s="4" t="s">
        <v>124</v>
      </c>
      <c r="BD1195" s="4" t="s">
        <v>124</v>
      </c>
      <c r="BE1195" s="4" t="s">
        <v>124</v>
      </c>
      <c r="BF1195" s="4" t="s">
        <v>124</v>
      </c>
      <c r="BG1195" s="4" t="s">
        <v>124</v>
      </c>
      <c r="BH1195" s="4" t="s">
        <v>124</v>
      </c>
      <c r="BI1195" s="4" t="s">
        <v>124</v>
      </c>
      <c r="BJ1195" s="4" t="s">
        <v>124</v>
      </c>
      <c r="BK1195" s="4" t="s">
        <v>124</v>
      </c>
      <c r="BL1195" s="4" t="s">
        <v>124</v>
      </c>
      <c r="BM1195" s="4" t="s">
        <v>124</v>
      </c>
      <c r="BN1195" s="4" t="s">
        <v>124</v>
      </c>
      <c r="BO1195" s="4" t="s">
        <v>124</v>
      </c>
      <c r="BP1195" s="4" t="s">
        <v>124</v>
      </c>
      <c r="BQ1195" s="4" t="s">
        <v>124</v>
      </c>
      <c r="BR1195" s="7">
        <v>1.9608E-2</v>
      </c>
      <c r="BS1195" s="7">
        <v>50</v>
      </c>
      <c r="BT1195" s="7">
        <v>50</v>
      </c>
      <c r="BU1195" s="7">
        <v>1.9608E-2</v>
      </c>
      <c r="BV1195" s="7">
        <v>50</v>
      </c>
      <c r="BW1195" s="7">
        <v>50</v>
      </c>
      <c r="BX1195" s="4" t="s">
        <v>124</v>
      </c>
      <c r="BY1195" s="4" t="s">
        <v>124</v>
      </c>
      <c r="BZ1195" s="4" t="s">
        <v>124</v>
      </c>
      <c r="CA1195" s="4" t="s">
        <v>124</v>
      </c>
      <c r="CB1195" s="4" t="s">
        <v>124</v>
      </c>
      <c r="CC1195" s="4" t="s">
        <v>124</v>
      </c>
      <c r="CD1195" s="7">
        <v>1.8182E-2</v>
      </c>
      <c r="CE1195" s="7">
        <v>0.96711800000000003</v>
      </c>
      <c r="CF1195" s="7">
        <v>50</v>
      </c>
      <c r="CG1195" s="4" t="s">
        <v>124</v>
      </c>
      <c r="CH1195" s="4" t="s">
        <v>124</v>
      </c>
      <c r="CI1195" s="4" t="s">
        <v>124</v>
      </c>
      <c r="CJ1195" s="4" t="s">
        <v>124</v>
      </c>
      <c r="CK1195" s="4" t="s">
        <v>124</v>
      </c>
      <c r="CL1195" s="4" t="s">
        <v>124</v>
      </c>
      <c r="CM1195" s="4" t="s">
        <v>124</v>
      </c>
      <c r="CN1195" s="4" t="s">
        <v>124</v>
      </c>
      <c r="CO1195" s="4" t="s">
        <v>124</v>
      </c>
      <c r="CP1195" s="4" t="s">
        <v>124</v>
      </c>
      <c r="CQ1195" s="4" t="s">
        <v>124</v>
      </c>
      <c r="CR1195" s="4" t="s">
        <v>124</v>
      </c>
      <c r="CS1195" s="7">
        <v>0</v>
      </c>
      <c r="CT1195" s="7">
        <v>50</v>
      </c>
      <c r="CU1195" s="7">
        <v>0</v>
      </c>
      <c r="CV1195" s="7">
        <v>0</v>
      </c>
      <c r="CW1195" s="7">
        <v>50</v>
      </c>
      <c r="CX1195" s="4" t="s">
        <v>124</v>
      </c>
      <c r="CY1195" s="4" t="s">
        <v>124</v>
      </c>
      <c r="CZ1195" s="4" t="s">
        <v>124</v>
      </c>
      <c r="DA1195" s="4" t="s">
        <v>124</v>
      </c>
      <c r="DB1195" s="4" t="s">
        <v>124</v>
      </c>
      <c r="DC1195" s="4" t="s">
        <v>124</v>
      </c>
      <c r="DD1195" s="4" t="s">
        <v>124</v>
      </c>
      <c r="DE1195" s="4" t="s">
        <v>124</v>
      </c>
      <c r="DF1195" s="6"/>
      <c r="DG1195" s="6"/>
      <c r="DH1195" s="6"/>
      <c r="DI1195" s="6"/>
      <c r="DJ1195" s="4" t="s">
        <v>124</v>
      </c>
      <c r="DK1195" s="4" t="s">
        <v>124</v>
      </c>
      <c r="DL1195" s="4" t="s">
        <v>124</v>
      </c>
      <c r="DM1195" s="4" t="s">
        <v>124</v>
      </c>
      <c r="DN1195" s="4" t="s">
        <v>124</v>
      </c>
      <c r="DO1195" s="4" t="s">
        <v>124</v>
      </c>
      <c r="DP1195" s="6"/>
      <c r="DQ1195" s="4" t="s">
        <v>125</v>
      </c>
    </row>
    <row r="1196" spans="1:121" ht="20" customHeight="1" x14ac:dyDescent="0.15">
      <c r="A1196" s="5">
        <v>2018</v>
      </c>
      <c r="B1196" s="3" t="s">
        <v>325</v>
      </c>
      <c r="C1196" s="4" t="str">
        <f t="shared" si="288"/>
        <v>3360015</v>
      </c>
      <c r="D1196" s="4" t="s">
        <v>1343</v>
      </c>
      <c r="E1196" s="4" t="str">
        <f>"3362615"</f>
        <v>3362615</v>
      </c>
      <c r="F1196" s="4" t="s">
        <v>1337</v>
      </c>
      <c r="G1196" s="7">
        <v>9</v>
      </c>
      <c r="H1196" s="7">
        <v>12</v>
      </c>
      <c r="I1196" s="6"/>
      <c r="J1196" s="4" t="s">
        <v>330</v>
      </c>
      <c r="K1196" s="7">
        <v>0</v>
      </c>
      <c r="L1196" s="7">
        <v>0</v>
      </c>
      <c r="M1196" s="7">
        <v>0</v>
      </c>
      <c r="N1196" s="4" t="s">
        <v>124</v>
      </c>
      <c r="O1196" s="4" t="s">
        <v>124</v>
      </c>
      <c r="P1196" s="4" t="s">
        <v>124</v>
      </c>
      <c r="Q1196" s="4" t="s">
        <v>124</v>
      </c>
      <c r="R1196" s="4" t="s">
        <v>124</v>
      </c>
      <c r="S1196" s="4" t="s">
        <v>124</v>
      </c>
      <c r="T1196" s="4" t="s">
        <v>124</v>
      </c>
      <c r="U1196" s="4" t="s">
        <v>124</v>
      </c>
      <c r="V1196" s="4" t="s">
        <v>124</v>
      </c>
      <c r="W1196" s="4" t="s">
        <v>124</v>
      </c>
      <c r="X1196" s="4" t="s">
        <v>124</v>
      </c>
      <c r="Y1196" s="4" t="s">
        <v>124</v>
      </c>
      <c r="Z1196" s="4" t="s">
        <v>124</v>
      </c>
      <c r="AA1196" s="4" t="s">
        <v>124</v>
      </c>
      <c r="AB1196" s="4" t="s">
        <v>124</v>
      </c>
      <c r="AC1196" s="4" t="s">
        <v>124</v>
      </c>
      <c r="AD1196" s="4" t="s">
        <v>124</v>
      </c>
      <c r="AE1196" s="4" t="s">
        <v>124</v>
      </c>
      <c r="AF1196" s="4" t="s">
        <v>124</v>
      </c>
      <c r="AG1196" s="4" t="s">
        <v>124</v>
      </c>
      <c r="AH1196" s="4" t="s">
        <v>124</v>
      </c>
      <c r="AI1196" s="4" t="s">
        <v>124</v>
      </c>
      <c r="AJ1196" s="4" t="s">
        <v>124</v>
      </c>
      <c r="AK1196" s="4" t="s">
        <v>124</v>
      </c>
      <c r="AL1196" s="4" t="s">
        <v>124</v>
      </c>
      <c r="AM1196" s="4" t="s">
        <v>124</v>
      </c>
      <c r="AN1196" s="4" t="s">
        <v>124</v>
      </c>
      <c r="AO1196" s="4" t="s">
        <v>124</v>
      </c>
      <c r="AP1196" s="4" t="s">
        <v>124</v>
      </c>
      <c r="AQ1196" s="4" t="s">
        <v>124</v>
      </c>
      <c r="AR1196" s="4" t="s">
        <v>124</v>
      </c>
      <c r="AS1196" s="4" t="s">
        <v>124</v>
      </c>
      <c r="AT1196" s="4" t="s">
        <v>124</v>
      </c>
      <c r="AU1196" s="4" t="s">
        <v>124</v>
      </c>
      <c r="AV1196" s="4" t="s">
        <v>124</v>
      </c>
      <c r="AW1196" s="4" t="s">
        <v>124</v>
      </c>
      <c r="AX1196" s="4" t="s">
        <v>124</v>
      </c>
      <c r="AY1196" s="4" t="s">
        <v>124</v>
      </c>
      <c r="AZ1196" s="4" t="s">
        <v>124</v>
      </c>
      <c r="BA1196" s="4" t="s">
        <v>124</v>
      </c>
      <c r="BB1196" s="4" t="s">
        <v>124</v>
      </c>
      <c r="BC1196" s="4" t="s">
        <v>124</v>
      </c>
      <c r="BD1196" s="4" t="s">
        <v>124</v>
      </c>
      <c r="BE1196" s="4" t="s">
        <v>124</v>
      </c>
      <c r="BF1196" s="4" t="s">
        <v>124</v>
      </c>
      <c r="BG1196" s="4" t="s">
        <v>124</v>
      </c>
      <c r="BH1196" s="4" t="s">
        <v>124</v>
      </c>
      <c r="BI1196" s="4" t="s">
        <v>124</v>
      </c>
      <c r="BJ1196" s="4" t="s">
        <v>124</v>
      </c>
      <c r="BK1196" s="4" t="s">
        <v>124</v>
      </c>
      <c r="BL1196" s="4" t="s">
        <v>124</v>
      </c>
      <c r="BM1196" s="4" t="s">
        <v>124</v>
      </c>
      <c r="BN1196" s="4" t="s">
        <v>124</v>
      </c>
      <c r="BO1196" s="4" t="s">
        <v>124</v>
      </c>
      <c r="BP1196" s="4" t="s">
        <v>124</v>
      </c>
      <c r="BQ1196" s="4" t="s">
        <v>124</v>
      </c>
      <c r="BR1196" s="4" t="s">
        <v>124</v>
      </c>
      <c r="BS1196" s="4" t="s">
        <v>124</v>
      </c>
      <c r="BT1196" s="4" t="s">
        <v>124</v>
      </c>
      <c r="BU1196" s="4" t="s">
        <v>124</v>
      </c>
      <c r="BV1196" s="4" t="s">
        <v>124</v>
      </c>
      <c r="BW1196" s="4" t="s">
        <v>124</v>
      </c>
      <c r="BX1196" s="4" t="s">
        <v>124</v>
      </c>
      <c r="BY1196" s="4" t="s">
        <v>124</v>
      </c>
      <c r="BZ1196" s="4" t="s">
        <v>124</v>
      </c>
      <c r="CA1196" s="4" t="s">
        <v>124</v>
      </c>
      <c r="CB1196" s="4" t="s">
        <v>124</v>
      </c>
      <c r="CC1196" s="4" t="s">
        <v>124</v>
      </c>
      <c r="CD1196" s="4" t="s">
        <v>124</v>
      </c>
      <c r="CE1196" s="4" t="s">
        <v>124</v>
      </c>
      <c r="CF1196" s="4" t="s">
        <v>124</v>
      </c>
      <c r="CG1196" s="4" t="s">
        <v>124</v>
      </c>
      <c r="CH1196" s="4" t="s">
        <v>124</v>
      </c>
      <c r="CI1196" s="4" t="s">
        <v>124</v>
      </c>
      <c r="CJ1196" s="4" t="s">
        <v>124</v>
      </c>
      <c r="CK1196" s="4" t="s">
        <v>124</v>
      </c>
      <c r="CL1196" s="4" t="s">
        <v>124</v>
      </c>
      <c r="CM1196" s="4" t="s">
        <v>124</v>
      </c>
      <c r="CN1196" s="4" t="s">
        <v>124</v>
      </c>
      <c r="CO1196" s="4" t="s">
        <v>124</v>
      </c>
      <c r="CP1196" s="4" t="s">
        <v>124</v>
      </c>
      <c r="CQ1196" s="4" t="s">
        <v>124</v>
      </c>
      <c r="CR1196" s="4" t="s">
        <v>124</v>
      </c>
      <c r="CS1196" s="4" t="s">
        <v>124</v>
      </c>
      <c r="CT1196" s="4" t="s">
        <v>124</v>
      </c>
      <c r="CU1196" s="4" t="s">
        <v>124</v>
      </c>
      <c r="CV1196" s="4" t="s">
        <v>124</v>
      </c>
      <c r="CW1196" s="4" t="s">
        <v>124</v>
      </c>
      <c r="CX1196" s="4" t="s">
        <v>124</v>
      </c>
      <c r="CY1196" s="4" t="s">
        <v>124</v>
      </c>
      <c r="CZ1196" s="4" t="s">
        <v>124</v>
      </c>
      <c r="DA1196" s="4" t="s">
        <v>124</v>
      </c>
      <c r="DB1196" s="4" t="s">
        <v>124</v>
      </c>
      <c r="DC1196" s="4" t="s">
        <v>124</v>
      </c>
      <c r="DD1196" s="4" t="s">
        <v>124</v>
      </c>
      <c r="DE1196" s="4" t="s">
        <v>124</v>
      </c>
      <c r="DF1196" s="6"/>
      <c r="DG1196" s="6"/>
      <c r="DH1196" s="6"/>
      <c r="DI1196" s="6"/>
      <c r="DJ1196" s="4" t="s">
        <v>124</v>
      </c>
      <c r="DK1196" s="4" t="s">
        <v>124</v>
      </c>
      <c r="DL1196" s="4" t="s">
        <v>124</v>
      </c>
      <c r="DM1196" s="4" t="s">
        <v>124</v>
      </c>
      <c r="DN1196" s="4" t="s">
        <v>124</v>
      </c>
      <c r="DO1196" s="4" t="s">
        <v>124</v>
      </c>
      <c r="DP1196" s="6"/>
      <c r="DQ1196" s="4" t="s">
        <v>125</v>
      </c>
    </row>
    <row r="1197" spans="1:121" ht="20" customHeight="1" x14ac:dyDescent="0.15">
      <c r="A1197" s="5">
        <v>2018</v>
      </c>
      <c r="B1197" s="3" t="s">
        <v>325</v>
      </c>
      <c r="C1197" s="4" t="str">
        <f>"3360015"</f>
        <v>3360015</v>
      </c>
      <c r="D1197" s="4" t="s">
        <v>1344</v>
      </c>
      <c r="E1197" s="4" t="str">
        <f>"3361215"</f>
        <v>3361215</v>
      </c>
      <c r="F1197" s="4" t="s">
        <v>1337</v>
      </c>
      <c r="G1197" s="7">
        <v>9</v>
      </c>
      <c r="H1197" s="7">
        <v>12</v>
      </c>
      <c r="I1197" s="6"/>
      <c r="J1197" s="4" t="s">
        <v>330</v>
      </c>
      <c r="K1197" s="7">
        <v>0</v>
      </c>
      <c r="L1197" s="7">
        <v>0</v>
      </c>
      <c r="M1197" s="7">
        <v>0</v>
      </c>
      <c r="N1197" s="4" t="s">
        <v>124</v>
      </c>
      <c r="O1197" s="4" t="s">
        <v>124</v>
      </c>
      <c r="P1197" s="4" t="s">
        <v>124</v>
      </c>
      <c r="Q1197" s="4" t="s">
        <v>124</v>
      </c>
      <c r="R1197" s="4" t="s">
        <v>124</v>
      </c>
      <c r="S1197" s="4" t="s">
        <v>124</v>
      </c>
      <c r="T1197" s="4" t="s">
        <v>124</v>
      </c>
      <c r="U1197" s="4" t="s">
        <v>124</v>
      </c>
      <c r="V1197" s="4" t="s">
        <v>124</v>
      </c>
      <c r="W1197" s="4" t="s">
        <v>124</v>
      </c>
      <c r="X1197" s="4" t="s">
        <v>124</v>
      </c>
      <c r="Y1197" s="4" t="s">
        <v>124</v>
      </c>
      <c r="Z1197" s="4" t="s">
        <v>124</v>
      </c>
      <c r="AA1197" s="4" t="s">
        <v>124</v>
      </c>
      <c r="AB1197" s="4" t="s">
        <v>124</v>
      </c>
      <c r="AC1197" s="4" t="s">
        <v>124</v>
      </c>
      <c r="AD1197" s="4" t="s">
        <v>124</v>
      </c>
      <c r="AE1197" s="4" t="s">
        <v>124</v>
      </c>
      <c r="AF1197" s="4" t="s">
        <v>124</v>
      </c>
      <c r="AG1197" s="4" t="s">
        <v>124</v>
      </c>
      <c r="AH1197" s="4" t="s">
        <v>124</v>
      </c>
      <c r="AI1197" s="4" t="s">
        <v>124</v>
      </c>
      <c r="AJ1197" s="4" t="s">
        <v>124</v>
      </c>
      <c r="AK1197" s="4" t="s">
        <v>124</v>
      </c>
      <c r="AL1197" s="4" t="s">
        <v>124</v>
      </c>
      <c r="AM1197" s="4" t="s">
        <v>124</v>
      </c>
      <c r="AN1197" s="4" t="s">
        <v>124</v>
      </c>
      <c r="AO1197" s="4" t="s">
        <v>124</v>
      </c>
      <c r="AP1197" s="4" t="s">
        <v>124</v>
      </c>
      <c r="AQ1197" s="4" t="s">
        <v>124</v>
      </c>
      <c r="AR1197" s="4" t="s">
        <v>124</v>
      </c>
      <c r="AS1197" s="4" t="s">
        <v>124</v>
      </c>
      <c r="AT1197" s="4" t="s">
        <v>124</v>
      </c>
      <c r="AU1197" s="4" t="s">
        <v>124</v>
      </c>
      <c r="AV1197" s="4" t="s">
        <v>124</v>
      </c>
      <c r="AW1197" s="4" t="s">
        <v>124</v>
      </c>
      <c r="AX1197" s="4" t="s">
        <v>124</v>
      </c>
      <c r="AY1197" s="4" t="s">
        <v>124</v>
      </c>
      <c r="AZ1197" s="4" t="s">
        <v>124</v>
      </c>
      <c r="BA1197" s="4" t="s">
        <v>124</v>
      </c>
      <c r="BB1197" s="4" t="s">
        <v>124</v>
      </c>
      <c r="BC1197" s="4" t="s">
        <v>124</v>
      </c>
      <c r="BD1197" s="4" t="s">
        <v>124</v>
      </c>
      <c r="BE1197" s="4" t="s">
        <v>124</v>
      </c>
      <c r="BF1197" s="4" t="s">
        <v>124</v>
      </c>
      <c r="BG1197" s="4" t="s">
        <v>124</v>
      </c>
      <c r="BH1197" s="4" t="s">
        <v>124</v>
      </c>
      <c r="BI1197" s="4" t="s">
        <v>124</v>
      </c>
      <c r="BJ1197" s="4" t="s">
        <v>124</v>
      </c>
      <c r="BK1197" s="4" t="s">
        <v>124</v>
      </c>
      <c r="BL1197" s="4" t="s">
        <v>124</v>
      </c>
      <c r="BM1197" s="4" t="s">
        <v>124</v>
      </c>
      <c r="BN1197" s="4" t="s">
        <v>124</v>
      </c>
      <c r="BO1197" s="4" t="s">
        <v>124</v>
      </c>
      <c r="BP1197" s="4" t="s">
        <v>124</v>
      </c>
      <c r="BQ1197" s="4" t="s">
        <v>124</v>
      </c>
      <c r="BR1197" s="4" t="s">
        <v>124</v>
      </c>
      <c r="BS1197" s="4" t="s">
        <v>124</v>
      </c>
      <c r="BT1197" s="4" t="s">
        <v>124</v>
      </c>
      <c r="BU1197" s="4" t="s">
        <v>124</v>
      </c>
      <c r="BV1197" s="4" t="s">
        <v>124</v>
      </c>
      <c r="BW1197" s="4" t="s">
        <v>124</v>
      </c>
      <c r="BX1197" s="4" t="s">
        <v>124</v>
      </c>
      <c r="BY1197" s="4" t="s">
        <v>124</v>
      </c>
      <c r="BZ1197" s="4" t="s">
        <v>124</v>
      </c>
      <c r="CA1197" s="4" t="s">
        <v>124</v>
      </c>
      <c r="CB1197" s="4" t="s">
        <v>124</v>
      </c>
      <c r="CC1197" s="4" t="s">
        <v>124</v>
      </c>
      <c r="CD1197" s="4" t="s">
        <v>124</v>
      </c>
      <c r="CE1197" s="4" t="s">
        <v>124</v>
      </c>
      <c r="CF1197" s="4" t="s">
        <v>124</v>
      </c>
      <c r="CG1197" s="4" t="s">
        <v>124</v>
      </c>
      <c r="CH1197" s="4" t="s">
        <v>124</v>
      </c>
      <c r="CI1197" s="4" t="s">
        <v>124</v>
      </c>
      <c r="CJ1197" s="4" t="s">
        <v>124</v>
      </c>
      <c r="CK1197" s="4" t="s">
        <v>124</v>
      </c>
      <c r="CL1197" s="4" t="s">
        <v>124</v>
      </c>
      <c r="CM1197" s="4" t="s">
        <v>124</v>
      </c>
      <c r="CN1197" s="4" t="s">
        <v>124</v>
      </c>
      <c r="CO1197" s="4" t="s">
        <v>124</v>
      </c>
      <c r="CP1197" s="4" t="s">
        <v>124</v>
      </c>
      <c r="CQ1197" s="4" t="s">
        <v>124</v>
      </c>
      <c r="CR1197" s="4" t="s">
        <v>124</v>
      </c>
      <c r="CS1197" s="4" t="s">
        <v>124</v>
      </c>
      <c r="CT1197" s="4" t="s">
        <v>124</v>
      </c>
      <c r="CU1197" s="4" t="s">
        <v>124</v>
      </c>
      <c r="CV1197" s="4" t="s">
        <v>124</v>
      </c>
      <c r="CW1197" s="4" t="s">
        <v>124</v>
      </c>
      <c r="CX1197" s="4" t="s">
        <v>124</v>
      </c>
      <c r="CY1197" s="4" t="s">
        <v>124</v>
      </c>
      <c r="CZ1197" s="4" t="s">
        <v>124</v>
      </c>
      <c r="DA1197" s="4" t="s">
        <v>124</v>
      </c>
      <c r="DB1197" s="4" t="s">
        <v>124</v>
      </c>
      <c r="DC1197" s="4" t="s">
        <v>124</v>
      </c>
      <c r="DD1197" s="4" t="s">
        <v>124</v>
      </c>
      <c r="DE1197" s="4" t="s">
        <v>124</v>
      </c>
      <c r="DF1197" s="6"/>
      <c r="DG1197" s="6"/>
      <c r="DH1197" s="6"/>
      <c r="DI1197" s="6"/>
      <c r="DJ1197" s="4" t="s">
        <v>124</v>
      </c>
      <c r="DK1197" s="4" t="s">
        <v>124</v>
      </c>
      <c r="DL1197" s="4" t="s">
        <v>124</v>
      </c>
      <c r="DM1197" s="4" t="s">
        <v>124</v>
      </c>
      <c r="DN1197" s="4" t="s">
        <v>124</v>
      </c>
      <c r="DO1197" s="4" t="s">
        <v>124</v>
      </c>
      <c r="DP1197" s="6"/>
      <c r="DQ1197" s="4" t="s">
        <v>125</v>
      </c>
    </row>
    <row r="1198" spans="1:121" ht="20" customHeight="1" x14ac:dyDescent="0.15">
      <c r="A1198" s="5">
        <v>2018</v>
      </c>
      <c r="B1198" s="3" t="s">
        <v>325</v>
      </c>
      <c r="C1198" s="4" t="str">
        <f t="shared" si="288"/>
        <v>3360015</v>
      </c>
      <c r="D1198" s="4" t="s">
        <v>1345</v>
      </c>
      <c r="E1198" s="4" t="str">
        <f>"3361315"</f>
        <v>3361315</v>
      </c>
      <c r="F1198" s="4" t="s">
        <v>1337</v>
      </c>
      <c r="G1198" s="7">
        <v>9</v>
      </c>
      <c r="H1198" s="7">
        <v>12</v>
      </c>
      <c r="I1198" s="6"/>
      <c r="J1198" s="4" t="s">
        <v>330</v>
      </c>
      <c r="K1198" s="7">
        <v>0</v>
      </c>
      <c r="L1198" s="7">
        <v>0</v>
      </c>
      <c r="M1198" s="7">
        <v>0</v>
      </c>
      <c r="N1198" s="4" t="s">
        <v>124</v>
      </c>
      <c r="O1198" s="4" t="s">
        <v>124</v>
      </c>
      <c r="P1198" s="4" t="s">
        <v>124</v>
      </c>
      <c r="Q1198" s="4" t="s">
        <v>124</v>
      </c>
      <c r="R1198" s="4" t="s">
        <v>124</v>
      </c>
      <c r="S1198" s="4" t="s">
        <v>124</v>
      </c>
      <c r="T1198" s="4" t="s">
        <v>124</v>
      </c>
      <c r="U1198" s="4" t="s">
        <v>124</v>
      </c>
      <c r="V1198" s="4" t="s">
        <v>124</v>
      </c>
      <c r="W1198" s="4" t="s">
        <v>124</v>
      </c>
      <c r="X1198" s="4" t="s">
        <v>124</v>
      </c>
      <c r="Y1198" s="4" t="s">
        <v>124</v>
      </c>
      <c r="Z1198" s="4" t="s">
        <v>124</v>
      </c>
      <c r="AA1198" s="4" t="s">
        <v>124</v>
      </c>
      <c r="AB1198" s="4" t="s">
        <v>124</v>
      </c>
      <c r="AC1198" s="4" t="s">
        <v>124</v>
      </c>
      <c r="AD1198" s="4" t="s">
        <v>124</v>
      </c>
      <c r="AE1198" s="4" t="s">
        <v>124</v>
      </c>
      <c r="AF1198" s="4" t="s">
        <v>124</v>
      </c>
      <c r="AG1198" s="4" t="s">
        <v>124</v>
      </c>
      <c r="AH1198" s="4" t="s">
        <v>124</v>
      </c>
      <c r="AI1198" s="4" t="s">
        <v>124</v>
      </c>
      <c r="AJ1198" s="4" t="s">
        <v>124</v>
      </c>
      <c r="AK1198" s="4" t="s">
        <v>124</v>
      </c>
      <c r="AL1198" s="4" t="s">
        <v>124</v>
      </c>
      <c r="AM1198" s="4" t="s">
        <v>124</v>
      </c>
      <c r="AN1198" s="4" t="s">
        <v>124</v>
      </c>
      <c r="AO1198" s="4" t="s">
        <v>124</v>
      </c>
      <c r="AP1198" s="4" t="s">
        <v>124</v>
      </c>
      <c r="AQ1198" s="4" t="s">
        <v>124</v>
      </c>
      <c r="AR1198" s="4" t="s">
        <v>124</v>
      </c>
      <c r="AS1198" s="4" t="s">
        <v>124</v>
      </c>
      <c r="AT1198" s="4" t="s">
        <v>124</v>
      </c>
      <c r="AU1198" s="4" t="s">
        <v>124</v>
      </c>
      <c r="AV1198" s="4" t="s">
        <v>124</v>
      </c>
      <c r="AW1198" s="4" t="s">
        <v>124</v>
      </c>
      <c r="AX1198" s="4" t="s">
        <v>124</v>
      </c>
      <c r="AY1198" s="4" t="s">
        <v>124</v>
      </c>
      <c r="AZ1198" s="4" t="s">
        <v>124</v>
      </c>
      <c r="BA1198" s="4" t="s">
        <v>124</v>
      </c>
      <c r="BB1198" s="4" t="s">
        <v>124</v>
      </c>
      <c r="BC1198" s="4" t="s">
        <v>124</v>
      </c>
      <c r="BD1198" s="4" t="s">
        <v>124</v>
      </c>
      <c r="BE1198" s="4" t="s">
        <v>124</v>
      </c>
      <c r="BF1198" s="4" t="s">
        <v>124</v>
      </c>
      <c r="BG1198" s="4" t="s">
        <v>124</v>
      </c>
      <c r="BH1198" s="4" t="s">
        <v>124</v>
      </c>
      <c r="BI1198" s="4" t="s">
        <v>124</v>
      </c>
      <c r="BJ1198" s="4" t="s">
        <v>124</v>
      </c>
      <c r="BK1198" s="4" t="s">
        <v>124</v>
      </c>
      <c r="BL1198" s="4" t="s">
        <v>124</v>
      </c>
      <c r="BM1198" s="4" t="s">
        <v>124</v>
      </c>
      <c r="BN1198" s="4" t="s">
        <v>124</v>
      </c>
      <c r="BO1198" s="4" t="s">
        <v>124</v>
      </c>
      <c r="BP1198" s="4" t="s">
        <v>124</v>
      </c>
      <c r="BQ1198" s="4" t="s">
        <v>124</v>
      </c>
      <c r="BR1198" s="4" t="s">
        <v>124</v>
      </c>
      <c r="BS1198" s="4" t="s">
        <v>124</v>
      </c>
      <c r="BT1198" s="4" t="s">
        <v>124</v>
      </c>
      <c r="BU1198" s="4" t="s">
        <v>124</v>
      </c>
      <c r="BV1198" s="4" t="s">
        <v>124</v>
      </c>
      <c r="BW1198" s="4" t="s">
        <v>124</v>
      </c>
      <c r="BX1198" s="4" t="s">
        <v>124</v>
      </c>
      <c r="BY1198" s="4" t="s">
        <v>124</v>
      </c>
      <c r="BZ1198" s="4" t="s">
        <v>124</v>
      </c>
      <c r="CA1198" s="4" t="s">
        <v>124</v>
      </c>
      <c r="CB1198" s="4" t="s">
        <v>124</v>
      </c>
      <c r="CC1198" s="4" t="s">
        <v>124</v>
      </c>
      <c r="CD1198" s="4" t="s">
        <v>124</v>
      </c>
      <c r="CE1198" s="4" t="s">
        <v>124</v>
      </c>
      <c r="CF1198" s="4" t="s">
        <v>124</v>
      </c>
      <c r="CG1198" s="4" t="s">
        <v>124</v>
      </c>
      <c r="CH1198" s="4" t="s">
        <v>124</v>
      </c>
      <c r="CI1198" s="4" t="s">
        <v>124</v>
      </c>
      <c r="CJ1198" s="4" t="s">
        <v>124</v>
      </c>
      <c r="CK1198" s="4" t="s">
        <v>124</v>
      </c>
      <c r="CL1198" s="4" t="s">
        <v>124</v>
      </c>
      <c r="CM1198" s="4" t="s">
        <v>124</v>
      </c>
      <c r="CN1198" s="4" t="s">
        <v>124</v>
      </c>
      <c r="CO1198" s="4" t="s">
        <v>124</v>
      </c>
      <c r="CP1198" s="4" t="s">
        <v>124</v>
      </c>
      <c r="CQ1198" s="4" t="s">
        <v>124</v>
      </c>
      <c r="CR1198" s="4" t="s">
        <v>124</v>
      </c>
      <c r="CS1198" s="4" t="s">
        <v>124</v>
      </c>
      <c r="CT1198" s="4" t="s">
        <v>124</v>
      </c>
      <c r="CU1198" s="4" t="s">
        <v>124</v>
      </c>
      <c r="CV1198" s="4" t="s">
        <v>124</v>
      </c>
      <c r="CW1198" s="4" t="s">
        <v>124</v>
      </c>
      <c r="CX1198" s="4" t="s">
        <v>124</v>
      </c>
      <c r="CY1198" s="4" t="s">
        <v>124</v>
      </c>
      <c r="CZ1198" s="4" t="s">
        <v>124</v>
      </c>
      <c r="DA1198" s="4" t="s">
        <v>124</v>
      </c>
      <c r="DB1198" s="4" t="s">
        <v>124</v>
      </c>
      <c r="DC1198" s="4" t="s">
        <v>124</v>
      </c>
      <c r="DD1198" s="4" t="s">
        <v>124</v>
      </c>
      <c r="DE1198" s="4" t="s">
        <v>124</v>
      </c>
      <c r="DF1198" s="6"/>
      <c r="DG1198" s="6"/>
      <c r="DH1198" s="6"/>
      <c r="DI1198" s="6"/>
      <c r="DJ1198" s="4" t="s">
        <v>124</v>
      </c>
      <c r="DK1198" s="4" t="s">
        <v>124</v>
      </c>
      <c r="DL1198" s="4" t="s">
        <v>124</v>
      </c>
      <c r="DM1198" s="4" t="s">
        <v>124</v>
      </c>
      <c r="DN1198" s="4" t="s">
        <v>124</v>
      </c>
      <c r="DO1198" s="4" t="s">
        <v>124</v>
      </c>
      <c r="DP1198" s="6"/>
      <c r="DQ1198" s="4" t="s">
        <v>125</v>
      </c>
    </row>
    <row r="1199" spans="1:121" ht="20" customHeight="1" x14ac:dyDescent="0.15">
      <c r="A1199" s="5">
        <v>2018</v>
      </c>
      <c r="B1199" s="3" t="s">
        <v>325</v>
      </c>
      <c r="C1199" s="4" t="str">
        <f t="shared" si="288"/>
        <v>3360015</v>
      </c>
      <c r="D1199" s="4" t="s">
        <v>1346</v>
      </c>
      <c r="E1199" s="4" t="str">
        <f>"3361515"</f>
        <v>3361515</v>
      </c>
      <c r="F1199" s="4" t="s">
        <v>1337</v>
      </c>
      <c r="G1199" s="7">
        <v>9</v>
      </c>
      <c r="H1199" s="7">
        <v>12</v>
      </c>
      <c r="I1199" s="6"/>
      <c r="J1199" s="4" t="s">
        <v>330</v>
      </c>
      <c r="K1199" s="7">
        <v>0</v>
      </c>
      <c r="L1199" s="7">
        <v>0</v>
      </c>
      <c r="M1199" s="7">
        <v>0</v>
      </c>
      <c r="N1199" s="4" t="s">
        <v>124</v>
      </c>
      <c r="O1199" s="4" t="s">
        <v>124</v>
      </c>
      <c r="P1199" s="4" t="s">
        <v>124</v>
      </c>
      <c r="Q1199" s="4" t="s">
        <v>124</v>
      </c>
      <c r="R1199" s="4" t="s">
        <v>124</v>
      </c>
      <c r="S1199" s="4" t="s">
        <v>124</v>
      </c>
      <c r="T1199" s="4" t="s">
        <v>124</v>
      </c>
      <c r="U1199" s="4" t="s">
        <v>124</v>
      </c>
      <c r="V1199" s="4" t="s">
        <v>124</v>
      </c>
      <c r="W1199" s="4" t="s">
        <v>124</v>
      </c>
      <c r="X1199" s="4" t="s">
        <v>124</v>
      </c>
      <c r="Y1199" s="4" t="s">
        <v>124</v>
      </c>
      <c r="Z1199" s="4" t="s">
        <v>124</v>
      </c>
      <c r="AA1199" s="4" t="s">
        <v>124</v>
      </c>
      <c r="AB1199" s="4" t="s">
        <v>124</v>
      </c>
      <c r="AC1199" s="4" t="s">
        <v>124</v>
      </c>
      <c r="AD1199" s="4" t="s">
        <v>124</v>
      </c>
      <c r="AE1199" s="4" t="s">
        <v>124</v>
      </c>
      <c r="AF1199" s="4" t="s">
        <v>124</v>
      </c>
      <c r="AG1199" s="4" t="s">
        <v>124</v>
      </c>
      <c r="AH1199" s="4" t="s">
        <v>124</v>
      </c>
      <c r="AI1199" s="4" t="s">
        <v>124</v>
      </c>
      <c r="AJ1199" s="4" t="s">
        <v>124</v>
      </c>
      <c r="AK1199" s="4" t="s">
        <v>124</v>
      </c>
      <c r="AL1199" s="4" t="s">
        <v>124</v>
      </c>
      <c r="AM1199" s="4" t="s">
        <v>124</v>
      </c>
      <c r="AN1199" s="4" t="s">
        <v>124</v>
      </c>
      <c r="AO1199" s="4" t="s">
        <v>124</v>
      </c>
      <c r="AP1199" s="4" t="s">
        <v>124</v>
      </c>
      <c r="AQ1199" s="4" t="s">
        <v>124</v>
      </c>
      <c r="AR1199" s="4" t="s">
        <v>124</v>
      </c>
      <c r="AS1199" s="4" t="s">
        <v>124</v>
      </c>
      <c r="AT1199" s="4" t="s">
        <v>124</v>
      </c>
      <c r="AU1199" s="4" t="s">
        <v>124</v>
      </c>
      <c r="AV1199" s="4" t="s">
        <v>124</v>
      </c>
      <c r="AW1199" s="4" t="s">
        <v>124</v>
      </c>
      <c r="AX1199" s="4" t="s">
        <v>124</v>
      </c>
      <c r="AY1199" s="4" t="s">
        <v>124</v>
      </c>
      <c r="AZ1199" s="4" t="s">
        <v>124</v>
      </c>
      <c r="BA1199" s="4" t="s">
        <v>124</v>
      </c>
      <c r="BB1199" s="4" t="s">
        <v>124</v>
      </c>
      <c r="BC1199" s="4" t="s">
        <v>124</v>
      </c>
      <c r="BD1199" s="4" t="s">
        <v>124</v>
      </c>
      <c r="BE1199" s="4" t="s">
        <v>124</v>
      </c>
      <c r="BF1199" s="4" t="s">
        <v>124</v>
      </c>
      <c r="BG1199" s="4" t="s">
        <v>124</v>
      </c>
      <c r="BH1199" s="4" t="s">
        <v>124</v>
      </c>
      <c r="BI1199" s="4" t="s">
        <v>124</v>
      </c>
      <c r="BJ1199" s="4" t="s">
        <v>124</v>
      </c>
      <c r="BK1199" s="4" t="s">
        <v>124</v>
      </c>
      <c r="BL1199" s="4" t="s">
        <v>124</v>
      </c>
      <c r="BM1199" s="4" t="s">
        <v>124</v>
      </c>
      <c r="BN1199" s="4" t="s">
        <v>124</v>
      </c>
      <c r="BO1199" s="4" t="s">
        <v>124</v>
      </c>
      <c r="BP1199" s="4" t="s">
        <v>124</v>
      </c>
      <c r="BQ1199" s="4" t="s">
        <v>124</v>
      </c>
      <c r="BR1199" s="4" t="s">
        <v>124</v>
      </c>
      <c r="BS1199" s="4" t="s">
        <v>124</v>
      </c>
      <c r="BT1199" s="4" t="s">
        <v>124</v>
      </c>
      <c r="BU1199" s="4" t="s">
        <v>124</v>
      </c>
      <c r="BV1199" s="4" t="s">
        <v>124</v>
      </c>
      <c r="BW1199" s="4" t="s">
        <v>124</v>
      </c>
      <c r="BX1199" s="4" t="s">
        <v>124</v>
      </c>
      <c r="BY1199" s="4" t="s">
        <v>124</v>
      </c>
      <c r="BZ1199" s="4" t="s">
        <v>124</v>
      </c>
      <c r="CA1199" s="4" t="s">
        <v>124</v>
      </c>
      <c r="CB1199" s="4" t="s">
        <v>124</v>
      </c>
      <c r="CC1199" s="4" t="s">
        <v>124</v>
      </c>
      <c r="CD1199" s="4" t="s">
        <v>124</v>
      </c>
      <c r="CE1199" s="4" t="s">
        <v>124</v>
      </c>
      <c r="CF1199" s="4" t="s">
        <v>124</v>
      </c>
      <c r="CG1199" s="4" t="s">
        <v>124</v>
      </c>
      <c r="CH1199" s="4" t="s">
        <v>124</v>
      </c>
      <c r="CI1199" s="4" t="s">
        <v>124</v>
      </c>
      <c r="CJ1199" s="4" t="s">
        <v>124</v>
      </c>
      <c r="CK1199" s="4" t="s">
        <v>124</v>
      </c>
      <c r="CL1199" s="4" t="s">
        <v>124</v>
      </c>
      <c r="CM1199" s="4" t="s">
        <v>124</v>
      </c>
      <c r="CN1199" s="4" t="s">
        <v>124</v>
      </c>
      <c r="CO1199" s="4" t="s">
        <v>124</v>
      </c>
      <c r="CP1199" s="4" t="s">
        <v>124</v>
      </c>
      <c r="CQ1199" s="4" t="s">
        <v>124</v>
      </c>
      <c r="CR1199" s="4" t="s">
        <v>124</v>
      </c>
      <c r="CS1199" s="4" t="s">
        <v>124</v>
      </c>
      <c r="CT1199" s="4" t="s">
        <v>124</v>
      </c>
      <c r="CU1199" s="4" t="s">
        <v>124</v>
      </c>
      <c r="CV1199" s="4" t="s">
        <v>124</v>
      </c>
      <c r="CW1199" s="4" t="s">
        <v>124</v>
      </c>
      <c r="CX1199" s="4" t="s">
        <v>124</v>
      </c>
      <c r="CY1199" s="4" t="s">
        <v>124</v>
      </c>
      <c r="CZ1199" s="4" t="s">
        <v>124</v>
      </c>
      <c r="DA1199" s="4" t="s">
        <v>124</v>
      </c>
      <c r="DB1199" s="4" t="s">
        <v>124</v>
      </c>
      <c r="DC1199" s="4" t="s">
        <v>124</v>
      </c>
      <c r="DD1199" s="4" t="s">
        <v>124</v>
      </c>
      <c r="DE1199" s="4" t="s">
        <v>124</v>
      </c>
      <c r="DF1199" s="6"/>
      <c r="DG1199" s="6"/>
      <c r="DH1199" s="6"/>
      <c r="DI1199" s="6"/>
      <c r="DJ1199" s="4" t="s">
        <v>124</v>
      </c>
      <c r="DK1199" s="4" t="s">
        <v>124</v>
      </c>
      <c r="DL1199" s="4" t="s">
        <v>124</v>
      </c>
      <c r="DM1199" s="4" t="s">
        <v>124</v>
      </c>
      <c r="DN1199" s="4" t="s">
        <v>124</v>
      </c>
      <c r="DO1199" s="4" t="s">
        <v>124</v>
      </c>
      <c r="DP1199" s="6"/>
      <c r="DQ1199" s="4" t="s">
        <v>125</v>
      </c>
    </row>
    <row r="1200" spans="1:121" ht="20" customHeight="1" x14ac:dyDescent="0.15">
      <c r="A1200" s="5">
        <v>2018</v>
      </c>
      <c r="B1200" s="3" t="s">
        <v>325</v>
      </c>
      <c r="C1200" s="4" t="str">
        <f t="shared" si="288"/>
        <v>3360015</v>
      </c>
      <c r="D1200" s="4" t="s">
        <v>1347</v>
      </c>
      <c r="E1200" s="4" t="str">
        <f>"3362515"</f>
        <v>3362515</v>
      </c>
      <c r="F1200" s="4" t="s">
        <v>1337</v>
      </c>
      <c r="G1200" s="7">
        <v>7</v>
      </c>
      <c r="H1200" s="7">
        <v>12</v>
      </c>
      <c r="I1200" s="6"/>
      <c r="J1200" s="4" t="s">
        <v>330</v>
      </c>
      <c r="K1200" s="7">
        <v>0</v>
      </c>
      <c r="L1200" s="7">
        <v>0</v>
      </c>
      <c r="M1200" s="7">
        <v>0</v>
      </c>
      <c r="N1200" s="4" t="s">
        <v>124</v>
      </c>
      <c r="O1200" s="4" t="s">
        <v>124</v>
      </c>
      <c r="P1200" s="4" t="s">
        <v>124</v>
      </c>
      <c r="Q1200" s="4" t="s">
        <v>124</v>
      </c>
      <c r="R1200" s="4" t="s">
        <v>124</v>
      </c>
      <c r="S1200" s="4" t="s">
        <v>124</v>
      </c>
      <c r="T1200" s="4" t="s">
        <v>124</v>
      </c>
      <c r="U1200" s="4" t="s">
        <v>124</v>
      </c>
      <c r="V1200" s="4" t="s">
        <v>124</v>
      </c>
      <c r="W1200" s="4" t="s">
        <v>124</v>
      </c>
      <c r="X1200" s="4" t="s">
        <v>124</v>
      </c>
      <c r="Y1200" s="4" t="s">
        <v>124</v>
      </c>
      <c r="Z1200" s="4" t="s">
        <v>124</v>
      </c>
      <c r="AA1200" s="4" t="s">
        <v>124</v>
      </c>
      <c r="AB1200" s="4" t="s">
        <v>124</v>
      </c>
      <c r="AC1200" s="4" t="s">
        <v>124</v>
      </c>
      <c r="AD1200" s="4" t="s">
        <v>124</v>
      </c>
      <c r="AE1200" s="4" t="s">
        <v>124</v>
      </c>
      <c r="AF1200" s="4" t="s">
        <v>124</v>
      </c>
      <c r="AG1200" s="4" t="s">
        <v>124</v>
      </c>
      <c r="AH1200" s="4" t="s">
        <v>124</v>
      </c>
      <c r="AI1200" s="4" t="s">
        <v>124</v>
      </c>
      <c r="AJ1200" s="4" t="s">
        <v>124</v>
      </c>
      <c r="AK1200" s="4" t="s">
        <v>124</v>
      </c>
      <c r="AL1200" s="4" t="s">
        <v>124</v>
      </c>
      <c r="AM1200" s="4" t="s">
        <v>124</v>
      </c>
      <c r="AN1200" s="4" t="s">
        <v>124</v>
      </c>
      <c r="AO1200" s="4" t="s">
        <v>124</v>
      </c>
      <c r="AP1200" s="4" t="s">
        <v>124</v>
      </c>
      <c r="AQ1200" s="4" t="s">
        <v>124</v>
      </c>
      <c r="AR1200" s="4" t="s">
        <v>124</v>
      </c>
      <c r="AS1200" s="4" t="s">
        <v>124</v>
      </c>
      <c r="AT1200" s="4" t="s">
        <v>124</v>
      </c>
      <c r="AU1200" s="4" t="s">
        <v>124</v>
      </c>
      <c r="AV1200" s="4" t="s">
        <v>124</v>
      </c>
      <c r="AW1200" s="4" t="s">
        <v>124</v>
      </c>
      <c r="AX1200" s="4" t="s">
        <v>124</v>
      </c>
      <c r="AY1200" s="4" t="s">
        <v>124</v>
      </c>
      <c r="AZ1200" s="4" t="s">
        <v>124</v>
      </c>
      <c r="BA1200" s="4" t="s">
        <v>124</v>
      </c>
      <c r="BB1200" s="4" t="s">
        <v>124</v>
      </c>
      <c r="BC1200" s="4" t="s">
        <v>124</v>
      </c>
      <c r="BD1200" s="4" t="s">
        <v>124</v>
      </c>
      <c r="BE1200" s="4" t="s">
        <v>124</v>
      </c>
      <c r="BF1200" s="4" t="s">
        <v>124</v>
      </c>
      <c r="BG1200" s="4" t="s">
        <v>124</v>
      </c>
      <c r="BH1200" s="4" t="s">
        <v>124</v>
      </c>
      <c r="BI1200" s="4" t="s">
        <v>124</v>
      </c>
      <c r="BJ1200" s="4" t="s">
        <v>124</v>
      </c>
      <c r="BK1200" s="4" t="s">
        <v>124</v>
      </c>
      <c r="BL1200" s="4" t="s">
        <v>124</v>
      </c>
      <c r="BM1200" s="4" t="s">
        <v>124</v>
      </c>
      <c r="BN1200" s="4" t="s">
        <v>124</v>
      </c>
      <c r="BO1200" s="4" t="s">
        <v>124</v>
      </c>
      <c r="BP1200" s="4" t="s">
        <v>124</v>
      </c>
      <c r="BQ1200" s="4" t="s">
        <v>124</v>
      </c>
      <c r="BR1200" s="4" t="s">
        <v>124</v>
      </c>
      <c r="BS1200" s="4" t="s">
        <v>124</v>
      </c>
      <c r="BT1200" s="4" t="s">
        <v>124</v>
      </c>
      <c r="BU1200" s="4" t="s">
        <v>124</v>
      </c>
      <c r="BV1200" s="4" t="s">
        <v>124</v>
      </c>
      <c r="BW1200" s="4" t="s">
        <v>124</v>
      </c>
      <c r="BX1200" s="4" t="s">
        <v>124</v>
      </c>
      <c r="BY1200" s="4" t="s">
        <v>124</v>
      </c>
      <c r="BZ1200" s="4" t="s">
        <v>124</v>
      </c>
      <c r="CA1200" s="4" t="s">
        <v>124</v>
      </c>
      <c r="CB1200" s="4" t="s">
        <v>124</v>
      </c>
      <c r="CC1200" s="4" t="s">
        <v>124</v>
      </c>
      <c r="CD1200" s="4" t="s">
        <v>124</v>
      </c>
      <c r="CE1200" s="4" t="s">
        <v>124</v>
      </c>
      <c r="CF1200" s="4" t="s">
        <v>124</v>
      </c>
      <c r="CG1200" s="4" t="s">
        <v>124</v>
      </c>
      <c r="CH1200" s="4" t="s">
        <v>124</v>
      </c>
      <c r="CI1200" s="4" t="s">
        <v>124</v>
      </c>
      <c r="CJ1200" s="4" t="s">
        <v>124</v>
      </c>
      <c r="CK1200" s="4" t="s">
        <v>124</v>
      </c>
      <c r="CL1200" s="4" t="s">
        <v>124</v>
      </c>
      <c r="CM1200" s="4" t="s">
        <v>124</v>
      </c>
      <c r="CN1200" s="4" t="s">
        <v>124</v>
      </c>
      <c r="CO1200" s="4" t="s">
        <v>124</v>
      </c>
      <c r="CP1200" s="4" t="s">
        <v>124</v>
      </c>
      <c r="CQ1200" s="4" t="s">
        <v>124</v>
      </c>
      <c r="CR1200" s="4" t="s">
        <v>124</v>
      </c>
      <c r="CS1200" s="4" t="s">
        <v>124</v>
      </c>
      <c r="CT1200" s="4" t="s">
        <v>124</v>
      </c>
      <c r="CU1200" s="4" t="s">
        <v>124</v>
      </c>
      <c r="CV1200" s="4" t="s">
        <v>124</v>
      </c>
      <c r="CW1200" s="4" t="s">
        <v>124</v>
      </c>
      <c r="CX1200" s="4" t="s">
        <v>124</v>
      </c>
      <c r="CY1200" s="4" t="s">
        <v>124</v>
      </c>
      <c r="CZ1200" s="4" t="s">
        <v>124</v>
      </c>
      <c r="DA1200" s="4" t="s">
        <v>124</v>
      </c>
      <c r="DB1200" s="4" t="s">
        <v>124</v>
      </c>
      <c r="DC1200" s="4" t="s">
        <v>124</v>
      </c>
      <c r="DD1200" s="4" t="s">
        <v>124</v>
      </c>
      <c r="DE1200" s="4" t="s">
        <v>124</v>
      </c>
      <c r="DF1200" s="6"/>
      <c r="DG1200" s="6"/>
      <c r="DH1200" s="6"/>
      <c r="DI1200" s="6"/>
      <c r="DJ1200" s="4" t="s">
        <v>124</v>
      </c>
      <c r="DK1200" s="4" t="s">
        <v>124</v>
      </c>
      <c r="DL1200" s="4" t="s">
        <v>124</v>
      </c>
      <c r="DM1200" s="4" t="s">
        <v>124</v>
      </c>
      <c r="DN1200" s="4" t="s">
        <v>124</v>
      </c>
      <c r="DO1200" s="4" t="s">
        <v>124</v>
      </c>
      <c r="DP1200" s="6"/>
      <c r="DQ1200" s="4" t="s">
        <v>125</v>
      </c>
    </row>
    <row r="1201" spans="1:121" ht="20" customHeight="1" x14ac:dyDescent="0.15">
      <c r="A1201" s="5">
        <v>2018</v>
      </c>
      <c r="B1201" s="3" t="s">
        <v>304</v>
      </c>
      <c r="C1201" s="4" t="str">
        <f t="shared" si="175"/>
        <v>3470015</v>
      </c>
      <c r="D1201" s="4" t="s">
        <v>1348</v>
      </c>
      <c r="E1201" s="4" t="str">
        <f>"3470115"</f>
        <v>3470115</v>
      </c>
      <c r="F1201" s="4" t="s">
        <v>1337</v>
      </c>
      <c r="G1201" s="7">
        <v>4</v>
      </c>
      <c r="H1201" s="7">
        <v>12</v>
      </c>
      <c r="I1201" s="6"/>
      <c r="J1201" s="4" t="s">
        <v>330</v>
      </c>
      <c r="K1201" s="7">
        <v>0</v>
      </c>
      <c r="L1201" s="7">
        <v>100</v>
      </c>
      <c r="M1201" s="7">
        <v>0</v>
      </c>
      <c r="N1201" s="4" t="s">
        <v>124</v>
      </c>
      <c r="O1201" s="4" t="s">
        <v>124</v>
      </c>
      <c r="P1201" s="4" t="s">
        <v>124</v>
      </c>
      <c r="Q1201" s="4" t="s">
        <v>124</v>
      </c>
      <c r="R1201" s="4" t="s">
        <v>124</v>
      </c>
      <c r="S1201" s="4" t="s">
        <v>124</v>
      </c>
      <c r="T1201" s="4" t="s">
        <v>124</v>
      </c>
      <c r="U1201" s="4" t="s">
        <v>124</v>
      </c>
      <c r="V1201" s="4" t="s">
        <v>124</v>
      </c>
      <c r="W1201" s="4" t="s">
        <v>124</v>
      </c>
      <c r="X1201" s="4" t="s">
        <v>124</v>
      </c>
      <c r="Y1201" s="4" t="s">
        <v>124</v>
      </c>
      <c r="Z1201" s="4" t="s">
        <v>124</v>
      </c>
      <c r="AA1201" s="4" t="s">
        <v>124</v>
      </c>
      <c r="AB1201" s="4" t="s">
        <v>124</v>
      </c>
      <c r="AC1201" s="4" t="s">
        <v>124</v>
      </c>
      <c r="AD1201" s="4" t="s">
        <v>124</v>
      </c>
      <c r="AE1201" s="4" t="s">
        <v>124</v>
      </c>
      <c r="AF1201" s="4" t="s">
        <v>124</v>
      </c>
      <c r="AG1201" s="4" t="s">
        <v>124</v>
      </c>
      <c r="AH1201" s="4" t="s">
        <v>124</v>
      </c>
      <c r="AI1201" s="4" t="s">
        <v>124</v>
      </c>
      <c r="AJ1201" s="4" t="s">
        <v>124</v>
      </c>
      <c r="AK1201" s="4" t="s">
        <v>124</v>
      </c>
      <c r="AL1201" s="4" t="s">
        <v>124</v>
      </c>
      <c r="AM1201" s="4" t="s">
        <v>124</v>
      </c>
      <c r="AN1201" s="4" t="s">
        <v>124</v>
      </c>
      <c r="AO1201" s="4" t="s">
        <v>124</v>
      </c>
      <c r="AP1201" s="4" t="s">
        <v>124</v>
      </c>
      <c r="AQ1201" s="4" t="s">
        <v>124</v>
      </c>
      <c r="AR1201" s="4" t="s">
        <v>124</v>
      </c>
      <c r="AS1201" s="4" t="s">
        <v>124</v>
      </c>
      <c r="AT1201" s="4" t="s">
        <v>124</v>
      </c>
      <c r="AU1201" s="4" t="s">
        <v>124</v>
      </c>
      <c r="AV1201" s="4" t="s">
        <v>124</v>
      </c>
      <c r="AW1201" s="4" t="s">
        <v>124</v>
      </c>
      <c r="AX1201" s="4" t="s">
        <v>124</v>
      </c>
      <c r="AY1201" s="4" t="s">
        <v>124</v>
      </c>
      <c r="AZ1201" s="4" t="s">
        <v>124</v>
      </c>
      <c r="BA1201" s="4" t="s">
        <v>124</v>
      </c>
      <c r="BB1201" s="4" t="s">
        <v>124</v>
      </c>
      <c r="BC1201" s="4" t="s">
        <v>124</v>
      </c>
      <c r="BD1201" s="4" t="s">
        <v>124</v>
      </c>
      <c r="BE1201" s="4" t="s">
        <v>124</v>
      </c>
      <c r="BF1201" s="4" t="s">
        <v>124</v>
      </c>
      <c r="BG1201" s="4" t="s">
        <v>124</v>
      </c>
      <c r="BH1201" s="7">
        <v>0</v>
      </c>
      <c r="BI1201" s="4" t="s">
        <v>124</v>
      </c>
      <c r="BJ1201" s="4" t="s">
        <v>124</v>
      </c>
      <c r="BK1201" s="4" t="s">
        <v>124</v>
      </c>
      <c r="BL1201" s="4" t="s">
        <v>124</v>
      </c>
      <c r="BM1201" s="4" t="s">
        <v>124</v>
      </c>
      <c r="BN1201" s="4" t="s">
        <v>124</v>
      </c>
      <c r="BO1201" s="4" t="s">
        <v>124</v>
      </c>
      <c r="BP1201" s="4" t="s">
        <v>124</v>
      </c>
      <c r="BQ1201" s="4" t="s">
        <v>124</v>
      </c>
      <c r="BR1201" s="7">
        <v>0.36363600000000001</v>
      </c>
      <c r="BS1201" s="7">
        <v>0</v>
      </c>
      <c r="BT1201" s="7">
        <v>50</v>
      </c>
      <c r="BU1201" s="7">
        <v>0.36363600000000001</v>
      </c>
      <c r="BV1201" s="7">
        <v>0</v>
      </c>
      <c r="BW1201" s="7">
        <v>50</v>
      </c>
      <c r="BX1201" s="4" t="s">
        <v>124</v>
      </c>
      <c r="BY1201" s="4" t="s">
        <v>124</v>
      </c>
      <c r="BZ1201" s="4" t="s">
        <v>124</v>
      </c>
      <c r="CA1201" s="4" t="s">
        <v>124</v>
      </c>
      <c r="CB1201" s="4" t="s">
        <v>124</v>
      </c>
      <c r="CC1201" s="4" t="s">
        <v>124</v>
      </c>
      <c r="CD1201" s="4" t="s">
        <v>124</v>
      </c>
      <c r="CE1201" s="4" t="s">
        <v>124</v>
      </c>
      <c r="CF1201" s="4" t="s">
        <v>124</v>
      </c>
      <c r="CG1201" s="4" t="s">
        <v>124</v>
      </c>
      <c r="CH1201" s="4" t="s">
        <v>124</v>
      </c>
      <c r="CI1201" s="4" t="s">
        <v>124</v>
      </c>
      <c r="CJ1201" s="4" t="s">
        <v>124</v>
      </c>
      <c r="CK1201" s="4" t="s">
        <v>124</v>
      </c>
      <c r="CL1201" s="4" t="s">
        <v>124</v>
      </c>
      <c r="CM1201" s="4" t="s">
        <v>124</v>
      </c>
      <c r="CN1201" s="4" t="s">
        <v>124</v>
      </c>
      <c r="CO1201" s="4" t="s">
        <v>124</v>
      </c>
      <c r="CP1201" s="4" t="s">
        <v>124</v>
      </c>
      <c r="CQ1201" s="4" t="s">
        <v>124</v>
      </c>
      <c r="CR1201" s="4" t="s">
        <v>124</v>
      </c>
      <c r="CS1201" s="4" t="s">
        <v>124</v>
      </c>
      <c r="CT1201" s="4" t="s">
        <v>124</v>
      </c>
      <c r="CU1201" s="4" t="s">
        <v>124</v>
      </c>
      <c r="CV1201" s="4" t="s">
        <v>124</v>
      </c>
      <c r="CW1201" s="4" t="s">
        <v>124</v>
      </c>
      <c r="CX1201" s="4" t="s">
        <v>124</v>
      </c>
      <c r="CY1201" s="4" t="s">
        <v>124</v>
      </c>
      <c r="CZ1201" s="4" t="s">
        <v>124</v>
      </c>
      <c r="DA1201" s="4" t="s">
        <v>124</v>
      </c>
      <c r="DB1201" s="4" t="s">
        <v>124</v>
      </c>
      <c r="DC1201" s="4" t="s">
        <v>124</v>
      </c>
      <c r="DD1201" s="4" t="s">
        <v>124</v>
      </c>
      <c r="DE1201" s="4" t="s">
        <v>124</v>
      </c>
      <c r="DF1201" s="6"/>
      <c r="DG1201" s="6"/>
      <c r="DH1201" s="6"/>
      <c r="DI1201" s="6"/>
      <c r="DJ1201" s="4" t="s">
        <v>124</v>
      </c>
      <c r="DK1201" s="4" t="s">
        <v>124</v>
      </c>
      <c r="DL1201" s="4" t="s">
        <v>124</v>
      </c>
      <c r="DM1201" s="4" t="s">
        <v>124</v>
      </c>
      <c r="DN1201" s="4" t="s">
        <v>124</v>
      </c>
      <c r="DO1201" s="4" t="s">
        <v>124</v>
      </c>
      <c r="DP1201" s="6"/>
      <c r="DQ1201" s="4" t="s">
        <v>125</v>
      </c>
    </row>
    <row r="1202" spans="1:121" ht="20" customHeight="1" x14ac:dyDescent="0.15">
      <c r="A1202" s="5">
        <v>2018</v>
      </c>
      <c r="B1202" s="3" t="s">
        <v>304</v>
      </c>
      <c r="C1202" s="4" t="str">
        <f>"3470015"</f>
        <v>3470015</v>
      </c>
      <c r="D1202" s="4" t="s">
        <v>1349</v>
      </c>
      <c r="E1202" s="4" t="str">
        <f>"3470315"</f>
        <v>3470315</v>
      </c>
      <c r="F1202" s="4" t="s">
        <v>1337</v>
      </c>
      <c r="G1202" s="4" t="s">
        <v>338</v>
      </c>
      <c r="H1202" s="7">
        <v>12</v>
      </c>
      <c r="I1202" s="6"/>
      <c r="J1202" s="4" t="s">
        <v>330</v>
      </c>
      <c r="K1202" s="7">
        <v>105.490544</v>
      </c>
      <c r="L1202" s="7">
        <v>250</v>
      </c>
      <c r="M1202" s="7">
        <v>42.196216999999997</v>
      </c>
      <c r="N1202" s="7">
        <v>3</v>
      </c>
      <c r="O1202" s="4" t="s">
        <v>124</v>
      </c>
      <c r="P1202" s="4" t="s">
        <v>124</v>
      </c>
      <c r="Q1202" s="4" t="s">
        <v>124</v>
      </c>
      <c r="R1202" s="4" t="s">
        <v>124</v>
      </c>
      <c r="S1202" s="4" t="s">
        <v>124</v>
      </c>
      <c r="T1202" s="4" t="s">
        <v>124</v>
      </c>
      <c r="U1202" s="4" t="s">
        <v>124</v>
      </c>
      <c r="V1202" s="4" t="s">
        <v>124</v>
      </c>
      <c r="W1202" s="4" t="s">
        <v>124</v>
      </c>
      <c r="X1202" s="4" t="s">
        <v>124</v>
      </c>
      <c r="Y1202" s="4" t="s">
        <v>124</v>
      </c>
      <c r="Z1202" s="4" t="s">
        <v>124</v>
      </c>
      <c r="AA1202" s="4" t="s">
        <v>124</v>
      </c>
      <c r="AB1202" s="4" t="s">
        <v>124</v>
      </c>
      <c r="AC1202" s="4" t="s">
        <v>124</v>
      </c>
      <c r="AD1202" s="4" t="s">
        <v>124</v>
      </c>
      <c r="AE1202" s="4" t="s">
        <v>124</v>
      </c>
      <c r="AF1202" s="4" t="s">
        <v>124</v>
      </c>
      <c r="AG1202" s="4" t="s">
        <v>124</v>
      </c>
      <c r="AH1202" s="4" t="s">
        <v>124</v>
      </c>
      <c r="AI1202" s="4" t="s">
        <v>124</v>
      </c>
      <c r="AJ1202" s="4" t="s">
        <v>124</v>
      </c>
      <c r="AK1202" s="4" t="s">
        <v>124</v>
      </c>
      <c r="AL1202" s="4" t="s">
        <v>124</v>
      </c>
      <c r="AM1202" s="4" t="s">
        <v>124</v>
      </c>
      <c r="AN1202" s="4" t="s">
        <v>124</v>
      </c>
      <c r="AO1202" s="4" t="s">
        <v>124</v>
      </c>
      <c r="AP1202" s="4" t="s">
        <v>124</v>
      </c>
      <c r="AQ1202" s="4" t="s">
        <v>124</v>
      </c>
      <c r="AR1202" s="4" t="s">
        <v>124</v>
      </c>
      <c r="AS1202" s="4" t="s">
        <v>124</v>
      </c>
      <c r="AT1202" s="4" t="s">
        <v>124</v>
      </c>
      <c r="AU1202" s="4" t="s">
        <v>124</v>
      </c>
      <c r="AV1202" s="4" t="s">
        <v>124</v>
      </c>
      <c r="AW1202" s="4" t="s">
        <v>124</v>
      </c>
      <c r="AX1202" s="4" t="s">
        <v>124</v>
      </c>
      <c r="AY1202" s="4" t="s">
        <v>124</v>
      </c>
      <c r="AZ1202" s="4" t="s">
        <v>124</v>
      </c>
      <c r="BA1202" s="4" t="s">
        <v>124</v>
      </c>
      <c r="BB1202" s="4" t="s">
        <v>124</v>
      </c>
      <c r="BC1202" s="4" t="s">
        <v>124</v>
      </c>
      <c r="BD1202" s="4" t="s">
        <v>124</v>
      </c>
      <c r="BE1202" s="4" t="s">
        <v>124</v>
      </c>
      <c r="BF1202" s="4" t="s">
        <v>124</v>
      </c>
      <c r="BG1202" s="4" t="s">
        <v>124</v>
      </c>
      <c r="BH1202" s="7">
        <v>1</v>
      </c>
      <c r="BI1202" s="7">
        <v>0.96296300000000001</v>
      </c>
      <c r="BJ1202" s="7">
        <v>0.96296300000000001</v>
      </c>
      <c r="BK1202" s="4" t="s">
        <v>124</v>
      </c>
      <c r="BL1202" s="7">
        <v>0.92857100000000004</v>
      </c>
      <c r="BM1202" s="7">
        <v>0.92857100000000004</v>
      </c>
      <c r="BN1202" s="4" t="s">
        <v>124</v>
      </c>
      <c r="BO1202" s="4" t="s">
        <v>124</v>
      </c>
      <c r="BP1202" s="4" t="s">
        <v>124</v>
      </c>
      <c r="BQ1202" s="4" t="s">
        <v>124</v>
      </c>
      <c r="BR1202" s="7">
        <v>0.222222</v>
      </c>
      <c r="BS1202" s="7">
        <v>15.555555999999999</v>
      </c>
      <c r="BT1202" s="7">
        <v>50</v>
      </c>
      <c r="BU1202" s="7">
        <v>0.222222</v>
      </c>
      <c r="BV1202" s="7">
        <v>15.555555999999999</v>
      </c>
      <c r="BW1202" s="7">
        <v>50</v>
      </c>
      <c r="BX1202" s="4" t="s">
        <v>124</v>
      </c>
      <c r="BY1202" s="4" t="s">
        <v>124</v>
      </c>
      <c r="BZ1202" s="4" t="s">
        <v>124</v>
      </c>
      <c r="CA1202" s="4" t="s">
        <v>124</v>
      </c>
      <c r="CB1202" s="4" t="s">
        <v>124</v>
      </c>
      <c r="CC1202" s="4" t="s">
        <v>124</v>
      </c>
      <c r="CD1202" s="7">
        <v>0.45833299999999999</v>
      </c>
      <c r="CE1202" s="7">
        <v>24.379432999999999</v>
      </c>
      <c r="CF1202" s="7">
        <v>50</v>
      </c>
      <c r="CG1202" s="4" t="s">
        <v>124</v>
      </c>
      <c r="CH1202" s="4" t="s">
        <v>124</v>
      </c>
      <c r="CI1202" s="4" t="s">
        <v>124</v>
      </c>
      <c r="CJ1202" s="4" t="s">
        <v>124</v>
      </c>
      <c r="CK1202" s="4" t="s">
        <v>124</v>
      </c>
      <c r="CL1202" s="4" t="s">
        <v>124</v>
      </c>
      <c r="CM1202" s="4" t="s">
        <v>124</v>
      </c>
      <c r="CN1202" s="4" t="s">
        <v>124</v>
      </c>
      <c r="CO1202" s="4" t="s">
        <v>124</v>
      </c>
      <c r="CP1202" s="4" t="s">
        <v>124</v>
      </c>
      <c r="CQ1202" s="4" t="s">
        <v>124</v>
      </c>
      <c r="CR1202" s="4" t="s">
        <v>124</v>
      </c>
      <c r="CS1202" s="7">
        <v>0</v>
      </c>
      <c r="CT1202" s="7">
        <v>50</v>
      </c>
      <c r="CU1202" s="7">
        <v>1</v>
      </c>
      <c r="CV1202" s="7">
        <v>50</v>
      </c>
      <c r="CW1202" s="7">
        <v>50</v>
      </c>
      <c r="CX1202" s="4" t="s">
        <v>124</v>
      </c>
      <c r="CY1202" s="4" t="s">
        <v>124</v>
      </c>
      <c r="CZ1202" s="4" t="s">
        <v>124</v>
      </c>
      <c r="DA1202" s="4" t="s">
        <v>124</v>
      </c>
      <c r="DB1202" s="4" t="s">
        <v>124</v>
      </c>
      <c r="DC1202" s="4" t="s">
        <v>124</v>
      </c>
      <c r="DD1202" s="4" t="s">
        <v>124</v>
      </c>
      <c r="DE1202" s="7">
        <v>1</v>
      </c>
      <c r="DF1202" s="6"/>
      <c r="DG1202" s="6"/>
      <c r="DH1202" s="6"/>
      <c r="DI1202" s="6"/>
      <c r="DJ1202" s="7">
        <v>0</v>
      </c>
      <c r="DK1202" s="7">
        <v>0</v>
      </c>
      <c r="DL1202" s="7">
        <v>0</v>
      </c>
      <c r="DM1202" s="7">
        <v>0</v>
      </c>
      <c r="DN1202" s="7">
        <v>0</v>
      </c>
      <c r="DO1202" s="7">
        <v>0</v>
      </c>
      <c r="DP1202" s="6"/>
      <c r="DQ1202" s="4" t="s">
        <v>125</v>
      </c>
    </row>
    <row r="1203" spans="1:121" ht="20" customHeight="1" x14ac:dyDescent="0.15">
      <c r="A1203" s="5">
        <v>2018</v>
      </c>
      <c r="B1203" s="3" t="s">
        <v>305</v>
      </c>
      <c r="C1203" s="4" t="str">
        <f t="shared" ref="C1203:C1219" si="289">"9000016"</f>
        <v>9000016</v>
      </c>
      <c r="D1203" s="4" t="s">
        <v>1350</v>
      </c>
      <c r="E1203" s="4" t="str">
        <f>"9001516"</f>
        <v>9001516</v>
      </c>
      <c r="F1203" s="4" t="s">
        <v>1351</v>
      </c>
      <c r="G1203" s="7">
        <v>9</v>
      </c>
      <c r="H1203" s="7">
        <v>12</v>
      </c>
      <c r="I1203" s="4" t="s">
        <v>335</v>
      </c>
      <c r="J1203" s="4" t="s">
        <v>330</v>
      </c>
      <c r="K1203" s="7">
        <v>961.37036699999999</v>
      </c>
      <c r="L1203" s="7">
        <v>1550</v>
      </c>
      <c r="M1203" s="7">
        <v>62.023895000000003</v>
      </c>
      <c r="N1203" s="7">
        <v>4</v>
      </c>
      <c r="O1203" s="7">
        <v>0</v>
      </c>
      <c r="P1203" s="7">
        <v>40.707483000000003</v>
      </c>
      <c r="Q1203" s="7">
        <v>81.414966000000007</v>
      </c>
      <c r="R1203" s="7">
        <v>150</v>
      </c>
      <c r="S1203" s="7">
        <v>39.842261999999998</v>
      </c>
      <c r="T1203" s="7">
        <v>43.476190000000003</v>
      </c>
      <c r="U1203" s="7">
        <v>79.684523999999996</v>
      </c>
      <c r="V1203" s="7">
        <v>150</v>
      </c>
      <c r="W1203" s="7">
        <v>37.265306000000002</v>
      </c>
      <c r="X1203" s="7">
        <v>74.530612000000005</v>
      </c>
      <c r="Y1203" s="7">
        <v>150</v>
      </c>
      <c r="Z1203" s="7">
        <v>38.238095000000001</v>
      </c>
      <c r="AA1203" s="7">
        <v>36.961309999999997</v>
      </c>
      <c r="AB1203" s="7">
        <v>73.922618999999997</v>
      </c>
      <c r="AC1203" s="7">
        <v>150</v>
      </c>
      <c r="AD1203" s="7">
        <v>45.874465999999998</v>
      </c>
      <c r="AE1203" s="7">
        <v>61.165953999999999</v>
      </c>
      <c r="AF1203" s="7">
        <v>100</v>
      </c>
      <c r="AG1203" s="7">
        <v>45.676923000000002</v>
      </c>
      <c r="AH1203" s="7">
        <v>46.513575000000003</v>
      </c>
      <c r="AI1203" s="7">
        <v>60.902563999999998</v>
      </c>
      <c r="AJ1203" s="7">
        <v>100</v>
      </c>
      <c r="AK1203" s="7">
        <v>3.63</v>
      </c>
      <c r="AL1203" s="7">
        <v>1.27</v>
      </c>
      <c r="AM1203" s="7">
        <v>0.83</v>
      </c>
      <c r="AN1203" s="4" t="s">
        <v>124</v>
      </c>
      <c r="AO1203" s="4" t="s">
        <v>124</v>
      </c>
      <c r="AP1203" s="4" t="s">
        <v>124</v>
      </c>
      <c r="AQ1203" s="4" t="s">
        <v>124</v>
      </c>
      <c r="AR1203" s="4" t="s">
        <v>124</v>
      </c>
      <c r="AS1203" s="4" t="s">
        <v>124</v>
      </c>
      <c r="AT1203" s="4" t="s">
        <v>124</v>
      </c>
      <c r="AU1203" s="4" t="s">
        <v>124</v>
      </c>
      <c r="AV1203" s="4" t="s">
        <v>124</v>
      </c>
      <c r="AW1203" s="4" t="s">
        <v>124</v>
      </c>
      <c r="AX1203" s="4" t="s">
        <v>124</v>
      </c>
      <c r="AY1203" s="4" t="s">
        <v>124</v>
      </c>
      <c r="AZ1203" s="4" t="s">
        <v>124</v>
      </c>
      <c r="BA1203" s="4" t="s">
        <v>124</v>
      </c>
      <c r="BB1203" s="7">
        <v>0.41484199999999999</v>
      </c>
      <c r="BC1203" s="7">
        <v>20.742099</v>
      </c>
      <c r="BD1203" s="7">
        <v>50</v>
      </c>
      <c r="BE1203" s="7">
        <v>0.51928200000000002</v>
      </c>
      <c r="BF1203" s="7">
        <v>25.964088</v>
      </c>
      <c r="BG1203" s="7">
        <v>50</v>
      </c>
      <c r="BH1203" s="7">
        <v>0</v>
      </c>
      <c r="BI1203" s="7">
        <v>0.99324299999999999</v>
      </c>
      <c r="BJ1203" s="7">
        <v>0.99114999999999998</v>
      </c>
      <c r="BK1203" s="7">
        <v>1</v>
      </c>
      <c r="BL1203" s="7">
        <v>0.99324299999999999</v>
      </c>
      <c r="BM1203" s="7">
        <v>0.99114999999999998</v>
      </c>
      <c r="BN1203" s="7">
        <v>1</v>
      </c>
      <c r="BO1203" s="7">
        <v>0.97297299999999998</v>
      </c>
      <c r="BP1203" s="7">
        <v>0.97345099999999996</v>
      </c>
      <c r="BQ1203" s="7">
        <v>0.97142899999999999</v>
      </c>
      <c r="BR1203" s="7">
        <v>0.18126900000000001</v>
      </c>
      <c r="BS1203" s="7">
        <v>23.746224000000002</v>
      </c>
      <c r="BT1203" s="7">
        <v>50</v>
      </c>
      <c r="BU1203" s="7">
        <v>0.20297999999999999</v>
      </c>
      <c r="BV1203" s="7">
        <v>19.404097</v>
      </c>
      <c r="BW1203" s="7">
        <v>50</v>
      </c>
      <c r="BX1203" s="7">
        <v>0.99659900000000001</v>
      </c>
      <c r="BY1203" s="7">
        <v>50</v>
      </c>
      <c r="BZ1203" s="7">
        <v>50</v>
      </c>
      <c r="CA1203" s="7">
        <v>2.0407999999999999E-2</v>
      </c>
      <c r="CB1203" s="7">
        <v>1.360544</v>
      </c>
      <c r="CC1203" s="7">
        <v>50</v>
      </c>
      <c r="CD1203" s="7">
        <v>0.99444399999999999</v>
      </c>
      <c r="CE1203" s="7">
        <v>50</v>
      </c>
      <c r="CF1203" s="7">
        <v>50</v>
      </c>
      <c r="CG1203" s="7">
        <v>0.98837200000000003</v>
      </c>
      <c r="CH1203" s="7">
        <v>100</v>
      </c>
      <c r="CI1203" s="7">
        <v>100</v>
      </c>
      <c r="CJ1203" s="7">
        <v>0</v>
      </c>
      <c r="CK1203" s="7">
        <v>0.99358999999999997</v>
      </c>
      <c r="CL1203" s="7">
        <v>100</v>
      </c>
      <c r="CM1203" s="7">
        <v>100</v>
      </c>
      <c r="CN1203" s="7">
        <v>0.55232599999999998</v>
      </c>
      <c r="CO1203" s="7">
        <v>73.643411</v>
      </c>
      <c r="CP1203" s="7">
        <v>100</v>
      </c>
      <c r="CQ1203" s="7">
        <v>0.338889</v>
      </c>
      <c r="CR1203" s="7">
        <v>0.95744700000000005</v>
      </c>
      <c r="CS1203" s="7">
        <v>22.592593000000001</v>
      </c>
      <c r="CT1203" s="7">
        <v>50</v>
      </c>
      <c r="CU1203" s="7">
        <v>0.50755300000000003</v>
      </c>
      <c r="CV1203" s="7">
        <v>42.296073</v>
      </c>
      <c r="CW1203" s="7">
        <v>50</v>
      </c>
      <c r="CX1203" s="7">
        <v>0.99358999999999997</v>
      </c>
      <c r="CY1203" s="7">
        <v>0.94</v>
      </c>
      <c r="CZ1203" s="7">
        <v>-5.3589999999999999E-2</v>
      </c>
      <c r="DA1203" s="7">
        <v>15.314097</v>
      </c>
      <c r="DB1203" s="7">
        <v>17.400950000000002</v>
      </c>
      <c r="DC1203" s="7">
        <v>16.332519999999999</v>
      </c>
      <c r="DD1203" s="7">
        <v>7.9891730000000001</v>
      </c>
      <c r="DE1203" s="7">
        <v>0</v>
      </c>
      <c r="DF1203" s="4" t="s">
        <v>384</v>
      </c>
      <c r="DG1203" s="4" t="s">
        <v>385</v>
      </c>
      <c r="DH1203" s="6"/>
      <c r="DI1203" s="6"/>
      <c r="DJ1203" s="7">
        <v>0</v>
      </c>
      <c r="DK1203" s="7">
        <v>0</v>
      </c>
      <c r="DL1203" s="7">
        <v>0</v>
      </c>
      <c r="DM1203" s="7">
        <v>0</v>
      </c>
      <c r="DN1203" s="7">
        <v>0</v>
      </c>
      <c r="DO1203" s="7">
        <v>0</v>
      </c>
      <c r="DP1203" s="6"/>
      <c r="DQ1203" s="4" t="s">
        <v>125</v>
      </c>
    </row>
    <row r="1204" spans="1:121" ht="20" customHeight="1" x14ac:dyDescent="0.15">
      <c r="A1204" s="5">
        <v>2018</v>
      </c>
      <c r="B1204" s="3" t="s">
        <v>305</v>
      </c>
      <c r="C1204" s="4" t="str">
        <f t="shared" si="289"/>
        <v>9000016</v>
      </c>
      <c r="D1204" s="4" t="s">
        <v>1352</v>
      </c>
      <c r="E1204" s="4" t="str">
        <f>"9001116"</f>
        <v>9001116</v>
      </c>
      <c r="F1204" s="4" t="s">
        <v>1351</v>
      </c>
      <c r="G1204" s="7">
        <v>9</v>
      </c>
      <c r="H1204" s="7">
        <v>12</v>
      </c>
      <c r="I1204" s="4" t="s">
        <v>335</v>
      </c>
      <c r="J1204" s="4" t="s">
        <v>330</v>
      </c>
      <c r="K1204" s="7">
        <v>1010.875808</v>
      </c>
      <c r="L1204" s="7">
        <v>1550</v>
      </c>
      <c r="M1204" s="7">
        <v>65.217793999999998</v>
      </c>
      <c r="N1204" s="7">
        <v>3</v>
      </c>
      <c r="O1204" s="7">
        <v>0</v>
      </c>
      <c r="P1204" s="7">
        <v>44.339114000000002</v>
      </c>
      <c r="Q1204" s="7">
        <v>88.678227000000007</v>
      </c>
      <c r="R1204" s="7">
        <v>150</v>
      </c>
      <c r="S1204" s="7">
        <v>43.468598999999998</v>
      </c>
      <c r="T1204" s="7">
        <v>47.771428999999998</v>
      </c>
      <c r="U1204" s="7">
        <v>86.937197999999995</v>
      </c>
      <c r="V1204" s="7">
        <v>150</v>
      </c>
      <c r="W1204" s="7">
        <v>40.343930999999998</v>
      </c>
      <c r="X1204" s="7">
        <v>80.687860999999998</v>
      </c>
      <c r="Y1204" s="7">
        <v>150</v>
      </c>
      <c r="Z1204" s="7">
        <v>43.423810000000003</v>
      </c>
      <c r="AA1204" s="7">
        <v>39.562801999999998</v>
      </c>
      <c r="AB1204" s="7">
        <v>79.125603999999996</v>
      </c>
      <c r="AC1204" s="7">
        <v>150</v>
      </c>
      <c r="AD1204" s="7">
        <v>40.417453999999999</v>
      </c>
      <c r="AE1204" s="7">
        <v>53.889938999999998</v>
      </c>
      <c r="AF1204" s="7">
        <v>100</v>
      </c>
      <c r="AG1204" s="7">
        <v>40.084221999999997</v>
      </c>
      <c r="AH1204" s="7">
        <v>41.760181000000003</v>
      </c>
      <c r="AI1204" s="7">
        <v>53.445630000000001</v>
      </c>
      <c r="AJ1204" s="7">
        <v>100</v>
      </c>
      <c r="AK1204" s="7">
        <v>4.3</v>
      </c>
      <c r="AL1204" s="7">
        <v>3.86</v>
      </c>
      <c r="AM1204" s="7">
        <v>1.67</v>
      </c>
      <c r="AN1204" s="4" t="s">
        <v>124</v>
      </c>
      <c r="AO1204" s="4" t="s">
        <v>124</v>
      </c>
      <c r="AP1204" s="4" t="s">
        <v>124</v>
      </c>
      <c r="AQ1204" s="4" t="s">
        <v>124</v>
      </c>
      <c r="AR1204" s="4" t="s">
        <v>124</v>
      </c>
      <c r="AS1204" s="4" t="s">
        <v>124</v>
      </c>
      <c r="AT1204" s="4" t="s">
        <v>124</v>
      </c>
      <c r="AU1204" s="4" t="s">
        <v>124</v>
      </c>
      <c r="AV1204" s="4" t="s">
        <v>124</v>
      </c>
      <c r="AW1204" s="4" t="s">
        <v>124</v>
      </c>
      <c r="AX1204" s="4" t="s">
        <v>124</v>
      </c>
      <c r="AY1204" s="4" t="s">
        <v>124</v>
      </c>
      <c r="AZ1204" s="4" t="s">
        <v>124</v>
      </c>
      <c r="BA1204" s="4" t="s">
        <v>124</v>
      </c>
      <c r="BB1204" s="7">
        <v>0.38096400000000002</v>
      </c>
      <c r="BC1204" s="7">
        <v>19.048192</v>
      </c>
      <c r="BD1204" s="7">
        <v>50</v>
      </c>
      <c r="BE1204" s="7">
        <v>0.54889100000000002</v>
      </c>
      <c r="BF1204" s="7">
        <v>27.444566999999999</v>
      </c>
      <c r="BG1204" s="7">
        <v>50</v>
      </c>
      <c r="BH1204" s="7">
        <v>0</v>
      </c>
      <c r="BI1204" s="7">
        <v>1</v>
      </c>
      <c r="BJ1204" s="7">
        <v>1</v>
      </c>
      <c r="BK1204" s="7">
        <v>1</v>
      </c>
      <c r="BL1204" s="7">
        <v>1</v>
      </c>
      <c r="BM1204" s="7">
        <v>1</v>
      </c>
      <c r="BN1204" s="7">
        <v>1</v>
      </c>
      <c r="BO1204" s="7">
        <v>1</v>
      </c>
      <c r="BP1204" s="7">
        <v>1</v>
      </c>
      <c r="BQ1204" s="7">
        <v>1</v>
      </c>
      <c r="BR1204" s="7">
        <v>0.169128</v>
      </c>
      <c r="BS1204" s="7">
        <v>26.174496999999999</v>
      </c>
      <c r="BT1204" s="7">
        <v>50</v>
      </c>
      <c r="BU1204" s="7">
        <v>0.193858</v>
      </c>
      <c r="BV1204" s="7">
        <v>21.228407000000001</v>
      </c>
      <c r="BW1204" s="7">
        <v>50</v>
      </c>
      <c r="BX1204" s="7">
        <v>1</v>
      </c>
      <c r="BY1204" s="7">
        <v>50</v>
      </c>
      <c r="BZ1204" s="7">
        <v>50</v>
      </c>
      <c r="CA1204" s="7">
        <v>6.1765E-2</v>
      </c>
      <c r="CB1204" s="7">
        <v>4.1176469999999998</v>
      </c>
      <c r="CC1204" s="7">
        <v>50</v>
      </c>
      <c r="CD1204" s="7">
        <v>1</v>
      </c>
      <c r="CE1204" s="7">
        <v>50</v>
      </c>
      <c r="CF1204" s="7">
        <v>50</v>
      </c>
      <c r="CG1204" s="7">
        <v>0.96045199999999997</v>
      </c>
      <c r="CH1204" s="7">
        <v>100</v>
      </c>
      <c r="CI1204" s="7">
        <v>100</v>
      </c>
      <c r="CJ1204" s="7">
        <v>0</v>
      </c>
      <c r="CK1204" s="7">
        <v>0.974194</v>
      </c>
      <c r="CL1204" s="7">
        <v>100</v>
      </c>
      <c r="CM1204" s="7">
        <v>100</v>
      </c>
      <c r="CN1204" s="7">
        <v>0.58823499999999995</v>
      </c>
      <c r="CO1204" s="7">
        <v>78.431372999999994</v>
      </c>
      <c r="CP1204" s="7">
        <v>100</v>
      </c>
      <c r="CQ1204" s="7">
        <v>0.625</v>
      </c>
      <c r="CR1204" s="7">
        <v>1.020408</v>
      </c>
      <c r="CS1204" s="7">
        <v>41.666666999999997</v>
      </c>
      <c r="CT1204" s="7">
        <v>50</v>
      </c>
      <c r="CU1204" s="7">
        <v>1</v>
      </c>
      <c r="CV1204" s="7">
        <v>50</v>
      </c>
      <c r="CW1204" s="7">
        <v>50</v>
      </c>
      <c r="CX1204" s="7">
        <v>0.974194</v>
      </c>
      <c r="CY1204" s="7">
        <v>0.94</v>
      </c>
      <c r="CZ1204" s="7">
        <v>-3.4194000000000002E-2</v>
      </c>
      <c r="DA1204" s="7">
        <v>15.314097</v>
      </c>
      <c r="DB1204" s="7">
        <v>17.400950000000002</v>
      </c>
      <c r="DC1204" s="7">
        <v>16.332519999999999</v>
      </c>
      <c r="DD1204" s="7">
        <v>7.9891730000000001</v>
      </c>
      <c r="DE1204" s="7">
        <v>0</v>
      </c>
      <c r="DF1204" s="6"/>
      <c r="DG1204" s="6"/>
      <c r="DH1204" s="6"/>
      <c r="DI1204" s="6"/>
      <c r="DJ1204" s="7">
        <v>0</v>
      </c>
      <c r="DK1204" s="7">
        <v>0</v>
      </c>
      <c r="DL1204" s="7">
        <v>0</v>
      </c>
      <c r="DM1204" s="7">
        <v>0</v>
      </c>
      <c r="DN1204" s="7">
        <v>0</v>
      </c>
      <c r="DO1204" s="7">
        <v>0</v>
      </c>
      <c r="DP1204" s="6"/>
      <c r="DQ1204" s="4" t="s">
        <v>125</v>
      </c>
    </row>
    <row r="1205" spans="1:121" ht="20" customHeight="1" x14ac:dyDescent="0.15">
      <c r="A1205" s="5">
        <v>2018</v>
      </c>
      <c r="B1205" s="3" t="s">
        <v>305</v>
      </c>
      <c r="C1205" s="4" t="str">
        <f t="shared" si="289"/>
        <v>9000016</v>
      </c>
      <c r="D1205" s="4" t="s">
        <v>1353</v>
      </c>
      <c r="E1205" s="4" t="str">
        <f>"9001916"</f>
        <v>9001916</v>
      </c>
      <c r="F1205" s="4" t="s">
        <v>1351</v>
      </c>
      <c r="G1205" s="7">
        <v>9</v>
      </c>
      <c r="H1205" s="7">
        <v>12</v>
      </c>
      <c r="I1205" s="4" t="s">
        <v>335</v>
      </c>
      <c r="J1205" s="4" t="s">
        <v>330</v>
      </c>
      <c r="K1205" s="7">
        <v>957.77392299999997</v>
      </c>
      <c r="L1205" s="7">
        <v>1550</v>
      </c>
      <c r="M1205" s="7">
        <v>61.791865999999999</v>
      </c>
      <c r="N1205" s="7">
        <v>3</v>
      </c>
      <c r="O1205" s="7">
        <v>0</v>
      </c>
      <c r="P1205" s="7">
        <v>41.568286999999998</v>
      </c>
      <c r="Q1205" s="7">
        <v>83.136573999999996</v>
      </c>
      <c r="R1205" s="7">
        <v>150</v>
      </c>
      <c r="S1205" s="7">
        <v>39.580702000000002</v>
      </c>
      <c r="T1205" s="7">
        <v>45.421768999999998</v>
      </c>
      <c r="U1205" s="7">
        <v>79.161404000000005</v>
      </c>
      <c r="V1205" s="7">
        <v>150</v>
      </c>
      <c r="W1205" s="7">
        <v>38.741897999999999</v>
      </c>
      <c r="X1205" s="7">
        <v>77.483795999999998</v>
      </c>
      <c r="Y1205" s="7">
        <v>150</v>
      </c>
      <c r="Z1205" s="7">
        <v>42.690475999999997</v>
      </c>
      <c r="AA1205" s="7">
        <v>36.705263000000002</v>
      </c>
      <c r="AB1205" s="7">
        <v>73.410526000000004</v>
      </c>
      <c r="AC1205" s="7">
        <v>150</v>
      </c>
      <c r="AD1205" s="7">
        <v>45.380251000000001</v>
      </c>
      <c r="AE1205" s="7">
        <v>60.507001000000002</v>
      </c>
      <c r="AF1205" s="7">
        <v>100</v>
      </c>
      <c r="AG1205" s="7">
        <v>42.107526999999997</v>
      </c>
      <c r="AH1205" s="7">
        <v>51.721153999999999</v>
      </c>
      <c r="AI1205" s="7">
        <v>56.143369</v>
      </c>
      <c r="AJ1205" s="7">
        <v>100</v>
      </c>
      <c r="AK1205" s="7">
        <v>5.84</v>
      </c>
      <c r="AL1205" s="7">
        <v>5.98</v>
      </c>
      <c r="AM1205" s="7">
        <v>9.61</v>
      </c>
      <c r="AN1205" s="4" t="s">
        <v>124</v>
      </c>
      <c r="AO1205" s="4" t="s">
        <v>124</v>
      </c>
      <c r="AP1205" s="4" t="s">
        <v>124</v>
      </c>
      <c r="AQ1205" s="4" t="s">
        <v>124</v>
      </c>
      <c r="AR1205" s="4" t="s">
        <v>124</v>
      </c>
      <c r="AS1205" s="4" t="s">
        <v>124</v>
      </c>
      <c r="AT1205" s="4" t="s">
        <v>124</v>
      </c>
      <c r="AU1205" s="4" t="s">
        <v>124</v>
      </c>
      <c r="AV1205" s="4" t="s">
        <v>124</v>
      </c>
      <c r="AW1205" s="4" t="s">
        <v>124</v>
      </c>
      <c r="AX1205" s="4" t="s">
        <v>124</v>
      </c>
      <c r="AY1205" s="4" t="s">
        <v>124</v>
      </c>
      <c r="AZ1205" s="4" t="s">
        <v>124</v>
      </c>
      <c r="BA1205" s="4" t="s">
        <v>124</v>
      </c>
      <c r="BB1205" s="7">
        <v>0.438029</v>
      </c>
      <c r="BC1205" s="7">
        <v>21.901471999999998</v>
      </c>
      <c r="BD1205" s="7">
        <v>50</v>
      </c>
      <c r="BE1205" s="7">
        <v>0.52172600000000002</v>
      </c>
      <c r="BF1205" s="7">
        <v>26.086300999999999</v>
      </c>
      <c r="BG1205" s="7">
        <v>50</v>
      </c>
      <c r="BH1205" s="7">
        <v>0</v>
      </c>
      <c r="BI1205" s="7">
        <v>1</v>
      </c>
      <c r="BJ1205" s="7">
        <v>1</v>
      </c>
      <c r="BK1205" s="7">
        <v>1</v>
      </c>
      <c r="BL1205" s="7">
        <v>1</v>
      </c>
      <c r="BM1205" s="7">
        <v>1</v>
      </c>
      <c r="BN1205" s="7">
        <v>1</v>
      </c>
      <c r="BO1205" s="7">
        <v>0.97931000000000001</v>
      </c>
      <c r="BP1205" s="7">
        <v>0.97916700000000001</v>
      </c>
      <c r="BQ1205" s="7">
        <v>0.97959200000000002</v>
      </c>
      <c r="BR1205" s="7">
        <v>9.6978999999999996E-2</v>
      </c>
      <c r="BS1205" s="7">
        <v>40.604134000000002</v>
      </c>
      <c r="BT1205" s="7">
        <v>50</v>
      </c>
      <c r="BU1205" s="7">
        <v>0.117371</v>
      </c>
      <c r="BV1205" s="7">
        <v>36.525821999999998</v>
      </c>
      <c r="BW1205" s="7">
        <v>50</v>
      </c>
      <c r="BX1205" s="7">
        <v>1</v>
      </c>
      <c r="BY1205" s="7">
        <v>50</v>
      </c>
      <c r="BZ1205" s="7">
        <v>50</v>
      </c>
      <c r="CA1205" s="7">
        <v>5.5147000000000002E-2</v>
      </c>
      <c r="CB1205" s="7">
        <v>3.6764709999999998</v>
      </c>
      <c r="CC1205" s="7">
        <v>50</v>
      </c>
      <c r="CD1205" s="7">
        <v>0.93814399999999998</v>
      </c>
      <c r="CE1205" s="7">
        <v>49.901294</v>
      </c>
      <c r="CF1205" s="7">
        <v>50</v>
      </c>
      <c r="CG1205" s="7">
        <v>0.95744700000000005</v>
      </c>
      <c r="CH1205" s="7">
        <v>100</v>
      </c>
      <c r="CI1205" s="7">
        <v>100</v>
      </c>
      <c r="CJ1205" s="7">
        <v>0</v>
      </c>
      <c r="CK1205" s="7">
        <v>0.99166699999999997</v>
      </c>
      <c r="CL1205" s="7">
        <v>100</v>
      </c>
      <c r="CM1205" s="7">
        <v>100</v>
      </c>
      <c r="CN1205" s="7">
        <v>0.367647</v>
      </c>
      <c r="CO1205" s="7">
        <v>49.019607999999998</v>
      </c>
      <c r="CP1205" s="7">
        <v>100</v>
      </c>
      <c r="CQ1205" s="7">
        <v>0.369697</v>
      </c>
      <c r="CR1205" s="7">
        <v>1.01227</v>
      </c>
      <c r="CS1205" s="7">
        <v>24.646464999999999</v>
      </c>
      <c r="CT1205" s="7">
        <v>50</v>
      </c>
      <c r="CU1205" s="7">
        <v>0.306836</v>
      </c>
      <c r="CV1205" s="7">
        <v>25.569686999999998</v>
      </c>
      <c r="CW1205" s="7">
        <v>50</v>
      </c>
      <c r="CX1205" s="7">
        <v>0.99166699999999997</v>
      </c>
      <c r="CY1205" s="7">
        <v>0.94</v>
      </c>
      <c r="CZ1205" s="7">
        <v>-5.1666999999999998E-2</v>
      </c>
      <c r="DA1205" s="7">
        <v>15.314097</v>
      </c>
      <c r="DB1205" s="7">
        <v>17.400950000000002</v>
      </c>
      <c r="DC1205" s="7">
        <v>16.332519999999999</v>
      </c>
      <c r="DD1205" s="7">
        <v>7.9891730000000001</v>
      </c>
      <c r="DE1205" s="7">
        <v>0</v>
      </c>
      <c r="DF1205" s="6"/>
      <c r="DG1205" s="6"/>
      <c r="DH1205" s="6"/>
      <c r="DI1205" s="6"/>
      <c r="DJ1205" s="7">
        <v>0</v>
      </c>
      <c r="DK1205" s="7">
        <v>0</v>
      </c>
      <c r="DL1205" s="7">
        <v>0</v>
      </c>
      <c r="DM1205" s="7">
        <v>0</v>
      </c>
      <c r="DN1205" s="7">
        <v>0</v>
      </c>
      <c r="DO1205" s="7">
        <v>0</v>
      </c>
      <c r="DP1205" s="6"/>
      <c r="DQ1205" s="4" t="s">
        <v>125</v>
      </c>
    </row>
    <row r="1206" spans="1:121" ht="20" customHeight="1" x14ac:dyDescent="0.15">
      <c r="A1206" s="5">
        <v>2018</v>
      </c>
      <c r="B1206" s="3" t="s">
        <v>305</v>
      </c>
      <c r="C1206" s="4" t="str">
        <f t="shared" si="289"/>
        <v>9000016</v>
      </c>
      <c r="D1206" s="4" t="s">
        <v>1354</v>
      </c>
      <c r="E1206" s="4" t="str">
        <f>"9001416"</f>
        <v>9001416</v>
      </c>
      <c r="F1206" s="4" t="s">
        <v>1351</v>
      </c>
      <c r="G1206" s="7">
        <v>9</v>
      </c>
      <c r="H1206" s="7">
        <v>12</v>
      </c>
      <c r="I1206" s="4" t="s">
        <v>335</v>
      </c>
      <c r="J1206" s="4" t="s">
        <v>330</v>
      </c>
      <c r="K1206" s="7">
        <v>956.10796300000004</v>
      </c>
      <c r="L1206" s="7">
        <v>1550</v>
      </c>
      <c r="M1206" s="7">
        <v>61.684384999999999</v>
      </c>
      <c r="N1206" s="7">
        <v>4</v>
      </c>
      <c r="O1206" s="7">
        <v>0</v>
      </c>
      <c r="P1206" s="7">
        <v>40.049095999999999</v>
      </c>
      <c r="Q1206" s="7">
        <v>80.098191</v>
      </c>
      <c r="R1206" s="7">
        <v>150</v>
      </c>
      <c r="S1206" s="7">
        <v>38.460572999999997</v>
      </c>
      <c r="T1206" s="7">
        <v>44.152777999999998</v>
      </c>
      <c r="U1206" s="7">
        <v>76.921147000000005</v>
      </c>
      <c r="V1206" s="7">
        <v>150</v>
      </c>
      <c r="W1206" s="7">
        <v>35.984496</v>
      </c>
      <c r="X1206" s="7">
        <v>71.968992</v>
      </c>
      <c r="Y1206" s="7">
        <v>150</v>
      </c>
      <c r="Z1206" s="7">
        <v>41.351852000000001</v>
      </c>
      <c r="AA1206" s="7">
        <v>33.90681</v>
      </c>
      <c r="AB1206" s="7">
        <v>67.81362</v>
      </c>
      <c r="AC1206" s="7">
        <v>150</v>
      </c>
      <c r="AD1206" s="7">
        <v>38.882461999999997</v>
      </c>
      <c r="AE1206" s="7">
        <v>51.843282000000002</v>
      </c>
      <c r="AF1206" s="7">
        <v>100</v>
      </c>
      <c r="AG1206" s="7">
        <v>37.259290999999997</v>
      </c>
      <c r="AH1206" s="7">
        <v>42.895299000000001</v>
      </c>
      <c r="AI1206" s="7">
        <v>49.679054999999998</v>
      </c>
      <c r="AJ1206" s="7">
        <v>100</v>
      </c>
      <c r="AK1206" s="7">
        <v>5.69</v>
      </c>
      <c r="AL1206" s="7">
        <v>7.44</v>
      </c>
      <c r="AM1206" s="7">
        <v>5.63</v>
      </c>
      <c r="AN1206" s="4" t="s">
        <v>124</v>
      </c>
      <c r="AO1206" s="4" t="s">
        <v>124</v>
      </c>
      <c r="AP1206" s="4" t="s">
        <v>124</v>
      </c>
      <c r="AQ1206" s="4" t="s">
        <v>124</v>
      </c>
      <c r="AR1206" s="4" t="s">
        <v>124</v>
      </c>
      <c r="AS1206" s="4" t="s">
        <v>124</v>
      </c>
      <c r="AT1206" s="4" t="s">
        <v>124</v>
      </c>
      <c r="AU1206" s="4" t="s">
        <v>124</v>
      </c>
      <c r="AV1206" s="4" t="s">
        <v>124</v>
      </c>
      <c r="AW1206" s="4" t="s">
        <v>124</v>
      </c>
      <c r="AX1206" s="4" t="s">
        <v>124</v>
      </c>
      <c r="AY1206" s="4" t="s">
        <v>124</v>
      </c>
      <c r="AZ1206" s="4" t="s">
        <v>124</v>
      </c>
      <c r="BA1206" s="4" t="s">
        <v>124</v>
      </c>
      <c r="BB1206" s="7">
        <v>0.350192</v>
      </c>
      <c r="BC1206" s="7">
        <v>17.509588000000001</v>
      </c>
      <c r="BD1206" s="7">
        <v>50</v>
      </c>
      <c r="BE1206" s="7">
        <v>0.52641899999999997</v>
      </c>
      <c r="BF1206" s="7">
        <v>26.320936</v>
      </c>
      <c r="BG1206" s="7">
        <v>50</v>
      </c>
      <c r="BH1206" s="7">
        <v>0</v>
      </c>
      <c r="BI1206" s="7">
        <v>1</v>
      </c>
      <c r="BJ1206" s="7">
        <v>1</v>
      </c>
      <c r="BK1206" s="7">
        <v>1</v>
      </c>
      <c r="BL1206" s="7">
        <v>1</v>
      </c>
      <c r="BM1206" s="7">
        <v>1</v>
      </c>
      <c r="BN1206" s="7">
        <v>1</v>
      </c>
      <c r="BO1206" s="7">
        <v>0.97674399999999995</v>
      </c>
      <c r="BP1206" s="7">
        <v>0.96774199999999999</v>
      </c>
      <c r="BQ1206" s="7">
        <v>1</v>
      </c>
      <c r="BR1206" s="7">
        <v>0.105735</v>
      </c>
      <c r="BS1206" s="7">
        <v>38.853046999999997</v>
      </c>
      <c r="BT1206" s="7">
        <v>50</v>
      </c>
      <c r="BU1206" s="7">
        <v>0.129442</v>
      </c>
      <c r="BV1206" s="7">
        <v>34.111674999999998</v>
      </c>
      <c r="BW1206" s="7">
        <v>50</v>
      </c>
      <c r="BX1206" s="7">
        <v>1</v>
      </c>
      <c r="BY1206" s="7">
        <v>50</v>
      </c>
      <c r="BZ1206" s="7">
        <v>50</v>
      </c>
      <c r="CA1206" s="7">
        <v>2.1552000000000002E-2</v>
      </c>
      <c r="CB1206" s="7">
        <v>1.436782</v>
      </c>
      <c r="CC1206" s="7">
        <v>50</v>
      </c>
      <c r="CD1206" s="7">
        <v>0.97237600000000002</v>
      </c>
      <c r="CE1206" s="7">
        <v>50</v>
      </c>
      <c r="CF1206" s="7">
        <v>50</v>
      </c>
      <c r="CG1206" s="7">
        <v>0.95833299999999999</v>
      </c>
      <c r="CH1206" s="7">
        <v>100</v>
      </c>
      <c r="CI1206" s="7">
        <v>100</v>
      </c>
      <c r="CJ1206" s="7">
        <v>0</v>
      </c>
      <c r="CK1206" s="7">
        <v>0.92452800000000002</v>
      </c>
      <c r="CL1206" s="7">
        <v>98.354074999999995</v>
      </c>
      <c r="CM1206" s="7">
        <v>100</v>
      </c>
      <c r="CN1206" s="7">
        <v>0.48275899999999999</v>
      </c>
      <c r="CO1206" s="7">
        <v>64.367816000000005</v>
      </c>
      <c r="CP1206" s="7">
        <v>100</v>
      </c>
      <c r="CQ1206" s="7">
        <v>0.41095900000000002</v>
      </c>
      <c r="CR1206" s="7">
        <v>1.0068969999999999</v>
      </c>
      <c r="CS1206" s="7">
        <v>27.397259999999999</v>
      </c>
      <c r="CT1206" s="7">
        <v>50</v>
      </c>
      <c r="CU1206" s="7">
        <v>0.59319</v>
      </c>
      <c r="CV1206" s="7">
        <v>49.432496999999998</v>
      </c>
      <c r="CW1206" s="7">
        <v>50</v>
      </c>
      <c r="CX1206" s="7">
        <v>0.92452800000000002</v>
      </c>
      <c r="CY1206" s="4" t="s">
        <v>124</v>
      </c>
      <c r="CZ1206" s="4" t="s">
        <v>124</v>
      </c>
      <c r="DA1206" s="7">
        <v>15.314097</v>
      </c>
      <c r="DB1206" s="7">
        <v>17.400950000000002</v>
      </c>
      <c r="DC1206" s="7">
        <v>16.332519999999999</v>
      </c>
      <c r="DD1206" s="7">
        <v>7.9891730000000001</v>
      </c>
      <c r="DE1206" s="7">
        <v>0</v>
      </c>
      <c r="DF1206" s="4" t="s">
        <v>384</v>
      </c>
      <c r="DG1206" s="4" t="s">
        <v>385</v>
      </c>
      <c r="DH1206" s="6"/>
      <c r="DI1206" s="6"/>
      <c r="DJ1206" s="7">
        <v>0</v>
      </c>
      <c r="DK1206" s="7">
        <v>0</v>
      </c>
      <c r="DL1206" s="7">
        <v>0</v>
      </c>
      <c r="DM1206" s="7">
        <v>0</v>
      </c>
      <c r="DN1206" s="7">
        <v>0</v>
      </c>
      <c r="DO1206" s="7">
        <v>0</v>
      </c>
      <c r="DP1206" s="6"/>
      <c r="DQ1206" s="4" t="s">
        <v>125</v>
      </c>
    </row>
    <row r="1207" spans="1:121" ht="20" customHeight="1" x14ac:dyDescent="0.15">
      <c r="A1207" s="5">
        <v>2018</v>
      </c>
      <c r="B1207" s="3" t="s">
        <v>305</v>
      </c>
      <c r="C1207" s="4" t="str">
        <f t="shared" si="289"/>
        <v>9000016</v>
      </c>
      <c r="D1207" s="4" t="s">
        <v>1355</v>
      </c>
      <c r="E1207" s="4" t="str">
        <f>"9002716"</f>
        <v>9002716</v>
      </c>
      <c r="F1207" s="4" t="s">
        <v>1351</v>
      </c>
      <c r="G1207" s="7">
        <v>9</v>
      </c>
      <c r="H1207" s="7">
        <v>12</v>
      </c>
      <c r="I1207" s="4" t="s">
        <v>335</v>
      </c>
      <c r="J1207" s="4" t="s">
        <v>330</v>
      </c>
      <c r="K1207" s="7">
        <v>986.80451700000003</v>
      </c>
      <c r="L1207" s="7">
        <v>1450</v>
      </c>
      <c r="M1207" s="7">
        <v>68.055484000000007</v>
      </c>
      <c r="N1207" s="7">
        <v>3</v>
      </c>
      <c r="O1207" s="7">
        <v>0</v>
      </c>
      <c r="P1207" s="7">
        <v>44.724089999999997</v>
      </c>
      <c r="Q1207" s="7">
        <v>89.448178999999996</v>
      </c>
      <c r="R1207" s="7">
        <v>150</v>
      </c>
      <c r="S1207" s="7">
        <v>42.124031000000002</v>
      </c>
      <c r="T1207" s="7">
        <v>51.5</v>
      </c>
      <c r="U1207" s="7">
        <v>84.248062000000004</v>
      </c>
      <c r="V1207" s="7">
        <v>150</v>
      </c>
      <c r="W1207" s="7">
        <v>44.631653</v>
      </c>
      <c r="X1207" s="7">
        <v>89.263305000000003</v>
      </c>
      <c r="Y1207" s="7">
        <v>150</v>
      </c>
      <c r="Z1207" s="7">
        <v>47.777777999999998</v>
      </c>
      <c r="AA1207" s="7">
        <v>43.424419</v>
      </c>
      <c r="AB1207" s="7">
        <v>86.848837000000003</v>
      </c>
      <c r="AC1207" s="7">
        <v>150</v>
      </c>
      <c r="AD1207" s="7">
        <v>44.197436000000003</v>
      </c>
      <c r="AE1207" s="7">
        <v>58.929915000000001</v>
      </c>
      <c r="AF1207" s="7">
        <v>100</v>
      </c>
      <c r="AG1207" s="7">
        <v>40.95975</v>
      </c>
      <c r="AH1207" s="7">
        <v>52.386878000000003</v>
      </c>
      <c r="AI1207" s="7">
        <v>54.612999000000002</v>
      </c>
      <c r="AJ1207" s="7">
        <v>100</v>
      </c>
      <c r="AK1207" s="7">
        <v>9.3699999999999992</v>
      </c>
      <c r="AL1207" s="7">
        <v>4.3499999999999996</v>
      </c>
      <c r="AM1207" s="7">
        <v>11.42</v>
      </c>
      <c r="AN1207" s="4" t="s">
        <v>124</v>
      </c>
      <c r="AO1207" s="4" t="s">
        <v>124</v>
      </c>
      <c r="AP1207" s="4" t="s">
        <v>124</v>
      </c>
      <c r="AQ1207" s="4" t="s">
        <v>124</v>
      </c>
      <c r="AR1207" s="4" t="s">
        <v>124</v>
      </c>
      <c r="AS1207" s="4" t="s">
        <v>124</v>
      </c>
      <c r="AT1207" s="4" t="s">
        <v>124</v>
      </c>
      <c r="AU1207" s="4" t="s">
        <v>124</v>
      </c>
      <c r="AV1207" s="4" t="s">
        <v>124</v>
      </c>
      <c r="AW1207" s="4" t="s">
        <v>124</v>
      </c>
      <c r="AX1207" s="4" t="s">
        <v>124</v>
      </c>
      <c r="AY1207" s="4" t="s">
        <v>124</v>
      </c>
      <c r="AZ1207" s="4" t="s">
        <v>124</v>
      </c>
      <c r="BA1207" s="4" t="s">
        <v>124</v>
      </c>
      <c r="BB1207" s="4" t="s">
        <v>124</v>
      </c>
      <c r="BC1207" s="4" t="s">
        <v>124</v>
      </c>
      <c r="BD1207" s="4" t="s">
        <v>124</v>
      </c>
      <c r="BE1207" s="4" t="s">
        <v>124</v>
      </c>
      <c r="BF1207" s="4" t="s">
        <v>124</v>
      </c>
      <c r="BG1207" s="4" t="s">
        <v>124</v>
      </c>
      <c r="BH1207" s="7">
        <v>0</v>
      </c>
      <c r="BI1207" s="7">
        <v>1</v>
      </c>
      <c r="BJ1207" s="7">
        <v>1</v>
      </c>
      <c r="BK1207" s="7">
        <v>1</v>
      </c>
      <c r="BL1207" s="7">
        <v>1</v>
      </c>
      <c r="BM1207" s="7">
        <v>1</v>
      </c>
      <c r="BN1207" s="7">
        <v>1</v>
      </c>
      <c r="BO1207" s="7">
        <v>1</v>
      </c>
      <c r="BP1207" s="7">
        <v>1</v>
      </c>
      <c r="BQ1207" s="7">
        <v>1</v>
      </c>
      <c r="BR1207" s="7">
        <v>0.103004</v>
      </c>
      <c r="BS1207" s="7">
        <v>39.399141999999998</v>
      </c>
      <c r="BT1207" s="7">
        <v>50</v>
      </c>
      <c r="BU1207" s="7">
        <v>0.116719</v>
      </c>
      <c r="BV1207" s="7">
        <v>36.656151000000001</v>
      </c>
      <c r="BW1207" s="7">
        <v>50</v>
      </c>
      <c r="BX1207" s="7">
        <v>1</v>
      </c>
      <c r="BY1207" s="7">
        <v>50</v>
      </c>
      <c r="BZ1207" s="7">
        <v>50</v>
      </c>
      <c r="CA1207" s="7">
        <v>0.13270100000000001</v>
      </c>
      <c r="CB1207" s="7">
        <v>8.8467610000000008</v>
      </c>
      <c r="CC1207" s="7">
        <v>50</v>
      </c>
      <c r="CD1207" s="7">
        <v>1</v>
      </c>
      <c r="CE1207" s="7">
        <v>50</v>
      </c>
      <c r="CF1207" s="7">
        <v>50</v>
      </c>
      <c r="CG1207" s="7">
        <v>1</v>
      </c>
      <c r="CH1207" s="7">
        <v>100</v>
      </c>
      <c r="CI1207" s="7">
        <v>100</v>
      </c>
      <c r="CJ1207" s="7">
        <v>0</v>
      </c>
      <c r="CK1207" s="7">
        <v>0.96363600000000005</v>
      </c>
      <c r="CL1207" s="7">
        <v>100</v>
      </c>
      <c r="CM1207" s="7">
        <v>100</v>
      </c>
      <c r="CN1207" s="7">
        <v>0.52127699999999999</v>
      </c>
      <c r="CO1207" s="7">
        <v>69.503546</v>
      </c>
      <c r="CP1207" s="7">
        <v>100</v>
      </c>
      <c r="CQ1207" s="7">
        <v>0.28571400000000002</v>
      </c>
      <c r="CR1207" s="7">
        <v>1.0161290000000001</v>
      </c>
      <c r="CS1207" s="7">
        <v>19.047619000000001</v>
      </c>
      <c r="CT1207" s="7">
        <v>50</v>
      </c>
      <c r="CU1207" s="7">
        <v>0.62660899999999997</v>
      </c>
      <c r="CV1207" s="7">
        <v>50</v>
      </c>
      <c r="CW1207" s="7">
        <v>50</v>
      </c>
      <c r="CX1207" s="7">
        <v>0.96363600000000005</v>
      </c>
      <c r="CY1207" s="7">
        <v>0.94</v>
      </c>
      <c r="CZ1207" s="7">
        <v>-2.3636000000000001E-2</v>
      </c>
      <c r="DA1207" s="7">
        <v>15.314097</v>
      </c>
      <c r="DB1207" s="7">
        <v>17.400950000000002</v>
      </c>
      <c r="DC1207" s="7">
        <v>16.332519999999999</v>
      </c>
      <c r="DD1207" s="7">
        <v>7.9891730000000001</v>
      </c>
      <c r="DE1207" s="7">
        <v>0</v>
      </c>
      <c r="DF1207" s="6"/>
      <c r="DG1207" s="6"/>
      <c r="DH1207" s="6"/>
      <c r="DI1207" s="6"/>
      <c r="DJ1207" s="7">
        <v>0</v>
      </c>
      <c r="DK1207" s="7">
        <v>0</v>
      </c>
      <c r="DL1207" s="7">
        <v>0</v>
      </c>
      <c r="DM1207" s="7">
        <v>0</v>
      </c>
      <c r="DN1207" s="7">
        <v>0</v>
      </c>
      <c r="DO1207" s="7">
        <v>0</v>
      </c>
      <c r="DP1207" s="6"/>
      <c r="DQ1207" s="4" t="s">
        <v>125</v>
      </c>
    </row>
    <row r="1208" spans="1:121" ht="20" customHeight="1" x14ac:dyDescent="0.15">
      <c r="A1208" s="5">
        <v>2018</v>
      </c>
      <c r="B1208" s="3" t="s">
        <v>305</v>
      </c>
      <c r="C1208" s="4" t="str">
        <f t="shared" si="289"/>
        <v>9000016</v>
      </c>
      <c r="D1208" s="4" t="s">
        <v>1356</v>
      </c>
      <c r="E1208" s="4" t="str">
        <f>"9002516"</f>
        <v>9002516</v>
      </c>
      <c r="F1208" s="4" t="s">
        <v>1351</v>
      </c>
      <c r="G1208" s="7">
        <v>9</v>
      </c>
      <c r="H1208" s="7">
        <v>12</v>
      </c>
      <c r="I1208" s="6"/>
      <c r="J1208" s="4" t="s">
        <v>330</v>
      </c>
      <c r="K1208" s="7">
        <v>1025.207095</v>
      </c>
      <c r="L1208" s="7">
        <v>1450</v>
      </c>
      <c r="M1208" s="7">
        <v>70.703937999999994</v>
      </c>
      <c r="N1208" s="7">
        <v>2</v>
      </c>
      <c r="O1208" s="7">
        <v>0</v>
      </c>
      <c r="P1208" s="7">
        <v>48.983567999999998</v>
      </c>
      <c r="Q1208" s="7">
        <v>97.967135999999996</v>
      </c>
      <c r="R1208" s="7">
        <v>150</v>
      </c>
      <c r="S1208" s="7">
        <v>47.192157000000002</v>
      </c>
      <c r="T1208" s="7">
        <v>51.654971000000003</v>
      </c>
      <c r="U1208" s="7">
        <v>94.384314000000003</v>
      </c>
      <c r="V1208" s="7">
        <v>150</v>
      </c>
      <c r="W1208" s="7">
        <v>42.179577000000002</v>
      </c>
      <c r="X1208" s="7">
        <v>84.359155000000001</v>
      </c>
      <c r="Y1208" s="7">
        <v>150</v>
      </c>
      <c r="Z1208" s="7">
        <v>43.967835999999998</v>
      </c>
      <c r="AA1208" s="7">
        <v>40.980392000000002</v>
      </c>
      <c r="AB1208" s="7">
        <v>81.960784000000004</v>
      </c>
      <c r="AC1208" s="7">
        <v>150</v>
      </c>
      <c r="AD1208" s="7">
        <v>54.183639999999997</v>
      </c>
      <c r="AE1208" s="7">
        <v>72.244854000000004</v>
      </c>
      <c r="AF1208" s="7">
        <v>100</v>
      </c>
      <c r="AG1208" s="7">
        <v>52.471493000000002</v>
      </c>
      <c r="AH1208" s="7">
        <v>56.736842000000003</v>
      </c>
      <c r="AI1208" s="7">
        <v>69.961990999999998</v>
      </c>
      <c r="AJ1208" s="7">
        <v>100</v>
      </c>
      <c r="AK1208" s="7">
        <v>4.46</v>
      </c>
      <c r="AL1208" s="7">
        <v>2.98</v>
      </c>
      <c r="AM1208" s="7">
        <v>4.26</v>
      </c>
      <c r="AN1208" s="4" t="s">
        <v>124</v>
      </c>
      <c r="AO1208" s="4" t="s">
        <v>124</v>
      </c>
      <c r="AP1208" s="4" t="s">
        <v>124</v>
      </c>
      <c r="AQ1208" s="4" t="s">
        <v>124</v>
      </c>
      <c r="AR1208" s="4" t="s">
        <v>124</v>
      </c>
      <c r="AS1208" s="4" t="s">
        <v>124</v>
      </c>
      <c r="AT1208" s="4" t="s">
        <v>124</v>
      </c>
      <c r="AU1208" s="4" t="s">
        <v>124</v>
      </c>
      <c r="AV1208" s="4" t="s">
        <v>124</v>
      </c>
      <c r="AW1208" s="4" t="s">
        <v>124</v>
      </c>
      <c r="AX1208" s="4" t="s">
        <v>124</v>
      </c>
      <c r="AY1208" s="4" t="s">
        <v>124</v>
      </c>
      <c r="AZ1208" s="4" t="s">
        <v>124</v>
      </c>
      <c r="BA1208" s="4" t="s">
        <v>124</v>
      </c>
      <c r="BB1208" s="4" t="s">
        <v>124</v>
      </c>
      <c r="BC1208" s="4" t="s">
        <v>124</v>
      </c>
      <c r="BD1208" s="4" t="s">
        <v>124</v>
      </c>
      <c r="BE1208" s="4" t="s">
        <v>124</v>
      </c>
      <c r="BF1208" s="4" t="s">
        <v>124</v>
      </c>
      <c r="BG1208" s="4" t="s">
        <v>124</v>
      </c>
      <c r="BH1208" s="7">
        <v>0</v>
      </c>
      <c r="BI1208" s="7">
        <v>1</v>
      </c>
      <c r="BJ1208" s="7">
        <v>1</v>
      </c>
      <c r="BK1208" s="7">
        <v>1</v>
      </c>
      <c r="BL1208" s="7">
        <v>1</v>
      </c>
      <c r="BM1208" s="7">
        <v>1</v>
      </c>
      <c r="BN1208" s="7">
        <v>1</v>
      </c>
      <c r="BO1208" s="7">
        <v>1</v>
      </c>
      <c r="BP1208" s="7">
        <v>1</v>
      </c>
      <c r="BQ1208" s="7">
        <v>1</v>
      </c>
      <c r="BR1208" s="7">
        <v>8.5859000000000005E-2</v>
      </c>
      <c r="BS1208" s="7">
        <v>42.828282999999999</v>
      </c>
      <c r="BT1208" s="7">
        <v>50</v>
      </c>
      <c r="BU1208" s="7">
        <v>0.11343300000000001</v>
      </c>
      <c r="BV1208" s="7">
        <v>37.313433000000003</v>
      </c>
      <c r="BW1208" s="7">
        <v>50</v>
      </c>
      <c r="BX1208" s="7">
        <v>1</v>
      </c>
      <c r="BY1208" s="7">
        <v>50</v>
      </c>
      <c r="BZ1208" s="7">
        <v>50</v>
      </c>
      <c r="CA1208" s="7">
        <v>8.7786000000000003E-2</v>
      </c>
      <c r="CB1208" s="7">
        <v>5.852417</v>
      </c>
      <c r="CC1208" s="7">
        <v>50</v>
      </c>
      <c r="CD1208" s="7">
        <v>1</v>
      </c>
      <c r="CE1208" s="7">
        <v>50</v>
      </c>
      <c r="CF1208" s="7">
        <v>50</v>
      </c>
      <c r="CG1208" s="7">
        <v>0.984375</v>
      </c>
      <c r="CH1208" s="7">
        <v>100</v>
      </c>
      <c r="CI1208" s="7">
        <v>100</v>
      </c>
      <c r="CJ1208" s="7">
        <v>0</v>
      </c>
      <c r="CK1208" s="7">
        <v>0.97916700000000001</v>
      </c>
      <c r="CL1208" s="7">
        <v>100</v>
      </c>
      <c r="CM1208" s="7">
        <v>100</v>
      </c>
      <c r="CN1208" s="7">
        <v>0.42519699999999999</v>
      </c>
      <c r="CO1208" s="7">
        <v>56.692912999999997</v>
      </c>
      <c r="CP1208" s="7">
        <v>100</v>
      </c>
      <c r="CQ1208" s="7">
        <v>0.52597400000000005</v>
      </c>
      <c r="CR1208" s="7">
        <v>1</v>
      </c>
      <c r="CS1208" s="7">
        <v>35.064934999999998</v>
      </c>
      <c r="CT1208" s="7">
        <v>50</v>
      </c>
      <c r="CU1208" s="7">
        <v>0.55892299999999995</v>
      </c>
      <c r="CV1208" s="7">
        <v>46.576880000000003</v>
      </c>
      <c r="CW1208" s="7">
        <v>50</v>
      </c>
      <c r="CX1208" s="7">
        <v>0.97916700000000001</v>
      </c>
      <c r="CY1208" s="7">
        <v>0.94</v>
      </c>
      <c r="CZ1208" s="7">
        <v>-3.9167E-2</v>
      </c>
      <c r="DA1208" s="7">
        <v>15.314097</v>
      </c>
      <c r="DB1208" s="7">
        <v>17.400950000000002</v>
      </c>
      <c r="DC1208" s="7">
        <v>16.332519999999999</v>
      </c>
      <c r="DD1208" s="7">
        <v>7.9891730000000001</v>
      </c>
      <c r="DE1208" s="7">
        <v>0</v>
      </c>
      <c r="DF1208" s="6"/>
      <c r="DG1208" s="6"/>
      <c r="DH1208" s="6"/>
      <c r="DI1208" s="6"/>
      <c r="DJ1208" s="7">
        <v>0</v>
      </c>
      <c r="DK1208" s="7">
        <v>0</v>
      </c>
      <c r="DL1208" s="7">
        <v>0</v>
      </c>
      <c r="DM1208" s="7">
        <v>0</v>
      </c>
      <c r="DN1208" s="7">
        <v>0</v>
      </c>
      <c r="DO1208" s="7">
        <v>0</v>
      </c>
      <c r="DP1208" s="6"/>
      <c r="DQ1208" s="4" t="s">
        <v>125</v>
      </c>
    </row>
    <row r="1209" spans="1:121" ht="20" customHeight="1" x14ac:dyDescent="0.15">
      <c r="A1209" s="5">
        <v>2018</v>
      </c>
      <c r="B1209" s="3" t="s">
        <v>305</v>
      </c>
      <c r="C1209" s="4" t="str">
        <f t="shared" si="289"/>
        <v>9000016</v>
      </c>
      <c r="D1209" s="4" t="s">
        <v>1357</v>
      </c>
      <c r="E1209" s="4" t="str">
        <f>"9001716"</f>
        <v>9001716</v>
      </c>
      <c r="F1209" s="4" t="s">
        <v>1351</v>
      </c>
      <c r="G1209" s="7">
        <v>9</v>
      </c>
      <c r="H1209" s="7">
        <v>12</v>
      </c>
      <c r="I1209" s="6"/>
      <c r="J1209" s="4" t="s">
        <v>330</v>
      </c>
      <c r="K1209" s="7">
        <v>1114.385348</v>
      </c>
      <c r="L1209" s="7">
        <v>1550</v>
      </c>
      <c r="M1209" s="7">
        <v>71.895829000000006</v>
      </c>
      <c r="N1209" s="7">
        <v>2</v>
      </c>
      <c r="O1209" s="7">
        <v>0</v>
      </c>
      <c r="P1209" s="7">
        <v>50.999079000000002</v>
      </c>
      <c r="Q1209" s="7">
        <v>101.998158</v>
      </c>
      <c r="R1209" s="7">
        <v>150</v>
      </c>
      <c r="S1209" s="7">
        <v>48.255952000000001</v>
      </c>
      <c r="T1209" s="7">
        <v>55.451690999999997</v>
      </c>
      <c r="U1209" s="7">
        <v>96.511904999999999</v>
      </c>
      <c r="V1209" s="7">
        <v>150</v>
      </c>
      <c r="W1209" s="7">
        <v>46.825966999999999</v>
      </c>
      <c r="X1209" s="7">
        <v>93.651933999999997</v>
      </c>
      <c r="Y1209" s="7">
        <v>150</v>
      </c>
      <c r="Z1209" s="7">
        <v>52.582126000000002</v>
      </c>
      <c r="AA1209" s="7">
        <v>43.279761999999998</v>
      </c>
      <c r="AB1209" s="7">
        <v>86.559523999999996</v>
      </c>
      <c r="AC1209" s="7">
        <v>150</v>
      </c>
      <c r="AD1209" s="7">
        <v>54.491357000000001</v>
      </c>
      <c r="AE1209" s="7">
        <v>72.655142999999995</v>
      </c>
      <c r="AF1209" s="7">
        <v>100</v>
      </c>
      <c r="AG1209" s="7">
        <v>50.435426999999997</v>
      </c>
      <c r="AH1209" s="7">
        <v>60.898550999999998</v>
      </c>
      <c r="AI1209" s="7">
        <v>67.247236000000001</v>
      </c>
      <c r="AJ1209" s="7">
        <v>100</v>
      </c>
      <c r="AK1209" s="7">
        <v>7.19</v>
      </c>
      <c r="AL1209" s="7">
        <v>9.3000000000000007</v>
      </c>
      <c r="AM1209" s="7">
        <v>10.46</v>
      </c>
      <c r="AN1209" s="4" t="s">
        <v>124</v>
      </c>
      <c r="AO1209" s="4" t="s">
        <v>124</v>
      </c>
      <c r="AP1209" s="4" t="s">
        <v>124</v>
      </c>
      <c r="AQ1209" s="4" t="s">
        <v>124</v>
      </c>
      <c r="AR1209" s="4" t="s">
        <v>124</v>
      </c>
      <c r="AS1209" s="4" t="s">
        <v>124</v>
      </c>
      <c r="AT1209" s="4" t="s">
        <v>124</v>
      </c>
      <c r="AU1209" s="4" t="s">
        <v>124</v>
      </c>
      <c r="AV1209" s="4" t="s">
        <v>124</v>
      </c>
      <c r="AW1209" s="4" t="s">
        <v>124</v>
      </c>
      <c r="AX1209" s="4" t="s">
        <v>124</v>
      </c>
      <c r="AY1209" s="4" t="s">
        <v>124</v>
      </c>
      <c r="AZ1209" s="4" t="s">
        <v>124</v>
      </c>
      <c r="BA1209" s="4" t="s">
        <v>124</v>
      </c>
      <c r="BB1209" s="7">
        <v>0.54679999999999995</v>
      </c>
      <c r="BC1209" s="7">
        <v>27.339993</v>
      </c>
      <c r="BD1209" s="7">
        <v>50</v>
      </c>
      <c r="BE1209" s="7">
        <v>0.55245299999999997</v>
      </c>
      <c r="BF1209" s="7">
        <v>27.622644999999999</v>
      </c>
      <c r="BG1209" s="7">
        <v>50</v>
      </c>
      <c r="BH1209" s="7">
        <v>0</v>
      </c>
      <c r="BI1209" s="7">
        <v>1</v>
      </c>
      <c r="BJ1209" s="7">
        <v>1</v>
      </c>
      <c r="BK1209" s="7">
        <v>1</v>
      </c>
      <c r="BL1209" s="7">
        <v>1</v>
      </c>
      <c r="BM1209" s="7">
        <v>1</v>
      </c>
      <c r="BN1209" s="7">
        <v>1</v>
      </c>
      <c r="BO1209" s="7">
        <v>0.99441299999999999</v>
      </c>
      <c r="BP1209" s="7">
        <v>0.99090900000000004</v>
      </c>
      <c r="BQ1209" s="7">
        <v>1</v>
      </c>
      <c r="BR1209" s="7">
        <v>7.5471999999999997E-2</v>
      </c>
      <c r="BS1209" s="7">
        <v>44.905659999999997</v>
      </c>
      <c r="BT1209" s="7">
        <v>50</v>
      </c>
      <c r="BU1209" s="7">
        <v>8.3710000000000007E-2</v>
      </c>
      <c r="BV1209" s="7">
        <v>43.257919000000001</v>
      </c>
      <c r="BW1209" s="7">
        <v>50</v>
      </c>
      <c r="BX1209" s="7">
        <v>1</v>
      </c>
      <c r="BY1209" s="7">
        <v>50</v>
      </c>
      <c r="BZ1209" s="7">
        <v>50</v>
      </c>
      <c r="CA1209" s="7">
        <v>0.18571399999999999</v>
      </c>
      <c r="CB1209" s="7">
        <v>12.380952000000001</v>
      </c>
      <c r="CC1209" s="7">
        <v>50</v>
      </c>
      <c r="CD1209" s="7">
        <v>0.98499999999999999</v>
      </c>
      <c r="CE1209" s="7">
        <v>50</v>
      </c>
      <c r="CF1209" s="7">
        <v>50</v>
      </c>
      <c r="CG1209" s="7">
        <v>0.99363100000000004</v>
      </c>
      <c r="CH1209" s="7">
        <v>100</v>
      </c>
      <c r="CI1209" s="7">
        <v>100</v>
      </c>
      <c r="CJ1209" s="7">
        <v>0</v>
      </c>
      <c r="CK1209" s="7">
        <v>0.97435899999999998</v>
      </c>
      <c r="CL1209" s="7">
        <v>100</v>
      </c>
      <c r="CM1209" s="7">
        <v>100</v>
      </c>
      <c r="CN1209" s="7">
        <v>0.467949</v>
      </c>
      <c r="CO1209" s="7">
        <v>62.393161999999997</v>
      </c>
      <c r="CP1209" s="7">
        <v>100</v>
      </c>
      <c r="CQ1209" s="7">
        <v>0.450262</v>
      </c>
      <c r="CR1209" s="7">
        <v>0.99479200000000001</v>
      </c>
      <c r="CS1209" s="7">
        <v>30.017451999999999</v>
      </c>
      <c r="CT1209" s="7">
        <v>50</v>
      </c>
      <c r="CU1209" s="7">
        <v>0.57412399999999997</v>
      </c>
      <c r="CV1209" s="7">
        <v>47.843665999999999</v>
      </c>
      <c r="CW1209" s="7">
        <v>50</v>
      </c>
      <c r="CX1209" s="7">
        <v>0.97435899999999998</v>
      </c>
      <c r="CY1209" s="7">
        <v>0.94</v>
      </c>
      <c r="CZ1209" s="7">
        <v>-3.4359000000000001E-2</v>
      </c>
      <c r="DA1209" s="7">
        <v>15.314097</v>
      </c>
      <c r="DB1209" s="7">
        <v>17.400950000000002</v>
      </c>
      <c r="DC1209" s="7">
        <v>16.332519999999999</v>
      </c>
      <c r="DD1209" s="7">
        <v>7.9891730000000001</v>
      </c>
      <c r="DE1209" s="7">
        <v>0</v>
      </c>
      <c r="DF1209" s="6"/>
      <c r="DG1209" s="6"/>
      <c r="DH1209" s="6"/>
      <c r="DI1209" s="6"/>
      <c r="DJ1209" s="7">
        <v>0</v>
      </c>
      <c r="DK1209" s="7">
        <v>0</v>
      </c>
      <c r="DL1209" s="7">
        <v>0</v>
      </c>
      <c r="DM1209" s="7">
        <v>0</v>
      </c>
      <c r="DN1209" s="7">
        <v>0</v>
      </c>
      <c r="DO1209" s="7">
        <v>0</v>
      </c>
      <c r="DP1209" s="6"/>
      <c r="DQ1209" s="4" t="s">
        <v>125</v>
      </c>
    </row>
    <row r="1210" spans="1:121" ht="20" customHeight="1" x14ac:dyDescent="0.15">
      <c r="A1210" s="5">
        <v>2018</v>
      </c>
      <c r="B1210" s="3" t="s">
        <v>305</v>
      </c>
      <c r="C1210" s="4" t="str">
        <f t="shared" si="289"/>
        <v>9000016</v>
      </c>
      <c r="D1210" s="4" t="s">
        <v>1358</v>
      </c>
      <c r="E1210" s="4" t="str">
        <f>"9001316"</f>
        <v>9001316</v>
      </c>
      <c r="F1210" s="4" t="s">
        <v>1351</v>
      </c>
      <c r="G1210" s="7">
        <v>9</v>
      </c>
      <c r="H1210" s="7">
        <v>12</v>
      </c>
      <c r="I1210" s="6"/>
      <c r="J1210" s="4" t="s">
        <v>330</v>
      </c>
      <c r="K1210" s="7">
        <v>1007.473076</v>
      </c>
      <c r="L1210" s="7">
        <v>1450</v>
      </c>
      <c r="M1210" s="7">
        <v>69.480902</v>
      </c>
      <c r="N1210" s="7">
        <v>3</v>
      </c>
      <c r="O1210" s="7">
        <v>0</v>
      </c>
      <c r="P1210" s="7">
        <v>47.730769000000002</v>
      </c>
      <c r="Q1210" s="7">
        <v>95.461538000000004</v>
      </c>
      <c r="R1210" s="7">
        <v>150</v>
      </c>
      <c r="S1210" s="7">
        <v>47.259259</v>
      </c>
      <c r="T1210" s="7">
        <v>48.208919999999999</v>
      </c>
      <c r="U1210" s="7">
        <v>94.518518999999998</v>
      </c>
      <c r="V1210" s="7">
        <v>150</v>
      </c>
      <c r="W1210" s="7">
        <v>45.641025999999997</v>
      </c>
      <c r="X1210" s="7">
        <v>91.282050999999996</v>
      </c>
      <c r="Y1210" s="7">
        <v>150</v>
      </c>
      <c r="Z1210" s="7">
        <v>46.039906000000002</v>
      </c>
      <c r="AA1210" s="7">
        <v>45.247684999999997</v>
      </c>
      <c r="AB1210" s="7">
        <v>90.495369999999994</v>
      </c>
      <c r="AC1210" s="7">
        <v>150</v>
      </c>
      <c r="AD1210" s="7">
        <v>53.903574999999996</v>
      </c>
      <c r="AE1210" s="7">
        <v>71.871433999999994</v>
      </c>
      <c r="AF1210" s="7">
        <v>100</v>
      </c>
      <c r="AG1210" s="7">
        <v>52.038462000000003</v>
      </c>
      <c r="AH1210" s="7">
        <v>55.821978000000001</v>
      </c>
      <c r="AI1210" s="7">
        <v>69.384614999999997</v>
      </c>
      <c r="AJ1210" s="7">
        <v>100</v>
      </c>
      <c r="AK1210" s="7">
        <v>0.94</v>
      </c>
      <c r="AL1210" s="7">
        <v>0.79</v>
      </c>
      <c r="AM1210" s="7">
        <v>3.78</v>
      </c>
      <c r="AN1210" s="4" t="s">
        <v>124</v>
      </c>
      <c r="AO1210" s="4" t="s">
        <v>124</v>
      </c>
      <c r="AP1210" s="4" t="s">
        <v>124</v>
      </c>
      <c r="AQ1210" s="4" t="s">
        <v>124</v>
      </c>
      <c r="AR1210" s="4" t="s">
        <v>124</v>
      </c>
      <c r="AS1210" s="4" t="s">
        <v>124</v>
      </c>
      <c r="AT1210" s="4" t="s">
        <v>124</v>
      </c>
      <c r="AU1210" s="4" t="s">
        <v>124</v>
      </c>
      <c r="AV1210" s="4" t="s">
        <v>124</v>
      </c>
      <c r="AW1210" s="4" t="s">
        <v>124</v>
      </c>
      <c r="AX1210" s="4" t="s">
        <v>124</v>
      </c>
      <c r="AY1210" s="4" t="s">
        <v>124</v>
      </c>
      <c r="AZ1210" s="4" t="s">
        <v>124</v>
      </c>
      <c r="BA1210" s="4" t="s">
        <v>124</v>
      </c>
      <c r="BB1210" s="4" t="s">
        <v>124</v>
      </c>
      <c r="BC1210" s="4" t="s">
        <v>124</v>
      </c>
      <c r="BD1210" s="4" t="s">
        <v>124</v>
      </c>
      <c r="BE1210" s="4" t="s">
        <v>124</v>
      </c>
      <c r="BF1210" s="4" t="s">
        <v>124</v>
      </c>
      <c r="BG1210" s="4" t="s">
        <v>124</v>
      </c>
      <c r="BH1210" s="7">
        <v>0</v>
      </c>
      <c r="BI1210" s="7">
        <v>1</v>
      </c>
      <c r="BJ1210" s="7">
        <v>1</v>
      </c>
      <c r="BK1210" s="7">
        <v>1</v>
      </c>
      <c r="BL1210" s="7">
        <v>1</v>
      </c>
      <c r="BM1210" s="7">
        <v>1</v>
      </c>
      <c r="BN1210" s="7">
        <v>1</v>
      </c>
      <c r="BO1210" s="7">
        <v>1</v>
      </c>
      <c r="BP1210" s="7">
        <v>1</v>
      </c>
      <c r="BQ1210" s="7">
        <v>1</v>
      </c>
      <c r="BR1210" s="7">
        <v>0.10942200000000001</v>
      </c>
      <c r="BS1210" s="7">
        <v>38.115501999999999</v>
      </c>
      <c r="BT1210" s="7">
        <v>50</v>
      </c>
      <c r="BU1210" s="7">
        <v>0.17571899999999999</v>
      </c>
      <c r="BV1210" s="7">
        <v>24.85623</v>
      </c>
      <c r="BW1210" s="7">
        <v>50</v>
      </c>
      <c r="BX1210" s="7">
        <v>0.99657499999999999</v>
      </c>
      <c r="BY1210" s="7">
        <v>50</v>
      </c>
      <c r="BZ1210" s="7">
        <v>50</v>
      </c>
      <c r="CA1210" s="7">
        <v>0.164384</v>
      </c>
      <c r="CB1210" s="7">
        <v>10.958904</v>
      </c>
      <c r="CC1210" s="7">
        <v>50</v>
      </c>
      <c r="CD1210" s="7">
        <v>1</v>
      </c>
      <c r="CE1210" s="7">
        <v>50</v>
      </c>
      <c r="CF1210" s="7">
        <v>50</v>
      </c>
      <c r="CG1210" s="7">
        <v>0.97959200000000002</v>
      </c>
      <c r="CH1210" s="7">
        <v>100</v>
      </c>
      <c r="CI1210" s="7">
        <v>100</v>
      </c>
      <c r="CJ1210" s="7">
        <v>0</v>
      </c>
      <c r="CK1210" s="7">
        <v>0.94520499999999996</v>
      </c>
      <c r="CL1210" s="7">
        <v>100</v>
      </c>
      <c r="CM1210" s="7">
        <v>100</v>
      </c>
      <c r="CN1210" s="7">
        <v>0.36111100000000002</v>
      </c>
      <c r="CO1210" s="7">
        <v>48.148147999999999</v>
      </c>
      <c r="CP1210" s="7">
        <v>100</v>
      </c>
      <c r="CQ1210" s="7">
        <v>0.52910100000000004</v>
      </c>
      <c r="CR1210" s="7">
        <v>0.98952899999999999</v>
      </c>
      <c r="CS1210" s="7">
        <v>35.273369000000002</v>
      </c>
      <c r="CT1210" s="7">
        <v>50</v>
      </c>
      <c r="CU1210" s="7">
        <v>0.44528899999999999</v>
      </c>
      <c r="CV1210" s="7">
        <v>37.107396000000001</v>
      </c>
      <c r="CW1210" s="7">
        <v>50</v>
      </c>
      <c r="CX1210" s="7">
        <v>0.94520499999999996</v>
      </c>
      <c r="CY1210" s="7">
        <v>0.94</v>
      </c>
      <c r="CZ1210" s="7">
        <v>-5.2050000000000004E-3</v>
      </c>
      <c r="DA1210" s="7">
        <v>15.314097</v>
      </c>
      <c r="DB1210" s="7">
        <v>17.400950000000002</v>
      </c>
      <c r="DC1210" s="7">
        <v>16.332519999999999</v>
      </c>
      <c r="DD1210" s="7">
        <v>7.9891730000000001</v>
      </c>
      <c r="DE1210" s="7">
        <v>0</v>
      </c>
      <c r="DF1210" s="6"/>
      <c r="DG1210" s="6"/>
      <c r="DH1210" s="6"/>
      <c r="DI1210" s="6"/>
      <c r="DJ1210" s="7">
        <v>0</v>
      </c>
      <c r="DK1210" s="7">
        <v>0</v>
      </c>
      <c r="DL1210" s="7">
        <v>0</v>
      </c>
      <c r="DM1210" s="7">
        <v>0</v>
      </c>
      <c r="DN1210" s="7">
        <v>0</v>
      </c>
      <c r="DO1210" s="7">
        <v>0</v>
      </c>
      <c r="DP1210" s="6"/>
      <c r="DQ1210" s="4" t="s">
        <v>125</v>
      </c>
    </row>
    <row r="1211" spans="1:121" ht="20" customHeight="1" x14ac:dyDescent="0.15">
      <c r="A1211" s="5">
        <v>2018</v>
      </c>
      <c r="B1211" s="3" t="s">
        <v>305</v>
      </c>
      <c r="C1211" s="4" t="str">
        <f t="shared" si="289"/>
        <v>9000016</v>
      </c>
      <c r="D1211" s="4" t="s">
        <v>1359</v>
      </c>
      <c r="E1211" s="4" t="str">
        <f>"9001216"</f>
        <v>9001216</v>
      </c>
      <c r="F1211" s="4" t="s">
        <v>1351</v>
      </c>
      <c r="G1211" s="7">
        <v>9</v>
      </c>
      <c r="H1211" s="7">
        <v>12</v>
      </c>
      <c r="I1211" s="6"/>
      <c r="J1211" s="4" t="s">
        <v>330</v>
      </c>
      <c r="K1211" s="7">
        <v>1097.5901409999999</v>
      </c>
      <c r="L1211" s="7">
        <v>1550</v>
      </c>
      <c r="M1211" s="7">
        <v>70.812267000000006</v>
      </c>
      <c r="N1211" s="7">
        <v>2</v>
      </c>
      <c r="O1211" s="7">
        <v>0</v>
      </c>
      <c r="P1211" s="7">
        <v>48.053829999999998</v>
      </c>
      <c r="Q1211" s="7">
        <v>96.107659999999996</v>
      </c>
      <c r="R1211" s="7">
        <v>150</v>
      </c>
      <c r="S1211" s="7">
        <v>44.907406999999999</v>
      </c>
      <c r="T1211" s="7">
        <v>53.077956999999998</v>
      </c>
      <c r="U1211" s="7">
        <v>89.814814999999996</v>
      </c>
      <c r="V1211" s="7">
        <v>150</v>
      </c>
      <c r="W1211" s="7">
        <v>45.241200999999997</v>
      </c>
      <c r="X1211" s="7">
        <v>90.482401999999993</v>
      </c>
      <c r="Y1211" s="7">
        <v>150</v>
      </c>
      <c r="Z1211" s="7">
        <v>49.381720000000001</v>
      </c>
      <c r="AA1211" s="7">
        <v>42.648147999999999</v>
      </c>
      <c r="AB1211" s="7">
        <v>85.296295999999998</v>
      </c>
      <c r="AC1211" s="7">
        <v>150</v>
      </c>
      <c r="AD1211" s="7">
        <v>50.201624000000002</v>
      </c>
      <c r="AE1211" s="7">
        <v>66.935498999999993</v>
      </c>
      <c r="AF1211" s="7">
        <v>100</v>
      </c>
      <c r="AG1211" s="7">
        <v>47.863247999999999</v>
      </c>
      <c r="AH1211" s="7">
        <v>53.935484000000002</v>
      </c>
      <c r="AI1211" s="7">
        <v>63.817664000000001</v>
      </c>
      <c r="AJ1211" s="7">
        <v>100</v>
      </c>
      <c r="AK1211" s="7">
        <v>8.17</v>
      </c>
      <c r="AL1211" s="7">
        <v>6.73</v>
      </c>
      <c r="AM1211" s="7">
        <v>6.07</v>
      </c>
      <c r="AN1211" s="4" t="s">
        <v>124</v>
      </c>
      <c r="AO1211" s="4" t="s">
        <v>124</v>
      </c>
      <c r="AP1211" s="4" t="s">
        <v>124</v>
      </c>
      <c r="AQ1211" s="4" t="s">
        <v>124</v>
      </c>
      <c r="AR1211" s="4" t="s">
        <v>124</v>
      </c>
      <c r="AS1211" s="4" t="s">
        <v>124</v>
      </c>
      <c r="AT1211" s="4" t="s">
        <v>124</v>
      </c>
      <c r="AU1211" s="4" t="s">
        <v>124</v>
      </c>
      <c r="AV1211" s="4" t="s">
        <v>124</v>
      </c>
      <c r="AW1211" s="4" t="s">
        <v>124</v>
      </c>
      <c r="AX1211" s="4" t="s">
        <v>124</v>
      </c>
      <c r="AY1211" s="4" t="s">
        <v>124</v>
      </c>
      <c r="AZ1211" s="4" t="s">
        <v>124</v>
      </c>
      <c r="BA1211" s="4" t="s">
        <v>124</v>
      </c>
      <c r="BB1211" s="7">
        <v>0.45030199999999998</v>
      </c>
      <c r="BC1211" s="7">
        <v>22.515096</v>
      </c>
      <c r="BD1211" s="7">
        <v>50</v>
      </c>
      <c r="BE1211" s="7">
        <v>0.67486500000000005</v>
      </c>
      <c r="BF1211" s="7">
        <v>33.743245000000002</v>
      </c>
      <c r="BG1211" s="7">
        <v>50</v>
      </c>
      <c r="BH1211" s="7">
        <v>0</v>
      </c>
      <c r="BI1211" s="7">
        <v>0.99382700000000002</v>
      </c>
      <c r="BJ1211" s="7">
        <v>0.99</v>
      </c>
      <c r="BK1211" s="7">
        <v>1</v>
      </c>
      <c r="BL1211" s="7">
        <v>0.99382700000000002</v>
      </c>
      <c r="BM1211" s="7">
        <v>0.99</v>
      </c>
      <c r="BN1211" s="7">
        <v>1</v>
      </c>
      <c r="BO1211" s="7">
        <v>0.99382700000000002</v>
      </c>
      <c r="BP1211" s="7">
        <v>0.99</v>
      </c>
      <c r="BQ1211" s="7">
        <v>1</v>
      </c>
      <c r="BR1211" s="7">
        <v>5.2631999999999998E-2</v>
      </c>
      <c r="BS1211" s="7">
        <v>49.473683999999999</v>
      </c>
      <c r="BT1211" s="7">
        <v>50</v>
      </c>
      <c r="BU1211" s="7">
        <v>5.6931000000000002E-2</v>
      </c>
      <c r="BV1211" s="7">
        <v>48.613861</v>
      </c>
      <c r="BW1211" s="7">
        <v>50</v>
      </c>
      <c r="BX1211" s="7">
        <v>1</v>
      </c>
      <c r="BY1211" s="7">
        <v>50</v>
      </c>
      <c r="BZ1211" s="7">
        <v>50</v>
      </c>
      <c r="CA1211" s="7">
        <v>0.14610400000000001</v>
      </c>
      <c r="CB1211" s="7">
        <v>9.7402599999999993</v>
      </c>
      <c r="CC1211" s="7">
        <v>50</v>
      </c>
      <c r="CD1211" s="7">
        <v>0.99453599999999998</v>
      </c>
      <c r="CE1211" s="7">
        <v>50</v>
      </c>
      <c r="CF1211" s="7">
        <v>50</v>
      </c>
      <c r="CG1211" s="7">
        <v>0.96128999999999998</v>
      </c>
      <c r="CH1211" s="7">
        <v>100</v>
      </c>
      <c r="CI1211" s="7">
        <v>100</v>
      </c>
      <c r="CJ1211" s="7">
        <v>0</v>
      </c>
      <c r="CK1211" s="7">
        <v>0.98969099999999999</v>
      </c>
      <c r="CL1211" s="7">
        <v>100</v>
      </c>
      <c r="CM1211" s="7">
        <v>100</v>
      </c>
      <c r="CN1211" s="7">
        <v>0.480263</v>
      </c>
      <c r="CO1211" s="7">
        <v>64.035088000000002</v>
      </c>
      <c r="CP1211" s="7">
        <v>100</v>
      </c>
      <c r="CQ1211" s="7">
        <v>0.57627099999999998</v>
      </c>
      <c r="CR1211" s="7">
        <v>1.0172410000000001</v>
      </c>
      <c r="CS1211" s="7">
        <v>38.418078999999999</v>
      </c>
      <c r="CT1211" s="7">
        <v>50</v>
      </c>
      <c r="CU1211" s="7">
        <v>0.46315800000000001</v>
      </c>
      <c r="CV1211" s="7">
        <v>38.596491</v>
      </c>
      <c r="CW1211" s="7">
        <v>50</v>
      </c>
      <c r="CX1211" s="7">
        <v>0.98969099999999999</v>
      </c>
      <c r="CY1211" s="7">
        <v>0.94</v>
      </c>
      <c r="CZ1211" s="7">
        <v>-4.9690999999999999E-2</v>
      </c>
      <c r="DA1211" s="7">
        <v>15.314097</v>
      </c>
      <c r="DB1211" s="7">
        <v>17.400950000000002</v>
      </c>
      <c r="DC1211" s="7">
        <v>16.332519999999999</v>
      </c>
      <c r="DD1211" s="7">
        <v>7.9891730000000001</v>
      </c>
      <c r="DE1211" s="7">
        <v>0</v>
      </c>
      <c r="DF1211" s="6"/>
      <c r="DG1211" s="6"/>
      <c r="DH1211" s="6"/>
      <c r="DI1211" s="6"/>
      <c r="DJ1211" s="7">
        <v>0</v>
      </c>
      <c r="DK1211" s="7">
        <v>0</v>
      </c>
      <c r="DL1211" s="7">
        <v>0</v>
      </c>
      <c r="DM1211" s="7">
        <v>0</v>
      </c>
      <c r="DN1211" s="7">
        <v>0</v>
      </c>
      <c r="DO1211" s="7">
        <v>0</v>
      </c>
      <c r="DP1211" s="6"/>
      <c r="DQ1211" s="4" t="s">
        <v>125</v>
      </c>
    </row>
    <row r="1212" spans="1:121" ht="20" customHeight="1" x14ac:dyDescent="0.15">
      <c r="A1212" s="5">
        <v>2018</v>
      </c>
      <c r="B1212" s="3" t="s">
        <v>305</v>
      </c>
      <c r="C1212" s="4" t="str">
        <f t="shared" si="289"/>
        <v>9000016</v>
      </c>
      <c r="D1212" s="4" t="s">
        <v>1360</v>
      </c>
      <c r="E1212" s="4" t="str">
        <f>"9001616"</f>
        <v>9001616</v>
      </c>
      <c r="F1212" s="4" t="s">
        <v>1351</v>
      </c>
      <c r="G1212" s="7">
        <v>9</v>
      </c>
      <c r="H1212" s="7">
        <v>12</v>
      </c>
      <c r="I1212" s="6"/>
      <c r="J1212" s="4" t="s">
        <v>330</v>
      </c>
      <c r="K1212" s="7">
        <v>965.09528</v>
      </c>
      <c r="L1212" s="7">
        <v>1450</v>
      </c>
      <c r="M1212" s="7">
        <v>66.558295000000001</v>
      </c>
      <c r="N1212" s="7">
        <v>3</v>
      </c>
      <c r="O1212" s="7">
        <v>0</v>
      </c>
      <c r="P1212" s="7">
        <v>46.686047000000002</v>
      </c>
      <c r="Q1212" s="7">
        <v>93.372093000000007</v>
      </c>
      <c r="R1212" s="7">
        <v>150</v>
      </c>
      <c r="S1212" s="7">
        <v>42.434958999999999</v>
      </c>
      <c r="T1212" s="7">
        <v>54.102837000000001</v>
      </c>
      <c r="U1212" s="7">
        <v>84.869918999999996</v>
      </c>
      <c r="V1212" s="7">
        <v>150</v>
      </c>
      <c r="W1212" s="7">
        <v>42.877260999999997</v>
      </c>
      <c r="X1212" s="7">
        <v>85.754521999999994</v>
      </c>
      <c r="Y1212" s="7">
        <v>150</v>
      </c>
      <c r="Z1212" s="7">
        <v>49.304965000000003</v>
      </c>
      <c r="AA1212" s="7">
        <v>39.193089000000001</v>
      </c>
      <c r="AB1212" s="7">
        <v>78.386178999999998</v>
      </c>
      <c r="AC1212" s="7">
        <v>150</v>
      </c>
      <c r="AD1212" s="7">
        <v>51.707214999999998</v>
      </c>
      <c r="AE1212" s="7">
        <v>68.942954</v>
      </c>
      <c r="AF1212" s="7">
        <v>100</v>
      </c>
      <c r="AG1212" s="7">
        <v>46.363039000000001</v>
      </c>
      <c r="AH1212" s="7">
        <v>61.031097000000003</v>
      </c>
      <c r="AI1212" s="7">
        <v>61.817385999999999</v>
      </c>
      <c r="AJ1212" s="7">
        <v>100</v>
      </c>
      <c r="AK1212" s="7">
        <v>11.66</v>
      </c>
      <c r="AL1212" s="7">
        <v>10.11</v>
      </c>
      <c r="AM1212" s="7">
        <v>14.66</v>
      </c>
      <c r="AN1212" s="4" t="s">
        <v>124</v>
      </c>
      <c r="AO1212" s="4" t="s">
        <v>124</v>
      </c>
      <c r="AP1212" s="4" t="s">
        <v>124</v>
      </c>
      <c r="AQ1212" s="4" t="s">
        <v>124</v>
      </c>
      <c r="AR1212" s="4" t="s">
        <v>124</v>
      </c>
      <c r="AS1212" s="4" t="s">
        <v>124</v>
      </c>
      <c r="AT1212" s="4" t="s">
        <v>124</v>
      </c>
      <c r="AU1212" s="4" t="s">
        <v>124</v>
      </c>
      <c r="AV1212" s="4" t="s">
        <v>124</v>
      </c>
      <c r="AW1212" s="4" t="s">
        <v>124</v>
      </c>
      <c r="AX1212" s="4" t="s">
        <v>124</v>
      </c>
      <c r="AY1212" s="4" t="s">
        <v>124</v>
      </c>
      <c r="AZ1212" s="4" t="s">
        <v>124</v>
      </c>
      <c r="BA1212" s="4" t="s">
        <v>124</v>
      </c>
      <c r="BB1212" s="4" t="s">
        <v>124</v>
      </c>
      <c r="BC1212" s="4" t="s">
        <v>124</v>
      </c>
      <c r="BD1212" s="4" t="s">
        <v>124</v>
      </c>
      <c r="BE1212" s="4" t="s">
        <v>124</v>
      </c>
      <c r="BF1212" s="4" t="s">
        <v>124</v>
      </c>
      <c r="BG1212" s="4" t="s">
        <v>124</v>
      </c>
      <c r="BH1212" s="7">
        <v>0</v>
      </c>
      <c r="BI1212" s="7">
        <v>0.99230799999999997</v>
      </c>
      <c r="BJ1212" s="7">
        <v>0.98795200000000005</v>
      </c>
      <c r="BK1212" s="7">
        <v>1</v>
      </c>
      <c r="BL1212" s="7">
        <v>0.99230799999999997</v>
      </c>
      <c r="BM1212" s="7">
        <v>0.98795200000000005</v>
      </c>
      <c r="BN1212" s="7">
        <v>1</v>
      </c>
      <c r="BO1212" s="7">
        <v>0.99230799999999997</v>
      </c>
      <c r="BP1212" s="7">
        <v>0.98795200000000005</v>
      </c>
      <c r="BQ1212" s="7">
        <v>1</v>
      </c>
      <c r="BR1212" s="7">
        <v>5.4186999999999999E-2</v>
      </c>
      <c r="BS1212" s="7">
        <v>49.162562000000001</v>
      </c>
      <c r="BT1212" s="7">
        <v>50</v>
      </c>
      <c r="BU1212" s="7">
        <v>7.7381000000000005E-2</v>
      </c>
      <c r="BV1212" s="7">
        <v>44.523809999999997</v>
      </c>
      <c r="BW1212" s="7">
        <v>50</v>
      </c>
      <c r="BX1212" s="7">
        <v>0.99624100000000004</v>
      </c>
      <c r="BY1212" s="7">
        <v>50</v>
      </c>
      <c r="BZ1212" s="7">
        <v>50</v>
      </c>
      <c r="CA1212" s="7">
        <v>0.139098</v>
      </c>
      <c r="CB1212" s="7">
        <v>9.2731829999999995</v>
      </c>
      <c r="CC1212" s="7">
        <v>50</v>
      </c>
      <c r="CD1212" s="7">
        <v>0.95930199999999999</v>
      </c>
      <c r="CE1212" s="7">
        <v>50</v>
      </c>
      <c r="CF1212" s="7">
        <v>50</v>
      </c>
      <c r="CG1212" s="7">
        <v>1</v>
      </c>
      <c r="CH1212" s="7">
        <v>100</v>
      </c>
      <c r="CI1212" s="7">
        <v>100</v>
      </c>
      <c r="CJ1212" s="7">
        <v>0</v>
      </c>
      <c r="CK1212" s="7">
        <v>0.95121999999999995</v>
      </c>
      <c r="CL1212" s="7">
        <v>100</v>
      </c>
      <c r="CM1212" s="7">
        <v>100</v>
      </c>
      <c r="CN1212" s="7">
        <v>0.31654700000000002</v>
      </c>
      <c r="CO1212" s="7">
        <v>42.206235</v>
      </c>
      <c r="CP1212" s="7">
        <v>100</v>
      </c>
      <c r="CQ1212" s="7">
        <v>0.135294</v>
      </c>
      <c r="CR1212" s="7">
        <v>0.99415200000000004</v>
      </c>
      <c r="CS1212" s="7">
        <v>9.0196079999999998</v>
      </c>
      <c r="CT1212" s="7">
        <v>50</v>
      </c>
      <c r="CU1212" s="7">
        <v>0.45320199999999999</v>
      </c>
      <c r="CV1212" s="7">
        <v>37.766831000000003</v>
      </c>
      <c r="CW1212" s="7">
        <v>50</v>
      </c>
      <c r="CX1212" s="7">
        <v>0.95121999999999995</v>
      </c>
      <c r="CY1212" s="7">
        <v>0.94</v>
      </c>
      <c r="CZ1212" s="7">
        <v>-1.1220000000000001E-2</v>
      </c>
      <c r="DA1212" s="7">
        <v>15.314097</v>
      </c>
      <c r="DB1212" s="7">
        <v>17.400950000000002</v>
      </c>
      <c r="DC1212" s="7">
        <v>16.332519999999999</v>
      </c>
      <c r="DD1212" s="7">
        <v>7.9891730000000001</v>
      </c>
      <c r="DE1212" s="7">
        <v>0</v>
      </c>
      <c r="DF1212" s="6"/>
      <c r="DG1212" s="6"/>
      <c r="DH1212" s="6"/>
      <c r="DI1212" s="6"/>
      <c r="DJ1212" s="7">
        <v>0</v>
      </c>
      <c r="DK1212" s="7">
        <v>0</v>
      </c>
      <c r="DL1212" s="7">
        <v>0</v>
      </c>
      <c r="DM1212" s="7">
        <v>0</v>
      </c>
      <c r="DN1212" s="7">
        <v>0</v>
      </c>
      <c r="DO1212" s="7">
        <v>0</v>
      </c>
      <c r="DP1212" s="6"/>
      <c r="DQ1212" s="4" t="s">
        <v>125</v>
      </c>
    </row>
    <row r="1213" spans="1:121" ht="20" customHeight="1" x14ac:dyDescent="0.15">
      <c r="A1213" s="5">
        <v>2018</v>
      </c>
      <c r="B1213" s="3" t="s">
        <v>305</v>
      </c>
      <c r="C1213" s="4" t="str">
        <f t="shared" si="289"/>
        <v>9000016</v>
      </c>
      <c r="D1213" s="4" t="s">
        <v>1361</v>
      </c>
      <c r="E1213" s="4" t="str">
        <f>"9002116"</f>
        <v>9002116</v>
      </c>
      <c r="F1213" s="4" t="s">
        <v>1351</v>
      </c>
      <c r="G1213" s="7">
        <v>9</v>
      </c>
      <c r="H1213" s="7">
        <v>12</v>
      </c>
      <c r="I1213" s="6"/>
      <c r="J1213" s="4" t="s">
        <v>330</v>
      </c>
      <c r="K1213" s="7">
        <v>970.67607599999997</v>
      </c>
      <c r="L1213" s="7">
        <v>1450</v>
      </c>
      <c r="M1213" s="7">
        <v>66.943178000000003</v>
      </c>
      <c r="N1213" s="7">
        <v>3</v>
      </c>
      <c r="O1213" s="7">
        <v>0</v>
      </c>
      <c r="P1213" s="7">
        <v>47.455939000000001</v>
      </c>
      <c r="Q1213" s="7">
        <v>94.911877000000004</v>
      </c>
      <c r="R1213" s="7">
        <v>150</v>
      </c>
      <c r="S1213" s="7">
        <v>47.138418000000001</v>
      </c>
      <c r="T1213" s="7">
        <v>48.125</v>
      </c>
      <c r="U1213" s="7">
        <v>94.276836000000003</v>
      </c>
      <c r="V1213" s="7">
        <v>150</v>
      </c>
      <c r="W1213" s="7">
        <v>42.229885000000003</v>
      </c>
      <c r="X1213" s="7">
        <v>84.459770000000006</v>
      </c>
      <c r="Y1213" s="7">
        <v>150</v>
      </c>
      <c r="Z1213" s="7">
        <v>43.541666999999997</v>
      </c>
      <c r="AA1213" s="7">
        <v>41.607345000000002</v>
      </c>
      <c r="AB1213" s="7">
        <v>83.214689000000007</v>
      </c>
      <c r="AC1213" s="7">
        <v>150</v>
      </c>
      <c r="AD1213" s="7">
        <v>49.154730000000001</v>
      </c>
      <c r="AE1213" s="7">
        <v>65.539640000000006</v>
      </c>
      <c r="AF1213" s="7">
        <v>100</v>
      </c>
      <c r="AG1213" s="7">
        <v>48.560625999999999</v>
      </c>
      <c r="AH1213" s="7">
        <v>50.406593000000001</v>
      </c>
      <c r="AI1213" s="7">
        <v>64.747501</v>
      </c>
      <c r="AJ1213" s="7">
        <v>100</v>
      </c>
      <c r="AK1213" s="7">
        <v>0.98</v>
      </c>
      <c r="AL1213" s="7">
        <v>1.93</v>
      </c>
      <c r="AM1213" s="7">
        <v>1.84</v>
      </c>
      <c r="AN1213" s="4" t="s">
        <v>124</v>
      </c>
      <c r="AO1213" s="4" t="s">
        <v>124</v>
      </c>
      <c r="AP1213" s="4" t="s">
        <v>124</v>
      </c>
      <c r="AQ1213" s="4" t="s">
        <v>124</v>
      </c>
      <c r="AR1213" s="4" t="s">
        <v>124</v>
      </c>
      <c r="AS1213" s="4" t="s">
        <v>124</v>
      </c>
      <c r="AT1213" s="4" t="s">
        <v>124</v>
      </c>
      <c r="AU1213" s="4" t="s">
        <v>124</v>
      </c>
      <c r="AV1213" s="4" t="s">
        <v>124</v>
      </c>
      <c r="AW1213" s="4" t="s">
        <v>124</v>
      </c>
      <c r="AX1213" s="4" t="s">
        <v>124</v>
      </c>
      <c r="AY1213" s="4" t="s">
        <v>124</v>
      </c>
      <c r="AZ1213" s="4" t="s">
        <v>124</v>
      </c>
      <c r="BA1213" s="4" t="s">
        <v>124</v>
      </c>
      <c r="BB1213" s="7">
        <v>0.38874799999999998</v>
      </c>
      <c r="BC1213" s="7">
        <v>19.437391000000002</v>
      </c>
      <c r="BD1213" s="7">
        <v>50</v>
      </c>
      <c r="BE1213" s="7">
        <v>0.58438599999999996</v>
      </c>
      <c r="BF1213" s="7">
        <v>29.219303</v>
      </c>
      <c r="BG1213" s="7">
        <v>50</v>
      </c>
      <c r="BH1213" s="7">
        <v>0</v>
      </c>
      <c r="BI1213" s="7">
        <v>1</v>
      </c>
      <c r="BJ1213" s="7">
        <v>1</v>
      </c>
      <c r="BK1213" s="7">
        <v>1</v>
      </c>
      <c r="BL1213" s="7">
        <v>1</v>
      </c>
      <c r="BM1213" s="7">
        <v>1</v>
      </c>
      <c r="BN1213" s="7">
        <v>1</v>
      </c>
      <c r="BO1213" s="7">
        <v>1</v>
      </c>
      <c r="BP1213" s="7">
        <v>1</v>
      </c>
      <c r="BQ1213" s="7">
        <v>1</v>
      </c>
      <c r="BR1213" s="7">
        <v>9.8280000000000006E-2</v>
      </c>
      <c r="BS1213" s="7">
        <v>40.343980000000002</v>
      </c>
      <c r="BT1213" s="7">
        <v>50</v>
      </c>
      <c r="BU1213" s="7">
        <v>0.11221100000000001</v>
      </c>
      <c r="BV1213" s="7">
        <v>37.557755999999998</v>
      </c>
      <c r="BW1213" s="7">
        <v>50</v>
      </c>
      <c r="BX1213" s="7">
        <v>1</v>
      </c>
      <c r="BY1213" s="7">
        <v>50</v>
      </c>
      <c r="BZ1213" s="7">
        <v>50</v>
      </c>
      <c r="CA1213" s="7">
        <v>0.11236</v>
      </c>
      <c r="CB1213" s="7">
        <v>7.4906370000000004</v>
      </c>
      <c r="CC1213" s="7">
        <v>50</v>
      </c>
      <c r="CD1213" s="7">
        <v>1</v>
      </c>
      <c r="CE1213" s="7">
        <v>50</v>
      </c>
      <c r="CF1213" s="7">
        <v>50</v>
      </c>
      <c r="CG1213" s="7">
        <v>0.91397799999999996</v>
      </c>
      <c r="CH1213" s="7">
        <v>97.231755000000007</v>
      </c>
      <c r="CI1213" s="7">
        <v>100</v>
      </c>
      <c r="CJ1213" s="4" t="s">
        <v>124</v>
      </c>
      <c r="CK1213" s="4" t="s">
        <v>124</v>
      </c>
      <c r="CL1213" s="4" t="s">
        <v>124</v>
      </c>
      <c r="CM1213" s="4" t="s">
        <v>124</v>
      </c>
      <c r="CN1213" s="7">
        <v>0.5</v>
      </c>
      <c r="CO1213" s="7">
        <v>66.666667000000004</v>
      </c>
      <c r="CP1213" s="7">
        <v>100</v>
      </c>
      <c r="CQ1213" s="7">
        <v>0.58035700000000001</v>
      </c>
      <c r="CR1213" s="7">
        <v>0.99114999999999998</v>
      </c>
      <c r="CS1213" s="7">
        <v>38.690475999999997</v>
      </c>
      <c r="CT1213" s="7">
        <v>50</v>
      </c>
      <c r="CU1213" s="7">
        <v>0.56265399999999999</v>
      </c>
      <c r="CV1213" s="7">
        <v>46.887796999999999</v>
      </c>
      <c r="CW1213" s="7">
        <v>50</v>
      </c>
      <c r="CX1213" s="4" t="s">
        <v>124</v>
      </c>
      <c r="CY1213" s="4" t="s">
        <v>124</v>
      </c>
      <c r="CZ1213" s="4" t="s">
        <v>124</v>
      </c>
      <c r="DA1213" s="7">
        <v>15.314097</v>
      </c>
      <c r="DB1213" s="7">
        <v>17.400950000000002</v>
      </c>
      <c r="DC1213" s="7">
        <v>16.332519999999999</v>
      </c>
      <c r="DD1213" s="4" t="s">
        <v>124</v>
      </c>
      <c r="DE1213" s="7">
        <v>0</v>
      </c>
      <c r="DF1213" s="6"/>
      <c r="DG1213" s="6"/>
      <c r="DH1213" s="4" t="s">
        <v>331</v>
      </c>
      <c r="DI1213" s="4" t="s">
        <v>944</v>
      </c>
      <c r="DJ1213" s="7">
        <v>0</v>
      </c>
      <c r="DK1213" s="7">
        <v>0</v>
      </c>
      <c r="DL1213" s="7">
        <v>0</v>
      </c>
      <c r="DM1213" s="7">
        <v>0</v>
      </c>
      <c r="DN1213" s="7">
        <v>0</v>
      </c>
      <c r="DO1213" s="7">
        <v>1</v>
      </c>
      <c r="DP1213" s="6"/>
      <c r="DQ1213" s="4" t="s">
        <v>125</v>
      </c>
    </row>
    <row r="1214" spans="1:121" ht="20" customHeight="1" x14ac:dyDescent="0.15">
      <c r="A1214" s="5">
        <v>2018</v>
      </c>
      <c r="B1214" s="3" t="s">
        <v>305</v>
      </c>
      <c r="C1214" s="4" t="str">
        <f t="shared" si="289"/>
        <v>9000016</v>
      </c>
      <c r="D1214" s="4" t="s">
        <v>1362</v>
      </c>
      <c r="E1214" s="4" t="str">
        <f>"9002016"</f>
        <v>9002016</v>
      </c>
      <c r="F1214" s="4" t="s">
        <v>1351</v>
      </c>
      <c r="G1214" s="7">
        <v>9</v>
      </c>
      <c r="H1214" s="7">
        <v>12</v>
      </c>
      <c r="I1214" s="6"/>
      <c r="J1214" s="4" t="s">
        <v>330</v>
      </c>
      <c r="K1214" s="7">
        <v>1037.9497309999999</v>
      </c>
      <c r="L1214" s="7">
        <v>1450</v>
      </c>
      <c r="M1214" s="7">
        <v>71.582740000000001</v>
      </c>
      <c r="N1214" s="7">
        <v>2</v>
      </c>
      <c r="O1214" s="7">
        <v>0</v>
      </c>
      <c r="P1214" s="7">
        <v>48.931925</v>
      </c>
      <c r="Q1214" s="7">
        <v>97.863849999999999</v>
      </c>
      <c r="R1214" s="7">
        <v>150</v>
      </c>
      <c r="S1214" s="7">
        <v>45.447367999999997</v>
      </c>
      <c r="T1214" s="7">
        <v>52.944443999999997</v>
      </c>
      <c r="U1214" s="7">
        <v>90.894737000000006</v>
      </c>
      <c r="V1214" s="7">
        <v>150</v>
      </c>
      <c r="W1214" s="7">
        <v>45.613849999999999</v>
      </c>
      <c r="X1214" s="7">
        <v>91.227699999999999</v>
      </c>
      <c r="Y1214" s="7">
        <v>150</v>
      </c>
      <c r="Z1214" s="7">
        <v>49.444443999999997</v>
      </c>
      <c r="AA1214" s="7">
        <v>42.287281</v>
      </c>
      <c r="AB1214" s="7">
        <v>84.574561000000003</v>
      </c>
      <c r="AC1214" s="7">
        <v>150</v>
      </c>
      <c r="AD1214" s="7">
        <v>49.331361000000001</v>
      </c>
      <c r="AE1214" s="7">
        <v>65.775148000000002</v>
      </c>
      <c r="AF1214" s="7">
        <v>100</v>
      </c>
      <c r="AG1214" s="7">
        <v>46.043956000000001</v>
      </c>
      <c r="AH1214" s="7">
        <v>53.166666999999997</v>
      </c>
      <c r="AI1214" s="7">
        <v>61.391941000000003</v>
      </c>
      <c r="AJ1214" s="7">
        <v>100</v>
      </c>
      <c r="AK1214" s="7">
        <v>7.49</v>
      </c>
      <c r="AL1214" s="7">
        <v>7.15</v>
      </c>
      <c r="AM1214" s="7">
        <v>7.12</v>
      </c>
      <c r="AN1214" s="4" t="s">
        <v>124</v>
      </c>
      <c r="AO1214" s="4" t="s">
        <v>124</v>
      </c>
      <c r="AP1214" s="4" t="s">
        <v>124</v>
      </c>
      <c r="AQ1214" s="4" t="s">
        <v>124</v>
      </c>
      <c r="AR1214" s="4" t="s">
        <v>124</v>
      </c>
      <c r="AS1214" s="4" t="s">
        <v>124</v>
      </c>
      <c r="AT1214" s="4" t="s">
        <v>124</v>
      </c>
      <c r="AU1214" s="4" t="s">
        <v>124</v>
      </c>
      <c r="AV1214" s="4" t="s">
        <v>124</v>
      </c>
      <c r="AW1214" s="4" t="s">
        <v>124</v>
      </c>
      <c r="AX1214" s="4" t="s">
        <v>124</v>
      </c>
      <c r="AY1214" s="4" t="s">
        <v>124</v>
      </c>
      <c r="AZ1214" s="4" t="s">
        <v>124</v>
      </c>
      <c r="BA1214" s="4" t="s">
        <v>124</v>
      </c>
      <c r="BB1214" s="4" t="s">
        <v>124</v>
      </c>
      <c r="BC1214" s="4" t="s">
        <v>124</v>
      </c>
      <c r="BD1214" s="4" t="s">
        <v>124</v>
      </c>
      <c r="BE1214" s="4" t="s">
        <v>124</v>
      </c>
      <c r="BF1214" s="4" t="s">
        <v>124</v>
      </c>
      <c r="BG1214" s="4" t="s">
        <v>124</v>
      </c>
      <c r="BH1214" s="7">
        <v>0</v>
      </c>
      <c r="BI1214" s="7">
        <v>0.99300699999999997</v>
      </c>
      <c r="BJ1214" s="7">
        <v>0.98701300000000003</v>
      </c>
      <c r="BK1214" s="7">
        <v>1</v>
      </c>
      <c r="BL1214" s="7">
        <v>0.99300699999999997</v>
      </c>
      <c r="BM1214" s="7">
        <v>0.98701300000000003</v>
      </c>
      <c r="BN1214" s="7">
        <v>1</v>
      </c>
      <c r="BO1214" s="7">
        <v>1</v>
      </c>
      <c r="BP1214" s="7">
        <v>1</v>
      </c>
      <c r="BQ1214" s="7">
        <v>1</v>
      </c>
      <c r="BR1214" s="7">
        <v>6.8966E-2</v>
      </c>
      <c r="BS1214" s="7">
        <v>46.206896999999998</v>
      </c>
      <c r="BT1214" s="7">
        <v>50</v>
      </c>
      <c r="BU1214" s="7">
        <v>8.9855000000000004E-2</v>
      </c>
      <c r="BV1214" s="7">
        <v>42.028986000000003</v>
      </c>
      <c r="BW1214" s="7">
        <v>50</v>
      </c>
      <c r="BX1214" s="7">
        <v>0.99312699999999998</v>
      </c>
      <c r="BY1214" s="7">
        <v>50</v>
      </c>
      <c r="BZ1214" s="7">
        <v>50</v>
      </c>
      <c r="CA1214" s="7">
        <v>0.17869399999999999</v>
      </c>
      <c r="CB1214" s="7">
        <v>11.912944</v>
      </c>
      <c r="CC1214" s="7">
        <v>50</v>
      </c>
      <c r="CD1214" s="7">
        <v>0.99404800000000004</v>
      </c>
      <c r="CE1214" s="7">
        <v>50</v>
      </c>
      <c r="CF1214" s="7">
        <v>50</v>
      </c>
      <c r="CG1214" s="7">
        <v>0.972028</v>
      </c>
      <c r="CH1214" s="7">
        <v>100</v>
      </c>
      <c r="CI1214" s="7">
        <v>100</v>
      </c>
      <c r="CJ1214" s="7">
        <v>0</v>
      </c>
      <c r="CK1214" s="7">
        <v>0.95945899999999995</v>
      </c>
      <c r="CL1214" s="7">
        <v>100</v>
      </c>
      <c r="CM1214" s="7">
        <v>100</v>
      </c>
      <c r="CN1214" s="7">
        <v>0.46043200000000001</v>
      </c>
      <c r="CO1214" s="7">
        <v>61.390886999999999</v>
      </c>
      <c r="CP1214" s="7">
        <v>100</v>
      </c>
      <c r="CQ1214" s="7">
        <v>0.520231</v>
      </c>
      <c r="CR1214" s="7">
        <v>0.96648000000000001</v>
      </c>
      <c r="CS1214" s="7">
        <v>34.682080999999997</v>
      </c>
      <c r="CT1214" s="7">
        <v>50</v>
      </c>
      <c r="CU1214" s="7">
        <v>0.73354200000000003</v>
      </c>
      <c r="CV1214" s="7">
        <v>50</v>
      </c>
      <c r="CW1214" s="7">
        <v>50</v>
      </c>
      <c r="CX1214" s="7">
        <v>0.95945899999999995</v>
      </c>
      <c r="CY1214" s="7">
        <v>0.94</v>
      </c>
      <c r="CZ1214" s="7">
        <v>-1.9459000000000001E-2</v>
      </c>
      <c r="DA1214" s="7">
        <v>15.314097</v>
      </c>
      <c r="DB1214" s="7">
        <v>17.400950000000002</v>
      </c>
      <c r="DC1214" s="7">
        <v>16.332519999999999</v>
      </c>
      <c r="DD1214" s="7">
        <v>7.9891730000000001</v>
      </c>
      <c r="DE1214" s="7">
        <v>0</v>
      </c>
      <c r="DF1214" s="6"/>
      <c r="DG1214" s="6"/>
      <c r="DH1214" s="6"/>
      <c r="DI1214" s="6"/>
      <c r="DJ1214" s="7">
        <v>0</v>
      </c>
      <c r="DK1214" s="7">
        <v>0</v>
      </c>
      <c r="DL1214" s="7">
        <v>0</v>
      </c>
      <c r="DM1214" s="7">
        <v>0</v>
      </c>
      <c r="DN1214" s="7">
        <v>0</v>
      </c>
      <c r="DO1214" s="7">
        <v>0</v>
      </c>
      <c r="DP1214" s="6"/>
      <c r="DQ1214" s="4" t="s">
        <v>125</v>
      </c>
    </row>
    <row r="1215" spans="1:121" ht="20" customHeight="1" x14ac:dyDescent="0.15">
      <c r="A1215" s="5">
        <v>2018</v>
      </c>
      <c r="B1215" s="3" t="s">
        <v>305</v>
      </c>
      <c r="C1215" s="4" t="str">
        <f t="shared" si="289"/>
        <v>9000016</v>
      </c>
      <c r="D1215" s="4" t="s">
        <v>1363</v>
      </c>
      <c r="E1215" s="4" t="str">
        <f>"9002216"</f>
        <v>9002216</v>
      </c>
      <c r="F1215" s="4" t="s">
        <v>1351</v>
      </c>
      <c r="G1215" s="7">
        <v>9</v>
      </c>
      <c r="H1215" s="7">
        <v>12</v>
      </c>
      <c r="I1215" s="6"/>
      <c r="J1215" s="4" t="s">
        <v>330</v>
      </c>
      <c r="K1215" s="7">
        <v>1021.628124</v>
      </c>
      <c r="L1215" s="7">
        <v>1450</v>
      </c>
      <c r="M1215" s="7">
        <v>70.457111999999995</v>
      </c>
      <c r="N1215" s="7">
        <v>2</v>
      </c>
      <c r="O1215" s="7">
        <v>0</v>
      </c>
      <c r="P1215" s="7">
        <v>47.483333000000002</v>
      </c>
      <c r="Q1215" s="7">
        <v>94.966667000000001</v>
      </c>
      <c r="R1215" s="7">
        <v>150</v>
      </c>
      <c r="S1215" s="7">
        <v>43.84507</v>
      </c>
      <c r="T1215" s="7">
        <v>50.753165000000003</v>
      </c>
      <c r="U1215" s="7">
        <v>87.690140999999997</v>
      </c>
      <c r="V1215" s="7">
        <v>150</v>
      </c>
      <c r="W1215" s="7">
        <v>44.085555999999997</v>
      </c>
      <c r="X1215" s="7">
        <v>88.171110999999996</v>
      </c>
      <c r="Y1215" s="7">
        <v>150</v>
      </c>
      <c r="Z1215" s="7">
        <v>46.506329000000001</v>
      </c>
      <c r="AA1215" s="7">
        <v>41.392018999999998</v>
      </c>
      <c r="AB1215" s="7">
        <v>82.784037999999995</v>
      </c>
      <c r="AC1215" s="7">
        <v>150</v>
      </c>
      <c r="AD1215" s="7">
        <v>52.824950999999999</v>
      </c>
      <c r="AE1215" s="7">
        <v>70.433267999999998</v>
      </c>
      <c r="AF1215" s="7">
        <v>100</v>
      </c>
      <c r="AG1215" s="7">
        <v>47.484817999999997</v>
      </c>
      <c r="AH1215" s="7">
        <v>57.898077000000001</v>
      </c>
      <c r="AI1215" s="7">
        <v>63.313090000000003</v>
      </c>
      <c r="AJ1215" s="7">
        <v>100</v>
      </c>
      <c r="AK1215" s="7">
        <v>6.9</v>
      </c>
      <c r="AL1215" s="7">
        <v>5.1100000000000003</v>
      </c>
      <c r="AM1215" s="7">
        <v>10.41</v>
      </c>
      <c r="AN1215" s="4" t="s">
        <v>124</v>
      </c>
      <c r="AO1215" s="4" t="s">
        <v>124</v>
      </c>
      <c r="AP1215" s="4" t="s">
        <v>124</v>
      </c>
      <c r="AQ1215" s="4" t="s">
        <v>124</v>
      </c>
      <c r="AR1215" s="4" t="s">
        <v>124</v>
      </c>
      <c r="AS1215" s="4" t="s">
        <v>124</v>
      </c>
      <c r="AT1215" s="4" t="s">
        <v>124</v>
      </c>
      <c r="AU1215" s="4" t="s">
        <v>124</v>
      </c>
      <c r="AV1215" s="4" t="s">
        <v>124</v>
      </c>
      <c r="AW1215" s="4" t="s">
        <v>124</v>
      </c>
      <c r="AX1215" s="4" t="s">
        <v>124</v>
      </c>
      <c r="AY1215" s="4" t="s">
        <v>124</v>
      </c>
      <c r="AZ1215" s="4" t="s">
        <v>124</v>
      </c>
      <c r="BA1215" s="4" t="s">
        <v>124</v>
      </c>
      <c r="BB1215" s="4" t="s">
        <v>124</v>
      </c>
      <c r="BC1215" s="4" t="s">
        <v>124</v>
      </c>
      <c r="BD1215" s="4" t="s">
        <v>124</v>
      </c>
      <c r="BE1215" s="4" t="s">
        <v>124</v>
      </c>
      <c r="BF1215" s="4" t="s">
        <v>124</v>
      </c>
      <c r="BG1215" s="4" t="s">
        <v>124</v>
      </c>
      <c r="BH1215" s="7">
        <v>0</v>
      </c>
      <c r="BI1215" s="7">
        <v>0.980769</v>
      </c>
      <c r="BJ1215" s="7">
        <v>0.96052599999999999</v>
      </c>
      <c r="BK1215" s="7">
        <v>1</v>
      </c>
      <c r="BL1215" s="7">
        <v>0.980769</v>
      </c>
      <c r="BM1215" s="7">
        <v>0.96052599999999999</v>
      </c>
      <c r="BN1215" s="7">
        <v>1</v>
      </c>
      <c r="BO1215" s="7">
        <v>1</v>
      </c>
      <c r="BP1215" s="7">
        <v>1</v>
      </c>
      <c r="BQ1215" s="7">
        <v>1</v>
      </c>
      <c r="BR1215" s="7">
        <v>8.3600999999999995E-2</v>
      </c>
      <c r="BS1215" s="7">
        <v>43.279743000000003</v>
      </c>
      <c r="BT1215" s="7">
        <v>50</v>
      </c>
      <c r="BU1215" s="7">
        <v>9.7859000000000002E-2</v>
      </c>
      <c r="BV1215" s="7">
        <v>40.428134999999997</v>
      </c>
      <c r="BW1215" s="7">
        <v>50</v>
      </c>
      <c r="BX1215" s="7">
        <v>1</v>
      </c>
      <c r="BY1215" s="7">
        <v>50</v>
      </c>
      <c r="BZ1215" s="7">
        <v>50</v>
      </c>
      <c r="CA1215" s="7">
        <v>0.13738</v>
      </c>
      <c r="CB1215" s="7">
        <v>9.1586789999999993</v>
      </c>
      <c r="CC1215" s="7">
        <v>50</v>
      </c>
      <c r="CD1215" s="7">
        <v>0.993865</v>
      </c>
      <c r="CE1215" s="7">
        <v>50</v>
      </c>
      <c r="CF1215" s="7">
        <v>50</v>
      </c>
      <c r="CG1215" s="7">
        <v>0.94339600000000001</v>
      </c>
      <c r="CH1215" s="7">
        <v>100</v>
      </c>
      <c r="CI1215" s="7">
        <v>100</v>
      </c>
      <c r="CJ1215" s="7">
        <v>0</v>
      </c>
      <c r="CK1215" s="7">
        <v>0.981132</v>
      </c>
      <c r="CL1215" s="7">
        <v>100</v>
      </c>
      <c r="CM1215" s="7">
        <v>100</v>
      </c>
      <c r="CN1215" s="7">
        <v>0.384106</v>
      </c>
      <c r="CO1215" s="7">
        <v>51.214128000000002</v>
      </c>
      <c r="CP1215" s="7">
        <v>100</v>
      </c>
      <c r="CQ1215" s="7">
        <v>0.60283699999999996</v>
      </c>
      <c r="CR1215" s="7">
        <v>0.96575299999999997</v>
      </c>
      <c r="CS1215" s="7">
        <v>40.189124999999997</v>
      </c>
      <c r="CT1215" s="7">
        <v>50</v>
      </c>
      <c r="CU1215" s="7">
        <v>0.73794199999999999</v>
      </c>
      <c r="CV1215" s="7">
        <v>50</v>
      </c>
      <c r="CW1215" s="7">
        <v>50</v>
      </c>
      <c r="CX1215" s="7">
        <v>0.981132</v>
      </c>
      <c r="CY1215" s="7">
        <v>0.94</v>
      </c>
      <c r="CZ1215" s="7">
        <v>-4.1132000000000002E-2</v>
      </c>
      <c r="DA1215" s="7">
        <v>15.314097</v>
      </c>
      <c r="DB1215" s="7">
        <v>17.400950000000002</v>
      </c>
      <c r="DC1215" s="7">
        <v>16.332519999999999</v>
      </c>
      <c r="DD1215" s="7">
        <v>7.9891730000000001</v>
      </c>
      <c r="DE1215" s="7">
        <v>0</v>
      </c>
      <c r="DF1215" s="6"/>
      <c r="DG1215" s="6"/>
      <c r="DH1215" s="6"/>
      <c r="DI1215" s="6"/>
      <c r="DJ1215" s="7">
        <v>0</v>
      </c>
      <c r="DK1215" s="7">
        <v>0</v>
      </c>
      <c r="DL1215" s="7">
        <v>0</v>
      </c>
      <c r="DM1215" s="7">
        <v>0</v>
      </c>
      <c r="DN1215" s="7">
        <v>0</v>
      </c>
      <c r="DO1215" s="7">
        <v>0</v>
      </c>
      <c r="DP1215" s="6"/>
      <c r="DQ1215" s="4" t="s">
        <v>125</v>
      </c>
    </row>
    <row r="1216" spans="1:121" ht="20" customHeight="1" x14ac:dyDescent="0.15">
      <c r="A1216" s="5">
        <v>2018</v>
      </c>
      <c r="B1216" s="3" t="s">
        <v>305</v>
      </c>
      <c r="C1216" s="4" t="str">
        <f t="shared" si="289"/>
        <v>9000016</v>
      </c>
      <c r="D1216" s="4" t="s">
        <v>1364</v>
      </c>
      <c r="E1216" s="4" t="str">
        <f>"9002616"</f>
        <v>9002616</v>
      </c>
      <c r="F1216" s="4" t="s">
        <v>1351</v>
      </c>
      <c r="G1216" s="7">
        <v>9</v>
      </c>
      <c r="H1216" s="7">
        <v>12</v>
      </c>
      <c r="I1216" s="6"/>
      <c r="J1216" s="4" t="s">
        <v>330</v>
      </c>
      <c r="K1216" s="7">
        <v>997.39155700000003</v>
      </c>
      <c r="L1216" s="7">
        <v>1450</v>
      </c>
      <c r="M1216" s="7">
        <v>68.785624999999996</v>
      </c>
      <c r="N1216" s="7">
        <v>3</v>
      </c>
      <c r="O1216" s="7">
        <v>0</v>
      </c>
      <c r="P1216" s="7">
        <v>46.776493000000002</v>
      </c>
      <c r="Q1216" s="7">
        <v>93.552987000000002</v>
      </c>
      <c r="R1216" s="7">
        <v>150</v>
      </c>
      <c r="S1216" s="7">
        <v>44.838982999999999</v>
      </c>
      <c r="T1216" s="7">
        <v>50.933332999999998</v>
      </c>
      <c r="U1216" s="7">
        <v>89.677965999999998</v>
      </c>
      <c r="V1216" s="7">
        <v>150</v>
      </c>
      <c r="W1216" s="7">
        <v>42.505780000000001</v>
      </c>
      <c r="X1216" s="7">
        <v>85.011561</v>
      </c>
      <c r="Y1216" s="7">
        <v>150</v>
      </c>
      <c r="Z1216" s="7">
        <v>45.166666999999997</v>
      </c>
      <c r="AA1216" s="7">
        <v>41.265537000000002</v>
      </c>
      <c r="AB1216" s="7">
        <v>82.531073000000006</v>
      </c>
      <c r="AC1216" s="7">
        <v>150</v>
      </c>
      <c r="AD1216" s="7">
        <v>51.779780000000002</v>
      </c>
      <c r="AE1216" s="7">
        <v>69.039707000000007</v>
      </c>
      <c r="AF1216" s="7">
        <v>100</v>
      </c>
      <c r="AG1216" s="7">
        <v>49.837026999999999</v>
      </c>
      <c r="AH1216" s="7">
        <v>55.801619000000002</v>
      </c>
      <c r="AI1216" s="7">
        <v>66.449370000000002</v>
      </c>
      <c r="AJ1216" s="7">
        <v>100</v>
      </c>
      <c r="AK1216" s="7">
        <v>6.09</v>
      </c>
      <c r="AL1216" s="7">
        <v>3.9</v>
      </c>
      <c r="AM1216" s="7">
        <v>5.96</v>
      </c>
      <c r="AN1216" s="4" t="s">
        <v>124</v>
      </c>
      <c r="AO1216" s="4" t="s">
        <v>124</v>
      </c>
      <c r="AP1216" s="4" t="s">
        <v>124</v>
      </c>
      <c r="AQ1216" s="4" t="s">
        <v>124</v>
      </c>
      <c r="AR1216" s="4" t="s">
        <v>124</v>
      </c>
      <c r="AS1216" s="4" t="s">
        <v>124</v>
      </c>
      <c r="AT1216" s="4" t="s">
        <v>124</v>
      </c>
      <c r="AU1216" s="4" t="s">
        <v>124</v>
      </c>
      <c r="AV1216" s="4" t="s">
        <v>124</v>
      </c>
      <c r="AW1216" s="4" t="s">
        <v>124</v>
      </c>
      <c r="AX1216" s="4" t="s">
        <v>124</v>
      </c>
      <c r="AY1216" s="4" t="s">
        <v>124</v>
      </c>
      <c r="AZ1216" s="4" t="s">
        <v>124</v>
      </c>
      <c r="BA1216" s="4" t="s">
        <v>124</v>
      </c>
      <c r="BB1216" s="4" t="s">
        <v>124</v>
      </c>
      <c r="BC1216" s="4" t="s">
        <v>124</v>
      </c>
      <c r="BD1216" s="4" t="s">
        <v>124</v>
      </c>
      <c r="BE1216" s="4" t="s">
        <v>124</v>
      </c>
      <c r="BF1216" s="4" t="s">
        <v>124</v>
      </c>
      <c r="BG1216" s="4" t="s">
        <v>124</v>
      </c>
      <c r="BH1216" s="7">
        <v>0</v>
      </c>
      <c r="BI1216" s="7">
        <v>1</v>
      </c>
      <c r="BJ1216" s="7">
        <v>1</v>
      </c>
      <c r="BK1216" s="7">
        <v>1</v>
      </c>
      <c r="BL1216" s="7">
        <v>1</v>
      </c>
      <c r="BM1216" s="7">
        <v>1</v>
      </c>
      <c r="BN1216" s="7">
        <v>1</v>
      </c>
      <c r="BO1216" s="7">
        <v>1</v>
      </c>
      <c r="BP1216" s="7">
        <v>1</v>
      </c>
      <c r="BQ1216" s="7">
        <v>1</v>
      </c>
      <c r="BR1216" s="7">
        <v>0.119745</v>
      </c>
      <c r="BS1216" s="7">
        <v>36.050955000000002</v>
      </c>
      <c r="BT1216" s="7">
        <v>50</v>
      </c>
      <c r="BU1216" s="7">
        <v>0.13663400000000001</v>
      </c>
      <c r="BV1216" s="7">
        <v>32.673267000000003</v>
      </c>
      <c r="BW1216" s="7">
        <v>50</v>
      </c>
      <c r="BX1216" s="7">
        <v>0.99712599999999996</v>
      </c>
      <c r="BY1216" s="7">
        <v>50</v>
      </c>
      <c r="BZ1216" s="7">
        <v>50</v>
      </c>
      <c r="CA1216" s="7">
        <v>0.117816</v>
      </c>
      <c r="CB1216" s="7">
        <v>7.854406</v>
      </c>
      <c r="CC1216" s="7">
        <v>50</v>
      </c>
      <c r="CD1216" s="7">
        <v>0.97787599999999997</v>
      </c>
      <c r="CE1216" s="7">
        <v>50</v>
      </c>
      <c r="CF1216" s="7">
        <v>50</v>
      </c>
      <c r="CG1216" s="7">
        <v>0.98429299999999997</v>
      </c>
      <c r="CH1216" s="7">
        <v>100</v>
      </c>
      <c r="CI1216" s="7">
        <v>100</v>
      </c>
      <c r="CJ1216" s="7">
        <v>0</v>
      </c>
      <c r="CK1216" s="7">
        <v>1</v>
      </c>
      <c r="CL1216" s="7">
        <v>100</v>
      </c>
      <c r="CM1216" s="7">
        <v>100</v>
      </c>
      <c r="CN1216" s="7">
        <v>0.46031699999999998</v>
      </c>
      <c r="CO1216" s="7">
        <v>61.375661000000001</v>
      </c>
      <c r="CP1216" s="7">
        <v>100</v>
      </c>
      <c r="CQ1216" s="7">
        <v>0.34761900000000001</v>
      </c>
      <c r="CR1216" s="7">
        <v>0.99526099999999995</v>
      </c>
      <c r="CS1216" s="7">
        <v>23.174603000000001</v>
      </c>
      <c r="CT1216" s="7">
        <v>50</v>
      </c>
      <c r="CU1216" s="7">
        <v>0.998726</v>
      </c>
      <c r="CV1216" s="7">
        <v>50</v>
      </c>
      <c r="CW1216" s="7">
        <v>50</v>
      </c>
      <c r="CX1216" s="7">
        <v>1</v>
      </c>
      <c r="CY1216" s="7">
        <v>0.94</v>
      </c>
      <c r="CZ1216" s="7">
        <v>-0.06</v>
      </c>
      <c r="DA1216" s="7">
        <v>15.314097</v>
      </c>
      <c r="DB1216" s="7">
        <v>17.400950000000002</v>
      </c>
      <c r="DC1216" s="7">
        <v>16.332519999999999</v>
      </c>
      <c r="DD1216" s="7">
        <v>7.9891730000000001</v>
      </c>
      <c r="DE1216" s="7">
        <v>0</v>
      </c>
      <c r="DF1216" s="6"/>
      <c r="DG1216" s="6"/>
      <c r="DH1216" s="6"/>
      <c r="DI1216" s="6"/>
      <c r="DJ1216" s="7">
        <v>0</v>
      </c>
      <c r="DK1216" s="7">
        <v>0</v>
      </c>
      <c r="DL1216" s="7">
        <v>0</v>
      </c>
      <c r="DM1216" s="7">
        <v>0</v>
      </c>
      <c r="DN1216" s="7">
        <v>0</v>
      </c>
      <c r="DO1216" s="7">
        <v>0</v>
      </c>
      <c r="DP1216" s="6"/>
      <c r="DQ1216" s="4" t="s">
        <v>125</v>
      </c>
    </row>
    <row r="1217" spans="1:121" ht="20" customHeight="1" x14ac:dyDescent="0.15">
      <c r="A1217" s="5">
        <v>2018</v>
      </c>
      <c r="B1217" s="3" t="s">
        <v>305</v>
      </c>
      <c r="C1217" s="4" t="str">
        <f t="shared" si="289"/>
        <v>9000016</v>
      </c>
      <c r="D1217" s="4" t="s">
        <v>1365</v>
      </c>
      <c r="E1217" s="4" t="str">
        <f>"9001816"</f>
        <v>9001816</v>
      </c>
      <c r="F1217" s="4" t="s">
        <v>1351</v>
      </c>
      <c r="G1217" s="7">
        <v>9</v>
      </c>
      <c r="H1217" s="7">
        <v>12</v>
      </c>
      <c r="I1217" s="6"/>
      <c r="J1217" s="4" t="s">
        <v>330</v>
      </c>
      <c r="K1217" s="7">
        <v>947.16452700000002</v>
      </c>
      <c r="L1217" s="7">
        <v>1450</v>
      </c>
      <c r="M1217" s="7">
        <v>65.321691000000001</v>
      </c>
      <c r="N1217" s="7">
        <v>3</v>
      </c>
      <c r="O1217" s="7">
        <v>0</v>
      </c>
      <c r="P1217" s="7">
        <v>46.776699000000001</v>
      </c>
      <c r="Q1217" s="7">
        <v>93.553398000000001</v>
      </c>
      <c r="R1217" s="7">
        <v>150</v>
      </c>
      <c r="S1217" s="7">
        <v>43.45</v>
      </c>
      <c r="T1217" s="7">
        <v>49.915094000000003</v>
      </c>
      <c r="U1217" s="7">
        <v>86.9</v>
      </c>
      <c r="V1217" s="7">
        <v>150</v>
      </c>
      <c r="W1217" s="7">
        <v>41.953074000000001</v>
      </c>
      <c r="X1217" s="7">
        <v>83.906148999999999</v>
      </c>
      <c r="Y1217" s="7">
        <v>150</v>
      </c>
      <c r="Z1217" s="7">
        <v>45.660376999999997</v>
      </c>
      <c r="AA1217" s="7">
        <v>38.023333000000001</v>
      </c>
      <c r="AB1217" s="7">
        <v>76.046666999999999</v>
      </c>
      <c r="AC1217" s="7">
        <v>150</v>
      </c>
      <c r="AD1217" s="7">
        <v>51.623846</v>
      </c>
      <c r="AE1217" s="7">
        <v>68.831795</v>
      </c>
      <c r="AF1217" s="7">
        <v>100</v>
      </c>
      <c r="AG1217" s="7">
        <v>46.106749999999998</v>
      </c>
      <c r="AH1217" s="7">
        <v>56.924585</v>
      </c>
      <c r="AI1217" s="7">
        <v>61.475667000000001</v>
      </c>
      <c r="AJ1217" s="7">
        <v>100</v>
      </c>
      <c r="AK1217" s="7">
        <v>6.46</v>
      </c>
      <c r="AL1217" s="7">
        <v>7.63</v>
      </c>
      <c r="AM1217" s="7">
        <v>10.81</v>
      </c>
      <c r="AN1217" s="4" t="s">
        <v>124</v>
      </c>
      <c r="AO1217" s="4" t="s">
        <v>124</v>
      </c>
      <c r="AP1217" s="4" t="s">
        <v>124</v>
      </c>
      <c r="AQ1217" s="4" t="s">
        <v>124</v>
      </c>
      <c r="AR1217" s="4" t="s">
        <v>124</v>
      </c>
      <c r="AS1217" s="4" t="s">
        <v>124</v>
      </c>
      <c r="AT1217" s="4" t="s">
        <v>124</v>
      </c>
      <c r="AU1217" s="4" t="s">
        <v>124</v>
      </c>
      <c r="AV1217" s="4" t="s">
        <v>124</v>
      </c>
      <c r="AW1217" s="4" t="s">
        <v>124</v>
      </c>
      <c r="AX1217" s="4" t="s">
        <v>124</v>
      </c>
      <c r="AY1217" s="4" t="s">
        <v>124</v>
      </c>
      <c r="AZ1217" s="4" t="s">
        <v>124</v>
      </c>
      <c r="BA1217" s="4" t="s">
        <v>124</v>
      </c>
      <c r="BB1217" s="4" t="s">
        <v>124</v>
      </c>
      <c r="BC1217" s="4" t="s">
        <v>124</v>
      </c>
      <c r="BD1217" s="4" t="s">
        <v>124</v>
      </c>
      <c r="BE1217" s="4" t="s">
        <v>124</v>
      </c>
      <c r="BF1217" s="4" t="s">
        <v>124</v>
      </c>
      <c r="BG1217" s="4" t="s">
        <v>124</v>
      </c>
      <c r="BH1217" s="7">
        <v>1</v>
      </c>
      <c r="BI1217" s="7">
        <v>0.98095200000000005</v>
      </c>
      <c r="BJ1217" s="7">
        <v>0.961538</v>
      </c>
      <c r="BK1217" s="7">
        <v>1</v>
      </c>
      <c r="BL1217" s="7">
        <v>0.98095200000000005</v>
      </c>
      <c r="BM1217" s="7">
        <v>0.961538</v>
      </c>
      <c r="BN1217" s="7">
        <v>1</v>
      </c>
      <c r="BO1217" s="7">
        <v>0.961538</v>
      </c>
      <c r="BP1217" s="7">
        <v>0.94230800000000003</v>
      </c>
      <c r="BQ1217" s="7">
        <v>0.980769</v>
      </c>
      <c r="BR1217" s="7">
        <v>0.14962600000000001</v>
      </c>
      <c r="BS1217" s="7">
        <v>30.074812999999999</v>
      </c>
      <c r="BT1217" s="7">
        <v>50</v>
      </c>
      <c r="BU1217" s="7">
        <v>0.20547899999999999</v>
      </c>
      <c r="BV1217" s="7">
        <v>18.904109999999999</v>
      </c>
      <c r="BW1217" s="7">
        <v>50</v>
      </c>
      <c r="BX1217" s="7">
        <v>0.99521499999999996</v>
      </c>
      <c r="BY1217" s="7">
        <v>50</v>
      </c>
      <c r="BZ1217" s="7">
        <v>50</v>
      </c>
      <c r="CA1217" s="7">
        <v>0.119617</v>
      </c>
      <c r="CB1217" s="7">
        <v>7.9744820000000001</v>
      </c>
      <c r="CC1217" s="7">
        <v>50</v>
      </c>
      <c r="CD1217" s="7">
        <v>0.97872300000000001</v>
      </c>
      <c r="CE1217" s="7">
        <v>50</v>
      </c>
      <c r="CF1217" s="7">
        <v>50</v>
      </c>
      <c r="CG1217" s="7">
        <v>0.90476199999999996</v>
      </c>
      <c r="CH1217" s="7">
        <v>96.251266000000001</v>
      </c>
      <c r="CI1217" s="7">
        <v>100</v>
      </c>
      <c r="CJ1217" s="7">
        <v>0</v>
      </c>
      <c r="CK1217" s="7">
        <v>0.93258399999999997</v>
      </c>
      <c r="CL1217" s="7">
        <v>99.211093000000005</v>
      </c>
      <c r="CM1217" s="7">
        <v>100</v>
      </c>
      <c r="CN1217" s="7">
        <v>0.30526300000000001</v>
      </c>
      <c r="CO1217" s="7">
        <v>40.701754000000001</v>
      </c>
      <c r="CP1217" s="7">
        <v>100</v>
      </c>
      <c r="CQ1217" s="7">
        <v>0.5</v>
      </c>
      <c r="CR1217" s="7">
        <v>0.97959200000000002</v>
      </c>
      <c r="CS1217" s="7">
        <v>33.333333000000003</v>
      </c>
      <c r="CT1217" s="7">
        <v>50</v>
      </c>
      <c r="CU1217" s="7">
        <v>0.65087300000000003</v>
      </c>
      <c r="CV1217" s="7">
        <v>50</v>
      </c>
      <c r="CW1217" s="7">
        <v>50</v>
      </c>
      <c r="CX1217" s="7">
        <v>0.93258399999999997</v>
      </c>
      <c r="CY1217" s="7">
        <v>0.94</v>
      </c>
      <c r="CZ1217" s="7">
        <v>7.4159999999999998E-3</v>
      </c>
      <c r="DA1217" s="7">
        <v>15.314097</v>
      </c>
      <c r="DB1217" s="7">
        <v>17.400950000000002</v>
      </c>
      <c r="DC1217" s="7">
        <v>16.332519999999999</v>
      </c>
      <c r="DD1217" s="7">
        <v>7.9891730000000001</v>
      </c>
      <c r="DE1217" s="7">
        <v>1</v>
      </c>
      <c r="DF1217" s="6"/>
      <c r="DG1217" s="6"/>
      <c r="DH1217" s="6"/>
      <c r="DI1217" s="6"/>
      <c r="DJ1217" s="7">
        <v>0</v>
      </c>
      <c r="DK1217" s="7">
        <v>0</v>
      </c>
      <c r="DL1217" s="7">
        <v>0</v>
      </c>
      <c r="DM1217" s="7">
        <v>0</v>
      </c>
      <c r="DN1217" s="7">
        <v>0</v>
      </c>
      <c r="DO1217" s="7">
        <v>0</v>
      </c>
      <c r="DP1217" s="6"/>
      <c r="DQ1217" s="4" t="s">
        <v>125</v>
      </c>
    </row>
    <row r="1218" spans="1:121" ht="20" customHeight="1" x14ac:dyDescent="0.15">
      <c r="A1218" s="5">
        <v>2018</v>
      </c>
      <c r="B1218" s="3" t="s">
        <v>305</v>
      </c>
      <c r="C1218" s="4" t="str">
        <f t="shared" si="289"/>
        <v>9000016</v>
      </c>
      <c r="D1218" s="4" t="s">
        <v>1366</v>
      </c>
      <c r="E1218" s="4" t="str">
        <f>"9002316"</f>
        <v>9002316</v>
      </c>
      <c r="F1218" s="4" t="s">
        <v>1351</v>
      </c>
      <c r="G1218" s="7">
        <v>9</v>
      </c>
      <c r="H1218" s="7">
        <v>12</v>
      </c>
      <c r="I1218" s="6"/>
      <c r="J1218" s="4" t="s">
        <v>330</v>
      </c>
      <c r="K1218" s="7">
        <v>1133.234011</v>
      </c>
      <c r="L1218" s="7">
        <v>1550</v>
      </c>
      <c r="M1218" s="7">
        <v>73.111872000000005</v>
      </c>
      <c r="N1218" s="7">
        <v>2</v>
      </c>
      <c r="O1218" s="7">
        <v>0</v>
      </c>
      <c r="P1218" s="7">
        <v>51.730556</v>
      </c>
      <c r="Q1218" s="7">
        <v>103.461111</v>
      </c>
      <c r="R1218" s="7">
        <v>150</v>
      </c>
      <c r="S1218" s="7">
        <v>49.422969000000002</v>
      </c>
      <c r="T1218" s="7">
        <v>56.232239999999997</v>
      </c>
      <c r="U1218" s="7">
        <v>98.845938000000004</v>
      </c>
      <c r="V1218" s="7">
        <v>150</v>
      </c>
      <c r="W1218" s="7">
        <v>47.941667000000002</v>
      </c>
      <c r="X1218" s="7">
        <v>95.883332999999993</v>
      </c>
      <c r="Y1218" s="7">
        <v>150</v>
      </c>
      <c r="Z1218" s="7">
        <v>53.497267999999998</v>
      </c>
      <c r="AA1218" s="7">
        <v>45.093837999999998</v>
      </c>
      <c r="AB1218" s="7">
        <v>90.187674999999999</v>
      </c>
      <c r="AC1218" s="7">
        <v>150</v>
      </c>
      <c r="AD1218" s="7">
        <v>63.442630000000001</v>
      </c>
      <c r="AE1218" s="7">
        <v>84.590172999999993</v>
      </c>
      <c r="AF1218" s="7">
        <v>100</v>
      </c>
      <c r="AG1218" s="7">
        <v>59.927602</v>
      </c>
      <c r="AH1218" s="7">
        <v>70.414102999999997</v>
      </c>
      <c r="AI1218" s="7">
        <v>79.903469000000001</v>
      </c>
      <c r="AJ1218" s="7">
        <v>100</v>
      </c>
      <c r="AK1218" s="7">
        <v>6.8</v>
      </c>
      <c r="AL1218" s="7">
        <v>8.4</v>
      </c>
      <c r="AM1218" s="7">
        <v>10.48</v>
      </c>
      <c r="AN1218" s="4" t="s">
        <v>124</v>
      </c>
      <c r="AO1218" s="4" t="s">
        <v>124</v>
      </c>
      <c r="AP1218" s="4" t="s">
        <v>124</v>
      </c>
      <c r="AQ1218" s="4" t="s">
        <v>124</v>
      </c>
      <c r="AR1218" s="4" t="s">
        <v>124</v>
      </c>
      <c r="AS1218" s="4" t="s">
        <v>124</v>
      </c>
      <c r="AT1218" s="4" t="s">
        <v>124</v>
      </c>
      <c r="AU1218" s="4" t="s">
        <v>124</v>
      </c>
      <c r="AV1218" s="4" t="s">
        <v>124</v>
      </c>
      <c r="AW1218" s="4" t="s">
        <v>124</v>
      </c>
      <c r="AX1218" s="4" t="s">
        <v>124</v>
      </c>
      <c r="AY1218" s="4" t="s">
        <v>124</v>
      </c>
      <c r="AZ1218" s="4" t="s">
        <v>124</v>
      </c>
      <c r="BA1218" s="4" t="s">
        <v>124</v>
      </c>
      <c r="BB1218" s="7">
        <v>0.30844700000000003</v>
      </c>
      <c r="BC1218" s="7">
        <v>15.422335</v>
      </c>
      <c r="BD1218" s="7">
        <v>50</v>
      </c>
      <c r="BE1218" s="7">
        <v>0.58749600000000002</v>
      </c>
      <c r="BF1218" s="7">
        <v>29.374791999999999</v>
      </c>
      <c r="BG1218" s="7">
        <v>50</v>
      </c>
      <c r="BH1218" s="7">
        <v>0</v>
      </c>
      <c r="BI1218" s="7">
        <v>0.98901099999999997</v>
      </c>
      <c r="BJ1218" s="7">
        <v>0.98347099999999998</v>
      </c>
      <c r="BK1218" s="7">
        <v>1</v>
      </c>
      <c r="BL1218" s="7">
        <v>0.98901099999999997</v>
      </c>
      <c r="BM1218" s="7">
        <v>0.98347099999999998</v>
      </c>
      <c r="BN1218" s="7">
        <v>1</v>
      </c>
      <c r="BO1218" s="7">
        <v>0.98351599999999995</v>
      </c>
      <c r="BP1218" s="7">
        <v>0.98347099999999998</v>
      </c>
      <c r="BQ1218" s="7">
        <v>0.98360700000000001</v>
      </c>
      <c r="BR1218" s="7">
        <v>5.5483999999999999E-2</v>
      </c>
      <c r="BS1218" s="7">
        <v>48.903225999999997</v>
      </c>
      <c r="BT1218" s="7">
        <v>50</v>
      </c>
      <c r="BU1218" s="7">
        <v>6.0428999999999997E-2</v>
      </c>
      <c r="BV1218" s="7">
        <v>47.914230000000003</v>
      </c>
      <c r="BW1218" s="7">
        <v>50</v>
      </c>
      <c r="BX1218" s="7">
        <v>1</v>
      </c>
      <c r="BY1218" s="7">
        <v>50</v>
      </c>
      <c r="BZ1218" s="7">
        <v>50</v>
      </c>
      <c r="CA1218" s="7">
        <v>0.18309900000000001</v>
      </c>
      <c r="CB1218" s="7">
        <v>12.206573000000001</v>
      </c>
      <c r="CC1218" s="7">
        <v>50</v>
      </c>
      <c r="CD1218" s="7">
        <v>1</v>
      </c>
      <c r="CE1218" s="7">
        <v>50</v>
      </c>
      <c r="CF1218" s="7">
        <v>50</v>
      </c>
      <c r="CG1218" s="7">
        <v>0.98876399999999998</v>
      </c>
      <c r="CH1218" s="7">
        <v>100</v>
      </c>
      <c r="CI1218" s="7">
        <v>100</v>
      </c>
      <c r="CJ1218" s="7">
        <v>0</v>
      </c>
      <c r="CK1218" s="7">
        <v>0.99</v>
      </c>
      <c r="CL1218" s="7">
        <v>100</v>
      </c>
      <c r="CM1218" s="7">
        <v>100</v>
      </c>
      <c r="CN1218" s="7">
        <v>0.53977299999999995</v>
      </c>
      <c r="CO1218" s="7">
        <v>71.969696999999996</v>
      </c>
      <c r="CP1218" s="7">
        <v>100</v>
      </c>
      <c r="CQ1218" s="7">
        <v>0.25728200000000001</v>
      </c>
      <c r="CR1218" s="7">
        <v>1.0048779999999999</v>
      </c>
      <c r="CS1218" s="7">
        <v>17.152104000000001</v>
      </c>
      <c r="CT1218" s="7">
        <v>50</v>
      </c>
      <c r="CU1218" s="7">
        <v>0.44903199999999999</v>
      </c>
      <c r="CV1218" s="7">
        <v>37.419355000000003</v>
      </c>
      <c r="CW1218" s="7">
        <v>50</v>
      </c>
      <c r="CX1218" s="7">
        <v>0.99</v>
      </c>
      <c r="CY1218" s="7">
        <v>0.94</v>
      </c>
      <c r="CZ1218" s="7">
        <v>-0.05</v>
      </c>
      <c r="DA1218" s="7">
        <v>15.314097</v>
      </c>
      <c r="DB1218" s="7">
        <v>17.400950000000002</v>
      </c>
      <c r="DC1218" s="7">
        <v>16.332519999999999</v>
      </c>
      <c r="DD1218" s="7">
        <v>7.9891730000000001</v>
      </c>
      <c r="DE1218" s="7">
        <v>0</v>
      </c>
      <c r="DF1218" s="6"/>
      <c r="DG1218" s="6"/>
      <c r="DH1218" s="6"/>
      <c r="DI1218" s="6"/>
      <c r="DJ1218" s="7">
        <v>0</v>
      </c>
      <c r="DK1218" s="7">
        <v>0</v>
      </c>
      <c r="DL1218" s="7">
        <v>0</v>
      </c>
      <c r="DM1218" s="7">
        <v>0</v>
      </c>
      <c r="DN1218" s="7">
        <v>0</v>
      </c>
      <c r="DO1218" s="7">
        <v>0</v>
      </c>
      <c r="DP1218" s="6"/>
      <c r="DQ1218" s="4" t="s">
        <v>125</v>
      </c>
    </row>
    <row r="1219" spans="1:121" ht="20" customHeight="1" x14ac:dyDescent="0.15">
      <c r="A1219" s="5">
        <v>2018</v>
      </c>
      <c r="B1219" s="3" t="s">
        <v>305</v>
      </c>
      <c r="C1219" s="4" t="str">
        <f t="shared" si="289"/>
        <v>9000016</v>
      </c>
      <c r="D1219" s="4" t="s">
        <v>1367</v>
      </c>
      <c r="E1219" s="4" t="str">
        <f>"9002416"</f>
        <v>9002416</v>
      </c>
      <c r="F1219" s="4" t="s">
        <v>1351</v>
      </c>
      <c r="G1219" s="7">
        <v>9</v>
      </c>
      <c r="H1219" s="7">
        <v>12</v>
      </c>
      <c r="I1219" s="6"/>
      <c r="J1219" s="4" t="s">
        <v>330</v>
      </c>
      <c r="K1219" s="7">
        <v>1000.493125</v>
      </c>
      <c r="L1219" s="7">
        <v>1550</v>
      </c>
      <c r="M1219" s="7">
        <v>64.547944000000001</v>
      </c>
      <c r="N1219" s="7">
        <v>3</v>
      </c>
      <c r="O1219" s="7">
        <v>0</v>
      </c>
      <c r="P1219" s="7">
        <v>44.715873000000002</v>
      </c>
      <c r="Q1219" s="7">
        <v>89.431746000000004</v>
      </c>
      <c r="R1219" s="7">
        <v>150</v>
      </c>
      <c r="S1219" s="7">
        <v>42.195312000000001</v>
      </c>
      <c r="T1219" s="7">
        <v>48.650407000000001</v>
      </c>
      <c r="U1219" s="7">
        <v>84.390625</v>
      </c>
      <c r="V1219" s="7">
        <v>150</v>
      </c>
      <c r="W1219" s="7">
        <v>41.101587000000002</v>
      </c>
      <c r="X1219" s="7">
        <v>82.203175000000002</v>
      </c>
      <c r="Y1219" s="7">
        <v>150</v>
      </c>
      <c r="Z1219" s="7">
        <v>44.536585000000002</v>
      </c>
      <c r="AA1219" s="7">
        <v>38.901041999999997</v>
      </c>
      <c r="AB1219" s="7">
        <v>77.802082999999996</v>
      </c>
      <c r="AC1219" s="7">
        <v>150</v>
      </c>
      <c r="AD1219" s="7">
        <v>49.641025999999997</v>
      </c>
      <c r="AE1219" s="7">
        <v>66.188034000000002</v>
      </c>
      <c r="AF1219" s="7">
        <v>100</v>
      </c>
      <c r="AG1219" s="7">
        <v>45.536095000000003</v>
      </c>
      <c r="AH1219" s="7">
        <v>56.311537999999999</v>
      </c>
      <c r="AI1219" s="7">
        <v>60.714793</v>
      </c>
      <c r="AJ1219" s="7">
        <v>100</v>
      </c>
      <c r="AK1219" s="7">
        <v>6.45</v>
      </c>
      <c r="AL1219" s="7">
        <v>5.63</v>
      </c>
      <c r="AM1219" s="7">
        <v>10.77</v>
      </c>
      <c r="AN1219" s="4" t="s">
        <v>124</v>
      </c>
      <c r="AO1219" s="4" t="s">
        <v>124</v>
      </c>
      <c r="AP1219" s="4" t="s">
        <v>124</v>
      </c>
      <c r="AQ1219" s="4" t="s">
        <v>124</v>
      </c>
      <c r="AR1219" s="4" t="s">
        <v>124</v>
      </c>
      <c r="AS1219" s="4" t="s">
        <v>124</v>
      </c>
      <c r="AT1219" s="4" t="s">
        <v>124</v>
      </c>
      <c r="AU1219" s="4" t="s">
        <v>124</v>
      </c>
      <c r="AV1219" s="4" t="s">
        <v>124</v>
      </c>
      <c r="AW1219" s="4" t="s">
        <v>124</v>
      </c>
      <c r="AX1219" s="4" t="s">
        <v>124</v>
      </c>
      <c r="AY1219" s="4" t="s">
        <v>124</v>
      </c>
      <c r="AZ1219" s="4" t="s">
        <v>124</v>
      </c>
      <c r="BA1219" s="4" t="s">
        <v>124</v>
      </c>
      <c r="BB1219" s="7">
        <v>0.42205100000000001</v>
      </c>
      <c r="BC1219" s="7">
        <v>21.102564000000001</v>
      </c>
      <c r="BD1219" s="7">
        <v>50</v>
      </c>
      <c r="BE1219" s="7">
        <v>0.51581699999999997</v>
      </c>
      <c r="BF1219" s="7">
        <v>25.790855000000001</v>
      </c>
      <c r="BG1219" s="7">
        <v>50</v>
      </c>
      <c r="BH1219" s="7">
        <v>0</v>
      </c>
      <c r="BI1219" s="7">
        <v>0.99056599999999995</v>
      </c>
      <c r="BJ1219" s="7">
        <v>0.98461500000000002</v>
      </c>
      <c r="BK1219" s="7">
        <v>1</v>
      </c>
      <c r="BL1219" s="7">
        <v>0.99056599999999995</v>
      </c>
      <c r="BM1219" s="7">
        <v>0.98461500000000002</v>
      </c>
      <c r="BN1219" s="7">
        <v>1</v>
      </c>
      <c r="BO1219" s="7">
        <v>0.99056599999999995</v>
      </c>
      <c r="BP1219" s="7">
        <v>1</v>
      </c>
      <c r="BQ1219" s="7">
        <v>0.97560999999999998</v>
      </c>
      <c r="BR1219" s="7">
        <v>7.7802999999999997E-2</v>
      </c>
      <c r="BS1219" s="7">
        <v>44.439359000000003</v>
      </c>
      <c r="BT1219" s="7">
        <v>50</v>
      </c>
      <c r="BU1219" s="7">
        <v>8.3333000000000004E-2</v>
      </c>
      <c r="BV1219" s="7">
        <v>43.333333000000003</v>
      </c>
      <c r="BW1219" s="7">
        <v>50</v>
      </c>
      <c r="BX1219" s="7">
        <v>1</v>
      </c>
      <c r="BY1219" s="7">
        <v>50</v>
      </c>
      <c r="BZ1219" s="7">
        <v>50</v>
      </c>
      <c r="CA1219" s="7">
        <v>0.103627</v>
      </c>
      <c r="CB1219" s="7">
        <v>6.9084630000000002</v>
      </c>
      <c r="CC1219" s="7">
        <v>50</v>
      </c>
      <c r="CD1219" s="7">
        <v>0.97101400000000004</v>
      </c>
      <c r="CE1219" s="7">
        <v>50</v>
      </c>
      <c r="CF1219" s="7">
        <v>50</v>
      </c>
      <c r="CG1219" s="7">
        <v>0.96748000000000001</v>
      </c>
      <c r="CH1219" s="7">
        <v>100</v>
      </c>
      <c r="CI1219" s="7">
        <v>100</v>
      </c>
      <c r="CJ1219" s="7">
        <v>0</v>
      </c>
      <c r="CK1219" s="7">
        <v>0.98837200000000003</v>
      </c>
      <c r="CL1219" s="7">
        <v>100</v>
      </c>
      <c r="CM1219" s="7">
        <v>100</v>
      </c>
      <c r="CN1219" s="7">
        <v>0.25833299999999998</v>
      </c>
      <c r="CO1219" s="7">
        <v>34.444443999999997</v>
      </c>
      <c r="CP1219" s="7">
        <v>100</v>
      </c>
      <c r="CQ1219" s="7">
        <v>0.641509</v>
      </c>
      <c r="CR1219" s="7">
        <v>1</v>
      </c>
      <c r="CS1219" s="7">
        <v>42.767296000000002</v>
      </c>
      <c r="CT1219" s="7">
        <v>50</v>
      </c>
      <c r="CU1219" s="7">
        <v>0.251716</v>
      </c>
      <c r="CV1219" s="7">
        <v>20.976354000000001</v>
      </c>
      <c r="CW1219" s="7">
        <v>50</v>
      </c>
      <c r="CX1219" s="7">
        <v>0.98837200000000003</v>
      </c>
      <c r="CY1219" s="7">
        <v>0.94</v>
      </c>
      <c r="CZ1219" s="7">
        <v>-4.8371999999999998E-2</v>
      </c>
      <c r="DA1219" s="7">
        <v>15.314097</v>
      </c>
      <c r="DB1219" s="7">
        <v>17.400950000000002</v>
      </c>
      <c r="DC1219" s="7">
        <v>16.332519999999999</v>
      </c>
      <c r="DD1219" s="7">
        <v>7.9891730000000001</v>
      </c>
      <c r="DE1219" s="7">
        <v>0</v>
      </c>
      <c r="DF1219" s="6"/>
      <c r="DG1219" s="6"/>
      <c r="DH1219" s="6"/>
      <c r="DI1219" s="6"/>
      <c r="DJ1219" s="7">
        <v>0</v>
      </c>
      <c r="DK1219" s="7">
        <v>0</v>
      </c>
      <c r="DL1219" s="7">
        <v>0</v>
      </c>
      <c r="DM1219" s="7">
        <v>0</v>
      </c>
      <c r="DN1219" s="7">
        <v>0</v>
      </c>
      <c r="DO1219" s="7">
        <v>0</v>
      </c>
      <c r="DP1219" s="6"/>
      <c r="DQ1219" s="4" t="s">
        <v>125</v>
      </c>
    </row>
    <row r="1220" spans="1:121" ht="20" customHeight="1" x14ac:dyDescent="0.15">
      <c r="A1220" s="5">
        <v>2018</v>
      </c>
      <c r="B1220" s="3" t="s">
        <v>162</v>
      </c>
      <c r="C1220" s="4" t="str">
        <f t="shared" si="37"/>
        <v>9010022</v>
      </c>
      <c r="D1220" s="4" t="s">
        <v>1368</v>
      </c>
      <c r="E1220" s="4" t="str">
        <f>"9016122"</f>
        <v>9016122</v>
      </c>
      <c r="F1220" s="4" t="s">
        <v>1369</v>
      </c>
      <c r="G1220" s="7">
        <v>9</v>
      </c>
      <c r="H1220" s="7">
        <v>12</v>
      </c>
      <c r="I1220" s="6"/>
      <c r="J1220" s="4" t="s">
        <v>330</v>
      </c>
      <c r="K1220" s="7">
        <v>1085.227042</v>
      </c>
      <c r="L1220" s="7">
        <v>1550</v>
      </c>
      <c r="M1220" s="7">
        <v>70.014647999999994</v>
      </c>
      <c r="N1220" s="7">
        <v>3</v>
      </c>
      <c r="O1220" s="7">
        <v>0</v>
      </c>
      <c r="P1220" s="7">
        <v>55.317689999999999</v>
      </c>
      <c r="Q1220" s="7">
        <v>110.635379</v>
      </c>
      <c r="R1220" s="7">
        <v>150</v>
      </c>
      <c r="S1220" s="7">
        <v>47.921678999999997</v>
      </c>
      <c r="T1220" s="7">
        <v>62.148727000000001</v>
      </c>
      <c r="U1220" s="7">
        <v>95.843357999999995</v>
      </c>
      <c r="V1220" s="7">
        <v>150</v>
      </c>
      <c r="W1220" s="7">
        <v>51.287004000000003</v>
      </c>
      <c r="X1220" s="7">
        <v>102.57400699999999</v>
      </c>
      <c r="Y1220" s="7">
        <v>150</v>
      </c>
      <c r="Z1220" s="7">
        <v>58.800347000000002</v>
      </c>
      <c r="AA1220" s="7">
        <v>43.152256000000001</v>
      </c>
      <c r="AB1220" s="7">
        <v>86.304511000000005</v>
      </c>
      <c r="AC1220" s="7">
        <v>150</v>
      </c>
      <c r="AD1220" s="7">
        <v>58.225026999999997</v>
      </c>
      <c r="AE1220" s="7">
        <v>77.633369000000002</v>
      </c>
      <c r="AF1220" s="7">
        <v>100</v>
      </c>
      <c r="AG1220" s="7">
        <v>50.950937000000003</v>
      </c>
      <c r="AH1220" s="7">
        <v>64.814795000000004</v>
      </c>
      <c r="AI1220" s="7">
        <v>67.934583000000003</v>
      </c>
      <c r="AJ1220" s="7">
        <v>100</v>
      </c>
      <c r="AK1220" s="7">
        <v>14.22</v>
      </c>
      <c r="AL1220" s="7">
        <v>15.64</v>
      </c>
      <c r="AM1220" s="7">
        <v>13.86</v>
      </c>
      <c r="AN1220" s="4" t="s">
        <v>124</v>
      </c>
      <c r="AO1220" s="4" t="s">
        <v>124</v>
      </c>
      <c r="AP1220" s="4" t="s">
        <v>124</v>
      </c>
      <c r="AQ1220" s="4" t="s">
        <v>124</v>
      </c>
      <c r="AR1220" s="4" t="s">
        <v>124</v>
      </c>
      <c r="AS1220" s="4" t="s">
        <v>124</v>
      </c>
      <c r="AT1220" s="4" t="s">
        <v>124</v>
      </c>
      <c r="AU1220" s="4" t="s">
        <v>124</v>
      </c>
      <c r="AV1220" s="4" t="s">
        <v>124</v>
      </c>
      <c r="AW1220" s="4" t="s">
        <v>124</v>
      </c>
      <c r="AX1220" s="4" t="s">
        <v>124</v>
      </c>
      <c r="AY1220" s="4" t="s">
        <v>124</v>
      </c>
      <c r="AZ1220" s="4" t="s">
        <v>124</v>
      </c>
      <c r="BA1220" s="4" t="s">
        <v>124</v>
      </c>
      <c r="BB1220" s="7">
        <v>0.46406799999999998</v>
      </c>
      <c r="BC1220" s="7">
        <v>23.203375000000001</v>
      </c>
      <c r="BD1220" s="7">
        <v>50</v>
      </c>
      <c r="BE1220" s="7">
        <v>0.56309100000000001</v>
      </c>
      <c r="BF1220" s="7">
        <v>28.15457</v>
      </c>
      <c r="BG1220" s="7">
        <v>50</v>
      </c>
      <c r="BH1220" s="7">
        <v>1</v>
      </c>
      <c r="BI1220" s="7">
        <v>0.96321100000000004</v>
      </c>
      <c r="BJ1220" s="7">
        <v>0.94352199999999997</v>
      </c>
      <c r="BK1220" s="7">
        <v>0.98316499999999996</v>
      </c>
      <c r="BL1220" s="7">
        <v>0.96321100000000004</v>
      </c>
      <c r="BM1220" s="7">
        <v>0.94352199999999997</v>
      </c>
      <c r="BN1220" s="7">
        <v>0.98316499999999996</v>
      </c>
      <c r="BO1220" s="7">
        <v>0.956229</v>
      </c>
      <c r="BP1220" s="7">
        <v>0.92952999999999997</v>
      </c>
      <c r="BQ1220" s="7">
        <v>0.98310799999999998</v>
      </c>
      <c r="BR1220" s="7">
        <v>0.174429</v>
      </c>
      <c r="BS1220" s="7">
        <v>25.114155</v>
      </c>
      <c r="BT1220" s="7">
        <v>50</v>
      </c>
      <c r="BU1220" s="7">
        <v>0.22175</v>
      </c>
      <c r="BV1220" s="7">
        <v>15.649958</v>
      </c>
      <c r="BW1220" s="7">
        <v>50</v>
      </c>
      <c r="BX1220" s="7">
        <v>0.73967700000000003</v>
      </c>
      <c r="BY1220" s="7">
        <v>49.311788999999997</v>
      </c>
      <c r="BZ1220" s="7">
        <v>50</v>
      </c>
      <c r="CA1220" s="7">
        <v>0.354578</v>
      </c>
      <c r="CB1220" s="7">
        <v>23.638539999999999</v>
      </c>
      <c r="CC1220" s="7">
        <v>50</v>
      </c>
      <c r="CD1220" s="7">
        <v>0.85077499999999995</v>
      </c>
      <c r="CE1220" s="7">
        <v>45.253999999999998</v>
      </c>
      <c r="CF1220" s="7">
        <v>50</v>
      </c>
      <c r="CG1220" s="7">
        <v>0.88869299999999996</v>
      </c>
      <c r="CH1220" s="7">
        <v>94.541764000000001</v>
      </c>
      <c r="CI1220" s="7">
        <v>100</v>
      </c>
      <c r="CJ1220" s="7">
        <v>1</v>
      </c>
      <c r="CK1220" s="7">
        <v>0.81818199999999996</v>
      </c>
      <c r="CL1220" s="7">
        <v>87.040619000000007</v>
      </c>
      <c r="CM1220" s="7">
        <v>100</v>
      </c>
      <c r="CN1220" s="7">
        <v>0.67786599999999997</v>
      </c>
      <c r="CO1220" s="7">
        <v>90.382081999999997</v>
      </c>
      <c r="CP1220" s="7">
        <v>100</v>
      </c>
      <c r="CQ1220" s="7">
        <v>0.30630600000000002</v>
      </c>
      <c r="CR1220" s="7">
        <v>0.98930499999999999</v>
      </c>
      <c r="CS1220" s="7">
        <v>20.42042</v>
      </c>
      <c r="CT1220" s="7">
        <v>50</v>
      </c>
      <c r="CU1220" s="7">
        <v>0.499087</v>
      </c>
      <c r="CV1220" s="7">
        <v>41.590563000000003</v>
      </c>
      <c r="CW1220" s="7">
        <v>50</v>
      </c>
      <c r="CX1220" s="7">
        <v>0.81818199999999996</v>
      </c>
      <c r="CY1220" s="7">
        <v>0.94</v>
      </c>
      <c r="CZ1220" s="7">
        <v>0.121818</v>
      </c>
      <c r="DA1220" s="7">
        <v>15.314097</v>
      </c>
      <c r="DB1220" s="7">
        <v>17.400950000000002</v>
      </c>
      <c r="DC1220" s="7">
        <v>16.332519999999999</v>
      </c>
      <c r="DD1220" s="7">
        <v>7.9891730000000001</v>
      </c>
      <c r="DE1220" s="7">
        <v>1</v>
      </c>
      <c r="DF1220" s="6"/>
      <c r="DG1220" s="6"/>
      <c r="DH1220" s="6"/>
      <c r="DI1220" s="6"/>
      <c r="DJ1220" s="7">
        <v>0</v>
      </c>
      <c r="DK1220" s="7">
        <v>0</v>
      </c>
      <c r="DL1220" s="7">
        <v>0</v>
      </c>
      <c r="DM1220" s="7">
        <v>0</v>
      </c>
      <c r="DN1220" s="7">
        <v>0</v>
      </c>
      <c r="DO1220" s="7">
        <v>0</v>
      </c>
      <c r="DP1220" s="6"/>
      <c r="DQ1220" s="4" t="s">
        <v>125</v>
      </c>
    </row>
    <row r="1221" spans="1:121" ht="20" customHeight="1" x14ac:dyDescent="0.15">
      <c r="A1221" s="5">
        <v>2018</v>
      </c>
      <c r="B1221" s="3" t="s">
        <v>163</v>
      </c>
      <c r="C1221" s="4" t="str">
        <f t="shared" si="38"/>
        <v>9020022</v>
      </c>
      <c r="D1221" s="4" t="s">
        <v>1370</v>
      </c>
      <c r="E1221" s="4" t="str">
        <f>"9026122"</f>
        <v>9026122</v>
      </c>
      <c r="F1221" s="4" t="s">
        <v>1369</v>
      </c>
      <c r="G1221" s="7">
        <v>7</v>
      </c>
      <c r="H1221" s="7">
        <v>12</v>
      </c>
      <c r="I1221" s="6"/>
      <c r="J1221" s="4" t="s">
        <v>330</v>
      </c>
      <c r="K1221" s="7">
        <v>990.70567700000004</v>
      </c>
      <c r="L1221" s="7">
        <v>1350</v>
      </c>
      <c r="M1221" s="7">
        <v>73.385605999999996</v>
      </c>
      <c r="N1221" s="7">
        <v>3</v>
      </c>
      <c r="O1221" s="7">
        <v>0</v>
      </c>
      <c r="P1221" s="7">
        <v>60.898515000000003</v>
      </c>
      <c r="Q1221" s="7">
        <v>40.59901</v>
      </c>
      <c r="R1221" s="7">
        <v>50</v>
      </c>
      <c r="S1221" s="7">
        <v>56.21125</v>
      </c>
      <c r="T1221" s="7">
        <v>66.541435000000007</v>
      </c>
      <c r="U1221" s="7">
        <v>37.474165999999997</v>
      </c>
      <c r="V1221" s="7">
        <v>50</v>
      </c>
      <c r="W1221" s="7">
        <v>55.745665000000002</v>
      </c>
      <c r="X1221" s="7">
        <v>37.163777000000003</v>
      </c>
      <c r="Y1221" s="7">
        <v>50</v>
      </c>
      <c r="Z1221" s="7">
        <v>61.166775000000001</v>
      </c>
      <c r="AA1221" s="7">
        <v>51.168827</v>
      </c>
      <c r="AB1221" s="7">
        <v>34.112551000000003</v>
      </c>
      <c r="AC1221" s="7">
        <v>50</v>
      </c>
      <c r="AD1221" s="7">
        <v>59.031928000000001</v>
      </c>
      <c r="AE1221" s="7">
        <v>39.354619</v>
      </c>
      <c r="AF1221" s="7">
        <v>50</v>
      </c>
      <c r="AG1221" s="7">
        <v>56.743777999999999</v>
      </c>
      <c r="AH1221" s="7">
        <v>61.821590999999998</v>
      </c>
      <c r="AI1221" s="7">
        <v>37.829186</v>
      </c>
      <c r="AJ1221" s="7">
        <v>50</v>
      </c>
      <c r="AK1221" s="7">
        <v>10.33</v>
      </c>
      <c r="AL1221" s="7">
        <v>9.99</v>
      </c>
      <c r="AM1221" s="7">
        <v>5.07</v>
      </c>
      <c r="AN1221" s="7">
        <v>0.66809700000000005</v>
      </c>
      <c r="AO1221" s="7">
        <v>66.809663999999998</v>
      </c>
      <c r="AP1221" s="7">
        <v>100</v>
      </c>
      <c r="AQ1221" s="7">
        <v>0.66708500000000004</v>
      </c>
      <c r="AR1221" s="7">
        <v>66.708524999999995</v>
      </c>
      <c r="AS1221" s="7">
        <v>100</v>
      </c>
      <c r="AT1221" s="7">
        <v>0.61851900000000004</v>
      </c>
      <c r="AU1221" s="7">
        <v>0.73126800000000003</v>
      </c>
      <c r="AV1221" s="7">
        <v>61.851931999999998</v>
      </c>
      <c r="AW1221" s="7">
        <v>100</v>
      </c>
      <c r="AX1221" s="7">
        <v>0.67697399999999996</v>
      </c>
      <c r="AY1221" s="7">
        <v>0.65480400000000005</v>
      </c>
      <c r="AZ1221" s="7">
        <v>67.697385999999995</v>
      </c>
      <c r="BA1221" s="7">
        <v>100</v>
      </c>
      <c r="BB1221" s="4" t="s">
        <v>124</v>
      </c>
      <c r="BC1221" s="4" t="s">
        <v>124</v>
      </c>
      <c r="BD1221" s="4" t="s">
        <v>124</v>
      </c>
      <c r="BE1221" s="4" t="s">
        <v>124</v>
      </c>
      <c r="BF1221" s="4" t="s">
        <v>124</v>
      </c>
      <c r="BG1221" s="4" t="s">
        <v>124</v>
      </c>
      <c r="BH1221" s="7">
        <v>1</v>
      </c>
      <c r="BI1221" s="7">
        <v>0.97550999999999999</v>
      </c>
      <c r="BJ1221" s="7">
        <v>0.96946600000000005</v>
      </c>
      <c r="BK1221" s="7">
        <v>0.982456</v>
      </c>
      <c r="BL1221" s="7">
        <v>0.96734699999999996</v>
      </c>
      <c r="BM1221" s="7">
        <v>0.95419799999999999</v>
      </c>
      <c r="BN1221" s="7">
        <v>0.982456</v>
      </c>
      <c r="BO1221" s="7">
        <v>0.96022700000000005</v>
      </c>
      <c r="BP1221" s="7">
        <v>0.94845400000000002</v>
      </c>
      <c r="BQ1221" s="7">
        <v>0.97468399999999999</v>
      </c>
      <c r="BR1221" s="7">
        <v>0.138132</v>
      </c>
      <c r="BS1221" s="7">
        <v>32.373541000000003</v>
      </c>
      <c r="BT1221" s="7">
        <v>50</v>
      </c>
      <c r="BU1221" s="7">
        <v>0.21343899999999999</v>
      </c>
      <c r="BV1221" s="7">
        <v>17.312252999999998</v>
      </c>
      <c r="BW1221" s="7">
        <v>50</v>
      </c>
      <c r="BX1221" s="7">
        <v>0.79047599999999996</v>
      </c>
      <c r="BY1221" s="7">
        <v>50</v>
      </c>
      <c r="BZ1221" s="7">
        <v>50</v>
      </c>
      <c r="CA1221" s="7">
        <v>0.33333299999999999</v>
      </c>
      <c r="CB1221" s="7">
        <v>22.222221999999999</v>
      </c>
      <c r="CC1221" s="7">
        <v>50</v>
      </c>
      <c r="CD1221" s="7">
        <v>0.87234</v>
      </c>
      <c r="CE1221" s="7">
        <v>46.401085999999999</v>
      </c>
      <c r="CF1221" s="7">
        <v>50</v>
      </c>
      <c r="CG1221" s="7">
        <v>0.87912100000000004</v>
      </c>
      <c r="CH1221" s="7">
        <v>93.523498000000004</v>
      </c>
      <c r="CI1221" s="7">
        <v>100</v>
      </c>
      <c r="CJ1221" s="7">
        <v>0</v>
      </c>
      <c r="CK1221" s="7">
        <v>0.86206899999999997</v>
      </c>
      <c r="CL1221" s="7">
        <v>91.709463999999997</v>
      </c>
      <c r="CM1221" s="7">
        <v>100</v>
      </c>
      <c r="CN1221" s="7">
        <v>0.64102599999999998</v>
      </c>
      <c r="CO1221" s="7">
        <v>85.470084999999997</v>
      </c>
      <c r="CP1221" s="7">
        <v>100</v>
      </c>
      <c r="CQ1221" s="7">
        <v>0.221557</v>
      </c>
      <c r="CR1221" s="7">
        <v>0.97092999999999996</v>
      </c>
      <c r="CS1221" s="7">
        <v>14.770459000000001</v>
      </c>
      <c r="CT1221" s="7">
        <v>50</v>
      </c>
      <c r="CU1221" s="7">
        <v>0.56786700000000001</v>
      </c>
      <c r="CV1221" s="7">
        <v>47.322253000000003</v>
      </c>
      <c r="CW1221" s="7">
        <v>50</v>
      </c>
      <c r="CX1221" s="7">
        <v>0.86206899999999997</v>
      </c>
      <c r="CY1221" s="7">
        <v>0.94</v>
      </c>
      <c r="CZ1221" s="7">
        <v>7.7931E-2</v>
      </c>
      <c r="DA1221" s="7">
        <v>15.314097</v>
      </c>
      <c r="DB1221" s="7">
        <v>17.400950000000002</v>
      </c>
      <c r="DC1221" s="7">
        <v>16.332519999999999</v>
      </c>
      <c r="DD1221" s="7">
        <v>7.9891730000000001</v>
      </c>
      <c r="DE1221" s="7">
        <v>1</v>
      </c>
      <c r="DF1221" s="6"/>
      <c r="DG1221" s="6"/>
      <c r="DH1221" s="6"/>
      <c r="DI1221" s="6"/>
      <c r="DJ1221" s="7">
        <v>0</v>
      </c>
      <c r="DK1221" s="7">
        <v>0</v>
      </c>
      <c r="DL1221" s="7">
        <v>0</v>
      </c>
      <c r="DM1221" s="7">
        <v>0</v>
      </c>
      <c r="DN1221" s="7">
        <v>0</v>
      </c>
      <c r="DO1221" s="7">
        <v>0</v>
      </c>
      <c r="DP1221" s="6"/>
      <c r="DQ1221" s="4" t="s">
        <v>125</v>
      </c>
    </row>
    <row r="1222" spans="1:121" ht="20" customHeight="1" x14ac:dyDescent="0.15">
      <c r="A1222" s="5">
        <v>2018</v>
      </c>
      <c r="B1222" s="3" t="s">
        <v>164</v>
      </c>
      <c r="C1222" s="4" t="str">
        <f t="shared" si="39"/>
        <v>9030022</v>
      </c>
      <c r="D1222" s="4" t="s">
        <v>1371</v>
      </c>
      <c r="E1222" s="4" t="str">
        <f>"9036122"</f>
        <v>9036122</v>
      </c>
      <c r="F1222" s="4" t="s">
        <v>1369</v>
      </c>
      <c r="G1222" s="7">
        <v>9</v>
      </c>
      <c r="H1222" s="7">
        <v>12</v>
      </c>
      <c r="I1222" s="6"/>
      <c r="J1222" s="4" t="s">
        <v>330</v>
      </c>
      <c r="K1222" s="7">
        <v>1135.4285090000001</v>
      </c>
      <c r="L1222" s="7">
        <v>1450</v>
      </c>
      <c r="M1222" s="7">
        <v>78.305413999999999</v>
      </c>
      <c r="N1222" s="7">
        <v>3</v>
      </c>
      <c r="O1222" s="7">
        <v>1</v>
      </c>
      <c r="P1222" s="7">
        <v>59.094890999999997</v>
      </c>
      <c r="Q1222" s="7">
        <v>118.189781</v>
      </c>
      <c r="R1222" s="7">
        <v>150</v>
      </c>
      <c r="S1222" s="7">
        <v>48.724359</v>
      </c>
      <c r="T1222" s="7">
        <v>60.182124000000002</v>
      </c>
      <c r="U1222" s="7">
        <v>97.448718</v>
      </c>
      <c r="V1222" s="7">
        <v>150</v>
      </c>
      <c r="W1222" s="7">
        <v>60.123074000000003</v>
      </c>
      <c r="X1222" s="7">
        <v>120.24614800000001</v>
      </c>
      <c r="Y1222" s="7">
        <v>150</v>
      </c>
      <c r="Z1222" s="7">
        <v>61.926746999999999</v>
      </c>
      <c r="AA1222" s="7">
        <v>42.918802999999997</v>
      </c>
      <c r="AB1222" s="7">
        <v>85.837607000000006</v>
      </c>
      <c r="AC1222" s="7">
        <v>150</v>
      </c>
      <c r="AD1222" s="7">
        <v>61.717053</v>
      </c>
      <c r="AE1222" s="7">
        <v>82.289404000000005</v>
      </c>
      <c r="AF1222" s="7">
        <v>100</v>
      </c>
      <c r="AG1222" s="7">
        <v>50.016061000000001</v>
      </c>
      <c r="AH1222" s="7">
        <v>62.924298</v>
      </c>
      <c r="AI1222" s="7">
        <v>66.688080999999997</v>
      </c>
      <c r="AJ1222" s="7">
        <v>100</v>
      </c>
      <c r="AK1222" s="7">
        <v>11.45</v>
      </c>
      <c r="AL1222" s="7">
        <v>19</v>
      </c>
      <c r="AM1222" s="7">
        <v>12.9</v>
      </c>
      <c r="AN1222" s="4" t="s">
        <v>124</v>
      </c>
      <c r="AO1222" s="4" t="s">
        <v>124</v>
      </c>
      <c r="AP1222" s="4" t="s">
        <v>124</v>
      </c>
      <c r="AQ1222" s="4" t="s">
        <v>124</v>
      </c>
      <c r="AR1222" s="4" t="s">
        <v>124</v>
      </c>
      <c r="AS1222" s="4" t="s">
        <v>124</v>
      </c>
      <c r="AT1222" s="4" t="s">
        <v>124</v>
      </c>
      <c r="AU1222" s="4" t="s">
        <v>124</v>
      </c>
      <c r="AV1222" s="4" t="s">
        <v>124</v>
      </c>
      <c r="AW1222" s="4" t="s">
        <v>124</v>
      </c>
      <c r="AX1222" s="4" t="s">
        <v>124</v>
      </c>
      <c r="AY1222" s="4" t="s">
        <v>124</v>
      </c>
      <c r="AZ1222" s="4" t="s">
        <v>124</v>
      </c>
      <c r="BA1222" s="4" t="s">
        <v>124</v>
      </c>
      <c r="BB1222" s="4" t="s">
        <v>124</v>
      </c>
      <c r="BC1222" s="4" t="s">
        <v>124</v>
      </c>
      <c r="BD1222" s="4" t="s">
        <v>124</v>
      </c>
      <c r="BE1222" s="4" t="s">
        <v>124</v>
      </c>
      <c r="BF1222" s="4" t="s">
        <v>124</v>
      </c>
      <c r="BG1222" s="4" t="s">
        <v>124</v>
      </c>
      <c r="BH1222" s="7">
        <v>1</v>
      </c>
      <c r="BI1222" s="7">
        <v>0.98581600000000003</v>
      </c>
      <c r="BJ1222" s="7">
        <v>0.92857100000000004</v>
      </c>
      <c r="BK1222" s="7">
        <v>0.99212599999999995</v>
      </c>
      <c r="BL1222" s="7">
        <v>0.98581600000000003</v>
      </c>
      <c r="BM1222" s="7">
        <v>0.92857100000000004</v>
      </c>
      <c r="BN1222" s="7">
        <v>0.99212599999999995</v>
      </c>
      <c r="BO1222" s="7">
        <v>0.98239399999999999</v>
      </c>
      <c r="BP1222" s="7">
        <v>0.92857100000000004</v>
      </c>
      <c r="BQ1222" s="7">
        <v>0.98828099999999997</v>
      </c>
      <c r="BR1222" s="7">
        <v>0.103321</v>
      </c>
      <c r="BS1222" s="7">
        <v>39.335793000000002</v>
      </c>
      <c r="BT1222" s="7">
        <v>50</v>
      </c>
      <c r="BU1222" s="7">
        <v>0.19230800000000001</v>
      </c>
      <c r="BV1222" s="7">
        <v>21.538461999999999</v>
      </c>
      <c r="BW1222" s="7">
        <v>50</v>
      </c>
      <c r="BX1222" s="7">
        <v>0.69217700000000004</v>
      </c>
      <c r="BY1222" s="7">
        <v>46.145125</v>
      </c>
      <c r="BZ1222" s="7">
        <v>50</v>
      </c>
      <c r="CA1222" s="7">
        <v>0.56122399999999995</v>
      </c>
      <c r="CB1222" s="7">
        <v>37.414966</v>
      </c>
      <c r="CC1222" s="7">
        <v>50</v>
      </c>
      <c r="CD1222" s="7">
        <v>0.97435899999999998</v>
      </c>
      <c r="CE1222" s="7">
        <v>50</v>
      </c>
      <c r="CF1222" s="7">
        <v>50</v>
      </c>
      <c r="CG1222" s="7">
        <v>0.98809499999999995</v>
      </c>
      <c r="CH1222" s="7">
        <v>100</v>
      </c>
      <c r="CI1222" s="7">
        <v>100</v>
      </c>
      <c r="CJ1222" s="7">
        <v>0</v>
      </c>
      <c r="CK1222" s="7">
        <v>0.94285699999999995</v>
      </c>
      <c r="CL1222" s="7">
        <v>100</v>
      </c>
      <c r="CM1222" s="7">
        <v>100</v>
      </c>
      <c r="CN1222" s="7">
        <v>0.74319100000000005</v>
      </c>
      <c r="CO1222" s="7">
        <v>99.092088000000004</v>
      </c>
      <c r="CP1222" s="7">
        <v>100</v>
      </c>
      <c r="CQ1222" s="7">
        <v>0.91627899999999995</v>
      </c>
      <c r="CR1222" s="7">
        <v>0.82061099999999998</v>
      </c>
      <c r="CS1222" s="7">
        <v>25</v>
      </c>
      <c r="CT1222" s="7">
        <v>50</v>
      </c>
      <c r="CU1222" s="7">
        <v>0.55442800000000003</v>
      </c>
      <c r="CV1222" s="7">
        <v>46.202337</v>
      </c>
      <c r="CW1222" s="7">
        <v>50</v>
      </c>
      <c r="CX1222" s="7">
        <v>0.94285699999999995</v>
      </c>
      <c r="CY1222" s="7">
        <v>0.94</v>
      </c>
      <c r="CZ1222" s="7">
        <v>-2.8570000000000002E-3</v>
      </c>
      <c r="DA1222" s="7">
        <v>15.314097</v>
      </c>
      <c r="DB1222" s="7">
        <v>17.400950000000002</v>
      </c>
      <c r="DC1222" s="7">
        <v>16.332519999999999</v>
      </c>
      <c r="DD1222" s="7">
        <v>7.9891730000000001</v>
      </c>
      <c r="DE1222" s="7">
        <v>1</v>
      </c>
      <c r="DF1222" s="6"/>
      <c r="DG1222" s="6"/>
      <c r="DH1222" s="6"/>
      <c r="DI1222" s="6"/>
      <c r="DJ1222" s="7">
        <v>0</v>
      </c>
      <c r="DK1222" s="7">
        <v>0</v>
      </c>
      <c r="DL1222" s="7">
        <v>0</v>
      </c>
      <c r="DM1222" s="7">
        <v>0</v>
      </c>
      <c r="DN1222" s="7">
        <v>0</v>
      </c>
      <c r="DO1222" s="7">
        <v>0</v>
      </c>
      <c r="DP1222" s="6"/>
      <c r="DQ1222" s="4" t="s">
        <v>125</v>
      </c>
    </row>
    <row r="1223" spans="1:121" ht="20" customHeight="1" x14ac:dyDescent="0.15">
      <c r="A1223" s="5">
        <v>2018</v>
      </c>
      <c r="B1223" s="3" t="s">
        <v>1372</v>
      </c>
      <c r="C1223" s="4" t="str">
        <f>"0000000"</f>
        <v>0000000</v>
      </c>
      <c r="D1223" s="4" t="s">
        <v>1372</v>
      </c>
      <c r="E1223" s="4" t="str">
        <f>"0000000"</f>
        <v>0000000</v>
      </c>
      <c r="F1223" s="4" t="s">
        <v>1372</v>
      </c>
      <c r="G1223" s="4" t="s">
        <v>328</v>
      </c>
      <c r="H1223" s="7">
        <v>12</v>
      </c>
      <c r="I1223" s="6"/>
      <c r="J1223" s="4" t="s">
        <v>1373</v>
      </c>
      <c r="K1223" s="8">
        <v>1076.2</v>
      </c>
      <c r="L1223" s="8">
        <v>1450</v>
      </c>
      <c r="M1223" s="8">
        <v>74.2</v>
      </c>
      <c r="N1223" s="4" t="s">
        <v>124</v>
      </c>
      <c r="O1223" s="4" t="s">
        <v>124</v>
      </c>
      <c r="P1223" s="8">
        <v>67.7</v>
      </c>
      <c r="Q1223" s="8">
        <v>45.1</v>
      </c>
      <c r="R1223" s="8">
        <v>50</v>
      </c>
      <c r="S1223" s="8">
        <v>58.1</v>
      </c>
      <c r="T1223" s="4" t="s">
        <v>124</v>
      </c>
      <c r="U1223" s="8">
        <v>38.799999999999997</v>
      </c>
      <c r="V1223" s="8">
        <v>50</v>
      </c>
      <c r="W1223" s="8">
        <v>63.1</v>
      </c>
      <c r="X1223" s="8">
        <v>42</v>
      </c>
      <c r="Y1223" s="8">
        <v>50</v>
      </c>
      <c r="Z1223" s="4" t="s">
        <v>124</v>
      </c>
      <c r="AA1223" s="8">
        <v>52.7</v>
      </c>
      <c r="AB1223" s="8">
        <v>35.1</v>
      </c>
      <c r="AC1223" s="8">
        <v>50</v>
      </c>
      <c r="AD1223" s="8">
        <v>63.8</v>
      </c>
      <c r="AE1223" s="8">
        <v>42.5</v>
      </c>
      <c r="AF1223" s="8">
        <v>50</v>
      </c>
      <c r="AG1223" s="8">
        <v>54.2</v>
      </c>
      <c r="AH1223" s="4" t="s">
        <v>124</v>
      </c>
      <c r="AI1223" s="8">
        <v>36.1</v>
      </c>
      <c r="AJ1223" s="8">
        <v>50</v>
      </c>
      <c r="AK1223" s="4" t="s">
        <v>124</v>
      </c>
      <c r="AL1223" s="4" t="s">
        <v>124</v>
      </c>
      <c r="AM1223" s="4" t="s">
        <v>124</v>
      </c>
      <c r="AN1223" s="8">
        <v>0.59899999999999998</v>
      </c>
      <c r="AO1223" s="8">
        <v>59.9</v>
      </c>
      <c r="AP1223" s="8">
        <v>100</v>
      </c>
      <c r="AQ1223" s="8">
        <v>0.625</v>
      </c>
      <c r="AR1223" s="8">
        <v>62.5</v>
      </c>
      <c r="AS1223" s="8">
        <v>100</v>
      </c>
      <c r="AT1223" s="8">
        <v>0.55100000000000005</v>
      </c>
      <c r="AU1223" s="4" t="s">
        <v>124</v>
      </c>
      <c r="AV1223" s="8">
        <v>55.1</v>
      </c>
      <c r="AW1223" s="8">
        <v>100</v>
      </c>
      <c r="AX1223" s="8">
        <v>0.55200000000000005</v>
      </c>
      <c r="AY1223" s="4" t="s">
        <v>124</v>
      </c>
      <c r="AZ1223" s="8">
        <v>55.2</v>
      </c>
      <c r="BA1223" s="8">
        <v>100</v>
      </c>
      <c r="BB1223" s="8">
        <v>0.6</v>
      </c>
      <c r="BC1223" s="8">
        <v>30</v>
      </c>
      <c r="BD1223" s="8">
        <v>50</v>
      </c>
      <c r="BE1223" s="8">
        <v>0.52100000000000002</v>
      </c>
      <c r="BF1223" s="8">
        <v>26.1</v>
      </c>
      <c r="BG1223" s="8">
        <v>50</v>
      </c>
      <c r="BH1223" s="4" t="s">
        <v>124</v>
      </c>
      <c r="BI1223" s="8">
        <v>0.98499999999999999</v>
      </c>
      <c r="BJ1223" s="8">
        <v>0.98099999999999998</v>
      </c>
      <c r="BK1223" s="4" t="s">
        <v>124</v>
      </c>
      <c r="BL1223" s="8">
        <v>0.98299999999999998</v>
      </c>
      <c r="BM1223" s="8">
        <v>0.97899999999999998</v>
      </c>
      <c r="BN1223" s="4" t="s">
        <v>124</v>
      </c>
      <c r="BO1223" s="8">
        <v>0.97899999999999998</v>
      </c>
      <c r="BP1223" s="8">
        <v>0.97099999999999997</v>
      </c>
      <c r="BQ1223" s="4" t="s">
        <v>124</v>
      </c>
      <c r="BR1223" s="8">
        <v>0.104</v>
      </c>
      <c r="BS1223" s="8">
        <v>39.200000000000003</v>
      </c>
      <c r="BT1223" s="8">
        <v>50</v>
      </c>
      <c r="BU1223" s="8">
        <v>0.161</v>
      </c>
      <c r="BV1223" s="8">
        <v>27.8</v>
      </c>
      <c r="BW1223" s="8">
        <v>50</v>
      </c>
      <c r="BX1223" s="8">
        <v>0.8</v>
      </c>
      <c r="BY1223" s="8">
        <v>50</v>
      </c>
      <c r="BZ1223" s="8">
        <v>50</v>
      </c>
      <c r="CA1223" s="8">
        <v>0.42599999999999999</v>
      </c>
      <c r="CB1223" s="8">
        <v>28.4</v>
      </c>
      <c r="CC1223" s="8">
        <v>50</v>
      </c>
      <c r="CD1223" s="8">
        <v>0.88</v>
      </c>
      <c r="CE1223" s="8">
        <v>46.8</v>
      </c>
      <c r="CF1223" s="8">
        <v>50</v>
      </c>
      <c r="CG1223" s="8">
        <v>0.88300000000000001</v>
      </c>
      <c r="CH1223" s="8">
        <v>93.9</v>
      </c>
      <c r="CI1223" s="8">
        <v>100</v>
      </c>
      <c r="CJ1223" s="4" t="s">
        <v>124</v>
      </c>
      <c r="CK1223" s="8">
        <v>0.83299999999999996</v>
      </c>
      <c r="CL1223" s="8">
        <v>88.6</v>
      </c>
      <c r="CM1223" s="8">
        <v>100</v>
      </c>
      <c r="CN1223" s="8">
        <v>0.70899999999999996</v>
      </c>
      <c r="CO1223" s="8">
        <v>94.5</v>
      </c>
      <c r="CP1223" s="8">
        <v>100</v>
      </c>
      <c r="CQ1223" s="8">
        <v>0.52900000000000003</v>
      </c>
      <c r="CR1223" s="8">
        <v>0.96399999999999997</v>
      </c>
      <c r="CS1223" s="8">
        <v>35.299999999999997</v>
      </c>
      <c r="CT1223" s="8">
        <v>50</v>
      </c>
      <c r="CU1223" s="8">
        <v>0.51900000000000002</v>
      </c>
      <c r="CV1223" s="8">
        <v>43.3</v>
      </c>
      <c r="CW1223" s="8">
        <v>50</v>
      </c>
      <c r="CX1223" s="4" t="s">
        <v>124</v>
      </c>
      <c r="CY1223" s="4" t="s">
        <v>124</v>
      </c>
      <c r="CZ1223" s="4" t="s">
        <v>124</v>
      </c>
      <c r="DA1223" s="4" t="s">
        <v>124</v>
      </c>
      <c r="DB1223" s="4" t="s">
        <v>124</v>
      </c>
      <c r="DC1223" s="4" t="s">
        <v>124</v>
      </c>
      <c r="DD1223" s="4" t="s">
        <v>124</v>
      </c>
      <c r="DE1223" s="4" t="s">
        <v>124</v>
      </c>
      <c r="DF1223" s="6"/>
      <c r="DG1223" s="6"/>
      <c r="DH1223" s="6"/>
      <c r="DI1223" s="6"/>
      <c r="DJ1223" s="4" t="s">
        <v>124</v>
      </c>
      <c r="DK1223" s="4" t="s">
        <v>124</v>
      </c>
      <c r="DL1223" s="4" t="s">
        <v>124</v>
      </c>
      <c r="DM1223" s="4" t="s">
        <v>124</v>
      </c>
      <c r="DN1223" s="4" t="s">
        <v>124</v>
      </c>
      <c r="DO1223" s="4" t="s">
        <v>124</v>
      </c>
      <c r="DP1223" s="6"/>
      <c r="DQ1223" s="4" t="s">
        <v>125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nextgenacct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Emily Fang</cp:lastModifiedBy>
  <dcterms:created xsi:type="dcterms:W3CDTF">2021-05-18T14:14:18Z</dcterms:created>
  <dcterms:modified xsi:type="dcterms:W3CDTF">2021-05-18T14:14:23Z</dcterms:modified>
</cp:coreProperties>
</file>