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ster" sheetId="1" r:id="rId1"/>
    <sheet name="plotting" sheetId="8" r:id="rId2"/>
    <sheet name="sourceParams" sheetId="3" r:id="rId3"/>
    <sheet name="plotTts" sheetId="2" r:id="rId4"/>
    <sheet name="notes" sheetId="4" r:id="rId5"/>
    <sheet name="svdStuff" sheetId="5" r:id="rId6"/>
    <sheet name="varStuff" sheetId="6" r:id="rId7"/>
    <sheet name="varV2stuff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M26" i="1" l="1"/>
  <c r="W26" i="1" s="1"/>
  <c r="M25" i="1"/>
  <c r="W25" i="1" s="1"/>
  <c r="M24" i="1"/>
  <c r="W24" i="1" s="1"/>
  <c r="M23" i="1"/>
  <c r="W23" i="1" s="1"/>
  <c r="M22" i="1"/>
  <c r="W22" i="1" s="1"/>
  <c r="M21" i="1"/>
  <c r="W21" i="1" s="1"/>
  <c r="M20" i="1"/>
  <c r="W20" i="1" s="1"/>
  <c r="M19" i="1"/>
  <c r="W19" i="1" s="1"/>
  <c r="M18" i="1"/>
  <c r="W18" i="1" s="1"/>
  <c r="M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W9" i="1" s="1"/>
  <c r="M10" i="1"/>
  <c r="W10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8" i="1"/>
  <c r="W8" i="1" s="1"/>
  <c r="M7" i="1"/>
  <c r="W7" i="1" s="1"/>
  <c r="M6" i="1"/>
  <c r="W6" i="1" s="1"/>
  <c r="M5" i="1"/>
  <c r="W5" i="1" s="1"/>
  <c r="M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<sst xmlns="http://schemas.openxmlformats.org/spreadsheetml/2006/main" count="557" uniqueCount="115">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</sst>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X15" sqref="X15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5" max="5" width="9.5703125" customWidth="1"/>
    <col min="6" max="6" width="6" customWidth="1"/>
    <col min="7" max="7" width="6" bestFit="1" customWidth="1"/>
    <col min="8" max="9" width="5.140625" bestFit="1" customWidth="1"/>
    <col min="10" max="10" width="8.7109375" bestFit="1" customWidth="1"/>
    <col min="11" max="11" width="12.140625" bestFit="1" customWidth="1"/>
    <col min="12" max="12" width="13.140625" bestFit="1" customWidth="1"/>
    <col min="13" max="13" width="12" bestFit="1" customWidth="1"/>
    <col min="14" max="14" width="4.42578125" bestFit="1" customWidth="1"/>
    <col min="15" max="15" width="5.85546875" bestFit="1" customWidth="1"/>
    <col min="16" max="16" width="4.140625" bestFit="1" customWidth="1"/>
    <col min="17" max="17" width="4" bestFit="1" customWidth="1"/>
    <col min="18" max="18" width="3.42578125" bestFit="1" customWidth="1"/>
    <col min="19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41</v>
      </c>
      <c r="F1" s="3" t="s">
        <v>28</v>
      </c>
      <c r="G1" s="3" t="s">
        <v>32</v>
      </c>
      <c r="H1" s="3" t="s">
        <v>2</v>
      </c>
      <c r="I1" s="3" t="s">
        <v>3</v>
      </c>
      <c r="J1" s="3" t="s">
        <v>92</v>
      </c>
      <c r="K1" s="3" t="s">
        <v>18</v>
      </c>
      <c r="L1" s="3" t="s">
        <v>79</v>
      </c>
      <c r="M1" s="3" t="s">
        <v>81</v>
      </c>
      <c r="N1" s="28" t="s">
        <v>25</v>
      </c>
      <c r="O1" s="28"/>
      <c r="P1" s="28"/>
      <c r="Q1" s="28"/>
      <c r="R1" s="28"/>
      <c r="S1" s="23"/>
      <c r="T1" s="27"/>
    </row>
    <row r="2" spans="1:2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86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91</v>
      </c>
      <c r="T2" s="4" t="s">
        <v>105</v>
      </c>
      <c r="U2" s="4"/>
      <c r="V2" s="4" t="s">
        <v>87</v>
      </c>
      <c r="W2" s="4" t="s">
        <v>80</v>
      </c>
      <c r="X2" s="4" t="s">
        <v>88</v>
      </c>
    </row>
    <row r="3" spans="1:2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f>LOG(svdStuff!E3*D3)</f>
        <v>0.6020599913279624</v>
      </c>
      <c r="F3" s="10" t="s">
        <v>29</v>
      </c>
      <c r="G3" s="7"/>
      <c r="H3" s="6">
        <v>0</v>
      </c>
      <c r="I3" s="6">
        <v>0</v>
      </c>
      <c r="J3" s="6" t="s">
        <v>19</v>
      </c>
      <c r="K3" s="6">
        <v>5.4</v>
      </c>
      <c r="L3" s="6">
        <v>5.4</v>
      </c>
      <c r="M3" s="21" t="s">
        <v>26</v>
      </c>
      <c r="N3" s="8" t="s">
        <v>27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</row>
    <row r="4" spans="1:24" ht="15.75" thickTop="1" x14ac:dyDescent="0.25">
      <c r="B4" t="s">
        <v>5</v>
      </c>
      <c r="C4">
        <v>5</v>
      </c>
      <c r="D4">
        <v>16</v>
      </c>
      <c r="E4" s="13">
        <f>LOG(svdStuff!E4*D4)</f>
        <v>2.3802112417116059</v>
      </c>
      <c r="F4" t="s">
        <v>30</v>
      </c>
      <c r="G4" s="2">
        <v>4.16</v>
      </c>
      <c r="H4">
        <v>2</v>
      </c>
      <c r="I4">
        <v>1</v>
      </c>
      <c r="J4">
        <v>1.5</v>
      </c>
      <c r="K4">
        <v>3.6</v>
      </c>
      <c r="L4">
        <v>3.6</v>
      </c>
      <c r="M4">
        <f>LOG10(703)</f>
        <v>2.8469553250198238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V4">
        <f>18/60</f>
        <v>0.3</v>
      </c>
      <c r="W4">
        <f>(10^M4)*9000*0.000001/60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E5" s="13">
        <f>LOG(svdStuff!E5*D5)</f>
        <v>3.4007106367732312</v>
      </c>
      <c r="F5" t="s">
        <v>30</v>
      </c>
      <c r="G5" s="2">
        <v>24.9</v>
      </c>
      <c r="H5">
        <v>2</v>
      </c>
      <c r="I5">
        <v>2</v>
      </c>
      <c r="J5">
        <v>50</v>
      </c>
      <c r="K5">
        <v>2</v>
      </c>
      <c r="L5">
        <v>2</v>
      </c>
      <c r="M5">
        <f>LOG10(4000)</f>
        <v>3.6020599913279625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V5">
        <f>53.7/60</f>
        <v>0.89500000000000002</v>
      </c>
      <c r="W5">
        <f t="shared" ref="W5:W26" si="0">(10^M5)*9000*0.000001/60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E6" s="13">
        <f>LOG(svdStuff!E6*D6)</f>
        <v>3.0681858617461617</v>
      </c>
      <c r="F6" s="9" t="s">
        <v>31</v>
      </c>
      <c r="G6" s="2">
        <v>4.8</v>
      </c>
      <c r="H6">
        <v>0</v>
      </c>
      <c r="I6">
        <v>1</v>
      </c>
      <c r="J6">
        <v>3</v>
      </c>
      <c r="K6">
        <v>2.6</v>
      </c>
      <c r="L6">
        <v>2.6</v>
      </c>
      <c r="M6">
        <f>LOG10(2907)</f>
        <v>3.4634450317704277</v>
      </c>
      <c r="N6" s="1" t="s">
        <v>27</v>
      </c>
      <c r="O6" s="1" t="s">
        <v>26</v>
      </c>
      <c r="P6" s="1" t="s">
        <v>27</v>
      </c>
      <c r="Q6" s="1" t="s">
        <v>27</v>
      </c>
      <c r="R6" s="1" t="s">
        <v>27</v>
      </c>
      <c r="S6" s="1" t="s">
        <v>27</v>
      </c>
      <c r="T6" s="1" t="s">
        <v>27</v>
      </c>
      <c r="W6">
        <f t="shared" si="0"/>
        <v>0.43605000000000016</v>
      </c>
    </row>
    <row r="7" spans="1:24" x14ac:dyDescent="0.25">
      <c r="B7" t="s">
        <v>8</v>
      </c>
      <c r="C7">
        <v>8</v>
      </c>
      <c r="D7">
        <v>132</v>
      </c>
      <c r="E7" s="13">
        <f>LOG(svdStuff!E7*D7)</f>
        <v>4.0843617585514052</v>
      </c>
      <c r="F7" t="s">
        <v>30</v>
      </c>
      <c r="G7" s="2">
        <v>2.4</v>
      </c>
      <c r="H7">
        <v>4</v>
      </c>
      <c r="I7">
        <v>3</v>
      </c>
      <c r="J7">
        <v>6</v>
      </c>
      <c r="K7">
        <v>3.6</v>
      </c>
      <c r="L7">
        <v>3.6</v>
      </c>
      <c r="M7">
        <f>LOG10(4965)</f>
        <v>3.6959192528313998</v>
      </c>
      <c r="N7" s="1" t="s">
        <v>27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V7">
        <f>72/60</f>
        <v>1.2</v>
      </c>
      <c r="W7">
        <f t="shared" si="0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E8" s="13">
        <f>LOG(svdStuff!E8*D8)</f>
        <v>7.0600546084112592</v>
      </c>
      <c r="F8" t="s">
        <v>30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v>12.05</v>
      </c>
      <c r="M8">
        <f>LOG10(275763)</f>
        <v>5.4405359950748213</v>
      </c>
      <c r="N8" s="1" t="s">
        <v>27</v>
      </c>
      <c r="O8" s="1" t="s">
        <v>26</v>
      </c>
      <c r="P8" s="1" t="s">
        <v>26</v>
      </c>
      <c r="Q8" s="1" t="s">
        <v>27</v>
      </c>
      <c r="R8" s="1" t="s">
        <v>26</v>
      </c>
      <c r="S8" s="1" t="s">
        <v>26</v>
      </c>
      <c r="T8" s="1"/>
      <c r="W8">
        <f t="shared" si="0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E9" s="13">
        <f>LOG(svdStuff!E9*D9)</f>
        <v>4.6979699765543392</v>
      </c>
      <c r="F9" t="s">
        <v>30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v>5.5E-2</v>
      </c>
      <c r="M9">
        <f>LOG10(5144)</f>
        <v>3.7113009599161657</v>
      </c>
      <c r="N9" s="1" t="s">
        <v>26</v>
      </c>
      <c r="O9" s="1" t="s">
        <v>26</v>
      </c>
      <c r="P9" s="1" t="s">
        <v>27</v>
      </c>
      <c r="Q9" s="1" t="s">
        <v>27</v>
      </c>
      <c r="R9" s="1" t="s">
        <v>26</v>
      </c>
      <c r="S9" s="1" t="s">
        <v>26</v>
      </c>
      <c r="T9" s="1" t="s">
        <v>26</v>
      </c>
      <c r="W9">
        <f t="shared" si="0"/>
        <v>0.77160000000000128</v>
      </c>
      <c r="X9">
        <f>59/60</f>
        <v>0.98333333333333328</v>
      </c>
    </row>
    <row r="10" spans="1:24" x14ac:dyDescent="0.25">
      <c r="B10" t="s">
        <v>24</v>
      </c>
      <c r="C10">
        <v>14</v>
      </c>
      <c r="D10">
        <v>390</v>
      </c>
      <c r="E10" s="13">
        <f>LOG(svdStuff!E10*D10)</f>
        <v>5.4324240774813539</v>
      </c>
      <c r="F10" t="s">
        <v>30</v>
      </c>
      <c r="G10" s="2">
        <v>13.8</v>
      </c>
      <c r="H10">
        <v>0</v>
      </c>
      <c r="I10">
        <v>0</v>
      </c>
      <c r="K10">
        <v>42.8</v>
      </c>
      <c r="L10">
        <v>42.8</v>
      </c>
      <c r="M10" s="15">
        <f>LOG10(12061)</f>
        <v>4.0813833174622856</v>
      </c>
      <c r="N10" s="1" t="s">
        <v>26</v>
      </c>
      <c r="O10" s="1" t="s">
        <v>26</v>
      </c>
      <c r="P10" s="1" t="s">
        <v>27</v>
      </c>
      <c r="Q10" s="1" t="s">
        <v>27</v>
      </c>
      <c r="R10" s="1" t="s">
        <v>26</v>
      </c>
      <c r="S10" s="1" t="s">
        <v>27</v>
      </c>
      <c r="T10" s="1" t="s">
        <v>26</v>
      </c>
      <c r="W10">
        <f t="shared" si="0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f>LOG(svdStuff!E11*D11)</f>
        <v>6.6163958946881101</v>
      </c>
      <c r="F11" s="6" t="s">
        <v>30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6">
        <v>16.3</v>
      </c>
      <c r="M11">
        <f>LOG10(32321)</f>
        <v>4.50948478922394</v>
      </c>
      <c r="N11" s="8" t="s">
        <v>27</v>
      </c>
      <c r="O11" s="8" t="s">
        <v>26</v>
      </c>
      <c r="P11" s="8" t="s">
        <v>27</v>
      </c>
      <c r="Q11" s="8" t="s">
        <v>27</v>
      </c>
      <c r="R11" s="8" t="s">
        <v>26</v>
      </c>
      <c r="S11" s="8" t="s">
        <v>26</v>
      </c>
      <c r="T11" s="8" t="s">
        <v>26</v>
      </c>
      <c r="V11">
        <f>637/60</f>
        <v>10.616666666666667</v>
      </c>
      <c r="W11">
        <f t="shared" si="0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E12" s="13">
        <f>LOG(svdStuff!E12*D12)</f>
        <v>6.0371634509935488</v>
      </c>
      <c r="F12" t="s">
        <v>30</v>
      </c>
      <c r="G12" s="2">
        <v>12.47</v>
      </c>
      <c r="H12">
        <v>2</v>
      </c>
      <c r="I12">
        <v>0</v>
      </c>
      <c r="J12">
        <v>4</v>
      </c>
      <c r="K12">
        <v>78</v>
      </c>
      <c r="L12">
        <v>19.3</v>
      </c>
      <c r="M12">
        <f>LOG10(17450)</f>
        <v>4.2417954312951984</v>
      </c>
      <c r="N12" s="1" t="s">
        <v>26</v>
      </c>
      <c r="O12" s="1" t="s">
        <v>26</v>
      </c>
      <c r="P12" s="1" t="s">
        <v>27</v>
      </c>
      <c r="Q12" s="1" t="s">
        <v>27</v>
      </c>
      <c r="R12" s="1" t="s">
        <v>26</v>
      </c>
      <c r="S12" s="1" t="s">
        <v>26</v>
      </c>
      <c r="T12" s="1" t="s">
        <v>26</v>
      </c>
      <c r="U12" t="s">
        <v>78</v>
      </c>
      <c r="V12" t="s">
        <v>90</v>
      </c>
      <c r="W12">
        <f t="shared" si="0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E13" s="13">
        <f>LOG(svdStuff!E13*D13)</f>
        <v>7.3723904998005798</v>
      </c>
      <c r="F13" t="s">
        <v>30</v>
      </c>
      <c r="G13" s="2">
        <v>34.5</v>
      </c>
      <c r="H13">
        <v>3</v>
      </c>
      <c r="I13">
        <v>1</v>
      </c>
      <c r="J13">
        <v>10</v>
      </c>
      <c r="K13">
        <v>52.2</v>
      </c>
      <c r="L13">
        <v>69.400000000000006</v>
      </c>
      <c r="M13" s="15">
        <f>LOG10(87955)</f>
        <v>4.9442605329428515</v>
      </c>
      <c r="N13" s="1" t="s">
        <v>26</v>
      </c>
      <c r="O13" s="1" t="s">
        <v>26</v>
      </c>
      <c r="P13" s="1" t="s">
        <v>26</v>
      </c>
      <c r="Q13" s="1" t="s">
        <v>27</v>
      </c>
      <c r="R13" s="1" t="s">
        <v>26</v>
      </c>
      <c r="S13" s="1" t="s">
        <v>26</v>
      </c>
      <c r="T13" s="1"/>
      <c r="V13" t="s">
        <v>89</v>
      </c>
      <c r="W13">
        <f t="shared" si="0"/>
        <v>13.193250000000001</v>
      </c>
      <c r="X13">
        <f>1996/60</f>
        <v>33.266666666666666</v>
      </c>
    </row>
    <row r="14" spans="1:2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f>LOG(svdStuff!E14*D14)</f>
        <v>6.8302672873552366</v>
      </c>
      <c r="F14" s="6" t="s">
        <v>30</v>
      </c>
      <c r="G14" s="7">
        <v>12.47</v>
      </c>
      <c r="H14" s="6">
        <v>5</v>
      </c>
      <c r="I14" s="6">
        <v>9</v>
      </c>
      <c r="J14" s="6"/>
      <c r="K14" s="6">
        <v>11.6</v>
      </c>
      <c r="L14" s="6">
        <v>11.6</v>
      </c>
      <c r="M14">
        <f>LOG10(26279)</f>
        <v>4.4196088349081029</v>
      </c>
      <c r="N14" s="8" t="s">
        <v>26</v>
      </c>
      <c r="O14" s="8" t="s">
        <v>26</v>
      </c>
      <c r="P14" s="8" t="s">
        <v>26</v>
      </c>
      <c r="Q14" s="8" t="s">
        <v>27</v>
      </c>
      <c r="R14" s="8" t="s">
        <v>26</v>
      </c>
      <c r="S14" s="8" t="s">
        <v>26</v>
      </c>
      <c r="T14" s="8"/>
      <c r="U14" t="s">
        <v>62</v>
      </c>
      <c r="W14">
        <f t="shared" si="0"/>
        <v>3.9418500000000019</v>
      </c>
      <c r="X14">
        <f>551/60</f>
        <v>9.1833333333333336</v>
      </c>
    </row>
    <row r="15" spans="1:24" ht="15.75" thickTop="1" x14ac:dyDescent="0.25">
      <c r="B15" t="s">
        <v>22</v>
      </c>
      <c r="C15">
        <v>20</v>
      </c>
      <c r="D15">
        <v>1282</v>
      </c>
      <c r="E15" s="13">
        <f>LOG(svdStuff!E15*D15)</f>
        <v>5.6290261088868352</v>
      </c>
      <c r="F15" t="s">
        <v>30</v>
      </c>
      <c r="G15" s="2">
        <v>13.2</v>
      </c>
      <c r="H15">
        <v>1</v>
      </c>
      <c r="I15">
        <v>1</v>
      </c>
      <c r="K15">
        <v>12.74</v>
      </c>
      <c r="L15">
        <v>12.74</v>
      </c>
      <c r="M15">
        <f>LOG10(20153)</f>
        <v>4.3043397048923389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/>
      <c r="W15">
        <f t="shared" si="0"/>
        <v>3.0229500000000038</v>
      </c>
      <c r="X15">
        <f>107/60</f>
        <v>1.7833333333333334</v>
      </c>
    </row>
    <row r="16" spans="1:24" x14ac:dyDescent="0.25">
      <c r="B16" t="s">
        <v>23</v>
      </c>
      <c r="C16">
        <v>21</v>
      </c>
      <c r="D16">
        <v>2596</v>
      </c>
      <c r="E16" s="13">
        <f>LOG(svdStuff!E16*D16)</f>
        <v>6.5816220228765081</v>
      </c>
      <c r="F16" t="s">
        <v>30</v>
      </c>
      <c r="G16" s="2">
        <v>12.47</v>
      </c>
      <c r="H16">
        <v>3</v>
      </c>
      <c r="I16">
        <v>1</v>
      </c>
      <c r="K16">
        <v>15.67</v>
      </c>
      <c r="L16">
        <v>15.67</v>
      </c>
      <c r="M16" s="15">
        <f>LOG10(27688)</f>
        <v>4.4422915862860712</v>
      </c>
      <c r="N16" s="1" t="s">
        <v>26</v>
      </c>
      <c r="O16" s="1" t="s">
        <v>26</v>
      </c>
      <c r="P16" s="1" t="s">
        <v>26</v>
      </c>
      <c r="Q16" s="1" t="s">
        <v>27</v>
      </c>
      <c r="R16" s="1" t="s">
        <v>26</v>
      </c>
      <c r="S16" s="1" t="s">
        <v>26</v>
      </c>
      <c r="T16" s="1"/>
      <c r="W16">
        <f t="shared" si="0"/>
        <v>4.1532000000000036</v>
      </c>
      <c r="X16">
        <f>445/60</f>
        <v>7.416666666666667</v>
      </c>
    </row>
    <row r="17" spans="1:23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f>LOG(svdStuff!E17*D17)</f>
        <v>4.6979699765543392</v>
      </c>
      <c r="F17" s="6" t="s">
        <v>30</v>
      </c>
      <c r="G17" s="7">
        <v>0.41599999999999998</v>
      </c>
      <c r="H17" s="6">
        <v>0</v>
      </c>
      <c r="I17" s="6">
        <v>0</v>
      </c>
      <c r="J17" s="6"/>
      <c r="K17" s="6">
        <f>svdStuff!E17*0.001</f>
        <v>5.5E-2</v>
      </c>
      <c r="L17" s="6">
        <v>5.5E-2</v>
      </c>
      <c r="M17">
        <f>LOG10(10388)</f>
        <v>4.0165319409572655</v>
      </c>
      <c r="N17" s="8" t="s">
        <v>26</v>
      </c>
      <c r="O17" s="8" t="s">
        <v>26</v>
      </c>
      <c r="P17" s="8" t="s">
        <v>27</v>
      </c>
      <c r="Q17" s="8" t="s">
        <v>27</v>
      </c>
      <c r="R17" s="8" t="s">
        <v>26</v>
      </c>
      <c r="S17" s="8"/>
      <c r="T17" s="8"/>
      <c r="W17">
        <f t="shared" si="0"/>
        <v>1.5582000000000018</v>
      </c>
    </row>
    <row r="18" spans="1:23" ht="15.75" thickTop="1" x14ac:dyDescent="0.25">
      <c r="B18" s="12" t="s">
        <v>39</v>
      </c>
      <c r="C18" s="20" t="s">
        <v>61</v>
      </c>
      <c r="D18">
        <v>2287</v>
      </c>
      <c r="E18" s="13">
        <f>LOG(svdStuff!E18*D18)</f>
        <v>5.602304213293043</v>
      </c>
      <c r="F18" t="s">
        <v>30</v>
      </c>
      <c r="G18" s="2">
        <v>0.41599999999999998</v>
      </c>
      <c r="H18">
        <v>0</v>
      </c>
      <c r="I18">
        <v>0</v>
      </c>
      <c r="K18" s="13">
        <f>svdStuff!E18*0.001</f>
        <v>0.17500000000000002</v>
      </c>
      <c r="L18" s="13">
        <v>0.17500000000000002</v>
      </c>
      <c r="M18">
        <f>LOG10(24732)</f>
        <v>4.3932592378268378</v>
      </c>
      <c r="N18" s="1" t="s">
        <v>26</v>
      </c>
      <c r="O18" s="1" t="s">
        <v>26</v>
      </c>
      <c r="P18" s="1" t="s">
        <v>27</v>
      </c>
      <c r="Q18" s="1" t="s">
        <v>27</v>
      </c>
      <c r="R18" s="1" t="s">
        <v>26</v>
      </c>
      <c r="S18" s="1"/>
      <c r="T18" s="1"/>
      <c r="W18">
        <f t="shared" si="0"/>
        <v>3.7098000000000053</v>
      </c>
    </row>
    <row r="19" spans="1:23" x14ac:dyDescent="0.25">
      <c r="B19" s="12" t="s">
        <v>40</v>
      </c>
      <c r="C19" s="20" t="s">
        <v>61</v>
      </c>
      <c r="D19">
        <v>1304</v>
      </c>
      <c r="E19" s="13">
        <f>LOG(svdStuff!E19*D19)</f>
        <v>5.0884054449956002</v>
      </c>
      <c r="F19" t="s">
        <v>30</v>
      </c>
      <c r="G19" s="2">
        <v>0.41599999999999998</v>
      </c>
      <c r="H19">
        <v>0</v>
      </c>
      <c r="I19">
        <v>0</v>
      </c>
      <c r="K19" s="13">
        <f>svdStuff!E19*0.001</f>
        <v>9.4E-2</v>
      </c>
      <c r="L19" s="13">
        <v>9.4E-2</v>
      </c>
      <c r="M19">
        <f>LOG10(24431)</f>
        <v>4.3879412437066989</v>
      </c>
      <c r="N19" s="1" t="s">
        <v>26</v>
      </c>
      <c r="O19" s="1" t="s">
        <v>26</v>
      </c>
      <c r="P19" s="1" t="s">
        <v>27</v>
      </c>
      <c r="Q19" s="1" t="s">
        <v>27</v>
      </c>
      <c r="R19" s="1" t="s">
        <v>26</v>
      </c>
      <c r="S19" s="1"/>
      <c r="T19" s="1"/>
      <c r="W19">
        <f t="shared" si="0"/>
        <v>3.6646500000000035</v>
      </c>
    </row>
    <row r="20" spans="1:23" x14ac:dyDescent="0.25">
      <c r="B20" s="12" t="s">
        <v>36</v>
      </c>
      <c r="C20" s="20" t="s">
        <v>61</v>
      </c>
      <c r="D20">
        <v>375</v>
      </c>
      <c r="E20" s="13">
        <f>LOG(svdStuff!E20*D20)</f>
        <v>3.9542425094393248</v>
      </c>
      <c r="F20" t="s">
        <v>30</v>
      </c>
      <c r="G20" s="2">
        <v>0.41599999999999998</v>
      </c>
      <c r="H20">
        <v>0</v>
      </c>
      <c r="I20">
        <v>0</v>
      </c>
      <c r="K20" s="13">
        <f>svdStuff!E20*0.001</f>
        <v>2.4E-2</v>
      </c>
      <c r="L20" s="13">
        <v>2.4E-2</v>
      </c>
      <c r="M20">
        <f>LOG10(6773)</f>
        <v>3.8307810756063612</v>
      </c>
      <c r="N20" s="1" t="s">
        <v>26</v>
      </c>
      <c r="O20" s="1" t="s">
        <v>26</v>
      </c>
      <c r="P20" s="1" t="s">
        <v>27</v>
      </c>
      <c r="Q20" s="1" t="s">
        <v>27</v>
      </c>
      <c r="R20" s="1" t="s">
        <v>26</v>
      </c>
      <c r="S20" s="1"/>
      <c r="T20" s="1"/>
      <c r="W20">
        <f t="shared" si="0"/>
        <v>1.0159500000000004</v>
      </c>
    </row>
    <row r="21" spans="1:23" x14ac:dyDescent="0.25">
      <c r="B21" s="12" t="s">
        <v>34</v>
      </c>
      <c r="C21" s="20" t="s">
        <v>61</v>
      </c>
      <c r="D21">
        <v>1605</v>
      </c>
      <c r="E21" s="13">
        <f>LOG(svdStuff!E21*D21)</f>
        <v>5.2661728770945029</v>
      </c>
      <c r="F21" t="s">
        <v>30</v>
      </c>
      <c r="G21" s="2">
        <v>0.41599999999999998</v>
      </c>
      <c r="H21">
        <v>0</v>
      </c>
      <c r="I21">
        <v>0</v>
      </c>
      <c r="K21" s="13">
        <f>svdStuff!E21*0.001</f>
        <v>0.115</v>
      </c>
      <c r="L21" s="13">
        <v>0.115</v>
      </c>
      <c r="M21">
        <f>LOG10(26276)</f>
        <v>4.4195592531957208</v>
      </c>
      <c r="N21" s="1" t="s">
        <v>26</v>
      </c>
      <c r="O21" s="1" t="s">
        <v>26</v>
      </c>
      <c r="P21" s="1" t="s">
        <v>27</v>
      </c>
      <c r="Q21" s="1" t="s">
        <v>27</v>
      </c>
      <c r="R21" s="1" t="s">
        <v>26</v>
      </c>
      <c r="S21" s="1"/>
      <c r="T21" s="1"/>
      <c r="W21">
        <f t="shared" si="0"/>
        <v>3.9414000000000047</v>
      </c>
    </row>
    <row r="22" spans="1:23" x14ac:dyDescent="0.25">
      <c r="B22" s="12" t="s">
        <v>35</v>
      </c>
      <c r="C22" s="20" t="s">
        <v>61</v>
      </c>
      <c r="D22">
        <v>1545</v>
      </c>
      <c r="E22" s="13">
        <f>LOG(svdStuff!E22*D22)</f>
        <v>5.4584414279787694</v>
      </c>
      <c r="F22" t="s">
        <v>30</v>
      </c>
      <c r="G22" s="2">
        <v>0.41599999999999998</v>
      </c>
      <c r="H22">
        <v>0</v>
      </c>
      <c r="I22">
        <v>0</v>
      </c>
      <c r="K22" s="13">
        <f>svdStuff!E22*0.001</f>
        <v>0.186</v>
      </c>
      <c r="L22" s="13">
        <v>0.186</v>
      </c>
      <c r="M22">
        <f>LOG10(20720)</f>
        <v>4.3163897510731957</v>
      </c>
      <c r="N22" s="1" t="s">
        <v>26</v>
      </c>
      <c r="O22" s="1" t="s">
        <v>26</v>
      </c>
      <c r="P22" s="1" t="s">
        <v>27</v>
      </c>
      <c r="Q22" s="1" t="s">
        <v>27</v>
      </c>
      <c r="R22" s="1" t="s">
        <v>26</v>
      </c>
      <c r="S22" s="1"/>
      <c r="T22" s="1"/>
      <c r="W22">
        <f t="shared" si="0"/>
        <v>3.1080000000000032</v>
      </c>
    </row>
    <row r="23" spans="1:23" x14ac:dyDescent="0.25">
      <c r="B23" s="12">
        <v>193</v>
      </c>
      <c r="C23" s="20" t="s">
        <v>61</v>
      </c>
      <c r="D23">
        <v>1391</v>
      </c>
      <c r="E23" s="13">
        <f>LOG(svdStuff!E23*D23)</f>
        <v>4.9562404866349024</v>
      </c>
      <c r="F23" t="s">
        <v>30</v>
      </c>
      <c r="G23" s="2">
        <v>0.41599999999999998</v>
      </c>
      <c r="H23">
        <v>0</v>
      </c>
      <c r="I23">
        <v>0</v>
      </c>
      <c r="K23" s="13">
        <f>svdStuff!E23*0.001</f>
        <v>6.5000000000000002E-2</v>
      </c>
      <c r="L23" s="13">
        <v>6.5000000000000002E-2</v>
      </c>
      <c r="M23">
        <f>LOG10(16241)</f>
        <v>4.2106127663528978</v>
      </c>
      <c r="N23" s="1" t="s">
        <v>26</v>
      </c>
      <c r="O23" s="1" t="s">
        <v>26</v>
      </c>
      <c r="P23" s="1" t="s">
        <v>27</v>
      </c>
      <c r="Q23" s="1" t="s">
        <v>27</v>
      </c>
      <c r="R23" s="1" t="s">
        <v>26</v>
      </c>
      <c r="S23" s="1"/>
      <c r="T23" s="1"/>
      <c r="W23">
        <f t="shared" si="0"/>
        <v>2.4361500000000018</v>
      </c>
    </row>
    <row r="24" spans="1:23" x14ac:dyDescent="0.25">
      <c r="B24" s="12">
        <v>162</v>
      </c>
      <c r="C24" s="20" t="s">
        <v>61</v>
      </c>
      <c r="D24">
        <v>1077</v>
      </c>
      <c r="E24" s="13">
        <f>LOG(svdStuff!E24*D24)</f>
        <v>4.8955385634184374</v>
      </c>
      <c r="F24" t="s">
        <v>30</v>
      </c>
      <c r="G24" s="2">
        <v>0.41599999999999998</v>
      </c>
      <c r="H24">
        <v>0</v>
      </c>
      <c r="I24">
        <v>0</v>
      </c>
      <c r="K24" s="13">
        <f>svdStuff!E24*0.001</f>
        <v>7.2999999999999995E-2</v>
      </c>
      <c r="L24" s="13">
        <v>7.2999999999999995E-2</v>
      </c>
      <c r="M24">
        <f>LOG10(10072)</f>
        <v>4.0031157170998064</v>
      </c>
      <c r="N24" s="1" t="s">
        <v>26</v>
      </c>
      <c r="O24" s="1" t="s">
        <v>26</v>
      </c>
      <c r="P24" s="1" t="s">
        <v>27</v>
      </c>
      <c r="Q24" s="1" t="s">
        <v>27</v>
      </c>
      <c r="R24" s="1" t="s">
        <v>26</v>
      </c>
      <c r="S24" s="1"/>
      <c r="T24" s="1"/>
      <c r="W24">
        <f t="shared" si="0"/>
        <v>1.5108000000000019</v>
      </c>
    </row>
    <row r="25" spans="1:23" x14ac:dyDescent="0.25">
      <c r="B25" s="12">
        <v>213</v>
      </c>
      <c r="C25" s="20" t="s">
        <v>61</v>
      </c>
      <c r="D25">
        <v>844</v>
      </c>
      <c r="E25" s="13">
        <f>LOG(svdStuff!E25*D25)</f>
        <v>4.7524172493264816</v>
      </c>
      <c r="F25" t="s">
        <v>30</v>
      </c>
      <c r="G25" s="2">
        <v>0.41599999999999998</v>
      </c>
      <c r="H25">
        <v>0</v>
      </c>
      <c r="I25">
        <v>0</v>
      </c>
      <c r="K25" s="13">
        <f>svdStuff!E25*0.001</f>
        <v>6.7000000000000004E-2</v>
      </c>
      <c r="L25" s="13">
        <v>6.7000000000000004E-2</v>
      </c>
      <c r="M25">
        <f>LOG10(7623)</f>
        <v>3.882125919770032</v>
      </c>
      <c r="N25" s="1" t="s">
        <v>26</v>
      </c>
      <c r="O25" s="1" t="s">
        <v>26</v>
      </c>
      <c r="P25" s="1" t="s">
        <v>27</v>
      </c>
      <c r="Q25" s="1" t="s">
        <v>27</v>
      </c>
      <c r="R25" s="1" t="s">
        <v>26</v>
      </c>
      <c r="S25" s="1"/>
      <c r="T25" s="1"/>
      <c r="W25">
        <f t="shared" si="0"/>
        <v>1.1434500000000012</v>
      </c>
    </row>
    <row r="26" spans="1:23" x14ac:dyDescent="0.25">
      <c r="B26" s="12" t="s">
        <v>36</v>
      </c>
      <c r="C26" s="20" t="s">
        <v>61</v>
      </c>
      <c r="D26">
        <v>375</v>
      </c>
      <c r="E26" s="13">
        <f>LOG(svdStuff!E26*D26)</f>
        <v>3.9542425094393248</v>
      </c>
      <c r="F26" t="s">
        <v>30</v>
      </c>
      <c r="G26" s="2">
        <v>0.41599999999999998</v>
      </c>
      <c r="H26">
        <v>0</v>
      </c>
      <c r="I26">
        <v>0</v>
      </c>
      <c r="K26" s="13">
        <f>svdStuff!E26*0.001</f>
        <v>2.4E-2</v>
      </c>
      <c r="L26" s="13">
        <v>2.4E-2</v>
      </c>
      <c r="M26">
        <f>LOG10(5757)</f>
        <v>3.7601962294551341</v>
      </c>
      <c r="N26" s="1" t="s">
        <v>26</v>
      </c>
      <c r="O26" s="1" t="s">
        <v>26</v>
      </c>
      <c r="P26" s="1" t="s">
        <v>27</v>
      </c>
      <c r="Q26" s="1" t="s">
        <v>27</v>
      </c>
      <c r="R26" s="1" t="s">
        <v>26</v>
      </c>
      <c r="S26" s="1"/>
      <c r="T26" s="1"/>
      <c r="W26">
        <f t="shared" si="0"/>
        <v>0.86355000000000015</v>
      </c>
    </row>
    <row r="29" spans="1:23" x14ac:dyDescent="0.25">
      <c r="A29" t="s">
        <v>37</v>
      </c>
    </row>
  </sheetData>
  <mergeCells count="1">
    <mergeCell ref="N1:R1"/>
  </mergeCells>
  <conditionalFormatting sqref="N3:N16 Q3:Q16">
    <cfRule type="cellIs" dxfId="39" priority="51" operator="equal">
      <formula>0</formula>
    </cfRule>
    <cfRule type="cellIs" dxfId="38" priority="52" operator="equal">
      <formula>"O"</formula>
    </cfRule>
    <cfRule type="cellIs" dxfId="37" priority="53" operator="equal">
      <formula>"X"</formula>
    </cfRule>
  </conditionalFormatting>
  <conditionalFormatting sqref="D3:D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F17:F26 E4:E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47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46">
      <colorScale>
        <cfvo type="min"/>
        <cfvo type="max"/>
        <color rgb="FFFCFCFF"/>
        <color rgb="FFF8696B"/>
      </colorScale>
    </cfRule>
  </conditionalFormatting>
  <conditionalFormatting sqref="K3:K16 M3:M26">
    <cfRule type="colorScale" priority="45">
      <colorScale>
        <cfvo type="min"/>
        <cfvo type="max"/>
        <color rgb="FFFCFCFF"/>
        <color rgb="FF63BE7B"/>
      </colorScale>
    </cfRule>
  </conditionalFormatting>
  <conditionalFormatting sqref="F3:F26">
    <cfRule type="cellIs" dxfId="36" priority="44" operator="equal">
      <formula>"Y"</formula>
    </cfRule>
  </conditionalFormatting>
  <conditionalFormatting sqref="Q17:Q26">
    <cfRule type="cellIs" dxfId="35" priority="41" operator="equal">
      <formula>0</formula>
    </cfRule>
    <cfRule type="cellIs" dxfId="34" priority="42" operator="equal">
      <formula>"O"</formula>
    </cfRule>
    <cfRule type="cellIs" dxfId="33" priority="43" operator="equal">
      <formula>"X"</formula>
    </cfRule>
  </conditionalFormatting>
  <conditionalFormatting sqref="N17:N26">
    <cfRule type="cellIs" dxfId="32" priority="38" operator="equal">
      <formula>0</formula>
    </cfRule>
    <cfRule type="cellIs" dxfId="31" priority="39" operator="equal">
      <formula>"O"</formula>
    </cfRule>
    <cfRule type="cellIs" dxfId="30" priority="40" operator="equal">
      <formula>"X"</formula>
    </cfRule>
  </conditionalFormatting>
  <conditionalFormatting sqref="H3:I26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:E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 M3:M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29" priority="31" operator="equal">
      <formula>0</formula>
    </cfRule>
    <cfRule type="cellIs" dxfId="28" priority="32" operator="equal">
      <formula>"O"</formula>
    </cfRule>
    <cfRule type="cellIs" dxfId="27" priority="33" operator="equal">
      <formula>"X"</formula>
    </cfRule>
  </conditionalFormatting>
  <conditionalFormatting sqref="R17:R26">
    <cfRule type="cellIs" dxfId="26" priority="28" operator="equal">
      <formula>0</formula>
    </cfRule>
    <cfRule type="cellIs" dxfId="25" priority="29" operator="equal">
      <formula>"O"</formula>
    </cfRule>
    <cfRule type="cellIs" dxfId="24" priority="30" operator="equal">
      <formula>"X"</formula>
    </cfRule>
  </conditionalFormatting>
  <conditionalFormatting sqref="P3:P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P17:P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M3:M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16">
    <cfRule type="cellIs" dxfId="17" priority="18" operator="equal">
      <formula>0</formula>
    </cfRule>
    <cfRule type="cellIs" dxfId="16" priority="19" operator="equal">
      <formula>"O"</formula>
    </cfRule>
    <cfRule type="cellIs" dxfId="15" priority="20" operator="equal">
      <formula>"X"</formula>
    </cfRule>
  </conditionalFormatting>
  <conditionalFormatting sqref="O17:O26">
    <cfRule type="cellIs" dxfId="14" priority="15" operator="equal">
      <formula>0</formula>
    </cfRule>
    <cfRule type="cellIs" dxfId="13" priority="16" operator="equal">
      <formula>"O"</formula>
    </cfRule>
    <cfRule type="cellIs" dxfId="12" priority="17" operator="equal">
      <formula>"X"</formula>
    </cfRule>
  </conditionalFormatting>
  <conditionalFormatting sqref="L3:L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S3:S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S17:S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C10" sqref="C10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J17" sqref="J1:J17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10" max="10" width="10.710937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U8" sqref="U8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W18" sqref="W1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plotting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2019-03-26T17:02:38Z</dcterms:modified>
</cp:coreProperties>
</file>