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ster" sheetId="1" r:id="rId1"/>
    <sheet name="plotting" sheetId="8" r:id="rId2"/>
    <sheet name="sourceParams" sheetId="3" r:id="rId3"/>
    <sheet name="plotTts" sheetId="2" r:id="rId4"/>
    <sheet name="notes" sheetId="4" r:id="rId5"/>
    <sheet name="svdStuff" sheetId="5" r:id="rId6"/>
    <sheet name="varStuff" sheetId="6" r:id="rId7"/>
    <sheet name="varV2stuff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" i="7" l="1"/>
  <c r="S11" i="7"/>
  <c r="S4" i="7"/>
  <c r="S16" i="7"/>
  <c r="S12" i="7"/>
  <c r="S8" i="7"/>
  <c r="V16" i="7"/>
  <c r="U16" i="7"/>
  <c r="T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V11" i="7"/>
  <c r="U11" i="7"/>
  <c r="V10" i="7"/>
  <c r="U10" i="7"/>
  <c r="T10" i="7"/>
  <c r="S10" i="7"/>
  <c r="V9" i="7"/>
  <c r="U9" i="7"/>
  <c r="T9" i="7"/>
  <c r="S9" i="7"/>
  <c r="V8" i="7"/>
  <c r="U8" i="7"/>
  <c r="T8" i="7"/>
  <c r="V7" i="7"/>
  <c r="U7" i="7"/>
  <c r="T7" i="7"/>
  <c r="S7" i="7"/>
  <c r="V5" i="7"/>
  <c r="U5" i="7"/>
  <c r="T5" i="7"/>
  <c r="S5" i="7"/>
  <c r="V4" i="7"/>
  <c r="U4" i="7"/>
  <c r="T4" i="7"/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W7" i="1" l="1"/>
  <c r="W5" i="1"/>
  <c r="W11" i="1"/>
  <c r="Y16" i="1" l="1"/>
  <c r="Y15" i="1"/>
  <c r="Y14" i="1"/>
  <c r="Y13" i="1"/>
  <c r="Y12" i="1"/>
  <c r="Y11" i="1"/>
  <c r="Y10" i="1"/>
  <c r="Y9" i="1"/>
  <c r="Y8" i="1"/>
  <c r="Y7" i="1"/>
  <c r="Y5" i="1"/>
  <c r="Y4" i="1"/>
  <c r="W4" i="1"/>
  <c r="N26" i="1" l="1"/>
  <c r="X26" i="1" s="1"/>
  <c r="N25" i="1"/>
  <c r="X25" i="1" s="1"/>
  <c r="N24" i="1"/>
  <c r="X24" i="1" s="1"/>
  <c r="N23" i="1"/>
  <c r="X23" i="1" s="1"/>
  <c r="N22" i="1"/>
  <c r="X22" i="1" s="1"/>
  <c r="N21" i="1"/>
  <c r="X21" i="1" s="1"/>
  <c r="N20" i="1"/>
  <c r="X20" i="1" s="1"/>
  <c r="N19" i="1"/>
  <c r="X19" i="1" s="1"/>
  <c r="N18" i="1"/>
  <c r="X18" i="1" s="1"/>
  <c r="N17" i="1"/>
  <c r="X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X9" i="1" s="1"/>
  <c r="N10" i="1"/>
  <c r="X10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8" i="1"/>
  <c r="X8" i="1" s="1"/>
  <c r="N7" i="1"/>
  <c r="X7" i="1" s="1"/>
  <c r="N6" i="1"/>
  <c r="X6" i="1" s="1"/>
  <c r="N5" i="1"/>
  <c r="X5" i="1" s="1"/>
  <c r="N4" i="1"/>
  <c r="X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<sst xmlns="http://schemas.openxmlformats.org/spreadsheetml/2006/main" count="558" uniqueCount="115">
  <si>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</si>
  <si>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</si>
  <si>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</si>
  <si>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</si>
  <si>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</si>
  <si>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</si>
  <si>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</si>
  <si>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</si>
  <si>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</si>
  <si>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</si>
  <si>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</si>
  <si>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</si>
  <si>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</si>
  <si>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</si>
  <si>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</si>
  <si>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</si>
  <si>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</si>
  <si>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</si>
  <si>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</si>
  <si>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</si>
  <si>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</si>
  <si>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</si>
  <si>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</si>
  <si>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</si>
  <si>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</si>
  <si>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</si>
  <si>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</si>
  <si>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</si>
  <si>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</si>
  <si>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</si>
  <si>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</si>
  <si>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</si>
  <si>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</si>
  <si>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</si>
  <si>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</si>
  <si>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</si>
  <si>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</si>
  <si>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</si>
  <si>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</si>
  <si>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</si>
  <si>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</si>
  <si>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</si>
  <si>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</si>
  <si>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</si>
  <si>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</si>
  <si>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</si>
  <si>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</si>
  <si>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</si>
  <si>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</si>
  <si>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</si>
  <si>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</si>
  <si>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</si>
  <si>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</si>
  <si>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</si>
  <si>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</si>
  <si>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</si>
  <si>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</si>
  <si>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</si>
  <si>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</si>
  <si>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</si>
  <si>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</si>
  <si>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</si>
  <si>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</si>
  <si>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</si>
  <si>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</si>
  <si>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</si>
  <si>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</si>
  <si>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</si>
  <si>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</si>
  <si>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</si>
  <si>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</si>
  <si>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</si>
  <si>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</si>
  <si>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</si>
  <si>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</si>
  <si>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</si>
  <si>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</si>
  <si>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</si>
  <si>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</si>
  <si>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</si>
  <si>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</si>
  <si>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</si>
  <si>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</si>
  <si>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</si>
  <si>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</si>
  <si>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</si>
  <si>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</si>
  <si>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</si>
  <si>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</si>
  <si>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</si>
  <si>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</si>
  <si>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</si>
  <si>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</si>
  <si>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</si>
  <si>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</si>
  <si>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</si>
  <si>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</si>
  <si>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</si>
  <si>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</si>
  <si>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</si>
  <si>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</si>
  <si>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</si>
  <si>
    <t>90%, 95%</t>
  </si>
  <si>
    <t>90%, 98%</t>
  </si>
  <si>
    <t>90%, 99%</t>
  </si>
  <si>
    <t>HC2</t>
  </si>
  <si>
    <t>Regulators</t>
  </si>
  <si>
    <t>Source</t>
  </si>
  <si>
    <t>na</t>
  </si>
  <si>
    <t>BUS ID</t>
  </si>
  <si>
    <t>SRC Reg</t>
  </si>
  <si>
    <t>Location</t>
  </si>
  <si>
    <t>SouthEast</t>
  </si>
  <si>
    <t>NorthEast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</si>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</sst>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8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D15" sqref="D15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5703125" bestFit="1" customWidth="1"/>
    <col min="5" max="5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1" width="3.42578125" customWidth="1"/>
    <col min="22" max="22" width="23" bestFit="1" customWidth="1"/>
    <col min="23" max="23" width="12.28515625" bestFit="1" customWidth="1"/>
  </cols>
  <sheetData>
    <row r="1" spans="1:25" ht="15.75" thickBot="1" x14ac:dyDescent="0.3">
      <c r="A1" s="3" t="s">
        <v>12</v>
      </c>
      <c r="B1" s="3" t="s">
        <v>11</v>
      </c>
      <c r="C1" s="3" t="s">
        <v>47</v>
      </c>
      <c r="D1" s="3" t="s">
        <v>13</v>
      </c>
      <c r="E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28" t="s">
        <v>25</v>
      </c>
      <c r="P1" s="28"/>
      <c r="Q1" s="28"/>
      <c r="R1" s="28"/>
      <c r="S1" s="28"/>
      <c r="T1" s="23"/>
      <c r="U1" s="27"/>
    </row>
    <row r="2" spans="1:2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 t="s">
        <v>105</v>
      </c>
      <c r="V2" s="4"/>
      <c r="W2" s="4" t="s">
        <v>87</v>
      </c>
      <c r="X2" s="4" t="s">
        <v>80</v>
      </c>
      <c r="Y2" s="4" t="s">
        <v>88</v>
      </c>
    </row>
    <row r="3" spans="1:25" ht="15.75" thickBot="1" x14ac:dyDescent="0.3">
      <c r="A3" s="5" t="s">
        <v>0</v>
      </c>
      <c r="B3" s="6" t="s">
        <v>4</v>
      </c>
      <c r="C3" s="21" t="s">
        <v>61</v>
      </c>
      <c r="D3" s="6">
        <v>1</v>
      </c>
      <c r="E3" s="6">
        <v>4</v>
      </c>
      <c r="F3" s="6">
        <f>LOG(svdStuff!E3*E3)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  <c r="U3" s="8" t="s">
        <v>27</v>
      </c>
    </row>
    <row r="4" spans="1:25" ht="15.75" thickTop="1" x14ac:dyDescent="0.25">
      <c r="B4" t="s">
        <v>5</v>
      </c>
      <c r="C4">
        <v>5</v>
      </c>
      <c r="D4">
        <v>15</v>
      </c>
      <c r="E4">
        <v>16</v>
      </c>
      <c r="F4" s="13">
        <f>LOG(svdStuff!E4*E4)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W4">
        <f>18/60</f>
        <v>0.3</v>
      </c>
      <c r="X4">
        <f>(10^N4)*9000*0.000001/60</f>
        <v>0.10545000000000002</v>
      </c>
      <c r="Y4">
        <f>18/60</f>
        <v>0.3</v>
      </c>
    </row>
    <row r="5" spans="1:25" x14ac:dyDescent="0.25">
      <c r="B5" t="s">
        <v>6</v>
      </c>
      <c r="C5">
        <v>6</v>
      </c>
      <c r="D5">
        <v>68</v>
      </c>
      <c r="E5">
        <v>37</v>
      </c>
      <c r="F5" s="13">
        <f>LOG(svdStuff!E5*E5)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W5">
        <f>53.7/60</f>
        <v>0.89500000000000002</v>
      </c>
      <c r="X5">
        <f t="shared" ref="X5:X26" si="0">(10^N5)*9000*0.000001/60</f>
        <v>0.60000000000000098</v>
      </c>
      <c r="Y5">
        <f>19/60</f>
        <v>0.31666666666666665</v>
      </c>
    </row>
    <row r="6" spans="1:25" x14ac:dyDescent="0.25">
      <c r="B6" t="s">
        <v>7</v>
      </c>
      <c r="C6">
        <v>7</v>
      </c>
      <c r="D6">
        <v>30</v>
      </c>
      <c r="E6">
        <v>39</v>
      </c>
      <c r="F6" s="13">
        <f>LOG(svdStuff!E6*E6)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X6">
        <f t="shared" si="0"/>
        <v>0.43605000000000016</v>
      </c>
    </row>
    <row r="7" spans="1:25" x14ac:dyDescent="0.25">
      <c r="B7" t="s">
        <v>8</v>
      </c>
      <c r="C7">
        <v>8</v>
      </c>
      <c r="D7">
        <v>92</v>
      </c>
      <c r="E7">
        <v>132</v>
      </c>
      <c r="F7" s="13">
        <f>LOG(svdStuff!E7*E7)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W7">
        <f>72/60</f>
        <v>1.2</v>
      </c>
      <c r="X7">
        <f t="shared" si="0"/>
        <v>0.74475000000000013</v>
      </c>
      <c r="Y7">
        <f>33/60</f>
        <v>0.55000000000000004</v>
      </c>
    </row>
    <row r="8" spans="1:25" x14ac:dyDescent="0.25">
      <c r="B8" t="s">
        <v>17</v>
      </c>
      <c r="C8">
        <v>9</v>
      </c>
      <c r="D8">
        <v>2355</v>
      </c>
      <c r="E8">
        <v>4876</v>
      </c>
      <c r="F8" s="13">
        <f>LOG(svdStuff!E8*E8)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U8" s="1"/>
      <c r="X8">
        <f t="shared" si="0"/>
        <v>41.364450000000069</v>
      </c>
      <c r="Y8">
        <f>958/60</f>
        <v>15.966666666666667</v>
      </c>
    </row>
    <row r="9" spans="1:25" x14ac:dyDescent="0.25">
      <c r="B9" t="s">
        <v>9</v>
      </c>
      <c r="C9">
        <v>0</v>
      </c>
      <c r="D9">
        <v>55</v>
      </c>
      <c r="E9">
        <v>907</v>
      </c>
      <c r="F9" s="13">
        <f>LOG(svdStuff!E9*E9)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U9" s="1" t="s">
        <v>26</v>
      </c>
      <c r="X9">
        <f t="shared" si="0"/>
        <v>0.77160000000000128</v>
      </c>
      <c r="Y9">
        <f>59/60</f>
        <v>0.98333333333333328</v>
      </c>
    </row>
    <row r="10" spans="1:25" x14ac:dyDescent="0.25">
      <c r="B10" t="s">
        <v>24</v>
      </c>
      <c r="C10">
        <v>14</v>
      </c>
      <c r="D10">
        <v>624</v>
      </c>
      <c r="E10">
        <v>390</v>
      </c>
      <c r="F10" s="13">
        <f>LOG(svdStuff!E10*E10)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U10" s="1" t="s">
        <v>26</v>
      </c>
      <c r="X10">
        <f t="shared" si="0"/>
        <v>1.8091500000000034</v>
      </c>
      <c r="Y10">
        <f>145/60</f>
        <v>2.4166666666666665</v>
      </c>
    </row>
    <row r="11" spans="1:25" ht="15.75" thickBot="1" x14ac:dyDescent="0.3">
      <c r="A11" s="5" t="s">
        <v>10</v>
      </c>
      <c r="B11" s="6" t="s">
        <v>14</v>
      </c>
      <c r="C11" s="6">
        <v>17</v>
      </c>
      <c r="D11" s="6">
        <v>1379</v>
      </c>
      <c r="E11" s="6">
        <v>2998</v>
      </c>
      <c r="F11" s="6">
        <f>LOG(svdStuff!E11*E11)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U11" s="8" t="s">
        <v>26</v>
      </c>
      <c r="W11">
        <f>637/60</f>
        <v>10.616666666666667</v>
      </c>
      <c r="X11">
        <f t="shared" si="0"/>
        <v>4.8481500000000013</v>
      </c>
      <c r="Y11">
        <f>371/60</f>
        <v>6.1833333333333336</v>
      </c>
    </row>
    <row r="12" spans="1:25" ht="15.75" thickTop="1" x14ac:dyDescent="0.25">
      <c r="B12" t="s">
        <v>15</v>
      </c>
      <c r="C12" s="17">
        <v>18</v>
      </c>
      <c r="D12">
        <v>868</v>
      </c>
      <c r="E12">
        <v>1255</v>
      </c>
      <c r="F12" s="13">
        <f>LOG(svdStuff!E12*E12)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t="s">
        <v>78</v>
      </c>
      <c r="W12" t="s">
        <v>90</v>
      </c>
      <c r="X12">
        <f t="shared" si="0"/>
        <v>2.6175000000000002</v>
      </c>
      <c r="Y12">
        <f>367/60</f>
        <v>6.1166666666666663</v>
      </c>
    </row>
    <row r="13" spans="1:25" x14ac:dyDescent="0.25">
      <c r="B13" t="s">
        <v>16</v>
      </c>
      <c r="C13">
        <v>22</v>
      </c>
      <c r="D13">
        <v>3891</v>
      </c>
      <c r="E13">
        <v>6058</v>
      </c>
      <c r="F13" s="13">
        <f>LOG(svdStuff!E13*E13)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U13" s="1"/>
      <c r="W13" t="s">
        <v>89</v>
      </c>
      <c r="X13">
        <f t="shared" si="0"/>
        <v>13.193250000000001</v>
      </c>
      <c r="Y13">
        <f>1996/60</f>
        <v>33.266666666666666</v>
      </c>
    </row>
    <row r="14" spans="1:25" ht="15.75" thickBot="1" x14ac:dyDescent="0.3">
      <c r="A14" s="5" t="s">
        <v>20</v>
      </c>
      <c r="B14" s="6" t="s">
        <v>21</v>
      </c>
      <c r="C14" s="6">
        <v>19</v>
      </c>
      <c r="D14" s="6">
        <v>1384</v>
      </c>
      <c r="E14" s="6">
        <v>4888</v>
      </c>
      <c r="F14" s="6">
        <f>LOG(svdStuff!E14*E14)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s="8"/>
      <c r="V14" t="s">
        <v>62</v>
      </c>
      <c r="X14">
        <f t="shared" si="0"/>
        <v>3.9418500000000019</v>
      </c>
      <c r="Y14">
        <f>551/60</f>
        <v>9.1833333333333336</v>
      </c>
    </row>
    <row r="15" spans="1:25" ht="15.75" thickTop="1" x14ac:dyDescent="0.25">
      <c r="B15" t="s">
        <v>22</v>
      </c>
      <c r="C15">
        <v>20</v>
      </c>
      <c r="D15">
        <v>332</v>
      </c>
      <c r="E15">
        <v>1282</v>
      </c>
      <c r="F15" s="13">
        <f>LOG(svdStuff!E15*E15)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/>
      <c r="X15">
        <f t="shared" si="0"/>
        <v>3.0229500000000038</v>
      </c>
      <c r="Y15">
        <f>107/60</f>
        <v>1.7833333333333334</v>
      </c>
    </row>
    <row r="16" spans="1:25" x14ac:dyDescent="0.25">
      <c r="B16" t="s">
        <v>23</v>
      </c>
      <c r="C16">
        <v>21</v>
      </c>
      <c r="D16">
        <v>1470</v>
      </c>
      <c r="E16">
        <v>2596</v>
      </c>
      <c r="F16" s="13">
        <f>LOG(svdStuff!E16*E16)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U16" s="1"/>
      <c r="X16">
        <f t="shared" si="0"/>
        <v>4.1532000000000036</v>
      </c>
      <c r="Y16">
        <f>445/60</f>
        <v>7.416666666666667</v>
      </c>
    </row>
    <row r="17" spans="1:24" ht="15.75" thickBot="1" x14ac:dyDescent="0.3">
      <c r="A17" s="5" t="s">
        <v>93</v>
      </c>
      <c r="B17" s="11" t="s">
        <v>38</v>
      </c>
      <c r="C17" s="19" t="s">
        <v>61</v>
      </c>
      <c r="D17" s="6">
        <v>55</v>
      </c>
      <c r="E17" s="6">
        <v>907</v>
      </c>
      <c r="F17" s="6">
        <f>LOG(svdStuff!E17*E17)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U17" s="8"/>
      <c r="X17">
        <f t="shared" si="0"/>
        <v>1.5582000000000018</v>
      </c>
    </row>
    <row r="18" spans="1:24" ht="15.75" thickTop="1" x14ac:dyDescent="0.25">
      <c r="B18" s="12" t="s">
        <v>39</v>
      </c>
      <c r="C18" s="20" t="s">
        <v>61</v>
      </c>
      <c r="D18">
        <v>175</v>
      </c>
      <c r="E18">
        <v>2287</v>
      </c>
      <c r="F18" s="13">
        <f>LOG(svdStuff!E18*E18)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U18" s="1"/>
      <c r="X18">
        <f t="shared" si="0"/>
        <v>3.7098000000000053</v>
      </c>
    </row>
    <row r="19" spans="1:24" x14ac:dyDescent="0.25">
      <c r="B19" s="12" t="s">
        <v>40</v>
      </c>
      <c r="C19" s="20" t="s">
        <v>61</v>
      </c>
      <c r="D19">
        <v>94</v>
      </c>
      <c r="E19">
        <v>1304</v>
      </c>
      <c r="F19" s="13">
        <f>LOG(svdStuff!E19*E19)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U19" s="1"/>
      <c r="X19">
        <f t="shared" si="0"/>
        <v>3.6646500000000035</v>
      </c>
    </row>
    <row r="20" spans="1:24" x14ac:dyDescent="0.25">
      <c r="B20" s="12" t="s">
        <v>36</v>
      </c>
      <c r="C20" s="20" t="s">
        <v>61</v>
      </c>
      <c r="D20">
        <v>24</v>
      </c>
      <c r="E20">
        <v>375</v>
      </c>
      <c r="F20" s="13">
        <f>LOG(svdStuff!E20*E20)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U20" s="1"/>
      <c r="X20">
        <f t="shared" si="0"/>
        <v>1.0159500000000004</v>
      </c>
    </row>
    <row r="21" spans="1:24" x14ac:dyDescent="0.25">
      <c r="B21" s="12" t="s">
        <v>34</v>
      </c>
      <c r="C21" s="20" t="s">
        <v>61</v>
      </c>
      <c r="D21">
        <v>115</v>
      </c>
      <c r="E21">
        <v>1605</v>
      </c>
      <c r="F21" s="13">
        <f>LOG(svdStuff!E21*E21)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U21" s="1"/>
      <c r="X21">
        <f t="shared" si="0"/>
        <v>3.9414000000000047</v>
      </c>
    </row>
    <row r="22" spans="1:24" x14ac:dyDescent="0.25">
      <c r="B22" s="12" t="s">
        <v>35</v>
      </c>
      <c r="C22" s="20" t="s">
        <v>61</v>
      </c>
      <c r="D22">
        <v>186</v>
      </c>
      <c r="E22">
        <v>1545</v>
      </c>
      <c r="F22" s="13">
        <f>LOG(svdStuff!E22*E22)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U22" s="1"/>
      <c r="X22">
        <f t="shared" si="0"/>
        <v>3.1080000000000032</v>
      </c>
    </row>
    <row r="23" spans="1:24" x14ac:dyDescent="0.25">
      <c r="B23" s="12">
        <v>193</v>
      </c>
      <c r="C23" s="20" t="s">
        <v>61</v>
      </c>
      <c r="D23">
        <v>65</v>
      </c>
      <c r="E23">
        <v>1391</v>
      </c>
      <c r="F23" s="13">
        <f>LOG(svdStuff!E23*E23)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U23" s="1"/>
      <c r="X23">
        <f t="shared" si="0"/>
        <v>2.4361500000000018</v>
      </c>
    </row>
    <row r="24" spans="1:24" x14ac:dyDescent="0.25">
      <c r="B24" s="12">
        <v>162</v>
      </c>
      <c r="C24" s="20" t="s">
        <v>61</v>
      </c>
      <c r="D24">
        <v>73</v>
      </c>
      <c r="E24">
        <v>1077</v>
      </c>
      <c r="F24" s="13">
        <f>LOG(svdStuff!E24*E24)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U24" s="1"/>
      <c r="X24">
        <f t="shared" si="0"/>
        <v>1.5108000000000019</v>
      </c>
    </row>
    <row r="25" spans="1:24" x14ac:dyDescent="0.25">
      <c r="B25" s="12">
        <v>213</v>
      </c>
      <c r="C25" s="20" t="s">
        <v>61</v>
      </c>
      <c r="D25">
        <v>67</v>
      </c>
      <c r="E25">
        <v>844</v>
      </c>
      <c r="F25" s="13">
        <f>LOG(svdStuff!E25*E25)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U25" s="1"/>
      <c r="X25">
        <f t="shared" si="0"/>
        <v>1.1434500000000012</v>
      </c>
    </row>
    <row r="26" spans="1:24" x14ac:dyDescent="0.25">
      <c r="B26" s="12" t="s">
        <v>36</v>
      </c>
      <c r="C26" s="20" t="s">
        <v>61</v>
      </c>
      <c r="D26">
        <v>24</v>
      </c>
      <c r="E26">
        <v>375</v>
      </c>
      <c r="F26" s="13">
        <f>LOG(svdStuff!E26*E26)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U26" s="1"/>
      <c r="X26">
        <f t="shared" si="0"/>
        <v>0.86355000000000015</v>
      </c>
    </row>
    <row r="29" spans="1:24" x14ac:dyDescent="0.25">
      <c r="A29" t="s">
        <v>37</v>
      </c>
    </row>
  </sheetData>
  <mergeCells count="1">
    <mergeCell ref="O1:S1"/>
  </mergeCells>
  <conditionalFormatting sqref="O3:O16 R3:R16">
    <cfRule type="cellIs" dxfId="39" priority="54" operator="equal">
      <formula>0</formula>
    </cfRule>
    <cfRule type="cellIs" dxfId="38" priority="55" operator="equal">
      <formula>"O"</formula>
    </cfRule>
    <cfRule type="cellIs" dxfId="37" priority="56" operator="equal">
      <formula>"X"</formula>
    </cfRule>
  </conditionalFormatting>
  <conditionalFormatting sqref="E3:E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:G26">
    <cfRule type="cellIs" dxfId="36" priority="47" operator="equal">
      <formula>"Y"</formula>
    </cfRule>
  </conditionalFormatting>
  <conditionalFormatting sqref="R17:R26">
    <cfRule type="cellIs" dxfId="35" priority="44" operator="equal">
      <formula>0</formula>
    </cfRule>
    <cfRule type="cellIs" dxfId="34" priority="45" operator="equal">
      <formula>"O"</formula>
    </cfRule>
    <cfRule type="cellIs" dxfId="33" priority="46" operator="equal">
      <formula>"X"</formula>
    </cfRule>
  </conditionalFormatting>
  <conditionalFormatting sqref="O17:O26">
    <cfRule type="cellIs" dxfId="32" priority="41" operator="equal">
      <formula>0</formula>
    </cfRule>
    <cfRule type="cellIs" dxfId="31" priority="42" operator="equal">
      <formula>"O"</formula>
    </cfRule>
    <cfRule type="cellIs" dxfId="30" priority="43" operator="equal">
      <formula>"X"</formula>
    </cfRule>
  </conditionalFormatting>
  <conditionalFormatting sqref="I3:J26">
    <cfRule type="colorScale" priority="40">
      <colorScale>
        <cfvo type="min"/>
        <cfvo type="max"/>
        <color rgb="FFFCFCFF"/>
        <color rgb="FFF8696B"/>
      </colorScale>
    </cfRule>
  </conditionalFormatting>
  <conditionalFormatting sqref="E3:F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9" priority="34" operator="equal">
      <formula>0</formula>
    </cfRule>
    <cfRule type="cellIs" dxfId="28" priority="35" operator="equal">
      <formula>"O"</formula>
    </cfRule>
    <cfRule type="cellIs" dxfId="27" priority="36" operator="equal">
      <formula>"X"</formula>
    </cfRule>
  </conditionalFormatting>
  <conditionalFormatting sqref="S17:S26">
    <cfRule type="cellIs" dxfId="26" priority="31" operator="equal">
      <formula>0</formula>
    </cfRule>
    <cfRule type="cellIs" dxfId="25" priority="32" operator="equal">
      <formula>"O"</formula>
    </cfRule>
    <cfRule type="cellIs" dxfId="24" priority="33" operator="equal">
      <formula>"X"</formula>
    </cfRule>
  </conditionalFormatting>
  <conditionalFormatting sqref="Q3:Q16">
    <cfRule type="cellIs" dxfId="23" priority="28" operator="equal">
      <formula>0</formula>
    </cfRule>
    <cfRule type="cellIs" dxfId="22" priority="29" operator="equal">
      <formula>"O"</formula>
    </cfRule>
    <cfRule type="cellIs" dxfId="21" priority="30" operator="equal">
      <formula>"X"</formula>
    </cfRule>
  </conditionalFormatting>
  <conditionalFormatting sqref="Q17:Q26">
    <cfRule type="cellIs" dxfId="20" priority="25" operator="equal">
      <formula>0</formula>
    </cfRule>
    <cfRule type="cellIs" dxfId="19" priority="26" operator="equal">
      <formula>"O"</formula>
    </cfRule>
    <cfRule type="cellIs" dxfId="18" priority="27" operator="equal">
      <formula>"X"</formula>
    </cfRule>
  </conditionalFormatting>
  <conditionalFormatting sqref="N3:N26">
    <cfRule type="colorScale" priority="24">
      <colorScale>
        <cfvo type="min"/>
        <cfvo type="max"/>
        <color rgb="FFFCFCFF"/>
        <color rgb="FF63BE7B"/>
      </colorScale>
    </cfRule>
  </conditionalFormatting>
  <conditionalFormatting sqref="P3:P1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P17:P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M3:M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16">
    <cfRule type="cellIs" dxfId="11" priority="13" operator="equal">
      <formula>0</formula>
    </cfRule>
    <cfRule type="cellIs" dxfId="10" priority="14" operator="equal">
      <formula>"O"</formula>
    </cfRule>
    <cfRule type="cellIs" dxfId="9" priority="15" operator="equal">
      <formula>"X"</formula>
    </cfRule>
  </conditionalFormatting>
  <conditionalFormatting sqref="T17:T26">
    <cfRule type="cellIs" dxfId="8" priority="10" operator="equal">
      <formula>0</formula>
    </cfRule>
    <cfRule type="cellIs" dxfId="7" priority="11" operator="equal">
      <formula>"O"</formula>
    </cfRule>
    <cfRule type="cellIs" dxfId="6" priority="12" operator="equal">
      <formula>"X"</formula>
    </cfRule>
  </conditionalFormatting>
  <conditionalFormatting sqref="U3:U1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U17:U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D3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C10" sqref="C10"/>
    </sheetView>
  </sheetViews>
  <sheetFormatPr defaultRowHeight="15" x14ac:dyDescent="0.25"/>
  <cols>
    <col min="4" max="4" width="10.42578125" bestFit="1" customWidth="1"/>
    <col min="7" max="7" width="10.7109375" bestFit="1" customWidth="1"/>
  </cols>
  <sheetData>
    <row r="2" spans="1:7" x14ac:dyDescent="0.25">
      <c r="C2" t="s">
        <v>107</v>
      </c>
      <c r="D2" t="s">
        <v>106</v>
      </c>
      <c r="E2" t="s">
        <v>109</v>
      </c>
      <c r="F2" t="s">
        <v>110</v>
      </c>
      <c r="G2" t="s">
        <v>111</v>
      </c>
    </row>
    <row r="3" spans="1:7" ht="15.75" thickBot="1" x14ac:dyDescent="0.3">
      <c r="A3" s="5" t="s">
        <v>0</v>
      </c>
      <c r="B3" t="s">
        <v>5</v>
      </c>
      <c r="C3" t="s">
        <v>26</v>
      </c>
      <c r="D3" t="s">
        <v>26</v>
      </c>
      <c r="G3" t="s">
        <v>113</v>
      </c>
    </row>
    <row r="4" spans="1:7" ht="15.75" thickTop="1" x14ac:dyDescent="0.25">
      <c r="B4" t="s">
        <v>6</v>
      </c>
      <c r="C4" t="s">
        <v>26</v>
      </c>
      <c r="D4" t="s">
        <v>26</v>
      </c>
      <c r="G4" t="s">
        <v>114</v>
      </c>
    </row>
    <row r="5" spans="1:7" x14ac:dyDescent="0.25">
      <c r="B5" t="s">
        <v>8</v>
      </c>
      <c r="C5" t="s">
        <v>26</v>
      </c>
      <c r="D5" t="s">
        <v>26</v>
      </c>
      <c r="F5" t="s">
        <v>30</v>
      </c>
      <c r="G5" t="s">
        <v>113</v>
      </c>
    </row>
    <row r="6" spans="1:7" x14ac:dyDescent="0.25">
      <c r="B6" t="s">
        <v>17</v>
      </c>
      <c r="C6" t="s">
        <v>26</v>
      </c>
      <c r="D6" t="s">
        <v>26</v>
      </c>
      <c r="F6" t="s">
        <v>30</v>
      </c>
      <c r="G6" t="s">
        <v>112</v>
      </c>
    </row>
    <row r="7" spans="1:7" x14ac:dyDescent="0.25">
      <c r="B7" t="s">
        <v>9</v>
      </c>
      <c r="C7" t="s">
        <v>26</v>
      </c>
      <c r="D7" t="s">
        <v>108</v>
      </c>
      <c r="E7">
        <v>1</v>
      </c>
      <c r="G7" t="s">
        <v>113</v>
      </c>
    </row>
    <row r="8" spans="1:7" ht="15.75" thickBot="1" x14ac:dyDescent="0.3">
      <c r="A8" s="5" t="s">
        <v>10</v>
      </c>
      <c r="B8" s="6" t="s">
        <v>14</v>
      </c>
      <c r="C8" t="s">
        <v>26</v>
      </c>
      <c r="D8" t="s">
        <v>108</v>
      </c>
      <c r="E8">
        <v>796</v>
      </c>
      <c r="G8" t="s">
        <v>114</v>
      </c>
    </row>
    <row r="9" spans="1:7" ht="15.75" thickTop="1" x14ac:dyDescent="0.25">
      <c r="B9" t="s">
        <v>15</v>
      </c>
      <c r="C9" t="s">
        <v>26</v>
      </c>
      <c r="D9" t="s">
        <v>108</v>
      </c>
      <c r="E9">
        <v>318412</v>
      </c>
      <c r="G9" t="s">
        <v>114</v>
      </c>
    </row>
    <row r="10" spans="1:7" x14ac:dyDescent="0.25">
      <c r="B10" t="s">
        <v>16</v>
      </c>
      <c r="G10" t="s">
        <v>114</v>
      </c>
    </row>
    <row r="11" spans="1:7" ht="15.75" thickBot="1" x14ac:dyDescent="0.3">
      <c r="A11" s="5" t="s">
        <v>20</v>
      </c>
      <c r="B11" s="6" t="s">
        <v>21</v>
      </c>
      <c r="C11" t="s">
        <v>26</v>
      </c>
      <c r="D11">
        <v>0</v>
      </c>
      <c r="E11">
        <v>5964927408</v>
      </c>
      <c r="G11" t="s">
        <v>112</v>
      </c>
    </row>
    <row r="12" spans="1:7" ht="15.75" thickTop="1" x14ac:dyDescent="0.25">
      <c r="B12" t="s">
        <v>22</v>
      </c>
      <c r="C12" t="s">
        <v>26</v>
      </c>
      <c r="D12" t="s">
        <v>26</v>
      </c>
      <c r="F12" t="s">
        <v>30</v>
      </c>
      <c r="G12" t="s">
        <v>114</v>
      </c>
    </row>
    <row r="13" spans="1:7" x14ac:dyDescent="0.25">
      <c r="B13" t="s">
        <v>23</v>
      </c>
      <c r="C13" t="s">
        <v>26</v>
      </c>
      <c r="D13" t="s">
        <v>26</v>
      </c>
      <c r="F13" t="s">
        <v>30</v>
      </c>
      <c r="G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24" sqref="G24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21" sqref="D21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  <col min="10" max="10" width="10.710937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G19" sqref="G19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L21" sqref="L21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W18" sqref="W18"/>
    </sheetView>
  </sheetViews>
  <sheetFormatPr defaultRowHeight="15" x14ac:dyDescent="0.25"/>
  <cols>
    <col min="11" max="11" width="11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22" x14ac:dyDescent="0.25">
      <c r="A2" s="16"/>
      <c r="B2" s="16"/>
      <c r="C2" s="16"/>
      <c r="D2" s="16"/>
      <c r="E2" s="16"/>
      <c r="F2" s="26"/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  <c r="O3" s="24">
        <v>0.9</v>
      </c>
      <c r="P3" s="24" t="s">
        <v>102</v>
      </c>
      <c r="Q3" s="24" t="s">
        <v>103</v>
      </c>
      <c r="R3" s="24" t="s">
        <v>104</v>
      </c>
      <c r="S3" s="24">
        <v>0.9</v>
      </c>
      <c r="T3" s="24" t="s">
        <v>102</v>
      </c>
      <c r="U3" s="24" t="s">
        <v>103</v>
      </c>
      <c r="V3" s="24" t="s">
        <v>104</v>
      </c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  <c r="O4">
        <v>24</v>
      </c>
      <c r="P4">
        <v>9</v>
      </c>
      <c r="Q4">
        <v>16</v>
      </c>
      <c r="R4">
        <v>17</v>
      </c>
      <c r="S4">
        <f>O4/$F4</f>
        <v>0.77419354838709675</v>
      </c>
      <c r="T4">
        <f t="shared" ref="T4:T5" si="1">P4/$F4</f>
        <v>0.29032258064516131</v>
      </c>
      <c r="U4">
        <f t="shared" ref="U4:U5" si="2">Q4/$F4</f>
        <v>0.5161290322580645</v>
      </c>
      <c r="V4">
        <f t="shared" ref="V4:V5" si="3">R4/$F4</f>
        <v>0.54838709677419351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4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  <c r="O5">
        <v>20</v>
      </c>
      <c r="P5">
        <v>11</v>
      </c>
      <c r="Q5">
        <v>12</v>
      </c>
      <c r="R5">
        <v>14</v>
      </c>
      <c r="S5">
        <f t="shared" ref="S5" si="5">O5/$F5</f>
        <v>0.27027027027027029</v>
      </c>
      <c r="T5">
        <f t="shared" si="1"/>
        <v>0.14864864864864866</v>
      </c>
      <c r="U5">
        <f t="shared" si="2"/>
        <v>0.16216216216216217</v>
      </c>
      <c r="V5">
        <f t="shared" si="3"/>
        <v>0.1891891891891892</v>
      </c>
    </row>
    <row r="6" spans="1:22" x14ac:dyDescent="0.25">
      <c r="B6" t="s">
        <v>7</v>
      </c>
      <c r="C6">
        <v>7</v>
      </c>
      <c r="D6">
        <v>39</v>
      </c>
      <c r="E6">
        <v>30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4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  <c r="O7">
        <v>78</v>
      </c>
      <c r="P7">
        <v>28</v>
      </c>
      <c r="Q7">
        <v>35</v>
      </c>
      <c r="R7">
        <v>40</v>
      </c>
      <c r="S7">
        <f t="shared" ref="S7:S16" si="6">O7/$F7</f>
        <v>0.65546218487394958</v>
      </c>
      <c r="T7">
        <f t="shared" ref="T7:T16" si="7">P7/$F7</f>
        <v>0.23529411764705882</v>
      </c>
      <c r="U7">
        <f t="shared" ref="U7:U16" si="8">Q7/$F7</f>
        <v>0.29411764705882354</v>
      </c>
      <c r="V7">
        <f t="shared" ref="V7:V16" si="9">R7/$F7</f>
        <v>0.33613445378151263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4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  <c r="O8">
        <v>1822</v>
      </c>
      <c r="P8">
        <v>1670</v>
      </c>
      <c r="Q8">
        <v>1789</v>
      </c>
      <c r="R8">
        <v>1799</v>
      </c>
      <c r="S8">
        <f t="shared" si="6"/>
        <v>0.30881355932203391</v>
      </c>
      <c r="T8">
        <f t="shared" si="7"/>
        <v>0.2830508474576271</v>
      </c>
      <c r="U8">
        <f t="shared" si="8"/>
        <v>0.30322033898305084</v>
      </c>
      <c r="V8">
        <f t="shared" si="9"/>
        <v>0.30491525423728816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4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  <c r="O9">
        <v>53</v>
      </c>
      <c r="P9">
        <v>9</v>
      </c>
      <c r="Q9">
        <v>18</v>
      </c>
      <c r="R9">
        <v>24</v>
      </c>
      <c r="S9">
        <f t="shared" si="6"/>
        <v>0.86885245901639341</v>
      </c>
      <c r="T9">
        <f t="shared" si="7"/>
        <v>0.14754098360655737</v>
      </c>
      <c r="U9">
        <f t="shared" si="8"/>
        <v>0.29508196721311475</v>
      </c>
      <c r="V9">
        <f t="shared" si="9"/>
        <v>0.39344262295081966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4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  <c r="O10">
        <v>516</v>
      </c>
      <c r="P10">
        <v>270</v>
      </c>
      <c r="Q10">
        <v>403</v>
      </c>
      <c r="R10">
        <v>417</v>
      </c>
      <c r="S10">
        <f t="shared" si="6"/>
        <v>0.70781893004115226</v>
      </c>
      <c r="T10">
        <f t="shared" si="7"/>
        <v>0.37037037037037035</v>
      </c>
      <c r="U10">
        <f t="shared" si="8"/>
        <v>0.55281207133058985</v>
      </c>
      <c r="V10">
        <f t="shared" si="9"/>
        <v>0.57201646090534974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4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  <c r="O11" s="17">
        <v>2128</v>
      </c>
      <c r="P11" s="17">
        <v>1515</v>
      </c>
      <c r="Q11" s="17">
        <v>1815</v>
      </c>
      <c r="R11" s="17">
        <v>1855</v>
      </c>
      <c r="S11">
        <f>O11/$F11</f>
        <v>0.82898324892871056</v>
      </c>
      <c r="T11">
        <f>P11/$F11</f>
        <v>0.59018309310479156</v>
      </c>
      <c r="U11">
        <f t="shared" si="8"/>
        <v>0.70705103233346323</v>
      </c>
      <c r="V11">
        <f t="shared" si="9"/>
        <v>0.72263342423061938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4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  <c r="O12" s="17">
        <v>192</v>
      </c>
      <c r="P12" s="17">
        <v>191</v>
      </c>
      <c r="Q12" s="17">
        <v>191</v>
      </c>
      <c r="R12" s="17">
        <v>191</v>
      </c>
      <c r="S12">
        <f t="shared" si="6"/>
        <v>9.7215189873417721E-2</v>
      </c>
      <c r="T12">
        <f t="shared" si="7"/>
        <v>9.670886075949367E-2</v>
      </c>
      <c r="U12">
        <f t="shared" si="8"/>
        <v>9.670886075949367E-2</v>
      </c>
      <c r="V12">
        <f t="shared" si="9"/>
        <v>9.670886075949367E-2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4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  <c r="O13" s="17">
        <v>1353</v>
      </c>
      <c r="P13" s="17">
        <v>1247</v>
      </c>
      <c r="Q13" s="17">
        <v>1291</v>
      </c>
      <c r="R13" s="17">
        <v>1308</v>
      </c>
      <c r="S13">
        <f t="shared" si="6"/>
        <v>0.21381163084702909</v>
      </c>
      <c r="T13">
        <f t="shared" si="7"/>
        <v>0.1970606826801517</v>
      </c>
      <c r="U13">
        <f t="shared" si="8"/>
        <v>0.20401390644753475</v>
      </c>
      <c r="V13">
        <f t="shared" si="9"/>
        <v>0.20670037926675094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4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  <c r="O14" s="17">
        <v>2037</v>
      </c>
      <c r="P14" s="17">
        <v>1150</v>
      </c>
      <c r="Q14" s="17">
        <v>1428</v>
      </c>
      <c r="R14" s="17">
        <v>1566</v>
      </c>
      <c r="S14">
        <f t="shared" si="6"/>
        <v>0.66655759162303663</v>
      </c>
      <c r="T14">
        <f t="shared" si="7"/>
        <v>0.3763089005235602</v>
      </c>
      <c r="U14">
        <f t="shared" si="8"/>
        <v>0.46727748691099474</v>
      </c>
      <c r="V14">
        <f t="shared" si="9"/>
        <v>0.51243455497382195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4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  <c r="O15" s="17">
        <v>767</v>
      </c>
      <c r="P15" s="17">
        <v>407</v>
      </c>
      <c r="Q15" s="17">
        <v>528</v>
      </c>
      <c r="R15" s="17">
        <v>570</v>
      </c>
      <c r="S15">
        <f t="shared" si="6"/>
        <v>0.73679154658981749</v>
      </c>
      <c r="T15">
        <f t="shared" si="7"/>
        <v>0.39097022094140249</v>
      </c>
      <c r="U15">
        <f t="shared" si="8"/>
        <v>0.50720461095100866</v>
      </c>
      <c r="V15">
        <f t="shared" si="9"/>
        <v>0.54755043227665701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4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  <c r="O16" s="17">
        <v>25</v>
      </c>
      <c r="P16" s="17">
        <v>17</v>
      </c>
      <c r="Q16" s="17">
        <v>23</v>
      </c>
      <c r="R16" s="17">
        <v>23</v>
      </c>
      <c r="S16">
        <f t="shared" si="6"/>
        <v>1.3736263736263736E-2</v>
      </c>
      <c r="T16">
        <f t="shared" si="7"/>
        <v>9.3406593406593404E-3</v>
      </c>
      <c r="U16">
        <f t="shared" si="8"/>
        <v>1.2637362637362638E-2</v>
      </c>
      <c r="V16">
        <f t="shared" si="9"/>
        <v>1.2637362637362638E-2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6">
      <colorScale>
        <cfvo type="min"/>
        <cfvo type="max"/>
        <color rgb="FFFCFCFF"/>
        <color rgb="FFF8696B"/>
      </colorScale>
    </cfRule>
  </conditionalFormatting>
  <conditionalFormatting sqref="P4:R5 P7:R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R5 P7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V16 T17:V17">
    <cfRule type="colorScale" priority="3">
      <colorScale>
        <cfvo type="min"/>
        <cfvo type="max"/>
        <color rgb="FFFCFCFF"/>
        <color rgb="FFF8696B"/>
      </colorScale>
    </cfRule>
  </conditionalFormatting>
  <conditionalFormatting sqref="O4:O5 O7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5 O7: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plotting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2019-03-29T14:27:07Z</dcterms:modified>
</cp:coreProperties>
</file>