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ster" sheetId="1" r:id="rId1"/>
    <sheet name="notes" sheetId="4" r:id="rId2"/>
    <sheet name="caps" sheetId="11" r:id="rId3"/>
    <sheet name="regs" sheetId="12" r:id="rId4"/>
    <sheet name="workflow" sheetId="13" r:id="rId5"/>
    <sheet name="legacy&gt;&gt;&gt;" sheetId="10" r:id="rId6"/>
    <sheet name="plotting" sheetId="8" r:id="rId7"/>
    <sheet name="sourceParams" sheetId="3" r:id="rId8"/>
    <sheet name="plotTts" sheetId="2" r:id="rId9"/>
    <sheet name="svdStuff" sheetId="5" r:id="rId10"/>
    <sheet name="varStuff" sheetId="6" r:id="rId11"/>
    <sheet name="varV2stuff" sheetId="7" r:id="rId12"/>
    <sheet name="quarterGenQuarterMax" sheetId="9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Z26" i="1"/>
  <c r="P26" i="1"/>
  <c r="N26" i="1"/>
  <c r="Z25" i="1"/>
  <c r="P25" i="1"/>
  <c r="N25" i="1"/>
  <c r="Z24" i="1"/>
  <c r="P24" i="1"/>
  <c r="N24" i="1"/>
  <c r="J5" i="11" l="1"/>
  <c r="K5" i="11"/>
  <c r="L8" i="9" l="1"/>
  <c r="M8" i="9" s="1"/>
  <c r="N8" i="9" s="1"/>
  <c r="L9" i="9"/>
  <c r="M9" i="9" s="1"/>
  <c r="N9" i="9" s="1"/>
  <c r="L10" i="9"/>
  <c r="M10" i="9" s="1"/>
  <c r="N10" i="9" s="1"/>
  <c r="L11" i="9"/>
  <c r="M11" i="9" s="1"/>
  <c r="N11" i="9" s="1"/>
  <c r="L12" i="9"/>
  <c r="M12" i="9" s="1"/>
  <c r="N12" i="9" s="1"/>
  <c r="L13" i="9"/>
  <c r="M13" i="9" s="1"/>
  <c r="N13" i="9" s="1"/>
  <c r="L7" i="9"/>
  <c r="M7" i="9" s="1"/>
  <c r="N7" i="9" s="1"/>
  <c r="K3" i="9"/>
  <c r="J3" i="9"/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Y7" i="1" l="1"/>
  <c r="Y5" i="1"/>
  <c r="Y11" i="1"/>
  <c r="AA16" i="1" l="1"/>
  <c r="AA15" i="1"/>
  <c r="AA14" i="1"/>
  <c r="AA13" i="1"/>
  <c r="AA12" i="1"/>
  <c r="AA11" i="1"/>
  <c r="AA10" i="1"/>
  <c r="AA9" i="1"/>
  <c r="AA8" i="1"/>
  <c r="AA7" i="1"/>
  <c r="AA5" i="1"/>
  <c r="AA4" i="1"/>
  <c r="Y4" i="1"/>
  <c r="P23" i="1" l="1"/>
  <c r="Z23" i="1" s="1"/>
  <c r="P22" i="1"/>
  <c r="Z22" i="1" s="1"/>
  <c r="P21" i="1"/>
  <c r="Z21" i="1" s="1"/>
  <c r="P20" i="1"/>
  <c r="Z20" i="1" s="1"/>
  <c r="P19" i="1"/>
  <c r="Z19" i="1" s="1"/>
  <c r="P18" i="1"/>
  <c r="Z18" i="1" s="1"/>
  <c r="P17" i="1"/>
  <c r="Z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P9" i="1"/>
  <c r="Z9" i="1" s="1"/>
  <c r="P10" i="1"/>
  <c r="Z10" i="1" s="1"/>
  <c r="P16" i="1"/>
  <c r="Z16" i="1" s="1"/>
  <c r="P15" i="1"/>
  <c r="Z15" i="1" s="1"/>
  <c r="P14" i="1"/>
  <c r="Z14" i="1" s="1"/>
  <c r="P13" i="1"/>
  <c r="Z13" i="1" s="1"/>
  <c r="P12" i="1"/>
  <c r="Z12" i="1" s="1"/>
  <c r="P11" i="1"/>
  <c r="Z11" i="1" s="1"/>
  <c r="P8" i="1"/>
  <c r="Z8" i="1" s="1"/>
  <c r="P7" i="1"/>
  <c r="Z7" i="1" s="1"/>
  <c r="P6" i="1"/>
  <c r="Z6" i="1" s="1"/>
  <c r="P5" i="1"/>
  <c r="Z5" i="1" s="1"/>
  <c r="P4" i="1"/>
  <c r="Z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N18" i="1" l="1"/>
  <c r="N19" i="1"/>
  <c r="N20" i="1"/>
  <c r="N21" i="1"/>
  <c r="N22" i="1"/>
  <c r="N23" i="1"/>
  <c r="N17" i="1"/>
  <c r="E26" i="1"/>
</calcChain>
</file>

<file path=xl/sharedStrings.xml><?xml version="1.0" encoding="utf-8"?>
<sst xmlns="http://schemas.openxmlformats.org/spreadsheetml/2006/main" count="939" uniqueCount="201">
  <si>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</si>
  <si>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</si>
  <si>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</si>
  <si>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</si>
  <si>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</si>
  <si>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</si>
  <si>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</si>
  <si>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</si>
  <si>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</si>
  <si>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</si>
  <si>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</si>
  <si>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</si>
  <si>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</si>
  <si>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</si>
  <si>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</si>
  <si>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</si>
  <si>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</si>
  <si>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</si>
  <si>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</si>
  <si>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</si>
  <si>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</si>
  <si>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</si>
  <si>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</si>
  <si>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</si>
  <si>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</si>
  <si>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</si>
  <si>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</si>
  <si>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</si>
  <si>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</si>
  <si>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</si>
  <si>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</si>
  <si>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</si>
  <si>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</si>
  <si>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</si>
  <si>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</si>
  <si>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</si>
  <si>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</si>
  <si>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</si>
  <si>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</si>
  <si>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</si>
  <si>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</si>
  <si>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</si>
  <si>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</si>
  <si>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</si>
  <si>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</si>
  <si>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</si>
  <si>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</si>
  <si>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</si>
  <si>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</si>
  <si>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</si>
  <si>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</si>
  <si>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</si>
  <si>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</si>
  <si>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</si>
  <si>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</si>
  <si>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</si>
  <si>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</si>
  <si>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</si>
  <si>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</si>
  <si>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</si>
  <si>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</si>
  <si>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</si>
  <si>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</si>
  <si>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</si>
  <si>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</si>
  <si>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</si>
  <si>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</si>
  <si>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</si>
  <si>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</si>
  <si>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</si>
  <si>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</si>
  <si>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</si>
  <si>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</si>
  <si>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</si>
  <si>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</si>
  <si>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</si>
  <si>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</si>
  <si>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</si>
  <si>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</si>
  <si>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</si>
  <si>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</si>
  <si>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</si>
  <si>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</si>
  <si>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</si>
  <si>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</si>
  <si>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</si>
  <si>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</si>
  <si>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</si>
  <si>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</si>
  <si>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</si>
  <si>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</si>
  <si>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</si>
  <si>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</si>
  <si>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</si>
  <si>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</si>
  <si>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</si>
  <si>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</si>
  <si>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</si>
  <si>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</si>
  <si>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</si>
  <si>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</si>
  <si>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</si>
  <si>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</si>
  <si>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</si>
  <si>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</si>
  <si>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</si>
  <si>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</si>
  <si>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</si>
  <si>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</si>
  <si>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</si>
  <si>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</si>
  <si>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</si>
  <si>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</si>
  <si>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</si>
  <si>
    <t>theta</t>
  </si>
  <si>
    <t>vp_pct(0.25)</t>
  </si>
  <si>
    <t>mean(loads(loads&lt;100kW))</t>
  </si>
  <si>
    <t>std(loads(loads&lt;100kW))</t>
  </si>
  <si>
    <t>Target</t>
  </si>
  <si>
    <t>k</t>
  </si>
  <si>
    <t>th</t>
  </si>
  <si>
    <t>mu</t>
  </si>
  <si>
    <t>sgm</t>
  </si>
  <si>
    <t>Location?</t>
  </si>
  <si>
    <t>NorthEast US</t>
  </si>
  <si>
    <t>southeastern US</t>
  </si>
  <si>
    <t>?</t>
  </si>
  <si>
    <t>Scale</t>
  </si>
  <si>
    <t>HC 5%</t>
  </si>
  <si>
    <t>HC 75%</t>
  </si>
  <si>
    <t>HC 5% new</t>
  </si>
  <si>
    <t>HC 75% new</t>
  </si>
  <si>
    <t>RULE</t>
  </si>
  <si>
    <t>if HC 75% &lt; 10% -&gt; 0.5</t>
  </si>
  <si>
    <t>if HC 5% &gt; 90% -&gt; 2</t>
  </si>
  <si>
    <t>CAP No</t>
  </si>
  <si>
    <t>Ctrl</t>
  </si>
  <si>
    <t>Q, V, None, Temp</t>
  </si>
  <si>
    <t>Type</t>
  </si>
  <si>
    <t>Q with V override x9</t>
  </si>
  <si>
    <t>I, no override x4</t>
  </si>
  <si>
    <t>V, x2</t>
  </si>
  <si>
    <t>V, x3</t>
  </si>
  <si>
    <t>118, 121, 120.5</t>
  </si>
  <si>
    <t>124, 125, 125</t>
  </si>
  <si>
    <t>Von (V)</t>
  </si>
  <si>
    <t>Voff (V)</t>
  </si>
  <si>
    <t>Base</t>
  </si>
  <si>
    <t>120, 118</t>
  </si>
  <si>
    <t>124, 121</t>
  </si>
  <si>
    <t>bandwidth</t>
  </si>
  <si>
    <t>2,2,2</t>
  </si>
  <si>
    <t>2,2,2,2,2,2</t>
  </si>
  <si>
    <t>2,2,1,1,2,2</t>
  </si>
  <si>
    <t>All 2</t>
  </si>
  <si>
    <t>Vreg</t>
  </si>
  <si>
    <t>122x3</t>
  </si>
  <si>
    <t>122x3, 124x3</t>
  </si>
  <si>
    <t>120x4, 124x3</t>
  </si>
  <si>
    <t>125-&gt;124x9, 126.5-&gt;125x3</t>
  </si>
  <si>
    <t>9x2, 3x2-&gt;1</t>
  </si>
  <si>
    <t>Chngd</t>
  </si>
  <si>
    <t>3-&gt;1</t>
  </si>
  <si>
    <t>Reg no</t>
  </si>
  <si>
    <t>124 for all</t>
  </si>
  <si>
    <t>&lt;-- there are two voltage regulator settings here for some reason?\</t>
  </si>
  <si>
    <t>&lt;--- for some reason, some are commented out in orgnl script</t>
  </si>
  <si>
    <t>Chngd bck</t>
  </si>
  <si>
    <t>R/X!=0 (?)</t>
  </si>
  <si>
    <t>linearise_manc_py</t>
  </si>
  <si>
    <t>if reg &gt;&gt;&gt;</t>
  </si>
  <si>
    <t>if ldc &gt;&gt;&gt;</t>
  </si>
  <si>
    <t>linHcCalcs</t>
  </si>
  <si>
    <t>choose_lin_point</t>
  </si>
  <si>
    <t>linSvdCalcs_run</t>
  </si>
  <si>
    <t>linearise_regs</t>
  </si>
  <si>
    <t>&lt;&lt;&lt;</t>
  </si>
  <si>
    <t>vvv</t>
  </si>
  <si>
    <t>&gt;&gt;&gt;</t>
  </si>
  <si>
    <t>fixed_voltage_testing</t>
  </si>
  <si>
    <t>ltc_voltage_testing</t>
  </si>
  <si>
    <t>Class: linSvdCalcs</t>
  </si>
  <si>
    <t>_Z</t>
  </si>
  <si>
    <t>_Z_Y</t>
  </si>
  <si>
    <t>pltHcResults</t>
  </si>
  <si>
    <t>DSS SCRIPTS</t>
  </si>
  <si>
    <t>\</t>
  </si>
  <si>
    <t>linHcCalcs Full</t>
  </si>
  <si>
    <t>linHcCalcs Sns</t>
  </si>
  <si>
    <t>x3</t>
  </si>
  <si>
    <t>6//4</t>
  </si>
  <si>
    <t>2//0</t>
  </si>
  <si>
    <t>0//0</t>
  </si>
  <si>
    <t>3//2</t>
  </si>
  <si>
    <t>BSP:</t>
  </si>
  <si>
    <t>Nodes</t>
  </si>
  <si>
    <t>Dvces</t>
  </si>
  <si>
    <t>N1</t>
  </si>
  <si>
    <t>N4</t>
  </si>
  <si>
    <t>N10</t>
  </si>
  <si>
    <t>Manc Ntwx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</si>
</sst>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A36"/>
  <sheetViews>
    <sheetView tabSelected="1" workbookViewId="0">
      <selection activeCell="E10" sqref="E10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5703125" customWidth="1"/>
    <col min="6" max="6" width="6.140625" bestFit="1" customWidth="1"/>
    <col min="7" max="7" width="6.140625" customWidth="1"/>
    <col min="8" max="8" width="9.5703125" customWidth="1"/>
    <col min="9" max="9" width="6" customWidth="1"/>
    <col min="10" max="10" width="6" bestFit="1" customWidth="1"/>
    <col min="11" max="12" width="5.140625" bestFit="1" customWidth="1"/>
    <col min="13" max="13" width="8.7109375" bestFit="1" customWidth="1"/>
    <col min="14" max="14" width="12.140625" bestFit="1" customWidth="1"/>
    <col min="15" max="15" width="13.140625" bestFit="1" customWidth="1"/>
    <col min="16" max="16" width="12" bestFit="1" customWidth="1"/>
    <col min="17" max="17" width="4.140625" customWidth="1"/>
    <col min="18" max="18" width="5.85546875" bestFit="1" customWidth="1"/>
    <col min="19" max="19" width="4.140625" bestFit="1" customWidth="1"/>
    <col min="20" max="20" width="4" bestFit="1" customWidth="1"/>
    <col min="21" max="21" width="3.42578125" bestFit="1" customWidth="1"/>
    <col min="22" max="23" width="3.42578125" customWidth="1"/>
    <col min="24" max="24" width="23" bestFit="1" customWidth="1"/>
    <col min="25" max="25" width="12.28515625" bestFit="1" customWidth="1"/>
  </cols>
  <sheetData>
    <row r="1" spans="1:27" ht="15.75" thickBot="1" x14ac:dyDescent="0.3">
      <c r="A1" s="3" t="s">
        <v>12</v>
      </c>
      <c r="B1" s="3" t="s">
        <v>11</v>
      </c>
      <c r="C1" s="3" t="s">
        <v>46</v>
      </c>
      <c r="D1" s="3" t="s">
        <v>13</v>
      </c>
      <c r="E1" s="3" t="s">
        <v>196</v>
      </c>
      <c r="F1" s="3" t="s">
        <v>1</v>
      </c>
      <c r="G1" s="3" t="s">
        <v>195</v>
      </c>
      <c r="H1" s="3" t="s">
        <v>40</v>
      </c>
      <c r="I1" s="3" t="s">
        <v>28</v>
      </c>
      <c r="J1" s="3" t="s">
        <v>32</v>
      </c>
      <c r="K1" s="3" t="s">
        <v>2</v>
      </c>
      <c r="L1" s="3" t="s">
        <v>3</v>
      </c>
      <c r="M1" s="3" t="s">
        <v>91</v>
      </c>
      <c r="N1" s="3" t="s">
        <v>18</v>
      </c>
      <c r="O1" s="3" t="s">
        <v>78</v>
      </c>
      <c r="P1" s="3" t="s">
        <v>80</v>
      </c>
      <c r="Q1" s="31" t="s">
        <v>25</v>
      </c>
      <c r="R1" s="31"/>
      <c r="S1" s="31"/>
      <c r="T1" s="31"/>
      <c r="U1" s="31"/>
      <c r="V1" s="23"/>
      <c r="W1" s="27"/>
    </row>
    <row r="2" spans="1:2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4"/>
      <c r="Q2" s="4" t="s">
        <v>85</v>
      </c>
      <c r="R2" s="4" t="s">
        <v>81</v>
      </c>
      <c r="S2" s="4" t="s">
        <v>82</v>
      </c>
      <c r="T2" s="4" t="s">
        <v>83</v>
      </c>
      <c r="U2" s="4" t="s">
        <v>84</v>
      </c>
      <c r="V2" s="4" t="s">
        <v>90</v>
      </c>
      <c r="W2" s="4" t="s">
        <v>104</v>
      </c>
      <c r="X2" s="4"/>
      <c r="Y2" s="4" t="s">
        <v>86</v>
      </c>
      <c r="Z2" s="4" t="s">
        <v>79</v>
      </c>
      <c r="AA2" s="4" t="s">
        <v>87</v>
      </c>
    </row>
    <row r="3" spans="1:27" ht="15.75" thickBot="1" x14ac:dyDescent="0.3">
      <c r="A3" s="5" t="s">
        <v>0</v>
      </c>
      <c r="B3" s="6" t="s">
        <v>4</v>
      </c>
      <c r="C3" s="21" t="s">
        <v>60</v>
      </c>
      <c r="D3" s="6">
        <v>1</v>
      </c>
      <c r="E3" s="6">
        <v>10</v>
      </c>
      <c r="F3" s="6">
        <v>4</v>
      </c>
      <c r="G3" s="6">
        <v>12</v>
      </c>
      <c r="H3" s="6">
        <f>LOG(D3*G3)</f>
        <v>1.0791812460476249</v>
      </c>
      <c r="I3" s="10" t="s">
        <v>29</v>
      </c>
      <c r="J3" s="7"/>
      <c r="K3" s="6">
        <v>0</v>
      </c>
      <c r="L3" s="6">
        <v>0</v>
      </c>
      <c r="M3" s="6" t="s">
        <v>19</v>
      </c>
      <c r="N3" s="6">
        <v>5.4</v>
      </c>
      <c r="O3" s="6">
        <v>5.4</v>
      </c>
      <c r="P3" s="21" t="s">
        <v>26</v>
      </c>
      <c r="Q3" s="8" t="s">
        <v>27</v>
      </c>
      <c r="R3" s="8" t="s">
        <v>27</v>
      </c>
      <c r="S3" s="8" t="s">
        <v>27</v>
      </c>
      <c r="T3" s="8" t="s">
        <v>27</v>
      </c>
      <c r="U3" s="8" t="s">
        <v>27</v>
      </c>
      <c r="V3" s="8" t="s">
        <v>27</v>
      </c>
      <c r="W3" s="8" t="s">
        <v>27</v>
      </c>
    </row>
    <row r="4" spans="1:27" ht="15.75" thickTop="1" x14ac:dyDescent="0.25">
      <c r="B4" t="s">
        <v>5</v>
      </c>
      <c r="C4">
        <v>5</v>
      </c>
      <c r="D4">
        <v>15</v>
      </c>
      <c r="E4">
        <v>38</v>
      </c>
      <c r="F4">
        <v>16</v>
      </c>
      <c r="G4">
        <v>41</v>
      </c>
      <c r="H4" s="6">
        <f t="shared" ref="H4:H31" si="0">LOG(D4*G4)</f>
        <v>2.7888751157754168</v>
      </c>
      <c r="I4" t="s">
        <v>30</v>
      </c>
      <c r="J4" s="2">
        <v>4.16</v>
      </c>
      <c r="K4">
        <v>2</v>
      </c>
      <c r="L4">
        <v>1</v>
      </c>
      <c r="M4">
        <v>1.5</v>
      </c>
      <c r="N4">
        <v>3.6</v>
      </c>
      <c r="O4">
        <v>3.6</v>
      </c>
      <c r="P4">
        <f>LOG10(703)</f>
        <v>2.8469553250198238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Y4">
        <f>18/60</f>
        <v>0.3</v>
      </c>
      <c r="Z4">
        <f>(10^P4)*9000*0.000001/60</f>
        <v>0.10545000000000002</v>
      </c>
      <c r="AA4">
        <f>18/60</f>
        <v>0.3</v>
      </c>
    </row>
    <row r="5" spans="1:27" x14ac:dyDescent="0.25">
      <c r="B5" t="s">
        <v>6</v>
      </c>
      <c r="C5">
        <v>6</v>
      </c>
      <c r="D5">
        <v>68</v>
      </c>
      <c r="E5">
        <v>117</v>
      </c>
      <c r="F5">
        <v>37</v>
      </c>
      <c r="G5">
        <v>95</v>
      </c>
      <c r="H5" s="6">
        <f t="shared" si="0"/>
        <v>3.8102325179950842</v>
      </c>
      <c r="I5" t="s">
        <v>30</v>
      </c>
      <c r="J5" s="2">
        <v>24.9</v>
      </c>
      <c r="K5">
        <v>2</v>
      </c>
      <c r="L5">
        <v>2</v>
      </c>
      <c r="M5">
        <v>50</v>
      </c>
      <c r="N5">
        <v>2</v>
      </c>
      <c r="O5">
        <v>2</v>
      </c>
      <c r="P5">
        <f>LOG10(4000)</f>
        <v>3.6020599913279625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26</v>
      </c>
      <c r="Y5">
        <f>53.7/60</f>
        <v>0.89500000000000002</v>
      </c>
      <c r="Z5">
        <f t="shared" ref="Z5:Z26" si="1">(10^P5)*9000*0.000001/60</f>
        <v>0.60000000000000098</v>
      </c>
      <c r="AA5">
        <f>19/60</f>
        <v>0.31666666666666665</v>
      </c>
    </row>
    <row r="6" spans="1:27" x14ac:dyDescent="0.25">
      <c r="B6" t="s">
        <v>7</v>
      </c>
      <c r="C6">
        <v>7</v>
      </c>
      <c r="D6">
        <v>30</v>
      </c>
      <c r="E6">
        <v>73</v>
      </c>
      <c r="F6">
        <v>39</v>
      </c>
      <c r="G6">
        <v>117</v>
      </c>
      <c r="H6" s="6">
        <f t="shared" si="0"/>
        <v>3.5453071164658239</v>
      </c>
      <c r="I6" s="9" t="s">
        <v>31</v>
      </c>
      <c r="J6" s="2">
        <v>4.8</v>
      </c>
      <c r="K6">
        <v>0</v>
      </c>
      <c r="L6">
        <v>1</v>
      </c>
      <c r="M6">
        <v>3</v>
      </c>
      <c r="N6">
        <v>2.6</v>
      </c>
      <c r="O6">
        <v>2.6</v>
      </c>
      <c r="P6">
        <f>LOG10(2907)</f>
        <v>3.4634450317704277</v>
      </c>
      <c r="Q6" s="1" t="s">
        <v>27</v>
      </c>
      <c r="R6" s="1" t="s">
        <v>26</v>
      </c>
      <c r="S6" s="1" t="s">
        <v>27</v>
      </c>
      <c r="T6" s="1" t="s">
        <v>27</v>
      </c>
      <c r="U6" s="1" t="s">
        <v>27</v>
      </c>
      <c r="V6" s="1" t="s">
        <v>27</v>
      </c>
      <c r="W6" s="1" t="s">
        <v>27</v>
      </c>
      <c r="Z6">
        <f t="shared" si="1"/>
        <v>0.43605000000000016</v>
      </c>
    </row>
    <row r="7" spans="1:27" x14ac:dyDescent="0.25">
      <c r="B7" t="s">
        <v>8</v>
      </c>
      <c r="C7">
        <v>8</v>
      </c>
      <c r="D7">
        <v>92</v>
      </c>
      <c r="E7">
        <v>237</v>
      </c>
      <c r="F7">
        <v>132</v>
      </c>
      <c r="G7">
        <v>278</v>
      </c>
      <c r="H7" s="6">
        <f t="shared" si="0"/>
        <v>4.4078326232636318</v>
      </c>
      <c r="I7" t="s">
        <v>30</v>
      </c>
      <c r="J7" s="2">
        <v>2.4</v>
      </c>
      <c r="K7">
        <v>4</v>
      </c>
      <c r="L7">
        <v>3</v>
      </c>
      <c r="M7">
        <v>6</v>
      </c>
      <c r="N7">
        <v>3.6</v>
      </c>
      <c r="O7">
        <v>3.6</v>
      </c>
      <c r="P7">
        <f>LOG10(4965)</f>
        <v>3.6959192528313998</v>
      </c>
      <c r="Q7" s="1" t="s">
        <v>27</v>
      </c>
      <c r="R7" s="1" t="s">
        <v>26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26</v>
      </c>
      <c r="Y7">
        <f>72/60</f>
        <v>1.2</v>
      </c>
      <c r="Z7">
        <f t="shared" si="1"/>
        <v>0.74475000000000013</v>
      </c>
      <c r="AA7">
        <f>33/60</f>
        <v>0.55000000000000004</v>
      </c>
    </row>
    <row r="8" spans="1:27" x14ac:dyDescent="0.25">
      <c r="B8" t="s">
        <v>17</v>
      </c>
      <c r="C8">
        <v>9</v>
      </c>
      <c r="D8">
        <v>2355</v>
      </c>
      <c r="E8">
        <v>7280</v>
      </c>
      <c r="F8">
        <v>4876</v>
      </c>
      <c r="G8">
        <v>8541</v>
      </c>
      <c r="H8" s="6">
        <f t="shared" si="0"/>
        <v>7.3034996333315325</v>
      </c>
      <c r="I8" t="s">
        <v>30</v>
      </c>
      <c r="J8" s="2">
        <v>7.2</v>
      </c>
      <c r="K8">
        <v>4</v>
      </c>
      <c r="L8">
        <v>12</v>
      </c>
      <c r="M8">
        <v>17</v>
      </c>
      <c r="N8">
        <v>12.05</v>
      </c>
      <c r="O8">
        <v>12.05</v>
      </c>
      <c r="P8">
        <f>LOG10(275763)</f>
        <v>5.4405359950748213</v>
      </c>
      <c r="Q8" s="1" t="s">
        <v>27</v>
      </c>
      <c r="R8" s="1" t="s">
        <v>26</v>
      </c>
      <c r="S8" s="1" t="s">
        <v>26</v>
      </c>
      <c r="T8" s="1" t="s">
        <v>27</v>
      </c>
      <c r="U8" s="1" t="s">
        <v>26</v>
      </c>
      <c r="V8" s="1" t="s">
        <v>26</v>
      </c>
      <c r="W8" s="1"/>
      <c r="Z8">
        <f t="shared" si="1"/>
        <v>41.364450000000069</v>
      </c>
      <c r="AA8">
        <f>958/60</f>
        <v>15.966666666666667</v>
      </c>
    </row>
    <row r="9" spans="1:27" x14ac:dyDescent="0.25">
      <c r="B9" t="s">
        <v>9</v>
      </c>
      <c r="C9">
        <v>0</v>
      </c>
      <c r="D9">
        <v>55</v>
      </c>
      <c r="E9">
        <v>965</v>
      </c>
      <c r="F9">
        <v>907</v>
      </c>
      <c r="G9">
        <v>907</v>
      </c>
      <c r="H9" s="6">
        <f t="shared" si="0"/>
        <v>4.6979699765543392</v>
      </c>
      <c r="I9" t="s">
        <v>30</v>
      </c>
      <c r="J9" s="2">
        <v>0.41599999999999998</v>
      </c>
      <c r="K9">
        <v>0</v>
      </c>
      <c r="L9">
        <v>0</v>
      </c>
      <c r="M9">
        <v>0.3</v>
      </c>
      <c r="N9">
        <v>5.5E-2</v>
      </c>
      <c r="O9">
        <v>5.5E-2</v>
      </c>
      <c r="P9">
        <f>LOG10(5144)</f>
        <v>3.7113009599161657</v>
      </c>
      <c r="Q9" s="1" t="s">
        <v>26</v>
      </c>
      <c r="R9" s="1" t="s">
        <v>26</v>
      </c>
      <c r="S9" s="1" t="s">
        <v>27</v>
      </c>
      <c r="T9" s="1" t="s">
        <v>27</v>
      </c>
      <c r="U9" s="1" t="s">
        <v>26</v>
      </c>
      <c r="V9" s="1" t="s">
        <v>26</v>
      </c>
      <c r="W9" s="1" t="s">
        <v>26</v>
      </c>
      <c r="Z9">
        <f t="shared" si="1"/>
        <v>0.77160000000000128</v>
      </c>
      <c r="AA9">
        <f>59/60</f>
        <v>0.98333333333333328</v>
      </c>
    </row>
    <row r="10" spans="1:27" x14ac:dyDescent="0.25">
      <c r="B10" t="s">
        <v>24</v>
      </c>
      <c r="C10">
        <v>14</v>
      </c>
      <c r="D10">
        <v>624</v>
      </c>
      <c r="E10">
        <v>1940</v>
      </c>
      <c r="F10">
        <v>390</v>
      </c>
      <c r="G10">
        <v>1170</v>
      </c>
      <c r="H10" s="6">
        <f t="shared" si="0"/>
        <v>5.8633704514285858</v>
      </c>
      <c r="I10" t="s">
        <v>30</v>
      </c>
      <c r="J10" s="2">
        <v>13.8</v>
      </c>
      <c r="K10">
        <v>0</v>
      </c>
      <c r="L10">
        <v>0</v>
      </c>
      <c r="N10">
        <v>42.8</v>
      </c>
      <c r="O10">
        <v>42.8</v>
      </c>
      <c r="P10" s="15">
        <f>LOG10(12061)</f>
        <v>4.0813833174622856</v>
      </c>
      <c r="Q10" s="1" t="s">
        <v>26</v>
      </c>
      <c r="R10" s="1" t="s">
        <v>26</v>
      </c>
      <c r="S10" s="1" t="s">
        <v>27</v>
      </c>
      <c r="T10" s="1" t="s">
        <v>27</v>
      </c>
      <c r="U10" s="1" t="s">
        <v>26</v>
      </c>
      <c r="V10" s="1" t="s">
        <v>27</v>
      </c>
      <c r="W10" s="1" t="s">
        <v>26</v>
      </c>
      <c r="Z10">
        <f t="shared" si="1"/>
        <v>1.8091500000000034</v>
      </c>
      <c r="AA10">
        <f>145/60</f>
        <v>2.4166666666666665</v>
      </c>
    </row>
    <row r="11" spans="1:27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4411</v>
      </c>
      <c r="F11" s="6">
        <v>2998</v>
      </c>
      <c r="G11" s="6">
        <v>3437</v>
      </c>
      <c r="H11" s="6">
        <f t="shared" si="0"/>
        <v>6.675743798313075</v>
      </c>
      <c r="I11" s="6" t="s">
        <v>30</v>
      </c>
      <c r="J11" s="7">
        <v>12.47</v>
      </c>
      <c r="K11" s="6">
        <v>4</v>
      </c>
      <c r="L11" s="6">
        <v>0</v>
      </c>
      <c r="M11" s="6">
        <v>5</v>
      </c>
      <c r="N11" s="6">
        <v>16.3</v>
      </c>
      <c r="O11" s="6">
        <v>16.3</v>
      </c>
      <c r="P11">
        <f>LOG10(32321)</f>
        <v>4.50948478922394</v>
      </c>
      <c r="Q11" s="8" t="s">
        <v>27</v>
      </c>
      <c r="R11" s="8" t="s">
        <v>26</v>
      </c>
      <c r="S11" s="8" t="s">
        <v>27</v>
      </c>
      <c r="T11" s="8" t="s">
        <v>27</v>
      </c>
      <c r="U11" s="8" t="s">
        <v>26</v>
      </c>
      <c r="V11" s="8" t="s">
        <v>26</v>
      </c>
      <c r="W11" s="8" t="s">
        <v>26</v>
      </c>
      <c r="Y11">
        <f>637/60</f>
        <v>10.616666666666667</v>
      </c>
      <c r="Z11">
        <f t="shared" si="1"/>
        <v>4.8481500000000013</v>
      </c>
      <c r="AA11">
        <f>371/60</f>
        <v>6.1833333333333336</v>
      </c>
    </row>
    <row r="12" spans="1:27" ht="15.75" thickTop="1" x14ac:dyDescent="0.25">
      <c r="B12" t="s">
        <v>15</v>
      </c>
      <c r="C12" s="17">
        <v>18</v>
      </c>
      <c r="D12">
        <v>868</v>
      </c>
      <c r="E12" s="17">
        <v>2232</v>
      </c>
      <c r="F12">
        <v>1255</v>
      </c>
      <c r="G12">
        <v>2452</v>
      </c>
      <c r="H12" s="6">
        <f t="shared" si="0"/>
        <v>6.3280401910228692</v>
      </c>
      <c r="I12" t="s">
        <v>30</v>
      </c>
      <c r="J12" s="2">
        <v>12.47</v>
      </c>
      <c r="K12">
        <v>2</v>
      </c>
      <c r="L12">
        <v>0</v>
      </c>
      <c r="M12">
        <v>4</v>
      </c>
      <c r="N12">
        <v>78</v>
      </c>
      <c r="O12">
        <v>19.3</v>
      </c>
      <c r="P12">
        <f>LOG10(17450)</f>
        <v>4.2417954312951984</v>
      </c>
      <c r="Q12" s="1" t="s">
        <v>26</v>
      </c>
      <c r="R12" s="1" t="s">
        <v>26</v>
      </c>
      <c r="S12" s="1" t="s">
        <v>27</v>
      </c>
      <c r="T12" s="1" t="s">
        <v>27</v>
      </c>
      <c r="U12" s="1" t="s">
        <v>26</v>
      </c>
      <c r="V12" s="1" t="s">
        <v>26</v>
      </c>
      <c r="W12" s="1" t="s">
        <v>26</v>
      </c>
      <c r="X12" t="s">
        <v>77</v>
      </c>
      <c r="Y12" t="s">
        <v>89</v>
      </c>
      <c r="Z12">
        <f t="shared" si="1"/>
        <v>2.6175000000000002</v>
      </c>
      <c r="AA12">
        <f>367/60</f>
        <v>6.1166666666666663</v>
      </c>
    </row>
    <row r="13" spans="1:27" x14ac:dyDescent="0.25">
      <c r="B13" t="s">
        <v>16</v>
      </c>
      <c r="C13">
        <v>22</v>
      </c>
      <c r="D13">
        <v>3891</v>
      </c>
      <c r="E13" s="17">
        <v>9967</v>
      </c>
      <c r="F13">
        <v>6058</v>
      </c>
      <c r="G13">
        <v>7522</v>
      </c>
      <c r="H13" s="6">
        <f t="shared" si="0"/>
        <v>7.4663945598901229</v>
      </c>
      <c r="I13" t="s">
        <v>30</v>
      </c>
      <c r="J13" s="2">
        <v>34.5</v>
      </c>
      <c r="K13">
        <v>3</v>
      </c>
      <c r="L13">
        <v>1</v>
      </c>
      <c r="M13">
        <v>10</v>
      </c>
      <c r="N13">
        <v>52.2</v>
      </c>
      <c r="O13">
        <v>69.400000000000006</v>
      </c>
      <c r="P13" s="15">
        <f>LOG10(87955)</f>
        <v>4.9442605329428515</v>
      </c>
      <c r="Q13" s="1" t="s">
        <v>26</v>
      </c>
      <c r="R13" s="1" t="s">
        <v>26</v>
      </c>
      <c r="S13" s="1" t="s">
        <v>26</v>
      </c>
      <c r="T13" s="1" t="s">
        <v>27</v>
      </c>
      <c r="U13" s="1" t="s">
        <v>26</v>
      </c>
      <c r="V13" s="1" t="s">
        <v>26</v>
      </c>
      <c r="W13" s="1"/>
      <c r="Y13" t="s">
        <v>88</v>
      </c>
      <c r="Z13">
        <f t="shared" si="1"/>
        <v>13.193250000000001</v>
      </c>
      <c r="AA13">
        <f>1996/60</f>
        <v>33.266666666666666</v>
      </c>
    </row>
    <row r="14" spans="1:27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v>3434</v>
      </c>
      <c r="G14" s="6">
        <v>4245</v>
      </c>
      <c r="H14" s="6">
        <f t="shared" si="0"/>
        <v>6.7690137847007108</v>
      </c>
      <c r="I14" s="6" t="s">
        <v>30</v>
      </c>
      <c r="J14" s="7">
        <v>12.47</v>
      </c>
      <c r="K14" s="6">
        <v>5</v>
      </c>
      <c r="L14" s="6">
        <v>9</v>
      </c>
      <c r="M14" s="6">
        <v>18</v>
      </c>
      <c r="N14" s="6">
        <v>11.6</v>
      </c>
      <c r="O14" s="6">
        <v>11.6</v>
      </c>
      <c r="P14">
        <f>LOG10(26279)</f>
        <v>4.4196088349081029</v>
      </c>
      <c r="Q14" s="8" t="s">
        <v>26</v>
      </c>
      <c r="R14" s="8" t="s">
        <v>26</v>
      </c>
      <c r="S14" s="8" t="s">
        <v>26</v>
      </c>
      <c r="T14" s="8" t="s">
        <v>27</v>
      </c>
      <c r="U14" s="8" t="s">
        <v>26</v>
      </c>
      <c r="V14" s="8" t="s">
        <v>26</v>
      </c>
      <c r="W14" s="8"/>
      <c r="X14" t="s">
        <v>61</v>
      </c>
      <c r="Z14">
        <f t="shared" si="1"/>
        <v>3.9418500000000019</v>
      </c>
      <c r="AA14">
        <f>551/60</f>
        <v>9.1833333333333336</v>
      </c>
    </row>
    <row r="15" spans="1:27" ht="15.75" thickTop="1" x14ac:dyDescent="0.25">
      <c r="B15" t="s">
        <v>22</v>
      </c>
      <c r="C15">
        <v>20</v>
      </c>
      <c r="D15">
        <v>332</v>
      </c>
      <c r="E15" s="17">
        <v>1618</v>
      </c>
      <c r="F15">
        <v>1282</v>
      </c>
      <c r="G15">
        <v>1751</v>
      </c>
      <c r="H15" s="6">
        <f t="shared" si="0"/>
        <v>5.7644242297874824</v>
      </c>
      <c r="I15" t="s">
        <v>30</v>
      </c>
      <c r="J15" s="2">
        <v>13.2</v>
      </c>
      <c r="K15">
        <v>1</v>
      </c>
      <c r="L15">
        <v>1</v>
      </c>
      <c r="M15" s="17">
        <v>7</v>
      </c>
      <c r="N15">
        <v>12.74</v>
      </c>
      <c r="O15">
        <v>12.74</v>
      </c>
      <c r="P15">
        <f>LOG10(20153)</f>
        <v>4.3043397048923389</v>
      </c>
      <c r="Q15" s="1" t="s">
        <v>26</v>
      </c>
      <c r="R15" s="1" t="s">
        <v>26</v>
      </c>
      <c r="S15" s="1" t="s">
        <v>26</v>
      </c>
      <c r="T15" s="1" t="s">
        <v>26</v>
      </c>
      <c r="U15" s="1" t="s">
        <v>26</v>
      </c>
      <c r="V15" s="1" t="s">
        <v>26</v>
      </c>
      <c r="W15" s="1"/>
      <c r="Z15">
        <f t="shared" si="1"/>
        <v>3.0229500000000038</v>
      </c>
      <c r="AA15">
        <f>107/60</f>
        <v>1.7833333333333334</v>
      </c>
    </row>
    <row r="16" spans="1:27" x14ac:dyDescent="0.25">
      <c r="B16" t="s">
        <v>23</v>
      </c>
      <c r="C16">
        <v>21</v>
      </c>
      <c r="D16">
        <v>1470</v>
      </c>
      <c r="E16" s="17">
        <v>4120</v>
      </c>
      <c r="F16">
        <v>2596</v>
      </c>
      <c r="G16">
        <v>3153</v>
      </c>
      <c r="H16" s="6">
        <f t="shared" si="0"/>
        <v>6.6660413054960808</v>
      </c>
      <c r="I16" t="s">
        <v>30</v>
      </c>
      <c r="J16" s="2">
        <v>12.47</v>
      </c>
      <c r="K16">
        <v>3</v>
      </c>
      <c r="L16">
        <v>1</v>
      </c>
      <c r="M16" s="17">
        <v>3.4</v>
      </c>
      <c r="N16">
        <v>15.67</v>
      </c>
      <c r="O16">
        <v>15.67</v>
      </c>
      <c r="P16" s="15">
        <f>LOG10(27688)</f>
        <v>4.4422915862860712</v>
      </c>
      <c r="Q16" s="1" t="s">
        <v>26</v>
      </c>
      <c r="R16" s="1" t="s">
        <v>26</v>
      </c>
      <c r="S16" s="1" t="s">
        <v>26</v>
      </c>
      <c r="T16" s="1" t="s">
        <v>27</v>
      </c>
      <c r="U16" s="1" t="s">
        <v>26</v>
      </c>
      <c r="V16" s="1" t="s">
        <v>26</v>
      </c>
      <c r="W16" s="1"/>
      <c r="Z16">
        <f t="shared" si="1"/>
        <v>4.1532000000000036</v>
      </c>
      <c r="AA16">
        <f>445/60</f>
        <v>7.416666666666667</v>
      </c>
    </row>
    <row r="17" spans="1:26" ht="15.75" thickBot="1" x14ac:dyDescent="0.3">
      <c r="A17" s="5" t="s">
        <v>92</v>
      </c>
      <c r="B17" s="11" t="s">
        <v>37</v>
      </c>
      <c r="C17" s="19" t="s">
        <v>60</v>
      </c>
      <c r="D17" s="6">
        <v>55</v>
      </c>
      <c r="E17" s="6">
        <v>963</v>
      </c>
      <c r="F17" s="6">
        <v>907</v>
      </c>
      <c r="G17" s="6">
        <v>2721</v>
      </c>
      <c r="H17" s="6">
        <f t="shared" si="0"/>
        <v>5.1750912312740018</v>
      </c>
      <c r="I17" s="6" t="s">
        <v>30</v>
      </c>
      <c r="J17" s="7">
        <v>0.41599999999999998</v>
      </c>
      <c r="K17" s="6">
        <v>0</v>
      </c>
      <c r="L17" s="6">
        <v>0</v>
      </c>
      <c r="M17" s="6">
        <v>0.3</v>
      </c>
      <c r="N17" s="6">
        <f>svdStuff!E17*0.001</f>
        <v>5.5E-2</v>
      </c>
      <c r="O17" s="6">
        <v>5.5E-2</v>
      </c>
      <c r="P17">
        <f>LOG10(10388)</f>
        <v>4.0165319409572655</v>
      </c>
      <c r="Q17" s="8" t="s">
        <v>26</v>
      </c>
      <c r="R17" s="8" t="s">
        <v>26</v>
      </c>
      <c r="S17" s="8" t="s">
        <v>27</v>
      </c>
      <c r="T17" s="8" t="s">
        <v>27</v>
      </c>
      <c r="U17" s="8" t="s">
        <v>26</v>
      </c>
      <c r="V17" s="8"/>
      <c r="W17" s="8"/>
      <c r="Z17">
        <f t="shared" si="1"/>
        <v>1.5582000000000018</v>
      </c>
    </row>
    <row r="18" spans="1:26" ht="15.75" thickTop="1" x14ac:dyDescent="0.25">
      <c r="B18" s="12" t="s">
        <v>38</v>
      </c>
      <c r="C18" s="20" t="s">
        <v>60</v>
      </c>
      <c r="D18">
        <v>175</v>
      </c>
      <c r="E18" s="17">
        <v>2462</v>
      </c>
      <c r="F18">
        <v>2287</v>
      </c>
      <c r="G18">
        <v>6861</v>
      </c>
      <c r="H18" s="6">
        <f t="shared" si="0"/>
        <v>6.0794254680127056</v>
      </c>
      <c r="I18" t="s">
        <v>30</v>
      </c>
      <c r="J18" s="2">
        <v>0.41599999999999998</v>
      </c>
      <c r="K18">
        <v>0</v>
      </c>
      <c r="L18">
        <v>0</v>
      </c>
      <c r="M18">
        <v>0.5</v>
      </c>
      <c r="N18" s="13">
        <f>svdStuff!E18*0.001</f>
        <v>0.17500000000000002</v>
      </c>
      <c r="O18" s="13">
        <v>0.17500000000000002</v>
      </c>
      <c r="P18">
        <f>LOG10(24732)</f>
        <v>4.3932592378268378</v>
      </c>
      <c r="Q18" s="1" t="s">
        <v>26</v>
      </c>
      <c r="R18" s="1" t="s">
        <v>26</v>
      </c>
      <c r="S18" s="1" t="s">
        <v>27</v>
      </c>
      <c r="T18" s="1" t="s">
        <v>27</v>
      </c>
      <c r="U18" s="1" t="s">
        <v>26</v>
      </c>
      <c r="V18" s="1"/>
      <c r="W18" s="1"/>
      <c r="Z18">
        <f t="shared" si="1"/>
        <v>3.7098000000000053</v>
      </c>
    </row>
    <row r="19" spans="1:26" x14ac:dyDescent="0.25">
      <c r="B19" s="12" t="s">
        <v>39</v>
      </c>
      <c r="C19" s="20" t="s">
        <v>60</v>
      </c>
      <c r="D19">
        <v>94</v>
      </c>
      <c r="E19" s="17">
        <v>1398</v>
      </c>
      <c r="F19">
        <v>1304</v>
      </c>
      <c r="G19">
        <v>3912</v>
      </c>
      <c r="H19" s="6">
        <f t="shared" si="0"/>
        <v>5.5655266997152628</v>
      </c>
      <c r="I19" t="s">
        <v>30</v>
      </c>
      <c r="J19" s="2">
        <v>0.41599999999999998</v>
      </c>
      <c r="K19">
        <v>0</v>
      </c>
      <c r="L19">
        <v>0</v>
      </c>
      <c r="M19">
        <v>0.45</v>
      </c>
      <c r="N19" s="13">
        <f>svdStuff!E19*0.001</f>
        <v>9.4E-2</v>
      </c>
      <c r="O19" s="13">
        <v>9.4E-2</v>
      </c>
      <c r="P19">
        <f>LOG10(24431)</f>
        <v>4.3879412437066989</v>
      </c>
      <c r="Q19" s="1" t="s">
        <v>26</v>
      </c>
      <c r="R19" s="1" t="s">
        <v>26</v>
      </c>
      <c r="S19" s="1" t="s">
        <v>27</v>
      </c>
      <c r="T19" s="1" t="s">
        <v>27</v>
      </c>
      <c r="U19" s="1" t="s">
        <v>26</v>
      </c>
      <c r="V19" s="1"/>
      <c r="W19" s="1"/>
      <c r="Z19">
        <f t="shared" si="1"/>
        <v>3.6646500000000035</v>
      </c>
    </row>
    <row r="20" spans="1:26" x14ac:dyDescent="0.25">
      <c r="B20" s="12" t="s">
        <v>36</v>
      </c>
      <c r="C20" s="20" t="s">
        <v>60</v>
      </c>
      <c r="D20">
        <v>24</v>
      </c>
      <c r="E20" s="17">
        <v>399</v>
      </c>
      <c r="F20">
        <v>375</v>
      </c>
      <c r="G20">
        <v>1125</v>
      </c>
      <c r="H20" s="6">
        <f t="shared" si="0"/>
        <v>4.4313637641589869</v>
      </c>
      <c r="I20" t="s">
        <v>30</v>
      </c>
      <c r="J20" s="2">
        <v>0.41599999999999998</v>
      </c>
      <c r="K20">
        <v>0</v>
      </c>
      <c r="L20">
        <v>0</v>
      </c>
      <c r="M20">
        <v>0.18</v>
      </c>
      <c r="N20" s="13">
        <f>svdStuff!E20*0.001</f>
        <v>2.4E-2</v>
      </c>
      <c r="O20" s="13">
        <v>2.4E-2</v>
      </c>
      <c r="P20">
        <f>LOG10(6773)</f>
        <v>3.8307810756063612</v>
      </c>
      <c r="Q20" s="1" t="s">
        <v>26</v>
      </c>
      <c r="R20" s="1" t="s">
        <v>26</v>
      </c>
      <c r="S20" s="1" t="s">
        <v>27</v>
      </c>
      <c r="T20" s="1" t="s">
        <v>27</v>
      </c>
      <c r="U20" s="1" t="s">
        <v>26</v>
      </c>
      <c r="V20" s="1"/>
      <c r="W20" s="1"/>
      <c r="Z20">
        <f t="shared" si="1"/>
        <v>1.0159500000000004</v>
      </c>
    </row>
    <row r="21" spans="1:26" x14ac:dyDescent="0.25">
      <c r="B21" s="12" t="s">
        <v>34</v>
      </c>
      <c r="C21" s="20" t="s">
        <v>60</v>
      </c>
      <c r="D21">
        <v>115</v>
      </c>
      <c r="E21" s="17">
        <v>0</v>
      </c>
      <c r="F21">
        <v>1605</v>
      </c>
      <c r="G21">
        <v>1605</v>
      </c>
      <c r="H21" s="6">
        <f t="shared" si="0"/>
        <v>5.2661728770945029</v>
      </c>
      <c r="I21" t="s">
        <v>30</v>
      </c>
      <c r="J21" s="2">
        <v>0.41599999999999998</v>
      </c>
      <c r="K21">
        <v>0</v>
      </c>
      <c r="L21">
        <v>0</v>
      </c>
      <c r="N21" s="13">
        <f>svdStuff!E21*0.001</f>
        <v>0.115</v>
      </c>
      <c r="O21" s="13">
        <v>0.115</v>
      </c>
      <c r="P21">
        <f>LOG10(26276)</f>
        <v>4.4195592531957208</v>
      </c>
      <c r="Q21" s="1" t="s">
        <v>26</v>
      </c>
      <c r="R21" s="1" t="s">
        <v>26</v>
      </c>
      <c r="S21" s="1" t="s">
        <v>27</v>
      </c>
      <c r="T21" s="1" t="s">
        <v>27</v>
      </c>
      <c r="U21" s="1" t="s">
        <v>26</v>
      </c>
      <c r="V21" s="1"/>
      <c r="W21" s="1"/>
      <c r="Z21">
        <f t="shared" si="1"/>
        <v>3.9414000000000047</v>
      </c>
    </row>
    <row r="22" spans="1:26" x14ac:dyDescent="0.25">
      <c r="B22" s="12" t="s">
        <v>35</v>
      </c>
      <c r="C22" s="20" t="s">
        <v>60</v>
      </c>
      <c r="D22">
        <v>186</v>
      </c>
      <c r="E22">
        <v>0</v>
      </c>
      <c r="F22">
        <v>1545</v>
      </c>
      <c r="G22">
        <v>1545</v>
      </c>
      <c r="H22" s="6">
        <f t="shared" si="0"/>
        <v>5.4584414279787694</v>
      </c>
      <c r="I22" t="s">
        <v>30</v>
      </c>
      <c r="J22" s="2">
        <v>0.41599999999999998</v>
      </c>
      <c r="K22">
        <v>0</v>
      </c>
      <c r="L22">
        <v>0</v>
      </c>
      <c r="N22" s="13">
        <f>svdStuff!E22*0.001</f>
        <v>0.186</v>
      </c>
      <c r="O22" s="13">
        <v>0.186</v>
      </c>
      <c r="P22">
        <f>LOG10(20720)</f>
        <v>4.3163897510731957</v>
      </c>
      <c r="Q22" s="1" t="s">
        <v>26</v>
      </c>
      <c r="R22" s="1" t="s">
        <v>26</v>
      </c>
      <c r="S22" s="1" t="s">
        <v>27</v>
      </c>
      <c r="T22" s="1" t="s">
        <v>27</v>
      </c>
      <c r="U22" s="1" t="s">
        <v>26</v>
      </c>
      <c r="V22" s="1"/>
      <c r="W22" s="1"/>
      <c r="Z22">
        <f t="shared" si="1"/>
        <v>3.1080000000000032</v>
      </c>
    </row>
    <row r="23" spans="1:26" x14ac:dyDescent="0.25">
      <c r="B23" s="12">
        <v>193</v>
      </c>
      <c r="C23" s="20" t="s">
        <v>60</v>
      </c>
      <c r="D23">
        <v>65</v>
      </c>
      <c r="E23">
        <v>0</v>
      </c>
      <c r="F23">
        <v>1391</v>
      </c>
      <c r="G23">
        <v>1391</v>
      </c>
      <c r="H23" s="6">
        <f t="shared" si="0"/>
        <v>4.9562404866349024</v>
      </c>
      <c r="I23" t="s">
        <v>30</v>
      </c>
      <c r="J23" s="2">
        <v>0.41599999999999998</v>
      </c>
      <c r="K23">
        <v>0</v>
      </c>
      <c r="L23">
        <v>0</v>
      </c>
      <c r="N23" s="13">
        <f>svdStuff!E23*0.001</f>
        <v>6.5000000000000002E-2</v>
      </c>
      <c r="O23" s="13">
        <v>6.5000000000000002E-2</v>
      </c>
      <c r="P23">
        <f>LOG10(16241)</f>
        <v>4.2106127663528978</v>
      </c>
      <c r="Q23" s="1" t="s">
        <v>26</v>
      </c>
      <c r="R23" s="1" t="s">
        <v>26</v>
      </c>
      <c r="S23" s="1" t="s">
        <v>27</v>
      </c>
      <c r="T23" s="1" t="s">
        <v>27</v>
      </c>
      <c r="U23" s="1" t="s">
        <v>26</v>
      </c>
      <c r="V23" s="1"/>
      <c r="W23" s="1"/>
      <c r="Z23">
        <f t="shared" si="1"/>
        <v>2.4361500000000018</v>
      </c>
    </row>
    <row r="24" spans="1:26" x14ac:dyDescent="0.25">
      <c r="B24" s="12">
        <v>162</v>
      </c>
      <c r="C24" s="20" t="s">
        <v>60</v>
      </c>
      <c r="D24">
        <v>73</v>
      </c>
      <c r="E24">
        <v>0</v>
      </c>
      <c r="F24">
        <v>1077</v>
      </c>
      <c r="G24">
        <v>1077</v>
      </c>
      <c r="H24" s="6">
        <f t="shared" si="0"/>
        <v>4.8955385634184374</v>
      </c>
      <c r="I24" t="s">
        <v>30</v>
      </c>
      <c r="J24" s="2">
        <v>0.41599999999999998</v>
      </c>
      <c r="K24">
        <v>0</v>
      </c>
      <c r="L24">
        <v>0</v>
      </c>
      <c r="N24" s="13">
        <f>svdStuff!E24*0.001</f>
        <v>7.2999999999999995E-2</v>
      </c>
      <c r="O24" s="13">
        <v>7.2999999999999995E-2</v>
      </c>
      <c r="P24">
        <f>LOG10(10072)</f>
        <v>4.0031157170998064</v>
      </c>
      <c r="Q24" s="1" t="s">
        <v>26</v>
      </c>
      <c r="R24" s="1" t="s">
        <v>26</v>
      </c>
      <c r="S24" s="1" t="s">
        <v>27</v>
      </c>
      <c r="T24" s="1" t="s">
        <v>27</v>
      </c>
      <c r="U24" s="1" t="s">
        <v>26</v>
      </c>
      <c r="V24" s="1"/>
      <c r="W24" s="1"/>
      <c r="Z24">
        <f t="shared" si="1"/>
        <v>1.5108000000000019</v>
      </c>
    </row>
    <row r="25" spans="1:26" x14ac:dyDescent="0.25">
      <c r="B25" s="12">
        <v>213</v>
      </c>
      <c r="C25" s="20" t="s">
        <v>60</v>
      </c>
      <c r="D25">
        <v>67</v>
      </c>
      <c r="E25">
        <v>0</v>
      </c>
      <c r="F25">
        <v>844</v>
      </c>
      <c r="G25">
        <v>844</v>
      </c>
      <c r="H25" s="6">
        <f t="shared" si="0"/>
        <v>4.7524172493264816</v>
      </c>
      <c r="I25" t="s">
        <v>30</v>
      </c>
      <c r="J25" s="2">
        <v>0.41599999999999998</v>
      </c>
      <c r="K25">
        <v>0</v>
      </c>
      <c r="L25">
        <v>0</v>
      </c>
      <c r="N25" s="13">
        <f>svdStuff!E25*0.001</f>
        <v>6.7000000000000004E-2</v>
      </c>
      <c r="O25" s="13">
        <v>6.7000000000000004E-2</v>
      </c>
      <c r="P25">
        <f>LOG10(7623)</f>
        <v>3.882125919770032</v>
      </c>
      <c r="Q25" s="1" t="s">
        <v>26</v>
      </c>
      <c r="R25" s="1" t="s">
        <v>26</v>
      </c>
      <c r="S25" s="1" t="s">
        <v>27</v>
      </c>
      <c r="T25" s="1" t="s">
        <v>27</v>
      </c>
      <c r="U25" s="1" t="s">
        <v>26</v>
      </c>
      <c r="V25" s="1"/>
      <c r="W25" s="1"/>
      <c r="Z25">
        <f t="shared" si="1"/>
        <v>1.1434500000000012</v>
      </c>
    </row>
    <row r="26" spans="1:26" x14ac:dyDescent="0.25">
      <c r="B26" s="12" t="s">
        <v>36</v>
      </c>
      <c r="C26" s="20" t="s">
        <v>60</v>
      </c>
      <c r="D26">
        <v>24</v>
      </c>
      <c r="E26">
        <f ca="1">-E26</f>
        <v>0</v>
      </c>
      <c r="F26">
        <v>375</v>
      </c>
      <c r="G26">
        <v>375</v>
      </c>
      <c r="H26" s="6">
        <f t="shared" si="0"/>
        <v>3.9542425094393248</v>
      </c>
      <c r="I26" t="s">
        <v>30</v>
      </c>
      <c r="J26" s="2">
        <v>0.41599999999999998</v>
      </c>
      <c r="K26">
        <v>0</v>
      </c>
      <c r="L26">
        <v>0</v>
      </c>
      <c r="N26" s="13">
        <f>svdStuff!E26*0.001</f>
        <v>2.4E-2</v>
      </c>
      <c r="O26" s="13">
        <v>2.4E-2</v>
      </c>
      <c r="P26">
        <f>LOG10(5757)</f>
        <v>3.7601962294551341</v>
      </c>
      <c r="Q26" s="1" t="s">
        <v>26</v>
      </c>
      <c r="R26" s="1" t="s">
        <v>26</v>
      </c>
      <c r="S26" s="1" t="s">
        <v>27</v>
      </c>
      <c r="T26" s="1" t="s">
        <v>27</v>
      </c>
      <c r="U26" s="1" t="s">
        <v>26</v>
      </c>
      <c r="V26" s="1"/>
      <c r="W26" s="1"/>
      <c r="Z26">
        <f t="shared" si="1"/>
        <v>0.86355000000000015</v>
      </c>
    </row>
    <row r="27" spans="1:26" x14ac:dyDescent="0.25">
      <c r="A27" s="28" t="s">
        <v>200</v>
      </c>
      <c r="B27" s="12" t="s">
        <v>197</v>
      </c>
      <c r="C27" s="20" t="s">
        <v>60</v>
      </c>
      <c r="D27">
        <v>200</v>
      </c>
      <c r="E27" s="17">
        <v>3349</v>
      </c>
      <c r="F27">
        <v>3148</v>
      </c>
      <c r="G27">
        <v>9444</v>
      </c>
      <c r="H27" s="6">
        <f>LOG(D27*G27)</f>
        <v>6.2761859740706702</v>
      </c>
      <c r="I27" t="s">
        <v>30</v>
      </c>
      <c r="J27" s="2">
        <v>0.41599999999999998</v>
      </c>
      <c r="K27">
        <v>0</v>
      </c>
      <c r="L27">
        <v>0</v>
      </c>
      <c r="M27">
        <v>0.7</v>
      </c>
      <c r="N27" s="13">
        <v>0.2</v>
      </c>
      <c r="O27" s="13">
        <v>0.2</v>
      </c>
    </row>
    <row r="28" spans="1:26" x14ac:dyDescent="0.25">
      <c r="B28" s="12" t="s">
        <v>198</v>
      </c>
      <c r="C28" s="20" t="s">
        <v>60</v>
      </c>
      <c r="D28">
        <v>186</v>
      </c>
      <c r="E28" s="17">
        <v>3313</v>
      </c>
      <c r="F28">
        <v>3126</v>
      </c>
      <c r="G28">
        <v>9378</v>
      </c>
      <c r="H28" s="6">
        <f>LOG(D28*G28)</f>
        <v>6.2416231726207467</v>
      </c>
      <c r="I28" t="s">
        <v>30</v>
      </c>
      <c r="J28" s="2">
        <v>0.41599999999999998</v>
      </c>
      <c r="K28">
        <v>0</v>
      </c>
      <c r="L28">
        <v>0</v>
      </c>
      <c r="M28">
        <v>0.45</v>
      </c>
      <c r="N28" s="13">
        <v>0.186</v>
      </c>
      <c r="O28" s="13">
        <v>0.186</v>
      </c>
    </row>
    <row r="29" spans="1:26" x14ac:dyDescent="0.25">
      <c r="B29" s="12" t="s">
        <v>199</v>
      </c>
      <c r="C29" s="20" t="s">
        <v>60</v>
      </c>
      <c r="D29">
        <v>64</v>
      </c>
      <c r="E29">
        <v>2803</v>
      </c>
      <c r="F29">
        <v>2378</v>
      </c>
      <c r="G29">
        <v>8214</v>
      </c>
      <c r="H29" s="6">
        <f>LOG(D29*G29)</f>
        <v>5.7207346725015205</v>
      </c>
      <c r="I29" t="s">
        <v>30</v>
      </c>
      <c r="J29" s="2">
        <v>0.41599999999999998</v>
      </c>
      <c r="K29">
        <v>0</v>
      </c>
      <c r="L29">
        <v>0</v>
      </c>
      <c r="M29">
        <v>0.4</v>
      </c>
      <c r="N29" s="13">
        <v>6.4000000000000001E-2</v>
      </c>
      <c r="O29" s="13">
        <v>6.4000000000000001E-2</v>
      </c>
    </row>
    <row r="32" spans="1:26" x14ac:dyDescent="0.25">
      <c r="B32" s="12"/>
      <c r="C32" s="20"/>
      <c r="H32" s="13"/>
      <c r="J32" s="2"/>
      <c r="N32" s="13"/>
      <c r="O32" s="13"/>
    </row>
    <row r="33" spans="2:15" x14ac:dyDescent="0.25">
      <c r="B33" s="12"/>
      <c r="C33" s="20"/>
      <c r="H33" s="13"/>
      <c r="J33" s="2"/>
      <c r="N33" s="13"/>
      <c r="O33" s="13"/>
    </row>
    <row r="34" spans="2:15" x14ac:dyDescent="0.25">
      <c r="B34" s="12"/>
      <c r="C34" s="20"/>
      <c r="H34" s="13"/>
      <c r="J34" s="2"/>
      <c r="N34" s="13"/>
      <c r="O34" s="13"/>
    </row>
    <row r="35" spans="2:15" x14ac:dyDescent="0.25">
      <c r="B35" s="12"/>
      <c r="C35" s="20"/>
      <c r="H35" s="13"/>
      <c r="J35" s="2"/>
      <c r="N35" s="13"/>
      <c r="O35" s="13"/>
    </row>
    <row r="36" spans="2:15" x14ac:dyDescent="0.25">
      <c r="B36" s="12"/>
      <c r="C36" s="20"/>
      <c r="H36" s="13"/>
      <c r="J36" s="2"/>
      <c r="N36" s="13"/>
      <c r="O36" s="13"/>
    </row>
  </sheetData>
  <mergeCells count="1">
    <mergeCell ref="Q1:U1"/>
  </mergeCells>
  <conditionalFormatting sqref="Q3:Q16 T3:T16">
    <cfRule type="cellIs" dxfId="39" priority="92" operator="equal">
      <formula>0</formula>
    </cfRule>
    <cfRule type="cellIs" dxfId="38" priority="93" operator="equal">
      <formula>"O"</formula>
    </cfRule>
    <cfRule type="cellIs" dxfId="37" priority="94" operator="equal">
      <formula>"X"</formula>
    </cfRule>
  </conditionalFormatting>
  <conditionalFormatting sqref="F3:F1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29 H3:I2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16 K18:L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6 K18:K26">
    <cfRule type="colorScale" priority="88">
      <colorScale>
        <cfvo type="min"/>
        <cfvo type="max"/>
        <color rgb="FFFCFCFF"/>
        <color rgb="FFF8696B"/>
      </colorScale>
    </cfRule>
  </conditionalFormatting>
  <conditionalFormatting sqref="L3:L16 L18:L26">
    <cfRule type="colorScale" priority="87">
      <colorScale>
        <cfvo type="min"/>
        <cfvo type="max"/>
        <color rgb="FFFCFCFF"/>
        <color rgb="FFF8696B"/>
      </colorScale>
    </cfRule>
  </conditionalFormatting>
  <conditionalFormatting sqref="N3:N16 P3:P26">
    <cfRule type="colorScale" priority="86">
      <colorScale>
        <cfvo type="min"/>
        <cfvo type="max"/>
        <color rgb="FFFCFCFF"/>
        <color rgb="FF63BE7B"/>
      </colorScale>
    </cfRule>
  </conditionalFormatting>
  <conditionalFormatting sqref="I32:I36 I3:I29">
    <cfRule type="cellIs" dxfId="36" priority="85" operator="equal">
      <formula>"Y"</formula>
    </cfRule>
  </conditionalFormatting>
  <conditionalFormatting sqref="T17:T26">
    <cfRule type="cellIs" dxfId="35" priority="82" operator="equal">
      <formula>0</formula>
    </cfRule>
    <cfRule type="cellIs" dxfId="34" priority="83" operator="equal">
      <formula>"O"</formula>
    </cfRule>
    <cfRule type="cellIs" dxfId="33" priority="84" operator="equal">
      <formula>"X"</formula>
    </cfRule>
  </conditionalFormatting>
  <conditionalFormatting sqref="Q17:Q26">
    <cfRule type="cellIs" dxfId="32" priority="79" operator="equal">
      <formula>0</formula>
    </cfRule>
    <cfRule type="cellIs" dxfId="31" priority="80" operator="equal">
      <formula>"O"</formula>
    </cfRule>
    <cfRule type="cellIs" dxfId="30" priority="81" operator="equal">
      <formula>"X"</formula>
    </cfRule>
  </conditionalFormatting>
  <conditionalFormatting sqref="K3:L26">
    <cfRule type="colorScale" priority="78">
      <colorScale>
        <cfvo type="min"/>
        <cfvo type="max"/>
        <color rgb="FFFCFCFF"/>
        <color rgb="FFF8696B"/>
      </colorScale>
    </cfRule>
  </conditionalFormatting>
  <conditionalFormatting sqref="F3:F26 H3:H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 P3:P26">
    <cfRule type="colorScale" priority="76">
      <colorScale>
        <cfvo type="min"/>
        <cfvo type="max"/>
        <color rgb="FFFCFCFF"/>
        <color rgb="FF63BE7B"/>
      </colorScale>
    </cfRule>
  </conditionalFormatting>
  <conditionalFormatting sqref="H3:H2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6">
    <cfRule type="cellIs" dxfId="29" priority="72" operator="equal">
      <formula>0</formula>
    </cfRule>
    <cfRule type="cellIs" dxfId="28" priority="73" operator="equal">
      <formula>"O"</formula>
    </cfRule>
    <cfRule type="cellIs" dxfId="27" priority="74" operator="equal">
      <formula>"X"</formula>
    </cfRule>
  </conditionalFormatting>
  <conditionalFormatting sqref="U17:U26">
    <cfRule type="cellIs" dxfId="26" priority="69" operator="equal">
      <formula>0</formula>
    </cfRule>
    <cfRule type="cellIs" dxfId="25" priority="70" operator="equal">
      <formula>"O"</formula>
    </cfRule>
    <cfRule type="cellIs" dxfId="24" priority="71" operator="equal">
      <formula>"X"</formula>
    </cfRule>
  </conditionalFormatting>
  <conditionalFormatting sqref="S3:S16">
    <cfRule type="cellIs" dxfId="23" priority="66" operator="equal">
      <formula>0</formula>
    </cfRule>
    <cfRule type="cellIs" dxfId="22" priority="67" operator="equal">
      <formula>"O"</formula>
    </cfRule>
    <cfRule type="cellIs" dxfId="21" priority="68" operator="equal">
      <formula>"X"</formula>
    </cfRule>
  </conditionalFormatting>
  <conditionalFormatting sqref="S17:S26">
    <cfRule type="cellIs" dxfId="20" priority="63" operator="equal">
      <formula>0</formula>
    </cfRule>
    <cfRule type="cellIs" dxfId="19" priority="64" operator="equal">
      <formula>"O"</formula>
    </cfRule>
    <cfRule type="cellIs" dxfId="18" priority="65" operator="equal">
      <formula>"X"</formula>
    </cfRule>
  </conditionalFormatting>
  <conditionalFormatting sqref="P3:P26">
    <cfRule type="colorScale" priority="62">
      <colorScale>
        <cfvo type="min"/>
        <cfvo type="max"/>
        <color rgb="FFFCFCFF"/>
        <color rgb="FF63BE7B"/>
      </colorScale>
    </cfRule>
  </conditionalFormatting>
  <conditionalFormatting sqref="R3:R16">
    <cfRule type="cellIs" dxfId="17" priority="59" operator="equal">
      <formula>0</formula>
    </cfRule>
    <cfRule type="cellIs" dxfId="16" priority="60" operator="equal">
      <formula>"O"</formula>
    </cfRule>
    <cfRule type="cellIs" dxfId="15" priority="61" operator="equal">
      <formula>"X"</formula>
    </cfRule>
  </conditionalFormatting>
  <conditionalFormatting sqref="R17:R26">
    <cfRule type="cellIs" dxfId="14" priority="56" operator="equal">
      <formula>0</formula>
    </cfRule>
    <cfRule type="cellIs" dxfId="13" priority="57" operator="equal">
      <formula>"O"</formula>
    </cfRule>
    <cfRule type="cellIs" dxfId="12" priority="58" operator="equal">
      <formula>"X"</formula>
    </cfRule>
  </conditionalFormatting>
  <conditionalFormatting sqref="O3:O16">
    <cfRule type="colorScale" priority="55">
      <colorScale>
        <cfvo type="min"/>
        <cfvo type="max"/>
        <color rgb="FFFCFCFF"/>
        <color rgb="FF63BE7B"/>
      </colorScale>
    </cfRule>
  </conditionalFormatting>
  <conditionalFormatting sqref="O3:O26">
    <cfRule type="colorScale" priority="54">
      <colorScale>
        <cfvo type="min"/>
        <cfvo type="max"/>
        <color rgb="FFFCFCFF"/>
        <color rgb="FF63BE7B"/>
      </colorScale>
    </cfRule>
  </conditionalFormatting>
  <conditionalFormatting sqref="V3:V16">
    <cfRule type="cellIs" dxfId="11" priority="51" operator="equal">
      <formula>0</formula>
    </cfRule>
    <cfRule type="cellIs" dxfId="10" priority="52" operator="equal">
      <formula>"O"</formula>
    </cfRule>
    <cfRule type="cellIs" dxfId="9" priority="53" operator="equal">
      <formula>"X"</formula>
    </cfRule>
  </conditionalFormatting>
  <conditionalFormatting sqref="V17:V26">
    <cfRule type="cellIs" dxfId="8" priority="48" operator="equal">
      <formula>0</formula>
    </cfRule>
    <cfRule type="cellIs" dxfId="7" priority="49" operator="equal">
      <formula>"O"</formula>
    </cfRule>
    <cfRule type="cellIs" dxfId="6" priority="50" operator="equal">
      <formula>"X"</formula>
    </cfRule>
  </conditionalFormatting>
  <conditionalFormatting sqref="W3:W16">
    <cfRule type="cellIs" dxfId="5" priority="45" operator="equal">
      <formula>0</formula>
    </cfRule>
    <cfRule type="cellIs" dxfId="4" priority="46" operator="equal">
      <formula>"O"</formula>
    </cfRule>
    <cfRule type="cellIs" dxfId="3" priority="47" operator="equal">
      <formula>"X"</formula>
    </cfRule>
  </conditionalFormatting>
  <conditionalFormatting sqref="W17:W26">
    <cfRule type="cellIs" dxfId="2" priority="42" operator="equal">
      <formula>0</formula>
    </cfRule>
    <cfRule type="cellIs" dxfId="1" priority="43" operator="equal">
      <formula>"O"</formula>
    </cfRule>
    <cfRule type="cellIs" dxfId="0" priority="44" operator="equal">
      <formula>"X"</formula>
    </cfRule>
  </conditionalFormatting>
  <conditionalFormatting sqref="D3:E1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29 H32:I3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6">
    <cfRule type="colorScale" priority="22">
      <colorScale>
        <cfvo type="min"/>
        <cfvo type="max"/>
        <color rgb="FFFCFCFF"/>
        <color rgb="FF63BE7B"/>
      </colorScale>
    </cfRule>
  </conditionalFormatting>
  <conditionalFormatting sqref="H32:H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N29">
    <cfRule type="colorScale" priority="7">
      <colorScale>
        <cfvo type="min"/>
        <cfvo type="max"/>
        <color rgb="FFFCFCFF"/>
        <color rgb="FF63BE7B"/>
      </colorScale>
    </cfRule>
  </conditionalFormatting>
  <conditionalFormatting sqref="K32:L36 K27:L2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36 K27:K29">
    <cfRule type="colorScale" priority="108">
      <colorScale>
        <cfvo type="min"/>
        <cfvo type="max"/>
        <color rgb="FFFCFCFF"/>
        <color rgb="FFF8696B"/>
      </colorScale>
    </cfRule>
  </conditionalFormatting>
  <conditionalFormatting sqref="L32:L36 L27:L29">
    <cfRule type="colorScale" priority="111">
      <colorScale>
        <cfvo type="min"/>
        <cfvo type="max"/>
        <color rgb="FFFCFCFF"/>
        <color rgb="FFF8696B"/>
      </colorScale>
    </cfRule>
  </conditionalFormatting>
  <conditionalFormatting sqref="K32:L36 K27:L29">
    <cfRule type="colorScale" priority="117">
      <colorScale>
        <cfvo type="min"/>
        <cfvo type="max"/>
        <color rgb="FFFCFCFF"/>
        <color rgb="FFF8696B"/>
      </colorScale>
    </cfRule>
  </conditionalFormatting>
  <conditionalFormatting sqref="F32:F36 F27:F29 H32:H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6 O27:O2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D32:E36 D27:E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6 G27:G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29">
    <cfRule type="colorScale" priority="6">
      <colorScale>
        <cfvo type="min"/>
        <cfvo type="max"/>
        <color rgb="FFFCFCFF"/>
        <color rgb="FFF8696B"/>
      </colorScale>
    </cfRule>
  </conditionalFormatting>
  <conditionalFormatting sqref="D3:D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O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46</v>
      </c>
      <c r="D1" s="3" t="s">
        <v>1</v>
      </c>
      <c r="E1" s="3" t="s">
        <v>13</v>
      </c>
      <c r="F1" s="3" t="s">
        <v>94</v>
      </c>
      <c r="R1" t="s">
        <v>97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60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95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96</v>
      </c>
      <c r="H13">
        <v>1028</v>
      </c>
      <c r="I13">
        <v>1681</v>
      </c>
      <c r="J13">
        <v>2231</v>
      </c>
      <c r="K13">
        <v>2743</v>
      </c>
      <c r="L13" t="s">
        <v>93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92</v>
      </c>
      <c r="B17" s="11" t="s">
        <v>37</v>
      </c>
      <c r="C17" s="19" t="s">
        <v>60</v>
      </c>
      <c r="D17" s="6">
        <v>907</v>
      </c>
      <c r="E17" s="6">
        <v>55</v>
      </c>
      <c r="F17" s="13"/>
    </row>
    <row r="18" spans="1:6" ht="15.75" thickTop="1" x14ac:dyDescent="0.25">
      <c r="B18" s="12" t="s">
        <v>38</v>
      </c>
      <c r="C18" s="20" t="s">
        <v>60</v>
      </c>
      <c r="D18">
        <v>2287</v>
      </c>
      <c r="E18">
        <v>175</v>
      </c>
    </row>
    <row r="19" spans="1:6" x14ac:dyDescent="0.25">
      <c r="B19" s="12" t="s">
        <v>39</v>
      </c>
      <c r="C19" s="20" t="s">
        <v>60</v>
      </c>
      <c r="D19">
        <v>1304</v>
      </c>
      <c r="E19">
        <v>94</v>
      </c>
    </row>
    <row r="20" spans="1:6" x14ac:dyDescent="0.25">
      <c r="B20" s="12" t="s">
        <v>36</v>
      </c>
      <c r="C20" s="20" t="s">
        <v>60</v>
      </c>
      <c r="D20">
        <v>375</v>
      </c>
      <c r="E20">
        <v>24</v>
      </c>
    </row>
    <row r="21" spans="1:6" x14ac:dyDescent="0.25">
      <c r="B21" s="12" t="s">
        <v>34</v>
      </c>
      <c r="C21" s="20" t="s">
        <v>60</v>
      </c>
      <c r="D21">
        <v>1605</v>
      </c>
      <c r="E21">
        <v>115</v>
      </c>
    </row>
    <row r="22" spans="1:6" x14ac:dyDescent="0.25">
      <c r="B22" s="12" t="s">
        <v>35</v>
      </c>
      <c r="C22" s="20" t="s">
        <v>60</v>
      </c>
      <c r="D22">
        <v>1545</v>
      </c>
      <c r="E22">
        <v>186</v>
      </c>
    </row>
    <row r="23" spans="1:6" x14ac:dyDescent="0.25">
      <c r="B23" s="12">
        <v>193</v>
      </c>
      <c r="C23" s="20" t="s">
        <v>60</v>
      </c>
      <c r="D23">
        <v>1391</v>
      </c>
      <c r="E23">
        <v>65</v>
      </c>
    </row>
    <row r="24" spans="1:6" x14ac:dyDescent="0.25">
      <c r="B24" s="12">
        <v>162</v>
      </c>
      <c r="C24" s="20" t="s">
        <v>60</v>
      </c>
      <c r="D24">
        <v>1077</v>
      </c>
      <c r="E24">
        <v>73</v>
      </c>
    </row>
    <row r="25" spans="1:6" x14ac:dyDescent="0.25">
      <c r="B25" s="12">
        <v>213</v>
      </c>
      <c r="C25" s="20" t="s">
        <v>60</v>
      </c>
      <c r="D25">
        <v>844</v>
      </c>
      <c r="E25">
        <v>67</v>
      </c>
    </row>
    <row r="26" spans="1:6" x14ac:dyDescent="0.25">
      <c r="B26" s="12" t="s">
        <v>36</v>
      </c>
      <c r="C26" s="20" t="s">
        <v>60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46</v>
      </c>
      <c r="D1" s="3" t="s">
        <v>1</v>
      </c>
      <c r="E1" s="3" t="s">
        <v>13</v>
      </c>
      <c r="F1" s="3" t="s">
        <v>94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60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92</v>
      </c>
      <c r="B17" s="11" t="s">
        <v>37</v>
      </c>
      <c r="C17" s="19" t="s">
        <v>60</v>
      </c>
      <c r="D17" s="6">
        <v>907</v>
      </c>
      <c r="E17" s="6">
        <v>55</v>
      </c>
      <c r="F17" s="13"/>
    </row>
    <row r="18" spans="1:6" ht="15.75" thickTop="1" x14ac:dyDescent="0.25">
      <c r="B18" s="12" t="s">
        <v>38</v>
      </c>
      <c r="C18" s="20" t="s">
        <v>60</v>
      </c>
      <c r="D18">
        <v>2287</v>
      </c>
      <c r="E18">
        <v>175</v>
      </c>
    </row>
    <row r="19" spans="1:6" x14ac:dyDescent="0.25">
      <c r="B19" s="12" t="s">
        <v>39</v>
      </c>
      <c r="C19" s="20" t="s">
        <v>60</v>
      </c>
      <c r="D19">
        <v>1304</v>
      </c>
      <c r="E19">
        <v>94</v>
      </c>
    </row>
    <row r="20" spans="1:6" x14ac:dyDescent="0.25">
      <c r="B20" s="12" t="s">
        <v>36</v>
      </c>
      <c r="C20" s="20" t="s">
        <v>60</v>
      </c>
      <c r="D20">
        <v>375</v>
      </c>
      <c r="E20">
        <v>24</v>
      </c>
    </row>
    <row r="21" spans="1:6" x14ac:dyDescent="0.25">
      <c r="B21" s="12" t="s">
        <v>34</v>
      </c>
      <c r="C21" s="20" t="s">
        <v>60</v>
      </c>
      <c r="D21">
        <v>1605</v>
      </c>
      <c r="E21">
        <v>115</v>
      </c>
    </row>
    <row r="22" spans="1:6" x14ac:dyDescent="0.25">
      <c r="B22" s="12" t="s">
        <v>35</v>
      </c>
      <c r="C22" s="20" t="s">
        <v>60</v>
      </c>
      <c r="D22">
        <v>1545</v>
      </c>
      <c r="E22">
        <v>186</v>
      </c>
    </row>
    <row r="23" spans="1:6" x14ac:dyDescent="0.25">
      <c r="B23" s="12">
        <v>193</v>
      </c>
      <c r="C23" s="20" t="s">
        <v>60</v>
      </c>
      <c r="D23">
        <v>1391</v>
      </c>
      <c r="E23">
        <v>65</v>
      </c>
    </row>
    <row r="24" spans="1:6" x14ac:dyDescent="0.25">
      <c r="B24" s="12">
        <v>162</v>
      </c>
      <c r="C24" s="20" t="s">
        <v>60</v>
      </c>
      <c r="D24">
        <v>1077</v>
      </c>
      <c r="E24">
        <v>73</v>
      </c>
    </row>
    <row r="25" spans="1:6" x14ac:dyDescent="0.25">
      <c r="B25" s="12">
        <v>213</v>
      </c>
      <c r="C25" s="20" t="s">
        <v>60</v>
      </c>
      <c r="D25">
        <v>844</v>
      </c>
      <c r="E25">
        <v>67</v>
      </c>
    </row>
    <row r="26" spans="1:6" x14ac:dyDescent="0.25">
      <c r="B26" s="12" t="s">
        <v>36</v>
      </c>
      <c r="C26" s="20" t="s">
        <v>60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D1" workbookViewId="0">
      <selection activeCell="V8" sqref="A8:XFD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46</v>
      </c>
      <c r="D1" s="3" t="s">
        <v>1</v>
      </c>
      <c r="E1" s="3" t="s">
        <v>13</v>
      </c>
      <c r="F1" s="3" t="s">
        <v>94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60</v>
      </c>
      <c r="D3" s="6">
        <v>4</v>
      </c>
      <c r="E3" s="6">
        <v>1</v>
      </c>
      <c r="F3" s="13"/>
      <c r="G3" s="24">
        <v>0.99</v>
      </c>
      <c r="H3" s="24" t="s">
        <v>100</v>
      </c>
      <c r="I3" s="24" t="s">
        <v>99</v>
      </c>
      <c r="J3" s="24" t="s">
        <v>98</v>
      </c>
      <c r="K3" s="24">
        <v>0.99</v>
      </c>
      <c r="L3" s="24" t="s">
        <v>100</v>
      </c>
      <c r="M3" s="24" t="s">
        <v>99</v>
      </c>
      <c r="N3" s="24" t="s">
        <v>98</v>
      </c>
      <c r="O3" s="24">
        <v>0.9</v>
      </c>
      <c r="P3" s="24" t="s">
        <v>101</v>
      </c>
      <c r="Q3" s="24" t="s">
        <v>102</v>
      </c>
      <c r="R3" s="24" t="s">
        <v>103</v>
      </c>
      <c r="S3" s="24">
        <v>0.9</v>
      </c>
      <c r="T3" s="24" t="s">
        <v>101</v>
      </c>
      <c r="U3" s="24" t="s">
        <v>102</v>
      </c>
      <c r="V3" s="24" t="s">
        <v>103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92</v>
      </c>
      <c r="B17" s="11" t="s">
        <v>37</v>
      </c>
      <c r="C17" s="19" t="s">
        <v>60</v>
      </c>
      <c r="D17" s="6">
        <v>907</v>
      </c>
      <c r="E17" s="6">
        <v>55</v>
      </c>
      <c r="F17" s="13"/>
    </row>
    <row r="18" spans="1:6" ht="15.75" thickTop="1" x14ac:dyDescent="0.25">
      <c r="B18" s="12" t="s">
        <v>38</v>
      </c>
      <c r="C18" s="20" t="s">
        <v>60</v>
      </c>
      <c r="D18">
        <v>2287</v>
      </c>
      <c r="E18">
        <v>175</v>
      </c>
    </row>
    <row r="19" spans="1:6" x14ac:dyDescent="0.25">
      <c r="B19" s="12" t="s">
        <v>39</v>
      </c>
      <c r="C19" s="20" t="s">
        <v>60</v>
      </c>
      <c r="D19">
        <v>1304</v>
      </c>
      <c r="E19">
        <v>94</v>
      </c>
    </row>
    <row r="20" spans="1:6" x14ac:dyDescent="0.25">
      <c r="B20" s="12" t="s">
        <v>36</v>
      </c>
      <c r="C20" s="20" t="s">
        <v>60</v>
      </c>
      <c r="D20">
        <v>375</v>
      </c>
      <c r="E20">
        <v>24</v>
      </c>
    </row>
    <row r="21" spans="1:6" x14ac:dyDescent="0.25">
      <c r="B21" s="12" t="s">
        <v>34</v>
      </c>
      <c r="C21" s="20" t="s">
        <v>60</v>
      </c>
      <c r="D21">
        <v>1605</v>
      </c>
      <c r="E21">
        <v>115</v>
      </c>
    </row>
    <row r="22" spans="1:6" x14ac:dyDescent="0.25">
      <c r="B22" s="12" t="s">
        <v>35</v>
      </c>
      <c r="C22" s="20" t="s">
        <v>60</v>
      </c>
      <c r="D22">
        <v>1545</v>
      </c>
      <c r="E22">
        <v>186</v>
      </c>
    </row>
    <row r="23" spans="1:6" x14ac:dyDescent="0.25">
      <c r="B23" s="12">
        <v>193</v>
      </c>
      <c r="C23" s="20" t="s">
        <v>60</v>
      </c>
      <c r="D23">
        <v>1391</v>
      </c>
      <c r="E23">
        <v>65</v>
      </c>
    </row>
    <row r="24" spans="1:6" x14ac:dyDescent="0.25">
      <c r="B24" s="12">
        <v>162</v>
      </c>
      <c r="C24" s="20" t="s">
        <v>60</v>
      </c>
      <c r="D24">
        <v>1077</v>
      </c>
      <c r="E24">
        <v>73</v>
      </c>
    </row>
    <row r="25" spans="1:6" x14ac:dyDescent="0.25">
      <c r="B25" s="12">
        <v>213</v>
      </c>
      <c r="C25" s="20" t="s">
        <v>60</v>
      </c>
      <c r="D25">
        <v>844</v>
      </c>
      <c r="E25">
        <v>67</v>
      </c>
    </row>
    <row r="26" spans="1:6" x14ac:dyDescent="0.25">
      <c r="B26" s="12" t="s">
        <v>36</v>
      </c>
      <c r="C26" s="20" t="s">
        <v>60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I17" sqref="I17"/>
    </sheetView>
  </sheetViews>
  <sheetFormatPr defaultRowHeight="15" x14ac:dyDescent="0.25"/>
  <cols>
    <col min="2" max="2" width="11.5703125" bestFit="1" customWidth="1"/>
    <col min="8" max="8" width="11.85546875" bestFit="1" customWidth="1"/>
    <col min="9" max="9" width="22.28515625" bestFit="1" customWidth="1"/>
    <col min="10" max="11" width="10.5703125" customWidth="1"/>
    <col min="12" max="12" width="8.85546875" customWidth="1"/>
    <col min="13" max="13" width="12" bestFit="1" customWidth="1"/>
    <col min="14" max="14" width="11" bestFit="1" customWidth="1"/>
  </cols>
  <sheetData>
    <row r="2" spans="2:16" x14ac:dyDescent="0.25">
      <c r="J2" t="s">
        <v>121</v>
      </c>
      <c r="K2" t="s">
        <v>122</v>
      </c>
      <c r="M2" t="s">
        <v>119</v>
      </c>
      <c r="N2" t="s">
        <v>120</v>
      </c>
    </row>
    <row r="3" spans="2:16" x14ac:dyDescent="0.25">
      <c r="I3" t="s">
        <v>118</v>
      </c>
      <c r="J3">
        <f>M3*N3</f>
        <v>10.25</v>
      </c>
      <c r="K3">
        <f>SQRT(M3)*N3</f>
        <v>5.0621141828291458</v>
      </c>
      <c r="M3">
        <v>4.0999999999999996</v>
      </c>
      <c r="N3">
        <v>2.5</v>
      </c>
    </row>
    <row r="6" spans="2:16" x14ac:dyDescent="0.25">
      <c r="G6" t="s">
        <v>114</v>
      </c>
      <c r="H6" t="s">
        <v>115</v>
      </c>
      <c r="J6" t="s">
        <v>116</v>
      </c>
      <c r="K6" t="s">
        <v>117</v>
      </c>
      <c r="M6" t="s">
        <v>119</v>
      </c>
      <c r="N6" t="s">
        <v>120</v>
      </c>
      <c r="P6" t="s">
        <v>127</v>
      </c>
    </row>
    <row r="7" spans="2:16" x14ac:dyDescent="0.25">
      <c r="D7" t="s">
        <v>17</v>
      </c>
      <c r="E7">
        <v>9</v>
      </c>
      <c r="G7">
        <v>0.21</v>
      </c>
      <c r="H7">
        <v>33.33</v>
      </c>
      <c r="J7">
        <v>2.2799999999999998</v>
      </c>
      <c r="K7">
        <v>1.86</v>
      </c>
      <c r="L7">
        <f>K7/SQRT(2)</f>
        <v>1.3152186130069783</v>
      </c>
      <c r="M7">
        <f>(J7/L7)^2</f>
        <v>3.0052029136316341</v>
      </c>
      <c r="N7">
        <f>J7/M7</f>
        <v>0.75868421052631563</v>
      </c>
      <c r="P7">
        <v>0.5</v>
      </c>
    </row>
    <row r="8" spans="2:16" ht="15.75" thickBot="1" x14ac:dyDescent="0.3">
      <c r="C8" s="5" t="s">
        <v>10</v>
      </c>
      <c r="D8" s="6" t="s">
        <v>14</v>
      </c>
      <c r="E8" s="6">
        <v>17</v>
      </c>
      <c r="G8">
        <v>0.35</v>
      </c>
      <c r="H8">
        <v>27</v>
      </c>
      <c r="J8">
        <v>2.57</v>
      </c>
      <c r="K8">
        <v>1.58</v>
      </c>
      <c r="L8">
        <f t="shared" ref="L8:L13" si="0">K8/SQRT(2)</f>
        <v>1.117228714274745</v>
      </c>
      <c r="M8">
        <f t="shared" ref="M8:M13" si="1">(J8/L8)^2</f>
        <v>5.2915398173369654</v>
      </c>
      <c r="N8">
        <f t="shared" ref="N8:N13" si="2">J8/M8</f>
        <v>0.48568093385214001</v>
      </c>
    </row>
    <row r="9" spans="2:16" ht="15.75" thickTop="1" x14ac:dyDescent="0.25">
      <c r="D9" t="s">
        <v>15</v>
      </c>
      <c r="E9" s="17">
        <v>18</v>
      </c>
      <c r="G9">
        <v>0.34</v>
      </c>
      <c r="H9">
        <v>23.3</v>
      </c>
      <c r="J9">
        <v>2.48</v>
      </c>
      <c r="K9">
        <v>3.01</v>
      </c>
      <c r="L9">
        <f t="shared" si="0"/>
        <v>2.1283914113715077</v>
      </c>
      <c r="M9">
        <f t="shared" si="1"/>
        <v>1.3576892087283809</v>
      </c>
      <c r="N9">
        <f t="shared" si="2"/>
        <v>1.8266330645161284</v>
      </c>
    </row>
    <row r="10" spans="2:16" x14ac:dyDescent="0.25">
      <c r="D10" t="s">
        <v>16</v>
      </c>
      <c r="E10">
        <v>22</v>
      </c>
      <c r="G10">
        <v>1.08</v>
      </c>
      <c r="H10">
        <v>24</v>
      </c>
      <c r="J10">
        <v>2.65</v>
      </c>
      <c r="K10">
        <v>2.5099999999999998</v>
      </c>
      <c r="L10">
        <f t="shared" si="0"/>
        <v>1.7748380207782339</v>
      </c>
      <c r="M10">
        <f t="shared" si="1"/>
        <v>2.2293296931794737</v>
      </c>
      <c r="N10">
        <f t="shared" si="2"/>
        <v>1.1886981132075469</v>
      </c>
    </row>
    <row r="11" spans="2:16" ht="15.75" thickBot="1" x14ac:dyDescent="0.3">
      <c r="C11" s="5" t="s">
        <v>20</v>
      </c>
      <c r="D11" s="6" t="s">
        <v>21</v>
      </c>
      <c r="E11" s="6">
        <v>19</v>
      </c>
      <c r="G11">
        <v>0.17</v>
      </c>
      <c r="H11">
        <v>25</v>
      </c>
      <c r="J11">
        <v>1.71</v>
      </c>
      <c r="K11">
        <v>1.68</v>
      </c>
      <c r="L11">
        <f t="shared" si="0"/>
        <v>1.1879393923933996</v>
      </c>
      <c r="M11">
        <f t="shared" si="1"/>
        <v>2.0720663265306127</v>
      </c>
      <c r="N11">
        <f t="shared" si="2"/>
        <v>0.82526315789473659</v>
      </c>
    </row>
    <row r="12" spans="2:16" ht="15.75" thickTop="1" x14ac:dyDescent="0.25">
      <c r="D12" t="s">
        <v>22</v>
      </c>
      <c r="E12">
        <v>20</v>
      </c>
      <c r="G12">
        <v>2.35</v>
      </c>
      <c r="H12">
        <v>22.3</v>
      </c>
      <c r="J12">
        <v>6.08</v>
      </c>
      <c r="K12">
        <v>4.3600000000000003</v>
      </c>
      <c r="L12">
        <f t="shared" si="0"/>
        <v>3.0829855659733472</v>
      </c>
      <c r="M12">
        <f t="shared" si="1"/>
        <v>3.889234912886121</v>
      </c>
      <c r="N12">
        <f t="shared" si="2"/>
        <v>1.5632894736842105</v>
      </c>
    </row>
    <row r="13" spans="2:16" x14ac:dyDescent="0.25">
      <c r="D13" t="s">
        <v>23</v>
      </c>
      <c r="E13">
        <v>21</v>
      </c>
      <c r="G13">
        <v>1.5</v>
      </c>
      <c r="H13">
        <v>24.3</v>
      </c>
      <c r="J13">
        <v>1.94</v>
      </c>
      <c r="K13">
        <v>1.5</v>
      </c>
      <c r="L13">
        <f t="shared" si="0"/>
        <v>1.0606601717798212</v>
      </c>
      <c r="M13">
        <f t="shared" si="1"/>
        <v>3.345422222222223</v>
      </c>
      <c r="N13">
        <f t="shared" si="2"/>
        <v>0.57989690721649467</v>
      </c>
    </row>
    <row r="14" spans="2:16" x14ac:dyDescent="0.25">
      <c r="E14" t="s">
        <v>128</v>
      </c>
      <c r="F14" t="s">
        <v>129</v>
      </c>
      <c r="G14" t="s">
        <v>127</v>
      </c>
      <c r="H14" t="s">
        <v>130</v>
      </c>
      <c r="I14" t="s">
        <v>131</v>
      </c>
    </row>
    <row r="15" spans="2:16" ht="15.75" thickBot="1" x14ac:dyDescent="0.3">
      <c r="B15" s="5" t="s">
        <v>0</v>
      </c>
      <c r="C15" t="s">
        <v>5</v>
      </c>
      <c r="D15">
        <v>5</v>
      </c>
      <c r="E15">
        <v>0</v>
      </c>
      <c r="F15">
        <v>0</v>
      </c>
      <c r="G15">
        <v>2</v>
      </c>
      <c r="J15" t="s">
        <v>132</v>
      </c>
    </row>
    <row r="16" spans="2:16" ht="15.75" thickTop="1" x14ac:dyDescent="0.25">
      <c r="C16" t="s">
        <v>6</v>
      </c>
      <c r="D16">
        <v>6</v>
      </c>
      <c r="E16">
        <v>27</v>
      </c>
      <c r="F16">
        <v>100</v>
      </c>
      <c r="G16">
        <v>1</v>
      </c>
      <c r="J16" t="s">
        <v>134</v>
      </c>
    </row>
    <row r="17" spans="2:10" x14ac:dyDescent="0.25">
      <c r="J17" t="s">
        <v>133</v>
      </c>
    </row>
    <row r="18" spans="2:10" x14ac:dyDescent="0.25">
      <c r="C18" t="s">
        <v>17</v>
      </c>
      <c r="D18">
        <v>9</v>
      </c>
      <c r="E18">
        <v>100</v>
      </c>
      <c r="F18">
        <v>100</v>
      </c>
      <c r="G18">
        <v>0.5</v>
      </c>
    </row>
    <row r="19" spans="2:10" x14ac:dyDescent="0.25">
      <c r="C19" t="s">
        <v>9</v>
      </c>
      <c r="D19">
        <v>0</v>
      </c>
      <c r="E19">
        <v>93</v>
      </c>
      <c r="F19">
        <v>100</v>
      </c>
      <c r="G19">
        <v>0.5</v>
      </c>
    </row>
    <row r="20" spans="2:10" x14ac:dyDescent="0.25">
      <c r="C20" t="s">
        <v>24</v>
      </c>
      <c r="D20">
        <v>14</v>
      </c>
      <c r="E20">
        <v>0</v>
      </c>
      <c r="F20">
        <v>6.6</v>
      </c>
      <c r="G20">
        <v>2</v>
      </c>
    </row>
    <row r="21" spans="2:10" ht="15.75" thickBot="1" x14ac:dyDescent="0.3">
      <c r="B21" s="5" t="s">
        <v>10</v>
      </c>
      <c r="C21" s="6" t="s">
        <v>14</v>
      </c>
      <c r="D21" s="6">
        <v>17</v>
      </c>
      <c r="E21">
        <v>100</v>
      </c>
      <c r="F21">
        <v>100</v>
      </c>
      <c r="G21">
        <v>0.5</v>
      </c>
    </row>
    <row r="22" spans="2:10" ht="15.75" thickTop="1" x14ac:dyDescent="0.25">
      <c r="C22" t="s">
        <v>15</v>
      </c>
      <c r="D22" s="17">
        <v>18</v>
      </c>
      <c r="E22">
        <v>100</v>
      </c>
      <c r="F22">
        <v>100</v>
      </c>
      <c r="G22">
        <v>0.5</v>
      </c>
    </row>
    <row r="23" spans="2:10" x14ac:dyDescent="0.25">
      <c r="C23" t="s">
        <v>16</v>
      </c>
      <c r="D23">
        <v>22</v>
      </c>
      <c r="E23">
        <v>0</v>
      </c>
      <c r="F23">
        <v>100</v>
      </c>
      <c r="G23">
        <v>1</v>
      </c>
    </row>
    <row r="24" spans="2:10" ht="15.75" thickBot="1" x14ac:dyDescent="0.3">
      <c r="B24" s="5" t="s">
        <v>20</v>
      </c>
      <c r="C24" s="6" t="s">
        <v>21</v>
      </c>
      <c r="D24" s="6">
        <v>19</v>
      </c>
      <c r="E24">
        <v>100</v>
      </c>
      <c r="F24">
        <v>100</v>
      </c>
      <c r="G24">
        <v>0.5</v>
      </c>
    </row>
    <row r="25" spans="2:10" ht="15.75" thickTop="1" x14ac:dyDescent="0.25">
      <c r="C25" t="s">
        <v>22</v>
      </c>
      <c r="D25">
        <v>20</v>
      </c>
      <c r="E25">
        <v>0</v>
      </c>
      <c r="F25">
        <v>0</v>
      </c>
      <c r="G25">
        <v>2</v>
      </c>
    </row>
    <row r="26" spans="2:10" x14ac:dyDescent="0.25">
      <c r="C26" t="s">
        <v>23</v>
      </c>
      <c r="D26">
        <v>21</v>
      </c>
      <c r="E26">
        <v>0</v>
      </c>
      <c r="F26">
        <v>100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26"/>
  <sheetViews>
    <sheetView workbookViewId="0">
      <selection activeCell="D14" sqref="D14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7" max="7" width="13" customWidth="1"/>
    <col min="10" max="10" width="10.7109375" bestFit="1" customWidth="1"/>
  </cols>
  <sheetData>
    <row r="1" spans="1:8" ht="15.75" thickBot="1" x14ac:dyDescent="0.3">
      <c r="A1" s="3" t="s">
        <v>12</v>
      </c>
      <c r="B1" s="3" t="s">
        <v>11</v>
      </c>
      <c r="C1" s="3" t="s">
        <v>46</v>
      </c>
      <c r="F1" t="s">
        <v>73</v>
      </c>
      <c r="G1" t="s">
        <v>76</v>
      </c>
      <c r="H1" t="s">
        <v>123</v>
      </c>
    </row>
    <row r="2" spans="1:8" x14ac:dyDescent="0.25">
      <c r="A2" s="16"/>
      <c r="B2" s="16"/>
      <c r="C2" s="16"/>
    </row>
    <row r="3" spans="1:8" ht="15.75" thickBot="1" x14ac:dyDescent="0.3">
      <c r="A3" s="5" t="s">
        <v>0</v>
      </c>
      <c r="B3" s="6" t="s">
        <v>4</v>
      </c>
      <c r="C3" s="21" t="s">
        <v>60</v>
      </c>
    </row>
    <row r="4" spans="1:8" ht="15.75" thickTop="1" x14ac:dyDescent="0.25">
      <c r="B4" t="s">
        <v>5</v>
      </c>
      <c r="C4">
        <v>5</v>
      </c>
      <c r="F4" t="s">
        <v>30</v>
      </c>
    </row>
    <row r="5" spans="1:8" x14ac:dyDescent="0.25">
      <c r="B5" t="s">
        <v>6</v>
      </c>
      <c r="C5">
        <v>6</v>
      </c>
      <c r="F5" t="s">
        <v>30</v>
      </c>
    </row>
    <row r="6" spans="1:8" x14ac:dyDescent="0.25">
      <c r="B6" t="s">
        <v>7</v>
      </c>
      <c r="C6">
        <v>7</v>
      </c>
    </row>
    <row r="7" spans="1:8" x14ac:dyDescent="0.25">
      <c r="B7" t="s">
        <v>8</v>
      </c>
      <c r="C7">
        <v>8</v>
      </c>
      <c r="F7" t="s">
        <v>74</v>
      </c>
      <c r="G7" t="s">
        <v>74</v>
      </c>
    </row>
    <row r="8" spans="1:8" x14ac:dyDescent="0.25">
      <c r="B8" t="s">
        <v>17</v>
      </c>
      <c r="C8">
        <v>9</v>
      </c>
      <c r="D8" t="s">
        <v>72</v>
      </c>
      <c r="F8" t="s">
        <v>75</v>
      </c>
      <c r="G8" t="s">
        <v>75</v>
      </c>
    </row>
    <row r="9" spans="1:8" x14ac:dyDescent="0.25">
      <c r="B9" t="s">
        <v>9</v>
      </c>
      <c r="C9">
        <v>0</v>
      </c>
    </row>
    <row r="10" spans="1:8" x14ac:dyDescent="0.25">
      <c r="B10" t="s">
        <v>24</v>
      </c>
      <c r="C10">
        <v>14</v>
      </c>
    </row>
    <row r="11" spans="1:8" ht="15.75" thickBot="1" x14ac:dyDescent="0.3">
      <c r="A11" s="5" t="s">
        <v>10</v>
      </c>
      <c r="B11" s="6" t="s">
        <v>14</v>
      </c>
      <c r="C11" s="6">
        <v>17</v>
      </c>
      <c r="D11" s="22" t="s">
        <v>62</v>
      </c>
      <c r="E11" t="s">
        <v>66</v>
      </c>
      <c r="F11" t="s">
        <v>75</v>
      </c>
      <c r="G11" t="s">
        <v>75</v>
      </c>
      <c r="H11" t="s">
        <v>126</v>
      </c>
    </row>
    <row r="12" spans="1:8" ht="15.75" thickTop="1" x14ac:dyDescent="0.25">
      <c r="B12" t="s">
        <v>15</v>
      </c>
      <c r="C12" s="17">
        <v>18</v>
      </c>
      <c r="D12" t="s">
        <v>62</v>
      </c>
      <c r="E12" t="s">
        <v>67</v>
      </c>
      <c r="F12" t="s">
        <v>30</v>
      </c>
      <c r="G12" t="s">
        <v>74</v>
      </c>
      <c r="H12" t="s">
        <v>126</v>
      </c>
    </row>
    <row r="13" spans="1:8" x14ac:dyDescent="0.25">
      <c r="B13" t="s">
        <v>16</v>
      </c>
      <c r="C13">
        <v>22</v>
      </c>
      <c r="D13" t="s">
        <v>62</v>
      </c>
      <c r="E13" t="s">
        <v>68</v>
      </c>
      <c r="F13" t="s">
        <v>30</v>
      </c>
      <c r="G13" t="s">
        <v>75</v>
      </c>
      <c r="H13" t="s">
        <v>126</v>
      </c>
    </row>
    <row r="14" spans="1:8" ht="15.75" thickBot="1" x14ac:dyDescent="0.3">
      <c r="A14" s="5" t="s">
        <v>20</v>
      </c>
      <c r="B14" s="6" t="s">
        <v>21</v>
      </c>
      <c r="C14" s="6">
        <v>19</v>
      </c>
      <c r="D14" t="s">
        <v>63</v>
      </c>
      <c r="E14" t="s">
        <v>71</v>
      </c>
      <c r="F14" t="s">
        <v>30</v>
      </c>
      <c r="G14" t="s">
        <v>75</v>
      </c>
      <c r="H14" t="s">
        <v>124</v>
      </c>
    </row>
    <row r="15" spans="1:8" ht="15.75" thickTop="1" x14ac:dyDescent="0.25">
      <c r="B15" t="s">
        <v>22</v>
      </c>
      <c r="C15">
        <v>20</v>
      </c>
      <c r="D15" t="s">
        <v>64</v>
      </c>
      <c r="E15" t="s">
        <v>70</v>
      </c>
      <c r="F15" t="s">
        <v>30</v>
      </c>
      <c r="G15" t="s">
        <v>75</v>
      </c>
      <c r="H15" t="s">
        <v>125</v>
      </c>
    </row>
    <row r="16" spans="1:8" x14ac:dyDescent="0.25">
      <c r="B16" t="s">
        <v>23</v>
      </c>
      <c r="C16">
        <v>21</v>
      </c>
      <c r="D16" t="s">
        <v>65</v>
      </c>
      <c r="E16" t="s">
        <v>69</v>
      </c>
      <c r="F16" t="s">
        <v>30</v>
      </c>
      <c r="G16" t="s">
        <v>75</v>
      </c>
      <c r="H16" t="s">
        <v>126</v>
      </c>
    </row>
    <row r="17" spans="1:3" ht="15.75" thickBot="1" x14ac:dyDescent="0.3">
      <c r="A17" s="5" t="s">
        <v>33</v>
      </c>
      <c r="B17" s="11" t="s">
        <v>37</v>
      </c>
      <c r="C17" s="19" t="s">
        <v>60</v>
      </c>
    </row>
    <row r="18" spans="1:3" ht="15.75" thickTop="1" x14ac:dyDescent="0.25">
      <c r="B18" s="12" t="s">
        <v>38</v>
      </c>
      <c r="C18" s="20" t="s">
        <v>60</v>
      </c>
    </row>
    <row r="19" spans="1:3" x14ac:dyDescent="0.25">
      <c r="B19" s="12" t="s">
        <v>39</v>
      </c>
      <c r="C19" s="20" t="s">
        <v>60</v>
      </c>
    </row>
    <row r="20" spans="1:3" x14ac:dyDescent="0.25">
      <c r="B20" s="12" t="s">
        <v>36</v>
      </c>
      <c r="C20" s="20" t="s">
        <v>60</v>
      </c>
    </row>
    <row r="21" spans="1:3" x14ac:dyDescent="0.25">
      <c r="B21" s="12" t="s">
        <v>34</v>
      </c>
      <c r="C21" s="20" t="s">
        <v>60</v>
      </c>
    </row>
    <row r="22" spans="1:3" x14ac:dyDescent="0.25">
      <c r="B22" s="12" t="s">
        <v>35</v>
      </c>
      <c r="C22" s="20" t="s">
        <v>60</v>
      </c>
    </row>
    <row r="23" spans="1:3" x14ac:dyDescent="0.25">
      <c r="B23" s="12">
        <v>193</v>
      </c>
      <c r="C23" s="20" t="s">
        <v>60</v>
      </c>
    </row>
    <row r="24" spans="1:3" x14ac:dyDescent="0.25">
      <c r="B24" s="12">
        <v>162</v>
      </c>
      <c r="C24" s="20" t="s">
        <v>60</v>
      </c>
    </row>
    <row r="25" spans="1:3" x14ac:dyDescent="0.25">
      <c r="B25" s="12">
        <v>213</v>
      </c>
      <c r="C25" s="20" t="s">
        <v>60</v>
      </c>
    </row>
    <row r="26" spans="1:3" x14ac:dyDescent="0.25">
      <c r="B26" s="12" t="s">
        <v>36</v>
      </c>
      <c r="C26" s="20" t="s">
        <v>60</v>
      </c>
    </row>
  </sheetData>
  <hyperlinks>
    <hyperlink ref="D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5"/>
  <sheetViews>
    <sheetView workbookViewId="0">
      <selection activeCell="I11" sqref="I11"/>
    </sheetView>
  </sheetViews>
  <sheetFormatPr defaultRowHeight="15" x14ac:dyDescent="0.25"/>
  <cols>
    <col min="6" max="6" width="19.28515625" bestFit="1" customWidth="1"/>
    <col min="7" max="7" width="13.85546875" bestFit="1" customWidth="1"/>
    <col min="8" max="8" width="12.140625" bestFit="1" customWidth="1"/>
  </cols>
  <sheetData>
    <row r="1" spans="1:13" x14ac:dyDescent="0.25">
      <c r="D1" t="s">
        <v>135</v>
      </c>
      <c r="E1" t="s">
        <v>136</v>
      </c>
      <c r="F1" t="s">
        <v>138</v>
      </c>
      <c r="G1" t="s">
        <v>145</v>
      </c>
      <c r="H1" t="s">
        <v>146</v>
      </c>
      <c r="I1" t="s">
        <v>147</v>
      </c>
    </row>
    <row r="2" spans="1:13" ht="15.75" thickBot="1" x14ac:dyDescent="0.3">
      <c r="A2" s="5" t="s">
        <v>0</v>
      </c>
      <c r="B2" s="6" t="s">
        <v>5</v>
      </c>
      <c r="C2" s="21">
        <v>5</v>
      </c>
      <c r="D2" s="6">
        <v>2</v>
      </c>
      <c r="E2">
        <v>0</v>
      </c>
    </row>
    <row r="3" spans="1:13" ht="15.75" thickTop="1" x14ac:dyDescent="0.25">
      <c r="B3" t="s">
        <v>6</v>
      </c>
      <c r="C3">
        <v>6</v>
      </c>
      <c r="D3">
        <v>2</v>
      </c>
      <c r="E3">
        <v>0</v>
      </c>
    </row>
    <row r="4" spans="1:13" x14ac:dyDescent="0.25">
      <c r="B4" t="s">
        <v>8</v>
      </c>
      <c r="C4">
        <v>8</v>
      </c>
      <c r="D4">
        <v>4</v>
      </c>
      <c r="E4">
        <v>0</v>
      </c>
    </row>
    <row r="5" spans="1:13" x14ac:dyDescent="0.25">
      <c r="B5" t="s">
        <v>17</v>
      </c>
      <c r="C5">
        <v>9</v>
      </c>
      <c r="D5">
        <v>4</v>
      </c>
      <c r="E5">
        <v>1</v>
      </c>
      <c r="F5" t="s">
        <v>139</v>
      </c>
      <c r="G5">
        <v>7110</v>
      </c>
      <c r="H5">
        <v>7740</v>
      </c>
      <c r="I5">
        <v>7200</v>
      </c>
      <c r="J5">
        <f>G5/I5</f>
        <v>0.98750000000000004</v>
      </c>
      <c r="K5">
        <f>H5/I5</f>
        <v>1.075</v>
      </c>
      <c r="L5" t="s">
        <v>190</v>
      </c>
    </row>
    <row r="6" spans="1:13" x14ac:dyDescent="0.25">
      <c r="B6" t="s">
        <v>9</v>
      </c>
      <c r="C6">
        <v>0</v>
      </c>
      <c r="D6">
        <v>0</v>
      </c>
      <c r="E6">
        <v>0</v>
      </c>
    </row>
    <row r="7" spans="1:13" x14ac:dyDescent="0.25">
      <c r="B7" t="s">
        <v>24</v>
      </c>
      <c r="C7">
        <v>14</v>
      </c>
      <c r="D7">
        <v>0</v>
      </c>
      <c r="E7">
        <v>0</v>
      </c>
    </row>
    <row r="8" spans="1:13" ht="15.75" thickBot="1" x14ac:dyDescent="0.3">
      <c r="A8" s="5" t="s">
        <v>10</v>
      </c>
      <c r="B8" s="6" t="s">
        <v>14</v>
      </c>
      <c r="C8" s="6">
        <v>17</v>
      </c>
      <c r="D8" s="6">
        <v>4</v>
      </c>
      <c r="E8">
        <v>1</v>
      </c>
      <c r="F8" t="s">
        <v>140</v>
      </c>
      <c r="L8" t="s">
        <v>192</v>
      </c>
    </row>
    <row r="9" spans="1:13" ht="15.75" thickTop="1" x14ac:dyDescent="0.25">
      <c r="B9" t="s">
        <v>15</v>
      </c>
      <c r="C9" s="17">
        <v>18</v>
      </c>
      <c r="D9">
        <v>2</v>
      </c>
      <c r="E9">
        <v>1</v>
      </c>
      <c r="F9" t="s">
        <v>141</v>
      </c>
      <c r="G9" t="s">
        <v>148</v>
      </c>
      <c r="H9" t="s">
        <v>149</v>
      </c>
      <c r="L9" t="s">
        <v>191</v>
      </c>
    </row>
    <row r="10" spans="1:13" x14ac:dyDescent="0.25">
      <c r="B10" t="s">
        <v>16</v>
      </c>
      <c r="C10">
        <v>22</v>
      </c>
      <c r="D10">
        <v>3</v>
      </c>
      <c r="E10">
        <v>0</v>
      </c>
    </row>
    <row r="11" spans="1:13" ht="15.75" thickBot="1" x14ac:dyDescent="0.3">
      <c r="A11" s="5" t="s">
        <v>20</v>
      </c>
      <c r="B11" s="6" t="s">
        <v>21</v>
      </c>
      <c r="C11" s="6">
        <v>19</v>
      </c>
      <c r="D11" s="6">
        <v>5</v>
      </c>
      <c r="E11">
        <v>1</v>
      </c>
      <c r="F11" t="s">
        <v>142</v>
      </c>
      <c r="G11" t="s">
        <v>143</v>
      </c>
      <c r="H11" t="s">
        <v>144</v>
      </c>
      <c r="I11">
        <v>120</v>
      </c>
      <c r="L11" t="s">
        <v>193</v>
      </c>
      <c r="M11" t="s">
        <v>166</v>
      </c>
    </row>
    <row r="12" spans="1:13" ht="15.75" thickTop="1" x14ac:dyDescent="0.25">
      <c r="B12" t="s">
        <v>22</v>
      </c>
      <c r="C12">
        <v>20</v>
      </c>
      <c r="D12">
        <v>1</v>
      </c>
      <c r="E12">
        <v>0</v>
      </c>
    </row>
    <row r="13" spans="1:13" x14ac:dyDescent="0.25">
      <c r="B13" t="s">
        <v>23</v>
      </c>
      <c r="C13">
        <v>21</v>
      </c>
      <c r="D13">
        <v>3</v>
      </c>
      <c r="E13">
        <v>1</v>
      </c>
      <c r="F13" t="s">
        <v>189</v>
      </c>
      <c r="L13" t="s">
        <v>192</v>
      </c>
    </row>
    <row r="15" spans="1:13" x14ac:dyDescent="0.25">
      <c r="E15" t="s">
        <v>137</v>
      </c>
    </row>
  </sheetData>
  <conditionalFormatting sqref="D2:D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13"/>
  <sheetViews>
    <sheetView workbookViewId="0">
      <selection activeCell="L23" sqref="L23"/>
    </sheetView>
  </sheetViews>
  <sheetFormatPr defaultRowHeight="15" x14ac:dyDescent="0.25"/>
  <cols>
    <col min="6" max="6" width="10.7109375" bestFit="1" customWidth="1"/>
    <col min="7" max="7" width="23.5703125" bestFit="1" customWidth="1"/>
    <col min="8" max="8" width="6.5703125" bestFit="1" customWidth="1"/>
    <col min="9" max="9" width="10" bestFit="1" customWidth="1"/>
  </cols>
  <sheetData>
    <row r="1" spans="1:12" x14ac:dyDescent="0.25">
      <c r="D1" t="s">
        <v>163</v>
      </c>
      <c r="E1" t="s">
        <v>136</v>
      </c>
      <c r="F1" t="s">
        <v>150</v>
      </c>
      <c r="G1" t="s">
        <v>155</v>
      </c>
      <c r="H1" t="s">
        <v>161</v>
      </c>
      <c r="I1" t="s">
        <v>167</v>
      </c>
      <c r="J1">
        <v>1</v>
      </c>
      <c r="K1">
        <v>0</v>
      </c>
    </row>
    <row r="2" spans="1:12" ht="15.75" thickBot="1" x14ac:dyDescent="0.3">
      <c r="A2" s="5" t="s">
        <v>0</v>
      </c>
      <c r="B2" s="6" t="s">
        <v>5</v>
      </c>
      <c r="C2" s="21">
        <v>5</v>
      </c>
      <c r="D2">
        <v>1</v>
      </c>
      <c r="E2">
        <v>1</v>
      </c>
      <c r="F2" t="s">
        <v>151</v>
      </c>
      <c r="G2" t="s">
        <v>156</v>
      </c>
      <c r="H2" t="s">
        <v>75</v>
      </c>
      <c r="I2" t="s">
        <v>60</v>
      </c>
      <c r="J2" t="s">
        <v>26</v>
      </c>
      <c r="K2" t="s">
        <v>26</v>
      </c>
    </row>
    <row r="3" spans="1:12" ht="15.75" thickTop="1" x14ac:dyDescent="0.25">
      <c r="B3" t="s">
        <v>6</v>
      </c>
      <c r="C3">
        <v>6</v>
      </c>
      <c r="D3">
        <v>2</v>
      </c>
      <c r="E3">
        <v>1</v>
      </c>
      <c r="F3" t="s">
        <v>152</v>
      </c>
      <c r="G3" t="s">
        <v>157</v>
      </c>
      <c r="H3" t="s">
        <v>75</v>
      </c>
      <c r="I3" t="s">
        <v>60</v>
      </c>
      <c r="J3" t="s">
        <v>26</v>
      </c>
      <c r="K3" t="s">
        <v>26</v>
      </c>
    </row>
    <row r="4" spans="1:12" x14ac:dyDescent="0.25">
      <c r="B4" t="s">
        <v>8</v>
      </c>
      <c r="C4">
        <v>8</v>
      </c>
      <c r="D4">
        <v>3</v>
      </c>
      <c r="E4">
        <v>1</v>
      </c>
      <c r="F4" t="s">
        <v>153</v>
      </c>
      <c r="G4" t="s">
        <v>158</v>
      </c>
      <c r="H4" t="s">
        <v>75</v>
      </c>
      <c r="I4" t="s">
        <v>60</v>
      </c>
      <c r="J4" t="s">
        <v>26</v>
      </c>
      <c r="K4" t="s">
        <v>26</v>
      </c>
    </row>
    <row r="5" spans="1:12" x14ac:dyDescent="0.25">
      <c r="B5" t="s">
        <v>17</v>
      </c>
      <c r="C5">
        <v>9</v>
      </c>
      <c r="D5">
        <v>12</v>
      </c>
      <c r="E5">
        <v>1</v>
      </c>
      <c r="F5" t="s">
        <v>160</v>
      </c>
      <c r="G5" t="s">
        <v>159</v>
      </c>
      <c r="H5" t="s">
        <v>30</v>
      </c>
      <c r="I5" t="s">
        <v>30</v>
      </c>
      <c r="J5" t="s">
        <v>26</v>
      </c>
      <c r="K5" t="s">
        <v>26</v>
      </c>
    </row>
    <row r="6" spans="1:12" x14ac:dyDescent="0.25">
      <c r="B6" t="s">
        <v>9</v>
      </c>
      <c r="C6">
        <v>0</v>
      </c>
      <c r="D6">
        <v>0</v>
      </c>
      <c r="E6">
        <v>0</v>
      </c>
      <c r="H6" t="s">
        <v>60</v>
      </c>
      <c r="I6" t="s">
        <v>60</v>
      </c>
      <c r="J6" t="s">
        <v>26</v>
      </c>
      <c r="K6" t="s">
        <v>26</v>
      </c>
    </row>
    <row r="7" spans="1:12" x14ac:dyDescent="0.25">
      <c r="B7" t="s">
        <v>24</v>
      </c>
      <c r="C7">
        <v>14</v>
      </c>
      <c r="D7">
        <v>0</v>
      </c>
      <c r="E7">
        <v>0</v>
      </c>
      <c r="H7" t="s">
        <v>60</v>
      </c>
      <c r="I7" t="s">
        <v>60</v>
      </c>
      <c r="J7" t="s">
        <v>26</v>
      </c>
      <c r="K7" t="s">
        <v>26</v>
      </c>
    </row>
    <row r="8" spans="1:12" ht="15.75" thickBot="1" x14ac:dyDescent="0.3">
      <c r="A8" s="5" t="s">
        <v>10</v>
      </c>
      <c r="B8" s="6" t="s">
        <v>14</v>
      </c>
      <c r="C8" s="6">
        <v>17</v>
      </c>
      <c r="D8" s="6">
        <v>0</v>
      </c>
      <c r="E8">
        <v>0</v>
      </c>
      <c r="H8" t="s">
        <v>60</v>
      </c>
      <c r="I8" t="s">
        <v>60</v>
      </c>
      <c r="J8" t="s">
        <v>26</v>
      </c>
      <c r="K8" t="s">
        <v>26</v>
      </c>
    </row>
    <row r="9" spans="1:12" ht="15.75" thickTop="1" x14ac:dyDescent="0.25">
      <c r="B9" t="s">
        <v>15</v>
      </c>
      <c r="C9" s="17">
        <v>18</v>
      </c>
      <c r="D9">
        <v>0</v>
      </c>
      <c r="E9">
        <v>0</v>
      </c>
      <c r="H9" t="s">
        <v>60</v>
      </c>
      <c r="I9" t="s">
        <v>60</v>
      </c>
      <c r="J9" t="s">
        <v>26</v>
      </c>
      <c r="K9" t="s">
        <v>26</v>
      </c>
    </row>
    <row r="10" spans="1:12" x14ac:dyDescent="0.25">
      <c r="B10" t="s">
        <v>16</v>
      </c>
      <c r="C10">
        <v>22</v>
      </c>
      <c r="D10">
        <v>1</v>
      </c>
      <c r="E10">
        <v>1</v>
      </c>
      <c r="F10">
        <v>3</v>
      </c>
      <c r="G10" t="s">
        <v>168</v>
      </c>
      <c r="H10" t="s">
        <v>30</v>
      </c>
      <c r="I10" t="s">
        <v>30</v>
      </c>
      <c r="J10" t="s">
        <v>26</v>
      </c>
      <c r="K10" t="s">
        <v>26</v>
      </c>
      <c r="L10" t="s">
        <v>165</v>
      </c>
    </row>
    <row r="11" spans="1:12" ht="15.75" thickBot="1" x14ac:dyDescent="0.3">
      <c r="A11" s="5" t="s">
        <v>20</v>
      </c>
      <c r="B11" s="6" t="s">
        <v>21</v>
      </c>
      <c r="C11" s="6">
        <v>19</v>
      </c>
      <c r="D11" s="6">
        <v>9</v>
      </c>
      <c r="E11">
        <v>1</v>
      </c>
      <c r="F11" t="s">
        <v>154</v>
      </c>
      <c r="G11" t="s">
        <v>164</v>
      </c>
      <c r="H11" t="s">
        <v>75</v>
      </c>
      <c r="I11" t="s">
        <v>60</v>
      </c>
      <c r="J11" t="s">
        <v>26</v>
      </c>
      <c r="K11" t="s">
        <v>26</v>
      </c>
    </row>
    <row r="12" spans="1:12" ht="15.75" thickTop="1" x14ac:dyDescent="0.25">
      <c r="B12" t="s">
        <v>22</v>
      </c>
      <c r="C12">
        <v>20</v>
      </c>
      <c r="D12">
        <v>1</v>
      </c>
      <c r="E12">
        <v>1</v>
      </c>
      <c r="F12" t="s">
        <v>162</v>
      </c>
      <c r="G12">
        <v>122</v>
      </c>
      <c r="H12" t="s">
        <v>30</v>
      </c>
      <c r="I12" t="s">
        <v>30</v>
      </c>
      <c r="J12" t="s">
        <v>26</v>
      </c>
      <c r="K12" t="s">
        <v>26</v>
      </c>
    </row>
    <row r="13" spans="1:12" x14ac:dyDescent="0.25">
      <c r="B13" t="s">
        <v>23</v>
      </c>
      <c r="C13">
        <v>21</v>
      </c>
      <c r="D13">
        <v>1</v>
      </c>
      <c r="E13">
        <v>1</v>
      </c>
      <c r="F13" t="s">
        <v>162</v>
      </c>
      <c r="G13">
        <v>122</v>
      </c>
      <c r="H13" t="s">
        <v>30</v>
      </c>
      <c r="I13" t="s">
        <v>30</v>
      </c>
      <c r="J13" t="s">
        <v>26</v>
      </c>
      <c r="K13" t="s">
        <v>26</v>
      </c>
    </row>
  </sheetData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6"/>
  <sheetViews>
    <sheetView topLeftCell="A16" workbookViewId="0">
      <selection activeCell="M33" sqref="M33"/>
    </sheetView>
  </sheetViews>
  <sheetFormatPr defaultRowHeight="15" x14ac:dyDescent="0.25"/>
  <cols>
    <col min="1" max="1" width="17.85546875" bestFit="1" customWidth="1"/>
    <col min="3" max="3" width="13.5703125" bestFit="1" customWidth="1"/>
    <col min="4" max="4" width="4" bestFit="1" customWidth="1"/>
    <col min="5" max="5" width="20.5703125" bestFit="1" customWidth="1"/>
    <col min="6" max="6" width="8.7109375" bestFit="1" customWidth="1"/>
    <col min="7" max="7" width="18.140625" bestFit="1" customWidth="1"/>
    <col min="9" max="9" width="13.42578125" bestFit="1" customWidth="1"/>
    <col min="10" max="10" width="13.7109375" bestFit="1" customWidth="1"/>
  </cols>
  <sheetData>
    <row r="1" spans="1:12" x14ac:dyDescent="0.25">
      <c r="A1" s="28" t="s">
        <v>173</v>
      </c>
    </row>
    <row r="2" spans="1:12" x14ac:dyDescent="0.25">
      <c r="A2" t="s">
        <v>177</v>
      </c>
      <c r="K2" t="s">
        <v>185</v>
      </c>
    </row>
    <row r="3" spans="1:12" x14ac:dyDescent="0.25">
      <c r="A3" s="28" t="s">
        <v>169</v>
      </c>
      <c r="B3" t="s">
        <v>170</v>
      </c>
      <c r="C3" s="28" t="s">
        <v>175</v>
      </c>
      <c r="D3" s="29" t="s">
        <v>178</v>
      </c>
      <c r="E3" s="28" t="s">
        <v>179</v>
      </c>
      <c r="F3" t="s">
        <v>171</v>
      </c>
      <c r="G3" s="28" t="s">
        <v>180</v>
      </c>
      <c r="K3" t="s">
        <v>182</v>
      </c>
      <c r="L3" t="s">
        <v>183</v>
      </c>
    </row>
    <row r="4" spans="1:12" x14ac:dyDescent="0.25">
      <c r="B4" t="s">
        <v>177</v>
      </c>
      <c r="F4" t="s">
        <v>177</v>
      </c>
      <c r="G4" t="s">
        <v>177</v>
      </c>
    </row>
    <row r="5" spans="1:12" x14ac:dyDescent="0.25">
      <c r="A5" s="28" t="s">
        <v>172</v>
      </c>
      <c r="B5" t="s">
        <v>176</v>
      </c>
      <c r="F5" t="s">
        <v>176</v>
      </c>
      <c r="G5" t="s">
        <v>176</v>
      </c>
    </row>
    <row r="6" spans="1:12" x14ac:dyDescent="0.25">
      <c r="A6" t="s">
        <v>177</v>
      </c>
    </row>
    <row r="7" spans="1:12" x14ac:dyDescent="0.25">
      <c r="A7" s="28" t="s">
        <v>174</v>
      </c>
    </row>
    <row r="8" spans="1:12" x14ac:dyDescent="0.25">
      <c r="A8" t="s">
        <v>177</v>
      </c>
    </row>
    <row r="9" spans="1:12" x14ac:dyDescent="0.25">
      <c r="A9" s="28" t="s">
        <v>184</v>
      </c>
    </row>
    <row r="10" spans="1:12" x14ac:dyDescent="0.25">
      <c r="F10" s="28" t="s">
        <v>169</v>
      </c>
      <c r="G10" s="28" t="s">
        <v>179</v>
      </c>
      <c r="H10" s="28" t="s">
        <v>180</v>
      </c>
      <c r="I10" s="28" t="s">
        <v>188</v>
      </c>
      <c r="J10" s="28" t="s">
        <v>187</v>
      </c>
      <c r="K10" s="28" t="s">
        <v>184</v>
      </c>
    </row>
    <row r="11" spans="1:12" x14ac:dyDescent="0.25">
      <c r="A11" s="30" t="s">
        <v>181</v>
      </c>
      <c r="E11" s="6" t="s">
        <v>4</v>
      </c>
      <c r="F11" t="s">
        <v>186</v>
      </c>
      <c r="G11" t="s">
        <v>186</v>
      </c>
      <c r="H11" t="s">
        <v>186</v>
      </c>
      <c r="I11" t="s">
        <v>186</v>
      </c>
      <c r="J11" t="s">
        <v>186</v>
      </c>
      <c r="K11" t="s">
        <v>186</v>
      </c>
    </row>
    <row r="12" spans="1:12" x14ac:dyDescent="0.25">
      <c r="E12" t="s">
        <v>5</v>
      </c>
      <c r="F12" t="s">
        <v>26</v>
      </c>
      <c r="G12" t="s">
        <v>26</v>
      </c>
      <c r="H12" t="s">
        <v>26</v>
      </c>
      <c r="I12" t="s">
        <v>186</v>
      </c>
      <c r="J12" t="s">
        <v>26</v>
      </c>
      <c r="K12" t="s">
        <v>26</v>
      </c>
    </row>
    <row r="13" spans="1:12" x14ac:dyDescent="0.25">
      <c r="E13" t="s">
        <v>6</v>
      </c>
      <c r="F13" t="s">
        <v>26</v>
      </c>
      <c r="G13" t="s">
        <v>26</v>
      </c>
      <c r="H13" t="s">
        <v>26</v>
      </c>
      <c r="I13" t="s">
        <v>186</v>
      </c>
      <c r="J13" t="s">
        <v>26</v>
      </c>
      <c r="K13" t="s">
        <v>26</v>
      </c>
    </row>
    <row r="14" spans="1:12" x14ac:dyDescent="0.25">
      <c r="E14" t="s">
        <v>7</v>
      </c>
      <c r="F14" t="s">
        <v>186</v>
      </c>
      <c r="G14" t="s">
        <v>186</v>
      </c>
      <c r="H14" t="s">
        <v>186</v>
      </c>
      <c r="I14" t="s">
        <v>186</v>
      </c>
      <c r="J14" t="s">
        <v>186</v>
      </c>
      <c r="K14" t="s">
        <v>186</v>
      </c>
    </row>
    <row r="15" spans="1:12" x14ac:dyDescent="0.25">
      <c r="E15" t="s">
        <v>8</v>
      </c>
      <c r="F15" t="s">
        <v>26</v>
      </c>
      <c r="G15" t="s">
        <v>26</v>
      </c>
      <c r="H15" t="s">
        <v>26</v>
      </c>
      <c r="I15" t="s">
        <v>186</v>
      </c>
      <c r="J15" t="s">
        <v>26</v>
      </c>
      <c r="K15" t="s">
        <v>26</v>
      </c>
    </row>
    <row r="16" spans="1:12" x14ac:dyDescent="0.25">
      <c r="E16" t="s">
        <v>17</v>
      </c>
      <c r="F16" t="s">
        <v>26</v>
      </c>
      <c r="G16" t="s">
        <v>26</v>
      </c>
      <c r="H16" t="s">
        <v>186</v>
      </c>
      <c r="I16" t="s">
        <v>26</v>
      </c>
    </row>
    <row r="17" spans="2:12" x14ac:dyDescent="0.25">
      <c r="E17" t="s">
        <v>9</v>
      </c>
      <c r="F17" t="s">
        <v>26</v>
      </c>
      <c r="G17" t="s">
        <v>186</v>
      </c>
      <c r="H17" t="s">
        <v>186</v>
      </c>
      <c r="I17" t="s">
        <v>186</v>
      </c>
      <c r="J17" t="s">
        <v>26</v>
      </c>
      <c r="K17" t="s">
        <v>26</v>
      </c>
    </row>
    <row r="18" spans="2:12" x14ac:dyDescent="0.25">
      <c r="E18" t="s">
        <v>24</v>
      </c>
      <c r="F18" t="s">
        <v>26</v>
      </c>
      <c r="G18" t="s">
        <v>186</v>
      </c>
      <c r="H18" t="s">
        <v>186</v>
      </c>
      <c r="I18" t="s">
        <v>186</v>
      </c>
      <c r="J18" t="s">
        <v>26</v>
      </c>
      <c r="K18" t="s">
        <v>26</v>
      </c>
    </row>
    <row r="19" spans="2:12" x14ac:dyDescent="0.25">
      <c r="E19" s="6" t="s">
        <v>14</v>
      </c>
      <c r="F19" t="s">
        <v>26</v>
      </c>
      <c r="G19" t="s">
        <v>186</v>
      </c>
      <c r="H19" t="s">
        <v>186</v>
      </c>
      <c r="I19" t="s">
        <v>186</v>
      </c>
      <c r="J19" t="s">
        <v>26</v>
      </c>
      <c r="K19" t="s">
        <v>26</v>
      </c>
    </row>
    <row r="20" spans="2:12" x14ac:dyDescent="0.25">
      <c r="E20" t="s">
        <v>15</v>
      </c>
      <c r="F20" t="s">
        <v>26</v>
      </c>
      <c r="G20" t="s">
        <v>186</v>
      </c>
      <c r="H20" t="s">
        <v>186</v>
      </c>
      <c r="I20" t="s">
        <v>186</v>
      </c>
      <c r="J20" t="s">
        <v>26</v>
      </c>
      <c r="K20" t="s">
        <v>26</v>
      </c>
    </row>
    <row r="21" spans="2:12" x14ac:dyDescent="0.25">
      <c r="E21" t="s">
        <v>16</v>
      </c>
      <c r="F21" t="s">
        <v>26</v>
      </c>
      <c r="G21" t="s">
        <v>26</v>
      </c>
      <c r="H21" t="s">
        <v>186</v>
      </c>
      <c r="I21" t="s">
        <v>26</v>
      </c>
    </row>
    <row r="22" spans="2:12" x14ac:dyDescent="0.25">
      <c r="E22" s="6" t="s">
        <v>21</v>
      </c>
      <c r="F22" t="s">
        <v>26</v>
      </c>
      <c r="G22" t="s">
        <v>26</v>
      </c>
      <c r="H22" t="s">
        <v>186</v>
      </c>
      <c r="I22" t="s">
        <v>26</v>
      </c>
    </row>
    <row r="23" spans="2:12" x14ac:dyDescent="0.25">
      <c r="E23" t="s">
        <v>22</v>
      </c>
      <c r="F23" t="s">
        <v>26</v>
      </c>
      <c r="G23" t="s">
        <v>26</v>
      </c>
      <c r="H23" t="s">
        <v>186</v>
      </c>
      <c r="I23" t="s">
        <v>26</v>
      </c>
      <c r="J23" t="s">
        <v>26</v>
      </c>
      <c r="K23" t="s">
        <v>26</v>
      </c>
    </row>
    <row r="24" spans="2:12" x14ac:dyDescent="0.25">
      <c r="E24" t="s">
        <v>23</v>
      </c>
      <c r="F24" t="s">
        <v>26</v>
      </c>
      <c r="G24" t="s">
        <v>26</v>
      </c>
      <c r="H24" t="s">
        <v>186</v>
      </c>
      <c r="I24" t="s">
        <v>26</v>
      </c>
      <c r="J24" t="s">
        <v>26</v>
      </c>
      <c r="K24" t="s">
        <v>26</v>
      </c>
    </row>
    <row r="27" spans="2:12" x14ac:dyDescent="0.25">
      <c r="F27" s="28" t="s">
        <v>169</v>
      </c>
      <c r="G27" s="28" t="s">
        <v>175</v>
      </c>
      <c r="H27" s="28" t="s">
        <v>179</v>
      </c>
      <c r="I27" s="28" t="s">
        <v>180</v>
      </c>
      <c r="J27" s="28" t="s">
        <v>188</v>
      </c>
      <c r="K27" s="28" t="s">
        <v>187</v>
      </c>
      <c r="L27" s="28" t="s">
        <v>184</v>
      </c>
    </row>
    <row r="28" spans="2:12" x14ac:dyDescent="0.25">
      <c r="B28" t="s">
        <v>194</v>
      </c>
      <c r="E28" t="s">
        <v>6</v>
      </c>
      <c r="F28" t="s">
        <v>26</v>
      </c>
      <c r="G28" t="s">
        <v>26</v>
      </c>
      <c r="H28" t="s">
        <v>26</v>
      </c>
      <c r="I28" t="s">
        <v>26</v>
      </c>
      <c r="J28" t="s">
        <v>186</v>
      </c>
      <c r="K28" t="s">
        <v>26</v>
      </c>
      <c r="L28" t="s">
        <v>26</v>
      </c>
    </row>
    <row r="29" spans="2:12" x14ac:dyDescent="0.25">
      <c r="E29" t="s">
        <v>8</v>
      </c>
      <c r="F29" t="s">
        <v>26</v>
      </c>
      <c r="G29" t="s">
        <v>26</v>
      </c>
      <c r="H29" t="s">
        <v>26</v>
      </c>
      <c r="I29" t="s">
        <v>26</v>
      </c>
      <c r="J29" t="s">
        <v>186</v>
      </c>
      <c r="K29" t="s">
        <v>26</v>
      </c>
      <c r="L29" t="s">
        <v>26</v>
      </c>
    </row>
    <row r="30" spans="2:12" x14ac:dyDescent="0.25">
      <c r="E30" t="s">
        <v>17</v>
      </c>
      <c r="F30" t="s">
        <v>26</v>
      </c>
      <c r="G30" t="s">
        <v>26</v>
      </c>
      <c r="H30" t="s">
        <v>26</v>
      </c>
      <c r="I30" t="s">
        <v>186</v>
      </c>
      <c r="J30" t="s">
        <v>26</v>
      </c>
      <c r="K30" t="s">
        <v>26</v>
      </c>
      <c r="L30" t="s">
        <v>26</v>
      </c>
    </row>
    <row r="31" spans="2:12" x14ac:dyDescent="0.25">
      <c r="E31" s="6" t="s">
        <v>14</v>
      </c>
      <c r="F31" t="s">
        <v>26</v>
      </c>
      <c r="G31" t="s">
        <v>186</v>
      </c>
      <c r="H31" t="s">
        <v>186</v>
      </c>
      <c r="I31" t="s">
        <v>186</v>
      </c>
      <c r="J31" t="s">
        <v>186</v>
      </c>
      <c r="K31" t="s">
        <v>26</v>
      </c>
      <c r="L31" t="s">
        <v>26</v>
      </c>
    </row>
    <row r="32" spans="2:12" x14ac:dyDescent="0.25">
      <c r="E32" t="s">
        <v>15</v>
      </c>
      <c r="F32" t="s">
        <v>26</v>
      </c>
      <c r="G32" t="s">
        <v>186</v>
      </c>
      <c r="H32" t="s">
        <v>186</v>
      </c>
      <c r="I32" t="s">
        <v>186</v>
      </c>
      <c r="J32" t="s">
        <v>186</v>
      </c>
      <c r="K32" t="s">
        <v>26</v>
      </c>
      <c r="L32" t="s">
        <v>26</v>
      </c>
    </row>
    <row r="33" spans="5:12" x14ac:dyDescent="0.25">
      <c r="E33" t="s">
        <v>16</v>
      </c>
      <c r="F33" t="s">
        <v>26</v>
      </c>
      <c r="G33" t="s">
        <v>26</v>
      </c>
      <c r="H33" t="s">
        <v>26</v>
      </c>
      <c r="I33" t="s">
        <v>186</v>
      </c>
      <c r="J33" t="s">
        <v>26</v>
      </c>
    </row>
    <row r="34" spans="5:12" x14ac:dyDescent="0.25">
      <c r="E34" s="6" t="s">
        <v>21</v>
      </c>
      <c r="F34" t="s">
        <v>26</v>
      </c>
      <c r="G34" t="s">
        <v>26</v>
      </c>
      <c r="H34" t="s">
        <v>26</v>
      </c>
      <c r="I34" t="s">
        <v>186</v>
      </c>
      <c r="J34" t="s">
        <v>26</v>
      </c>
      <c r="K34" t="s">
        <v>26</v>
      </c>
      <c r="L34" t="s">
        <v>26</v>
      </c>
    </row>
    <row r="35" spans="5:12" x14ac:dyDescent="0.25">
      <c r="E35" t="s">
        <v>22</v>
      </c>
      <c r="F35" t="s">
        <v>26</v>
      </c>
      <c r="G35" t="s">
        <v>26</v>
      </c>
      <c r="H35" t="s">
        <v>26</v>
      </c>
      <c r="I35" t="s">
        <v>186</v>
      </c>
      <c r="J35" t="s">
        <v>26</v>
      </c>
      <c r="K35" t="s">
        <v>26</v>
      </c>
      <c r="L35" t="s">
        <v>26</v>
      </c>
    </row>
    <row r="36" spans="5:12" x14ac:dyDescent="0.25">
      <c r="E36" t="s">
        <v>23</v>
      </c>
      <c r="F36" t="s">
        <v>26</v>
      </c>
      <c r="G36" t="s">
        <v>26</v>
      </c>
      <c r="H36" t="s">
        <v>26</v>
      </c>
      <c r="I36" t="s">
        <v>186</v>
      </c>
      <c r="J36" t="s">
        <v>26</v>
      </c>
      <c r="K36" t="s">
        <v>26</v>
      </c>
      <c r="L36" t="s">
        <v>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G13"/>
  <sheetViews>
    <sheetView workbookViewId="0">
      <selection activeCell="F16" sqref="F1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106</v>
      </c>
      <c r="D2" t="s">
        <v>105</v>
      </c>
      <c r="E2" t="s">
        <v>108</v>
      </c>
      <c r="F2" t="s">
        <v>109</v>
      </c>
      <c r="G2" t="s">
        <v>110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112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113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112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111</v>
      </c>
    </row>
    <row r="7" spans="1:7" x14ac:dyDescent="0.25">
      <c r="B7" t="s">
        <v>9</v>
      </c>
      <c r="C7" t="s">
        <v>26</v>
      </c>
      <c r="D7" t="s">
        <v>107</v>
      </c>
      <c r="E7">
        <v>1</v>
      </c>
      <c r="G7" t="s">
        <v>112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107</v>
      </c>
      <c r="E8">
        <v>796</v>
      </c>
      <c r="G8" t="s">
        <v>113</v>
      </c>
    </row>
    <row r="9" spans="1:7" ht="15.75" thickTop="1" x14ac:dyDescent="0.25">
      <c r="B9" t="s">
        <v>15</v>
      </c>
      <c r="C9" t="s">
        <v>26</v>
      </c>
      <c r="D9" t="s">
        <v>107</v>
      </c>
      <c r="E9">
        <v>318412</v>
      </c>
      <c r="G9" t="s">
        <v>113</v>
      </c>
    </row>
    <row r="10" spans="1:7" x14ac:dyDescent="0.25">
      <c r="B10" t="s">
        <v>16</v>
      </c>
      <c r="G10" t="s">
        <v>113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111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113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47</v>
      </c>
      <c r="D1" t="s">
        <v>48</v>
      </c>
      <c r="E1" t="s">
        <v>49</v>
      </c>
      <c r="F1" t="s">
        <v>52</v>
      </c>
      <c r="G1" t="s">
        <v>50</v>
      </c>
      <c r="H1" t="s">
        <v>51</v>
      </c>
      <c r="I1" t="s">
        <v>53</v>
      </c>
      <c r="J1" t="s">
        <v>54</v>
      </c>
      <c r="K1" t="s">
        <v>58</v>
      </c>
      <c r="L1" t="s">
        <v>59</v>
      </c>
      <c r="M1" t="s">
        <v>57</v>
      </c>
    </row>
    <row r="2" spans="1:13" x14ac:dyDescent="0.25">
      <c r="A2" t="s">
        <v>56</v>
      </c>
      <c r="B2" t="s">
        <v>55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37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38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39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45</v>
      </c>
      <c r="F1" t="s">
        <v>41</v>
      </c>
      <c r="G1" t="s">
        <v>42</v>
      </c>
      <c r="H1" t="s">
        <v>43</v>
      </c>
      <c r="I1" t="s">
        <v>44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notes</vt:lpstr>
      <vt:lpstr>caps</vt:lpstr>
      <vt:lpstr>regs</vt:lpstr>
      <vt:lpstr>workflow</vt:lpstr>
      <vt:lpstr>legacy&gt;&gt;&gt;</vt:lpstr>
      <vt:lpstr>plotting</vt:lpstr>
      <vt:lpstr>sourceParams</vt:lpstr>
      <vt:lpstr>plotTts</vt:lpstr>
      <vt:lpstr>svdStuff</vt:lpstr>
      <vt:lpstr>varStuff</vt:lpstr>
      <vt:lpstr>varV2stuff</vt:lpstr>
      <vt:lpstr>quarterGenQuarterMax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2019-07-11T15:12:00Z</dcterms:modified>
</cp:coreProperties>
</file>