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A3CF792-A567-4DA0-AD80-FEBE0CEFDE5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aster" sheetId="1" r:id="rId1"/>
    <sheet name="sourceParams" sheetId="3" r:id="rId2"/>
    <sheet name="plotTts" sheetId="2" r:id="rId3"/>
    <sheet name="n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0" i="1" l="1"/>
  <c r="U9" i="1"/>
  <c r="U8" i="1"/>
  <c r="U7" i="1"/>
  <c r="U5" i="1"/>
  <c r="U4" i="1"/>
  <c r="U13" i="1"/>
  <c r="U12" i="1"/>
  <c r="U11" i="1"/>
  <c r="U14" i="1"/>
  <c r="U16" i="1"/>
  <c r="U15" i="1"/>
  <c r="N26" i="1" l="1"/>
  <c r="V26" i="1" s="1"/>
  <c r="N25" i="1"/>
  <c r="V25" i="1" s="1"/>
  <c r="N24" i="1"/>
  <c r="V24" i="1" s="1"/>
  <c r="N23" i="1"/>
  <c r="V23" i="1" s="1"/>
  <c r="N22" i="1"/>
  <c r="V22" i="1" s="1"/>
  <c r="N21" i="1"/>
  <c r="V21" i="1" s="1"/>
  <c r="N20" i="1"/>
  <c r="V20" i="1" s="1"/>
  <c r="N19" i="1"/>
  <c r="V19" i="1" s="1"/>
  <c r="N18" i="1"/>
  <c r="V18" i="1" s="1"/>
  <c r="N17" i="1"/>
  <c r="V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N9" i="1"/>
  <c r="V9" i="1" s="1"/>
  <c r="N10" i="1"/>
  <c r="V10" i="1" s="1"/>
  <c r="N16" i="1"/>
  <c r="V16" i="1" s="1"/>
  <c r="N15" i="1"/>
  <c r="V15" i="1" s="1"/>
  <c r="N14" i="1"/>
  <c r="V14" i="1" s="1"/>
  <c r="N13" i="1"/>
  <c r="V13" i="1" s="1"/>
  <c r="N12" i="1"/>
  <c r="V12" i="1" s="1"/>
  <c r="N11" i="1"/>
  <c r="V11" i="1" s="1"/>
  <c r="N8" i="1"/>
  <c r="V8" i="1" s="1"/>
  <c r="N7" i="1"/>
  <c r="V7" i="1" s="1"/>
  <c r="N6" i="1"/>
  <c r="V6" i="1" s="1"/>
  <c r="N5" i="1"/>
  <c r="V5" i="1" s="1"/>
  <c r="N4" i="1"/>
  <c r="V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<sst xmlns="http://schemas.openxmlformats.org/spreadsheetml/2006/main" count="335" uniqueCount="89">
  <si>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</si>
  <si>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</si>
  <si>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</si>
  <si>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</si>
  <si>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</si>
  <si>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</si>
  <si>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</si>
  <si>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</si>
  <si>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</si>
  <si>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</si>
  <si>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</si>
  <si>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</si>
  <si>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</si>
  <si>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</si>
  <si>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</si>
  <si>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</si>
  <si>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</si>
  <si>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</si>
  <si>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</si>
  <si>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</si>
  <si>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</si>
  <si>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</si>
  <si>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</si>
  <si>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</si>
  <si>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</si>
  <si>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</si>
  <si>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</si>
  <si>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</si>
  <si>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</si>
  <si>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</si>
  <si>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</si>
  <si>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</si>
  <si>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</si>
  <si>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</si>
  <si>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</si>
  <si>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</si>
  <si>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</si>
  <si>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</si>
  <si>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</si>
  <si>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</si>
  <si>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</si>
  <si>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</si>
  <si>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</si>
  <si>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</si>
  <si>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</si>
  <si>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</si>
  <si>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</si>
  <si>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</si>
  <si>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</si>
  <si>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</si>
  <si>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</si>
  <si>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</si>
  <si>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</si>
  <si>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</si>
  <si>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</si>
  <si>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</si>
  <si>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</si>
  <si>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</si>
  <si>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</si>
  <si>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</si>
  <si>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</si>
  <si>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</si>
  <si>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</si>
  <si>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</si>
  <si>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</si>
  <si>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</si>
  <si>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</si>
  <si>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</si>
  <si>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</si>
  <si>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</si>
  <si>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</si>
  <si>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</si>
  <si>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</si>
  <si>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</si>
  <si>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</si>
  <si>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</si>
  <si>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</si>
  <si>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</si>
  <si>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</si>
  <si>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</si>
  <si>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</si>
  <si>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</si>
  <si>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V2 (6000 LFs)</t>
  </si>
  <si>
    <t>Log(t2s) (us)</t>
  </si>
  <si>
    <t>Fixed</t>
  </si>
  <si>
    <t>Tap</t>
  </si>
  <si>
    <t>LTC</t>
  </si>
  <si>
    <t>HC</t>
  </si>
  <si>
    <t>Zsrc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</si>
</sst>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28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workbookViewId="0">
      <selection activeCell="M13" sqref="M13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5.28515625" customWidth="1"/>
    <col min="4" max="4" width="6.140625" bestFit="1" customWidth="1"/>
    <col min="5" max="5" width="6" bestFit="1" customWidth="1"/>
    <col min="6" max="6" width="9.5703125" customWidth="1"/>
    <col min="7" max="7" width="6" customWidth="1"/>
    <col min="8" max="8" width="6" bestFit="1" customWidth="1"/>
    <col min="9" max="10" width="5.140625" bestFit="1" customWidth="1"/>
    <col min="11" max="11" width="11.5703125" bestFit="1" customWidth="1"/>
    <col min="12" max="12" width="12.140625" bestFit="1" customWidth="1"/>
    <col min="13" max="13" width="13.140625" bestFit="1" customWidth="1"/>
    <col min="14" max="14" width="12" bestFit="1" customWidth="1"/>
    <col min="15" max="15" width="4.42578125" bestFit="1" customWidth="1"/>
    <col min="16" max="16" width="5.85546875" bestFit="1" customWidth="1"/>
    <col min="17" max="17" width="4.140625" bestFit="1" customWidth="1"/>
    <col min="18" max="18" width="4" bestFit="1" customWidth="1"/>
    <col min="19" max="19" width="3.42578125" bestFit="1" customWidth="1"/>
    <col min="20" max="20" width="23" bestFit="1" customWidth="1"/>
    <col min="21" max="21" width="12.28515625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48</v>
      </c>
      <c r="D1" s="3" t="s">
        <v>1</v>
      </c>
      <c r="E1" s="3" t="s">
        <v>13</v>
      </c>
      <c r="F1" s="3" t="s">
        <v>42</v>
      </c>
      <c r="G1" s="3" t="s">
        <v>29</v>
      </c>
      <c r="H1" s="3" t="s">
        <v>33</v>
      </c>
      <c r="I1" s="3" t="s">
        <v>2</v>
      </c>
      <c r="J1" s="3" t="s">
        <v>3</v>
      </c>
      <c r="K1" s="3" t="s">
        <v>20</v>
      </c>
      <c r="L1" s="3" t="s">
        <v>18</v>
      </c>
      <c r="M1" s="3" t="s">
        <v>80</v>
      </c>
      <c r="N1" s="3" t="s">
        <v>83</v>
      </c>
      <c r="O1" s="23" t="s">
        <v>26</v>
      </c>
      <c r="P1" s="23"/>
      <c r="Q1" s="23"/>
      <c r="R1" s="23"/>
      <c r="S1" s="23"/>
    </row>
    <row r="2" spans="1:22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4"/>
      <c r="O2" s="4" t="s">
        <v>88</v>
      </c>
      <c r="P2" s="4" t="s">
        <v>84</v>
      </c>
      <c r="Q2" s="4" t="s">
        <v>85</v>
      </c>
      <c r="R2" s="4" t="s">
        <v>86</v>
      </c>
      <c r="S2" s="4" t="s">
        <v>87</v>
      </c>
      <c r="T2" s="4"/>
      <c r="U2" s="4" t="s">
        <v>82</v>
      </c>
      <c r="V2" s="4" t="s">
        <v>81</v>
      </c>
    </row>
    <row r="3" spans="1:22" ht="15.75" thickBot="1" x14ac:dyDescent="0.3">
      <c r="A3" s="5" t="s">
        <v>0</v>
      </c>
      <c r="B3" s="6" t="s">
        <v>4</v>
      </c>
      <c r="C3" s="21" t="s">
        <v>62</v>
      </c>
      <c r="D3" s="6">
        <v>4</v>
      </c>
      <c r="E3" s="6">
        <v>1</v>
      </c>
      <c r="F3" s="6">
        <f>LOG(E3*D3)</f>
        <v>0.6020599913279624</v>
      </c>
      <c r="G3" s="10" t="s">
        <v>30</v>
      </c>
      <c r="H3" s="7"/>
      <c r="I3" s="6">
        <v>0</v>
      </c>
      <c r="J3" s="6">
        <v>0</v>
      </c>
      <c r="K3" s="6" t="s">
        <v>19</v>
      </c>
      <c r="L3" s="6">
        <v>5.4</v>
      </c>
      <c r="M3" s="6">
        <v>5.4</v>
      </c>
      <c r="N3" s="21" t="s">
        <v>27</v>
      </c>
      <c r="O3" s="8" t="s">
        <v>28</v>
      </c>
      <c r="P3" s="8" t="s">
        <v>28</v>
      </c>
      <c r="Q3" s="8" t="s">
        <v>28</v>
      </c>
      <c r="R3" s="8" t="s">
        <v>28</v>
      </c>
      <c r="S3" s="8" t="s">
        <v>28</v>
      </c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 s="13">
        <f t="shared" ref="F4:F26" si="0">LOG(E4*D4)</f>
        <v>2.3802112417116059</v>
      </c>
      <c r="G4" t="s">
        <v>31</v>
      </c>
      <c r="H4" s="2">
        <v>4.16</v>
      </c>
      <c r="I4">
        <v>2</v>
      </c>
      <c r="J4">
        <v>1</v>
      </c>
      <c r="K4">
        <v>1.5</v>
      </c>
      <c r="L4">
        <v>3.6</v>
      </c>
      <c r="M4">
        <v>3.6</v>
      </c>
      <c r="N4">
        <f>LOG10(703)</f>
        <v>2.8469553250198238</v>
      </c>
      <c r="O4" s="1" t="s">
        <v>27</v>
      </c>
      <c r="P4" s="1" t="s">
        <v>27</v>
      </c>
      <c r="Q4" s="1" t="s">
        <v>27</v>
      </c>
      <c r="R4" s="1" t="s">
        <v>27</v>
      </c>
      <c r="S4" s="1" t="s">
        <v>27</v>
      </c>
      <c r="U4">
        <f>9/60</f>
        <v>0.15</v>
      </c>
      <c r="V4">
        <f>(10^N4)*6000*0.000001/60</f>
        <v>7.0300000000000015E-2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 s="13">
        <f t="shared" si="0"/>
        <v>3.4007106367732312</v>
      </c>
      <c r="G5" t="s">
        <v>31</v>
      </c>
      <c r="H5" s="2">
        <v>24.9</v>
      </c>
      <c r="I5">
        <v>2</v>
      </c>
      <c r="J5">
        <v>2</v>
      </c>
      <c r="K5">
        <v>50</v>
      </c>
      <c r="L5">
        <v>2</v>
      </c>
      <c r="M5">
        <v>2</v>
      </c>
      <c r="N5">
        <f>LOG10(4000)</f>
        <v>3.6020599913279625</v>
      </c>
      <c r="O5" s="1" t="s">
        <v>27</v>
      </c>
      <c r="P5" s="1" t="s">
        <v>27</v>
      </c>
      <c r="Q5" s="1" t="s">
        <v>27</v>
      </c>
      <c r="R5" s="1" t="s">
        <v>27</v>
      </c>
      <c r="S5" s="1" t="s">
        <v>27</v>
      </c>
      <c r="U5">
        <f>19/60</f>
        <v>0.31666666666666665</v>
      </c>
      <c r="V5">
        <f t="shared" ref="V5:V26" si="1">(10^N5)*6000*0.000001/60</f>
        <v>0.40000000000000063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F6" s="13">
        <f t="shared" si="0"/>
        <v>3.0681858617461617</v>
      </c>
      <c r="G6" s="9" t="s">
        <v>32</v>
      </c>
      <c r="H6" s="2">
        <v>4.8</v>
      </c>
      <c r="I6">
        <v>0</v>
      </c>
      <c r="J6">
        <v>1</v>
      </c>
      <c r="K6">
        <v>3</v>
      </c>
      <c r="L6">
        <v>2.6</v>
      </c>
      <c r="M6">
        <v>2.6</v>
      </c>
      <c r="N6">
        <f>LOG10(2907)</f>
        <v>3.4634450317704277</v>
      </c>
      <c r="O6" s="1" t="s">
        <v>28</v>
      </c>
      <c r="P6" s="1" t="s">
        <v>27</v>
      </c>
      <c r="Q6" s="1" t="s">
        <v>28</v>
      </c>
      <c r="R6" s="1" t="s">
        <v>28</v>
      </c>
      <c r="S6" s="1" t="s">
        <v>28</v>
      </c>
      <c r="V6">
        <f t="shared" si="1"/>
        <v>0.29070000000000012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 s="13">
        <f t="shared" si="0"/>
        <v>4.0843617585514052</v>
      </c>
      <c r="G7" t="s">
        <v>31</v>
      </c>
      <c r="H7" s="2">
        <v>2.4</v>
      </c>
      <c r="I7">
        <v>4</v>
      </c>
      <c r="J7">
        <v>3</v>
      </c>
      <c r="K7">
        <v>6</v>
      </c>
      <c r="L7">
        <v>3.6</v>
      </c>
      <c r="M7">
        <v>3.6</v>
      </c>
      <c r="N7">
        <f>LOG10(4965)</f>
        <v>3.6959192528313998</v>
      </c>
      <c r="O7" s="1" t="s">
        <v>28</v>
      </c>
      <c r="P7" s="1" t="s">
        <v>27</v>
      </c>
      <c r="Q7" s="1" t="s">
        <v>27</v>
      </c>
      <c r="R7" s="1" t="s">
        <v>27</v>
      </c>
      <c r="S7" s="1" t="s">
        <v>27</v>
      </c>
      <c r="U7">
        <f>33/60</f>
        <v>0.55000000000000004</v>
      </c>
      <c r="V7">
        <f t="shared" si="1"/>
        <v>0.49650000000000016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 s="13">
        <f t="shared" si="0"/>
        <v>7.0600546084112592</v>
      </c>
      <c r="G8" t="s">
        <v>31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v>12.05</v>
      </c>
      <c r="N8">
        <f>LOG10(275763)</f>
        <v>5.4405359950748213</v>
      </c>
      <c r="O8" s="1" t="s">
        <v>28</v>
      </c>
      <c r="P8" s="1" t="s">
        <v>27</v>
      </c>
      <c r="Q8" s="1" t="s">
        <v>27</v>
      </c>
      <c r="R8" s="1" t="s">
        <v>28</v>
      </c>
      <c r="S8" s="1" t="s">
        <v>27</v>
      </c>
      <c r="U8">
        <f>958/60</f>
        <v>15.966666666666667</v>
      </c>
      <c r="V8">
        <f t="shared" si="1"/>
        <v>27.576300000000046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 s="13">
        <f t="shared" si="0"/>
        <v>4.6979699765543392</v>
      </c>
      <c r="G9" t="s">
        <v>31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v>5.5E-2</v>
      </c>
      <c r="N9">
        <f>LOG10(5144)</f>
        <v>3.7113009599161657</v>
      </c>
      <c r="O9" s="1" t="s">
        <v>27</v>
      </c>
      <c r="P9" s="1" t="s">
        <v>27</v>
      </c>
      <c r="Q9" s="1" t="s">
        <v>28</v>
      </c>
      <c r="R9" s="1" t="s">
        <v>28</v>
      </c>
      <c r="S9" s="1" t="s">
        <v>27</v>
      </c>
      <c r="U9">
        <f>59/60</f>
        <v>0.98333333333333328</v>
      </c>
      <c r="V9">
        <f t="shared" si="1"/>
        <v>0.51440000000000086</v>
      </c>
    </row>
    <row r="10" spans="1:22" x14ac:dyDescent="0.25">
      <c r="B10" t="s">
        <v>25</v>
      </c>
      <c r="C10">
        <v>14</v>
      </c>
      <c r="D10">
        <v>390</v>
      </c>
      <c r="E10">
        <v>694</v>
      </c>
      <c r="F10" s="13">
        <f t="shared" si="0"/>
        <v>5.4324240774813539</v>
      </c>
      <c r="G10" t="s">
        <v>31</v>
      </c>
      <c r="H10" s="2">
        <v>13.8</v>
      </c>
      <c r="I10">
        <v>0</v>
      </c>
      <c r="J10">
        <v>0</v>
      </c>
      <c r="L10">
        <v>42.8</v>
      </c>
      <c r="M10">
        <v>42.8</v>
      </c>
      <c r="N10" s="15">
        <f>LOG10(12061)</f>
        <v>4.0813833174622856</v>
      </c>
      <c r="O10" s="1" t="s">
        <v>27</v>
      </c>
      <c r="P10" s="1" t="s">
        <v>27</v>
      </c>
      <c r="Q10" s="1" t="s">
        <v>28</v>
      </c>
      <c r="R10" s="1" t="s">
        <v>28</v>
      </c>
      <c r="S10" s="1" t="s">
        <v>27</v>
      </c>
      <c r="U10">
        <f>145/60</f>
        <v>2.4166666666666665</v>
      </c>
      <c r="V10">
        <f t="shared" si="1"/>
        <v>1.2061000000000024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6">
        <f t="shared" si="0"/>
        <v>6.6163958946881101</v>
      </c>
      <c r="G11" s="6" t="s">
        <v>31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 s="6">
        <v>16.3</v>
      </c>
      <c r="N11">
        <f>LOG10(32321)</f>
        <v>4.50948478922394</v>
      </c>
      <c r="O11" s="8" t="s">
        <v>28</v>
      </c>
      <c r="P11" s="8" t="s">
        <v>27</v>
      </c>
      <c r="Q11" s="8" t="s">
        <v>28</v>
      </c>
      <c r="R11" s="8" t="s">
        <v>28</v>
      </c>
      <c r="S11" s="8" t="s">
        <v>27</v>
      </c>
      <c r="U11">
        <f>371/60</f>
        <v>6.1833333333333336</v>
      </c>
      <c r="V11">
        <f t="shared" si="1"/>
        <v>3.2321000000000004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3">
        <f t="shared" si="0"/>
        <v>6.0371634509935488</v>
      </c>
      <c r="G12" t="s">
        <v>31</v>
      </c>
      <c r="H12" s="2">
        <v>12.47</v>
      </c>
      <c r="I12">
        <v>2</v>
      </c>
      <c r="J12">
        <v>0</v>
      </c>
      <c r="K12">
        <v>4</v>
      </c>
      <c r="L12">
        <v>78</v>
      </c>
      <c r="M12">
        <v>19.3</v>
      </c>
      <c r="N12">
        <f>LOG10(17450)</f>
        <v>4.2417954312951984</v>
      </c>
      <c r="O12" s="1" t="s">
        <v>27</v>
      </c>
      <c r="P12" s="1" t="s">
        <v>27</v>
      </c>
      <c r="Q12" s="1" t="s">
        <v>28</v>
      </c>
      <c r="R12" s="1" t="s">
        <v>28</v>
      </c>
      <c r="S12" s="1" t="s">
        <v>27</v>
      </c>
      <c r="T12" t="s">
        <v>79</v>
      </c>
      <c r="U12">
        <f>367/60</f>
        <v>6.1166666666666663</v>
      </c>
      <c r="V12">
        <f t="shared" si="1"/>
        <v>1.7450000000000003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3">
        <f t="shared" si="0"/>
        <v>7.3723904998005798</v>
      </c>
      <c r="G13" t="s">
        <v>31</v>
      </c>
      <c r="H13" s="2">
        <v>34.5</v>
      </c>
      <c r="I13">
        <v>3</v>
      </c>
      <c r="J13">
        <v>1</v>
      </c>
      <c r="K13">
        <v>10</v>
      </c>
      <c r="L13">
        <v>52.2</v>
      </c>
      <c r="M13">
        <v>69.400000000000006</v>
      </c>
      <c r="N13" s="15">
        <f>LOG10(87955)</f>
        <v>4.9442605329428515</v>
      </c>
      <c r="O13" s="1" t="s">
        <v>27</v>
      </c>
      <c r="P13" s="1" t="s">
        <v>27</v>
      </c>
      <c r="Q13" s="1" t="s">
        <v>27</v>
      </c>
      <c r="R13" s="1" t="s">
        <v>28</v>
      </c>
      <c r="S13" s="1" t="s">
        <v>27</v>
      </c>
      <c r="U13">
        <f>1996/60</f>
        <v>33.266666666666666</v>
      </c>
      <c r="V13">
        <f t="shared" si="1"/>
        <v>8.7955000000000005</v>
      </c>
    </row>
    <row r="14" spans="1:22" ht="15.75" thickBot="1" x14ac:dyDescent="0.3">
      <c r="A14" s="5" t="s">
        <v>21</v>
      </c>
      <c r="B14" s="6" t="s">
        <v>22</v>
      </c>
      <c r="C14" s="6">
        <v>19</v>
      </c>
      <c r="D14" s="6">
        <v>4888</v>
      </c>
      <c r="E14" s="6">
        <v>1384</v>
      </c>
      <c r="F14" s="6">
        <f t="shared" si="0"/>
        <v>6.8302672873552366</v>
      </c>
      <c r="G14" s="6" t="s">
        <v>31</v>
      </c>
      <c r="H14" s="7">
        <v>12.47</v>
      </c>
      <c r="I14" s="6">
        <v>5</v>
      </c>
      <c r="J14" s="6">
        <v>9</v>
      </c>
      <c r="K14" s="6"/>
      <c r="L14" s="6">
        <v>11.6</v>
      </c>
      <c r="M14" s="6">
        <v>11.6</v>
      </c>
      <c r="N14">
        <f>LOG10(26279)</f>
        <v>4.4196088349081029</v>
      </c>
      <c r="O14" s="8" t="s">
        <v>27</v>
      </c>
      <c r="P14" s="8" t="s">
        <v>27</v>
      </c>
      <c r="Q14" s="8" t="s">
        <v>27</v>
      </c>
      <c r="R14" s="8" t="s">
        <v>28</v>
      </c>
      <c r="S14" s="8" t="s">
        <v>27</v>
      </c>
      <c r="T14" t="s">
        <v>63</v>
      </c>
      <c r="U14">
        <f>551/60</f>
        <v>9.1833333333333336</v>
      </c>
      <c r="V14">
        <f t="shared" si="1"/>
        <v>2.6279000000000017</v>
      </c>
    </row>
    <row r="15" spans="1:22" ht="15.75" thickTop="1" x14ac:dyDescent="0.25">
      <c r="B15" t="s">
        <v>23</v>
      </c>
      <c r="C15">
        <v>20</v>
      </c>
      <c r="D15">
        <v>1282</v>
      </c>
      <c r="E15">
        <v>332</v>
      </c>
      <c r="F15" s="13">
        <f t="shared" si="0"/>
        <v>5.6290261088868352</v>
      </c>
      <c r="G15" t="s">
        <v>31</v>
      </c>
      <c r="H15" s="2">
        <v>13.2</v>
      </c>
      <c r="I15">
        <v>1</v>
      </c>
      <c r="J15">
        <v>1</v>
      </c>
      <c r="L15">
        <v>12.74</v>
      </c>
      <c r="M15">
        <v>12.74</v>
      </c>
      <c r="N15">
        <f>LOG10(20153)</f>
        <v>4.3043397048923389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27</v>
      </c>
      <c r="U15">
        <f>107/60</f>
        <v>1.7833333333333334</v>
      </c>
      <c r="V15">
        <f t="shared" si="1"/>
        <v>2.0153000000000025</v>
      </c>
    </row>
    <row r="16" spans="1:22" x14ac:dyDescent="0.25">
      <c r="B16" t="s">
        <v>24</v>
      </c>
      <c r="C16">
        <v>21</v>
      </c>
      <c r="D16">
        <v>2596</v>
      </c>
      <c r="E16">
        <v>1470</v>
      </c>
      <c r="F16" s="13">
        <f t="shared" si="0"/>
        <v>6.5816220228765081</v>
      </c>
      <c r="G16" t="s">
        <v>31</v>
      </c>
      <c r="H16" s="2">
        <v>12.47</v>
      </c>
      <c r="I16">
        <v>3</v>
      </c>
      <c r="J16">
        <v>1</v>
      </c>
      <c r="L16">
        <v>15.67</v>
      </c>
      <c r="M16">
        <v>15.67</v>
      </c>
      <c r="N16" s="15">
        <f>LOG10(27688)</f>
        <v>4.4422915862860712</v>
      </c>
      <c r="O16" s="1" t="s">
        <v>27</v>
      </c>
      <c r="P16" s="1" t="s">
        <v>27</v>
      </c>
      <c r="Q16" s="1" t="s">
        <v>27</v>
      </c>
      <c r="R16" s="1" t="s">
        <v>28</v>
      </c>
      <c r="S16" s="1" t="s">
        <v>27</v>
      </c>
      <c r="U16">
        <f>445/60</f>
        <v>7.416666666666667</v>
      </c>
      <c r="V16">
        <f t="shared" si="1"/>
        <v>2.7688000000000015</v>
      </c>
    </row>
    <row r="17" spans="1:22" ht="15.75" thickBot="1" x14ac:dyDescent="0.3">
      <c r="A17" s="5" t="s">
        <v>34</v>
      </c>
      <c r="B17" s="11" t="s">
        <v>39</v>
      </c>
      <c r="C17" s="19" t="s">
        <v>62</v>
      </c>
      <c r="D17" s="6">
        <v>907</v>
      </c>
      <c r="E17" s="6">
        <v>55</v>
      </c>
      <c r="F17" s="6">
        <f t="shared" si="0"/>
        <v>4.6979699765543392</v>
      </c>
      <c r="G17" s="6" t="s">
        <v>31</v>
      </c>
      <c r="H17" s="7">
        <v>0.41599999999999998</v>
      </c>
      <c r="I17" s="6">
        <v>0</v>
      </c>
      <c r="J17" s="6">
        <v>0</v>
      </c>
      <c r="K17" s="6"/>
      <c r="L17" s="6">
        <f>E17*0.001</f>
        <v>5.5E-2</v>
      </c>
      <c r="M17" s="6">
        <v>5.5E-2</v>
      </c>
      <c r="N17">
        <f>LOG10(10388)</f>
        <v>4.0165319409572655</v>
      </c>
      <c r="O17" s="8" t="s">
        <v>27</v>
      </c>
      <c r="P17" s="8" t="s">
        <v>27</v>
      </c>
      <c r="Q17" s="8" t="s">
        <v>28</v>
      </c>
      <c r="R17" s="8" t="s">
        <v>28</v>
      </c>
      <c r="S17" s="8" t="s">
        <v>27</v>
      </c>
      <c r="V17">
        <f t="shared" si="1"/>
        <v>1.0388000000000011</v>
      </c>
    </row>
    <row r="18" spans="1:22" ht="15.75" thickTop="1" x14ac:dyDescent="0.25">
      <c r="B18" s="12" t="s">
        <v>40</v>
      </c>
      <c r="C18" s="20" t="s">
        <v>62</v>
      </c>
      <c r="D18">
        <v>2287</v>
      </c>
      <c r="E18">
        <v>175</v>
      </c>
      <c r="F18" s="13">
        <f t="shared" si="0"/>
        <v>5.602304213293043</v>
      </c>
      <c r="G18" t="s">
        <v>31</v>
      </c>
      <c r="H18" s="2">
        <v>0.41599999999999998</v>
      </c>
      <c r="I18">
        <v>0</v>
      </c>
      <c r="J18">
        <v>0</v>
      </c>
      <c r="L18" s="13">
        <f t="shared" ref="L18:L26" si="2">E18*0.001</f>
        <v>0.17500000000000002</v>
      </c>
      <c r="M18" s="13">
        <v>0.17500000000000002</v>
      </c>
      <c r="N18">
        <f>LOG10(24732)</f>
        <v>4.3932592378268378</v>
      </c>
      <c r="O18" s="1" t="s">
        <v>27</v>
      </c>
      <c r="P18" s="1" t="s">
        <v>27</v>
      </c>
      <c r="Q18" s="1" t="s">
        <v>28</v>
      </c>
      <c r="R18" s="1" t="s">
        <v>28</v>
      </c>
      <c r="S18" s="1" t="s">
        <v>27</v>
      </c>
      <c r="V18">
        <f t="shared" si="1"/>
        <v>2.4732000000000034</v>
      </c>
    </row>
    <row r="19" spans="1:22" x14ac:dyDescent="0.25">
      <c r="B19" s="12" t="s">
        <v>41</v>
      </c>
      <c r="C19" s="20" t="s">
        <v>62</v>
      </c>
      <c r="D19">
        <v>1304</v>
      </c>
      <c r="E19">
        <v>94</v>
      </c>
      <c r="F19" s="13">
        <f t="shared" si="0"/>
        <v>5.0884054449956002</v>
      </c>
      <c r="G19" t="s">
        <v>31</v>
      </c>
      <c r="H19" s="2">
        <v>0.41599999999999998</v>
      </c>
      <c r="I19">
        <v>0</v>
      </c>
      <c r="J19">
        <v>0</v>
      </c>
      <c r="L19" s="13">
        <f t="shared" si="2"/>
        <v>9.4E-2</v>
      </c>
      <c r="M19" s="13">
        <v>9.4E-2</v>
      </c>
      <c r="N19">
        <f>LOG10(24431)</f>
        <v>4.3879412437066989</v>
      </c>
      <c r="O19" s="1" t="s">
        <v>27</v>
      </c>
      <c r="P19" s="1" t="s">
        <v>27</v>
      </c>
      <c r="Q19" s="1" t="s">
        <v>28</v>
      </c>
      <c r="R19" s="1" t="s">
        <v>28</v>
      </c>
      <c r="S19" s="1" t="s">
        <v>27</v>
      </c>
      <c r="V19">
        <f t="shared" si="1"/>
        <v>2.4431000000000025</v>
      </c>
    </row>
    <row r="20" spans="1:22" x14ac:dyDescent="0.25">
      <c r="B20" s="12" t="s">
        <v>37</v>
      </c>
      <c r="C20" s="20" t="s">
        <v>62</v>
      </c>
      <c r="D20">
        <v>375</v>
      </c>
      <c r="E20">
        <v>24</v>
      </c>
      <c r="F20" s="13">
        <f t="shared" si="0"/>
        <v>3.9542425094393248</v>
      </c>
      <c r="G20" t="s">
        <v>31</v>
      </c>
      <c r="H20" s="2">
        <v>0.41599999999999998</v>
      </c>
      <c r="I20">
        <v>0</v>
      </c>
      <c r="J20">
        <v>0</v>
      </c>
      <c r="L20" s="13">
        <f t="shared" si="2"/>
        <v>2.4E-2</v>
      </c>
      <c r="M20" s="13">
        <v>2.4E-2</v>
      </c>
      <c r="N20">
        <f>LOG10(6773)</f>
        <v>3.8307810756063612</v>
      </c>
      <c r="O20" s="1" t="s">
        <v>27</v>
      </c>
      <c r="P20" s="1" t="s">
        <v>27</v>
      </c>
      <c r="Q20" s="1" t="s">
        <v>28</v>
      </c>
      <c r="R20" s="1" t="s">
        <v>28</v>
      </c>
      <c r="S20" s="1" t="s">
        <v>27</v>
      </c>
      <c r="V20">
        <f t="shared" si="1"/>
        <v>0.67730000000000024</v>
      </c>
    </row>
    <row r="21" spans="1:22" x14ac:dyDescent="0.25">
      <c r="B21" s="12" t="s">
        <v>35</v>
      </c>
      <c r="C21" s="20" t="s">
        <v>62</v>
      </c>
      <c r="D21">
        <v>1605</v>
      </c>
      <c r="E21">
        <v>115</v>
      </c>
      <c r="F21" s="13">
        <f t="shared" si="0"/>
        <v>5.2661728770945029</v>
      </c>
      <c r="G21" t="s">
        <v>31</v>
      </c>
      <c r="H21" s="2">
        <v>0.41599999999999998</v>
      </c>
      <c r="I21">
        <v>0</v>
      </c>
      <c r="J21">
        <v>0</v>
      </c>
      <c r="L21" s="13">
        <f t="shared" si="2"/>
        <v>0.115</v>
      </c>
      <c r="M21" s="13">
        <v>0.115</v>
      </c>
      <c r="N21">
        <f>LOG10(26276)</f>
        <v>4.4195592531957208</v>
      </c>
      <c r="O21" s="1" t="s">
        <v>27</v>
      </c>
      <c r="P21" s="1" t="s">
        <v>27</v>
      </c>
      <c r="Q21" s="1" t="s">
        <v>28</v>
      </c>
      <c r="R21" s="1" t="s">
        <v>28</v>
      </c>
      <c r="S21" s="1" t="s">
        <v>27</v>
      </c>
      <c r="V21">
        <f t="shared" si="1"/>
        <v>2.6276000000000033</v>
      </c>
    </row>
    <row r="22" spans="1:22" x14ac:dyDescent="0.25">
      <c r="B22" s="12" t="s">
        <v>36</v>
      </c>
      <c r="C22" s="20" t="s">
        <v>62</v>
      </c>
      <c r="D22">
        <v>1545</v>
      </c>
      <c r="E22">
        <v>186</v>
      </c>
      <c r="F22" s="13">
        <f t="shared" si="0"/>
        <v>5.4584414279787694</v>
      </c>
      <c r="G22" t="s">
        <v>31</v>
      </c>
      <c r="H22" s="2">
        <v>0.41599999999999998</v>
      </c>
      <c r="I22">
        <v>0</v>
      </c>
      <c r="J22">
        <v>0</v>
      </c>
      <c r="L22" s="13">
        <f t="shared" si="2"/>
        <v>0.186</v>
      </c>
      <c r="M22" s="13">
        <v>0.186</v>
      </c>
      <c r="N22">
        <f>LOG10(20720)</f>
        <v>4.3163897510731957</v>
      </c>
      <c r="O22" s="1" t="s">
        <v>27</v>
      </c>
      <c r="P22" s="1" t="s">
        <v>27</v>
      </c>
      <c r="Q22" s="1" t="s">
        <v>28</v>
      </c>
      <c r="R22" s="1" t="s">
        <v>28</v>
      </c>
      <c r="S22" s="1" t="s">
        <v>27</v>
      </c>
      <c r="V22">
        <f t="shared" si="1"/>
        <v>2.0720000000000023</v>
      </c>
    </row>
    <row r="23" spans="1:22" x14ac:dyDescent="0.25">
      <c r="B23" s="12">
        <v>193</v>
      </c>
      <c r="C23" s="20" t="s">
        <v>62</v>
      </c>
      <c r="D23">
        <v>1391</v>
      </c>
      <c r="E23">
        <v>65</v>
      </c>
      <c r="F23" s="13">
        <f t="shared" si="0"/>
        <v>4.9562404866349024</v>
      </c>
      <c r="G23" t="s">
        <v>31</v>
      </c>
      <c r="H23" s="2">
        <v>0.41599999999999998</v>
      </c>
      <c r="I23">
        <v>0</v>
      </c>
      <c r="J23">
        <v>0</v>
      </c>
      <c r="L23" s="13">
        <f t="shared" si="2"/>
        <v>6.5000000000000002E-2</v>
      </c>
      <c r="M23" s="13">
        <v>6.5000000000000002E-2</v>
      </c>
      <c r="N23">
        <f>LOG10(16241)</f>
        <v>4.2106127663528978</v>
      </c>
      <c r="O23" s="1" t="s">
        <v>27</v>
      </c>
      <c r="P23" s="1" t="s">
        <v>27</v>
      </c>
      <c r="Q23" s="1" t="s">
        <v>28</v>
      </c>
      <c r="R23" s="1" t="s">
        <v>28</v>
      </c>
      <c r="S23" s="1" t="s">
        <v>27</v>
      </c>
      <c r="V23">
        <f t="shared" si="1"/>
        <v>1.624100000000001</v>
      </c>
    </row>
    <row r="24" spans="1:22" x14ac:dyDescent="0.25">
      <c r="B24" s="12">
        <v>162</v>
      </c>
      <c r="C24" s="20" t="s">
        <v>62</v>
      </c>
      <c r="D24">
        <v>1077</v>
      </c>
      <c r="E24">
        <v>73</v>
      </c>
      <c r="F24" s="13">
        <f t="shared" si="0"/>
        <v>4.8955385634184374</v>
      </c>
      <c r="G24" t="s">
        <v>31</v>
      </c>
      <c r="H24" s="2">
        <v>0.41599999999999998</v>
      </c>
      <c r="I24">
        <v>0</v>
      </c>
      <c r="J24">
        <v>0</v>
      </c>
      <c r="L24" s="13">
        <f t="shared" si="2"/>
        <v>7.2999999999999995E-2</v>
      </c>
      <c r="M24" s="13">
        <v>7.2999999999999995E-2</v>
      </c>
      <c r="N24">
        <f>LOG10(10072)</f>
        <v>4.0031157170998064</v>
      </c>
      <c r="O24" s="1" t="s">
        <v>27</v>
      </c>
      <c r="P24" s="1" t="s">
        <v>27</v>
      </c>
      <c r="Q24" s="1" t="s">
        <v>28</v>
      </c>
      <c r="R24" s="1" t="s">
        <v>28</v>
      </c>
      <c r="S24" s="1" t="s">
        <v>27</v>
      </c>
      <c r="V24">
        <f t="shared" si="1"/>
        <v>1.0072000000000012</v>
      </c>
    </row>
    <row r="25" spans="1:22" x14ac:dyDescent="0.25">
      <c r="B25" s="12">
        <v>213</v>
      </c>
      <c r="C25" s="20" t="s">
        <v>62</v>
      </c>
      <c r="D25">
        <v>844</v>
      </c>
      <c r="E25">
        <v>67</v>
      </c>
      <c r="F25" s="13">
        <f t="shared" si="0"/>
        <v>4.7524172493264816</v>
      </c>
      <c r="G25" t="s">
        <v>31</v>
      </c>
      <c r="H25" s="2">
        <v>0.41599999999999998</v>
      </c>
      <c r="I25">
        <v>0</v>
      </c>
      <c r="J25">
        <v>0</v>
      </c>
      <c r="L25" s="13">
        <f t="shared" si="2"/>
        <v>6.7000000000000004E-2</v>
      </c>
      <c r="M25" s="13">
        <v>6.7000000000000004E-2</v>
      </c>
      <c r="N25">
        <f>LOG10(7623)</f>
        <v>3.882125919770032</v>
      </c>
      <c r="O25" s="1" t="s">
        <v>27</v>
      </c>
      <c r="P25" s="1" t="s">
        <v>27</v>
      </c>
      <c r="Q25" s="1" t="s">
        <v>28</v>
      </c>
      <c r="R25" s="1" t="s">
        <v>28</v>
      </c>
      <c r="S25" s="1" t="s">
        <v>27</v>
      </c>
      <c r="V25">
        <f t="shared" si="1"/>
        <v>0.76230000000000087</v>
      </c>
    </row>
    <row r="26" spans="1:22" x14ac:dyDescent="0.25">
      <c r="B26" s="12" t="s">
        <v>37</v>
      </c>
      <c r="C26" s="20" t="s">
        <v>62</v>
      </c>
      <c r="D26">
        <v>375</v>
      </c>
      <c r="E26">
        <v>24</v>
      </c>
      <c r="F26" s="13">
        <f t="shared" si="0"/>
        <v>3.9542425094393248</v>
      </c>
      <c r="G26" t="s">
        <v>31</v>
      </c>
      <c r="H26" s="2">
        <v>0.41599999999999998</v>
      </c>
      <c r="I26">
        <v>0</v>
      </c>
      <c r="J26">
        <v>0</v>
      </c>
      <c r="L26" s="13">
        <f t="shared" si="2"/>
        <v>2.4E-2</v>
      </c>
      <c r="M26" s="13">
        <v>2.4E-2</v>
      </c>
      <c r="N26">
        <f>LOG10(5757)</f>
        <v>3.7601962294551341</v>
      </c>
      <c r="O26" s="1" t="s">
        <v>27</v>
      </c>
      <c r="P26" s="1" t="s">
        <v>27</v>
      </c>
      <c r="Q26" s="1" t="s">
        <v>28</v>
      </c>
      <c r="R26" s="1" t="s">
        <v>28</v>
      </c>
      <c r="S26" s="1" t="s">
        <v>27</v>
      </c>
      <c r="V26">
        <f t="shared" si="1"/>
        <v>0.5757000000000001</v>
      </c>
    </row>
    <row r="29" spans="1:22" x14ac:dyDescent="0.25">
      <c r="A29" t="s">
        <v>38</v>
      </c>
    </row>
  </sheetData>
  <mergeCells count="1">
    <mergeCell ref="O1:S1"/>
  </mergeCells>
  <conditionalFormatting sqref="O3:O16 R3:R16">
    <cfRule type="cellIs" dxfId="27" priority="39" operator="equal">
      <formula>0</formula>
    </cfRule>
    <cfRule type="cellIs" dxfId="26" priority="40" operator="equal">
      <formula>"O"</formula>
    </cfRule>
    <cfRule type="cellIs" dxfId="25" priority="41" operator="equal">
      <formula>"X"</formula>
    </cfRule>
  </conditionalFormatting>
  <conditionalFormatting sqref="D3:D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G16 G17:G26 F4:F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35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34">
      <colorScale>
        <cfvo type="min"/>
        <cfvo type="max"/>
        <color rgb="FFFCFCFF"/>
        <color rgb="FFF8696B"/>
      </colorScale>
    </cfRule>
  </conditionalFormatting>
  <conditionalFormatting sqref="L3:L16 N3:N26">
    <cfRule type="colorScale" priority="33">
      <colorScale>
        <cfvo type="min"/>
        <cfvo type="max"/>
        <color rgb="FFFCFCFF"/>
        <color rgb="FF63BE7B"/>
      </colorScale>
    </cfRule>
  </conditionalFormatting>
  <conditionalFormatting sqref="G3:G26">
    <cfRule type="cellIs" dxfId="24" priority="32" operator="equal">
      <formula>"Y"</formula>
    </cfRule>
  </conditionalFormatting>
  <conditionalFormatting sqref="R17:R26">
    <cfRule type="cellIs" dxfId="23" priority="29" operator="equal">
      <formula>0</formula>
    </cfRule>
    <cfRule type="cellIs" dxfId="22" priority="30" operator="equal">
      <formula>"O"</formula>
    </cfRule>
    <cfRule type="cellIs" dxfId="21" priority="31" operator="equal">
      <formula>"X"</formula>
    </cfRule>
  </conditionalFormatting>
  <conditionalFormatting sqref="O17:O26">
    <cfRule type="cellIs" dxfId="20" priority="26" operator="equal">
      <formula>0</formula>
    </cfRule>
    <cfRule type="cellIs" dxfId="19" priority="27" operator="equal">
      <formula>"O"</formula>
    </cfRule>
    <cfRule type="cellIs" dxfId="18" priority="28" operator="equal">
      <formula>"X"</formula>
    </cfRule>
  </conditionalFormatting>
  <conditionalFormatting sqref="I3:J26">
    <cfRule type="colorScale" priority="25">
      <colorScale>
        <cfvo type="min"/>
        <cfvo type="max"/>
        <color rgb="FFFCFCFF"/>
        <color rgb="FFF8696B"/>
      </colorScale>
    </cfRule>
  </conditionalFormatting>
  <conditionalFormatting sqref="D3:F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6 N3:N26">
    <cfRule type="colorScale" priority="23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">
    <cfRule type="cellIs" dxfId="17" priority="19" operator="equal">
      <formula>0</formula>
    </cfRule>
    <cfRule type="cellIs" dxfId="16" priority="20" operator="equal">
      <formula>"O"</formula>
    </cfRule>
    <cfRule type="cellIs" dxfId="15" priority="21" operator="equal">
      <formula>"X"</formula>
    </cfRule>
  </conditionalFormatting>
  <conditionalFormatting sqref="S17:S26">
    <cfRule type="cellIs" dxfId="14" priority="16" operator="equal">
      <formula>0</formula>
    </cfRule>
    <cfRule type="cellIs" dxfId="13" priority="17" operator="equal">
      <formula>"O"</formula>
    </cfRule>
    <cfRule type="cellIs" dxfId="12" priority="18" operator="equal">
      <formula>"X"</formula>
    </cfRule>
  </conditionalFormatting>
  <conditionalFormatting sqref="Q3:Q16">
    <cfRule type="cellIs" dxfId="11" priority="13" operator="equal">
      <formula>0</formula>
    </cfRule>
    <cfRule type="cellIs" dxfId="10" priority="14" operator="equal">
      <formula>"O"</formula>
    </cfRule>
    <cfRule type="cellIs" dxfId="9" priority="15" operator="equal">
      <formula>"X"</formula>
    </cfRule>
  </conditionalFormatting>
  <conditionalFormatting sqref="Q17:Q26">
    <cfRule type="cellIs" dxfId="8" priority="10" operator="equal">
      <formula>0</formula>
    </cfRule>
    <cfRule type="cellIs" dxfId="7" priority="11" operator="equal">
      <formula>"O"</formula>
    </cfRule>
    <cfRule type="cellIs" dxfId="6" priority="12" operator="equal">
      <formula>"X"</formula>
    </cfRule>
  </conditionalFormatting>
  <conditionalFormatting sqref="N3:N26">
    <cfRule type="colorScale" priority="9">
      <colorScale>
        <cfvo type="min"/>
        <cfvo type="max"/>
        <color rgb="FFFCFCFF"/>
        <color rgb="FF63BE7B"/>
      </colorScale>
    </cfRule>
  </conditionalFormatting>
  <conditionalFormatting sqref="P3:P16">
    <cfRule type="cellIs" dxfId="5" priority="6" operator="equal">
      <formula>0</formula>
    </cfRule>
    <cfRule type="cellIs" dxfId="4" priority="7" operator="equal">
      <formula>"O"</formula>
    </cfRule>
    <cfRule type="cellIs" dxfId="3" priority="8" operator="equal">
      <formula>"X"</formula>
    </cfRule>
  </conditionalFormatting>
  <conditionalFormatting sqref="P17:P26">
    <cfRule type="cellIs" dxfId="2" priority="3" operator="equal">
      <formula>0</formula>
    </cfRule>
    <cfRule type="cellIs" dxfId="1" priority="4" operator="equal">
      <formula>"O"</formula>
    </cfRule>
    <cfRule type="cellIs" dxfId="0" priority="5" operator="equal">
      <formula>"X"</formula>
    </cfRule>
  </conditionalFormatting>
  <conditionalFormatting sqref="M3:M16">
    <cfRule type="colorScale" priority="2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49</v>
      </c>
      <c r="D1" t="s">
        <v>50</v>
      </c>
      <c r="E1" t="s">
        <v>51</v>
      </c>
      <c r="F1" t="s">
        <v>54</v>
      </c>
      <c r="G1" t="s">
        <v>52</v>
      </c>
      <c r="H1" t="s">
        <v>53</v>
      </c>
      <c r="I1" t="s">
        <v>55</v>
      </c>
      <c r="J1" t="s">
        <v>56</v>
      </c>
      <c r="K1" t="s">
        <v>60</v>
      </c>
      <c r="L1" t="s">
        <v>61</v>
      </c>
      <c r="M1" t="s">
        <v>59</v>
      </c>
    </row>
    <row r="2" spans="1:13" x14ac:dyDescent="0.25">
      <c r="A2" t="s">
        <v>58</v>
      </c>
      <c r="B2" t="s">
        <v>57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25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21</v>
      </c>
      <c r="B14" s="6" t="s">
        <v>22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23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24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34</v>
      </c>
      <c r="B17" s="11" t="s">
        <v>39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40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41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37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35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36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37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selection activeCell="A8" sqref="A8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47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25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22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23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24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G16" sqref="G16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</cols>
  <sheetData>
    <row r="1" spans="1:7" ht="15.75" thickBot="1" x14ac:dyDescent="0.3">
      <c r="A1" s="3" t="s">
        <v>12</v>
      </c>
      <c r="B1" s="3" t="s">
        <v>11</v>
      </c>
      <c r="C1" s="3" t="s">
        <v>48</v>
      </c>
      <c r="F1" t="s">
        <v>75</v>
      </c>
      <c r="G1" t="s">
        <v>78</v>
      </c>
    </row>
    <row r="2" spans="1:7" x14ac:dyDescent="0.25">
      <c r="A2" s="16"/>
      <c r="B2" s="16"/>
      <c r="C2" s="16"/>
    </row>
    <row r="3" spans="1:7" ht="15.75" thickBot="1" x14ac:dyDescent="0.3">
      <c r="A3" s="5" t="s">
        <v>0</v>
      </c>
      <c r="B3" s="6" t="s">
        <v>4</v>
      </c>
      <c r="C3" s="21" t="s">
        <v>62</v>
      </c>
    </row>
    <row r="4" spans="1:7" ht="15.75" thickTop="1" x14ac:dyDescent="0.25">
      <c r="B4" t="s">
        <v>5</v>
      </c>
      <c r="C4">
        <v>5</v>
      </c>
      <c r="F4" t="s">
        <v>31</v>
      </c>
    </row>
    <row r="5" spans="1:7" x14ac:dyDescent="0.25">
      <c r="B5" t="s">
        <v>6</v>
      </c>
      <c r="C5">
        <v>6</v>
      </c>
      <c r="F5" t="s">
        <v>31</v>
      </c>
    </row>
    <row r="6" spans="1:7" x14ac:dyDescent="0.25">
      <c r="B6" t="s">
        <v>7</v>
      </c>
      <c r="C6">
        <v>7</v>
      </c>
    </row>
    <row r="7" spans="1:7" x14ac:dyDescent="0.25">
      <c r="B7" t="s">
        <v>8</v>
      </c>
      <c r="C7">
        <v>8</v>
      </c>
      <c r="F7" t="s">
        <v>76</v>
      </c>
      <c r="G7" t="s">
        <v>76</v>
      </c>
    </row>
    <row r="8" spans="1:7" x14ac:dyDescent="0.25">
      <c r="B8" t="s">
        <v>17</v>
      </c>
      <c r="C8">
        <v>9</v>
      </c>
      <c r="D8" t="s">
        <v>74</v>
      </c>
      <c r="F8" t="s">
        <v>77</v>
      </c>
      <c r="G8" t="s">
        <v>77</v>
      </c>
    </row>
    <row r="9" spans="1:7" x14ac:dyDescent="0.25">
      <c r="B9" t="s">
        <v>9</v>
      </c>
      <c r="C9">
        <v>0</v>
      </c>
    </row>
    <row r="10" spans="1:7" x14ac:dyDescent="0.25">
      <c r="B10" t="s">
        <v>25</v>
      </c>
      <c r="C10">
        <v>14</v>
      </c>
    </row>
    <row r="11" spans="1:7" ht="15.75" thickBot="1" x14ac:dyDescent="0.3">
      <c r="A11" s="5" t="s">
        <v>10</v>
      </c>
      <c r="B11" s="6" t="s">
        <v>14</v>
      </c>
      <c r="C11" s="6">
        <v>17</v>
      </c>
      <c r="D11" s="22" t="s">
        <v>64</v>
      </c>
      <c r="E11" t="s">
        <v>68</v>
      </c>
      <c r="F11" t="s">
        <v>77</v>
      </c>
      <c r="G11" t="s">
        <v>77</v>
      </c>
    </row>
    <row r="12" spans="1:7" ht="15.75" thickTop="1" x14ac:dyDescent="0.25">
      <c r="B12" t="s">
        <v>15</v>
      </c>
      <c r="C12" s="17">
        <v>18</v>
      </c>
      <c r="D12" t="s">
        <v>64</v>
      </c>
      <c r="E12" t="s">
        <v>69</v>
      </c>
      <c r="F12" t="s">
        <v>31</v>
      </c>
      <c r="G12" t="s">
        <v>76</v>
      </c>
    </row>
    <row r="13" spans="1:7" x14ac:dyDescent="0.25">
      <c r="B13" t="s">
        <v>16</v>
      </c>
      <c r="C13">
        <v>22</v>
      </c>
      <c r="D13" t="s">
        <v>64</v>
      </c>
      <c r="E13" t="s">
        <v>70</v>
      </c>
      <c r="F13" t="s">
        <v>31</v>
      </c>
      <c r="G13" t="s">
        <v>77</v>
      </c>
    </row>
    <row r="14" spans="1:7" ht="15.75" thickBot="1" x14ac:dyDescent="0.3">
      <c r="A14" s="5" t="s">
        <v>21</v>
      </c>
      <c r="B14" s="6" t="s">
        <v>22</v>
      </c>
      <c r="C14" s="6">
        <v>19</v>
      </c>
      <c r="D14" t="s">
        <v>65</v>
      </c>
      <c r="E14" t="s">
        <v>73</v>
      </c>
      <c r="F14" t="s">
        <v>31</v>
      </c>
      <c r="G14" t="s">
        <v>77</v>
      </c>
    </row>
    <row r="15" spans="1:7" ht="15.75" thickTop="1" x14ac:dyDescent="0.25">
      <c r="B15" t="s">
        <v>23</v>
      </c>
      <c r="C15">
        <v>20</v>
      </c>
      <c r="D15" t="s">
        <v>66</v>
      </c>
      <c r="E15" t="s">
        <v>72</v>
      </c>
      <c r="F15" t="s">
        <v>31</v>
      </c>
      <c r="G15" t="s">
        <v>77</v>
      </c>
    </row>
    <row r="16" spans="1:7" x14ac:dyDescent="0.25">
      <c r="B16" t="s">
        <v>24</v>
      </c>
      <c r="C16">
        <v>21</v>
      </c>
      <c r="D16" t="s">
        <v>67</v>
      </c>
      <c r="E16" t="s">
        <v>71</v>
      </c>
      <c r="F16" t="s">
        <v>31</v>
      </c>
      <c r="G16" t="s">
        <v>77</v>
      </c>
    </row>
    <row r="17" spans="1:3" ht="15.75" thickBot="1" x14ac:dyDescent="0.3">
      <c r="A17" s="5" t="s">
        <v>34</v>
      </c>
      <c r="B17" s="11" t="s">
        <v>39</v>
      </c>
      <c r="C17" s="19" t="s">
        <v>62</v>
      </c>
    </row>
    <row r="18" spans="1:3" ht="15.75" thickTop="1" x14ac:dyDescent="0.25">
      <c r="B18" s="12" t="s">
        <v>40</v>
      </c>
      <c r="C18" s="20" t="s">
        <v>62</v>
      </c>
    </row>
    <row r="19" spans="1:3" x14ac:dyDescent="0.25">
      <c r="B19" s="12" t="s">
        <v>41</v>
      </c>
      <c r="C19" s="20" t="s">
        <v>62</v>
      </c>
    </row>
    <row r="20" spans="1:3" x14ac:dyDescent="0.25">
      <c r="B20" s="12" t="s">
        <v>37</v>
      </c>
      <c r="C20" s="20" t="s">
        <v>62</v>
      </c>
    </row>
    <row r="21" spans="1:3" x14ac:dyDescent="0.25">
      <c r="B21" s="12" t="s">
        <v>35</v>
      </c>
      <c r="C21" s="20" t="s">
        <v>62</v>
      </c>
    </row>
    <row r="22" spans="1:3" x14ac:dyDescent="0.25">
      <c r="B22" s="12" t="s">
        <v>36</v>
      </c>
      <c r="C22" s="20" t="s">
        <v>62</v>
      </c>
    </row>
    <row r="23" spans="1:3" x14ac:dyDescent="0.25">
      <c r="B23" s="12">
        <v>193</v>
      </c>
      <c r="C23" s="20" t="s">
        <v>62</v>
      </c>
    </row>
    <row r="24" spans="1:3" x14ac:dyDescent="0.25">
      <c r="B24" s="12">
        <v>162</v>
      </c>
      <c r="C24" s="20" t="s">
        <v>62</v>
      </c>
    </row>
    <row r="25" spans="1:3" x14ac:dyDescent="0.25">
      <c r="B25" s="12">
        <v>213</v>
      </c>
      <c r="C25" s="20" t="s">
        <v>62</v>
      </c>
    </row>
    <row r="26" spans="1:3" x14ac:dyDescent="0.25">
      <c r="B26" s="12" t="s">
        <v>37</v>
      </c>
      <c r="C26" s="20" t="s">
        <v>62</v>
      </c>
    </row>
  </sheetData>
  <hyperlinks>
    <hyperlink ref="D1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sourceParams</vt:lpstr>
      <vt:lpstr>plotTts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2019-03-15T19:25:31Z</dcterms:modified>
</cp:coreProperties>
</file>