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" sheetId="1" r:id="rId1"/>
    <sheet name="sourceParams" sheetId="3" r:id="rId2"/>
    <sheet name="plotTts" sheetId="2" r:id="rId3"/>
    <sheet name="note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7" i="1" l="1"/>
  <c r="V5" i="1"/>
  <c r="V11" i="1"/>
  <c r="X16" i="1" l="1"/>
  <c r="X15" i="1"/>
  <c r="X14" i="1"/>
  <c r="X13" i="1"/>
  <c r="X12" i="1"/>
  <c r="X11" i="1"/>
  <c r="X10" i="1"/>
  <c r="X9" i="1"/>
  <c r="X8" i="1"/>
  <c r="X7" i="1"/>
  <c r="X5" i="1"/>
  <c r="X4" i="1"/>
  <c r="V4" i="1"/>
  <c r="N26" i="1" l="1"/>
  <c r="W26" i="1" s="1"/>
  <c r="N25" i="1"/>
  <c r="W25" i="1" s="1"/>
  <c r="N24" i="1"/>
  <c r="W24" i="1" s="1"/>
  <c r="N23" i="1"/>
  <c r="W23" i="1" s="1"/>
  <c r="N22" i="1"/>
  <c r="W22" i="1" s="1"/>
  <c r="N21" i="1"/>
  <c r="W21" i="1" s="1"/>
  <c r="N20" i="1"/>
  <c r="W20" i="1" s="1"/>
  <c r="N19" i="1"/>
  <c r="W19" i="1" s="1"/>
  <c r="N18" i="1"/>
  <c r="W18" i="1" s="1"/>
  <c r="N17" i="1"/>
  <c r="W17" i="1" s="1"/>
  <c r="F4" i="3" l="1"/>
  <c r="E4" i="3"/>
  <c r="D4" i="3"/>
  <c r="C4" i="3"/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N9" i="1"/>
  <c r="W9" i="1" s="1"/>
  <c r="N10" i="1"/>
  <c r="W10" i="1" s="1"/>
  <c r="N16" i="1"/>
  <c r="W16" i="1" s="1"/>
  <c r="N15" i="1"/>
  <c r="W15" i="1" s="1"/>
  <c r="N14" i="1"/>
  <c r="W14" i="1" s="1"/>
  <c r="N13" i="1"/>
  <c r="W13" i="1" s="1"/>
  <c r="N12" i="1"/>
  <c r="W12" i="1" s="1"/>
  <c r="N11" i="1"/>
  <c r="W11" i="1" s="1"/>
  <c r="N8" i="1"/>
  <c r="W8" i="1" s="1"/>
  <c r="N7" i="1"/>
  <c r="W7" i="1" s="1"/>
  <c r="N6" i="1"/>
  <c r="W6" i="1" s="1"/>
  <c r="N5" i="1"/>
  <c r="W5" i="1" s="1"/>
  <c r="N4" i="1"/>
  <c r="W4" i="1" s="1"/>
  <c r="I14" i="2" l="1"/>
  <c r="I10" i="2"/>
  <c r="I6" i="2"/>
  <c r="I13" i="2"/>
  <c r="I9" i="2"/>
  <c r="I5" i="2"/>
  <c r="I12" i="2"/>
  <c r="I8" i="2"/>
  <c r="I4" i="2"/>
  <c r="I2" i="2"/>
  <c r="I11" i="2"/>
  <c r="I7" i="2"/>
  <c r="I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L18" i="1" l="1"/>
  <c r="L19" i="1"/>
  <c r="L20" i="1"/>
  <c r="L21" i="1"/>
  <c r="L22" i="1"/>
  <c r="L23" i="1"/>
  <c r="L24" i="1"/>
  <c r="L25" i="1"/>
  <c r="L26" i="1"/>
  <c r="L17" i="1"/>
</calcChain>
</file>

<file path=xl/sharedStrings.xml><?xml version="1.0" encoding="utf-8"?>
<sst xmlns="http://schemas.openxmlformats.org/spreadsheetml/2006/main" count="353" uniqueCount="94">
  <si>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</si>
  <si>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</si>
  <si>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</si>
  <si>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</si>
  <si>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</si>
  <si>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</si>
  <si>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</si>
  <si>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</si>
  <si>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</si>
  <si>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</si>
  <si>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</si>
  <si>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</si>
  <si>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</si>
  <si>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</si>
  <si>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</si>
  <si>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</si>
  <si>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</si>
  <si>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</si>
  <si>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</si>
  <si>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</si>
  <si>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EPRI HC</t>
  </si>
  <si>
    <t>J1</t>
  </si>
  <si>
    <t>K1</t>
  </si>
  <si>
    <t>M1</t>
  </si>
  <si>
    <t>US LV</t>
  </si>
  <si>
    <t>Implemented</t>
  </si>
  <si>
    <t>X</t>
  </si>
  <si>
    <t>O</t>
  </si>
  <si>
    <t>Conn</t>
  </si>
  <si>
    <t>Y/D</t>
  </si>
  <si>
    <t>Y</t>
  </si>
  <si>
    <t>D</t>
  </si>
  <si>
    <t>kV</t>
  </si>
  <si>
    <t>Manchester LV</t>
  </si>
  <si>
    <t>024</t>
  </si>
  <si>
    <t>074</t>
  </si>
  <si>
    <t>041</t>
  </si>
  <si>
    <t>NB: "Buses" &lt;" Nodes"</t>
  </si>
  <si>
    <t>011</t>
  </si>
  <si>
    <t>021</t>
  </si>
  <si>
    <t>031</t>
  </si>
  <si>
    <t>log(NBNL)</t>
  </si>
  <si>
    <t>Load points</t>
  </si>
  <si>
    <t>Gen Points</t>
  </si>
  <si>
    <t>Scenarios</t>
  </si>
  <si>
    <t>Sln time (mins)</t>
  </si>
  <si>
    <t>slns per s-1</t>
  </si>
  <si>
    <t>ID</t>
  </si>
  <si>
    <t>R1</t>
  </si>
  <si>
    <t>X1</t>
  </si>
  <si>
    <t>R0</t>
  </si>
  <si>
    <t>MVAsc3</t>
  </si>
  <si>
    <t>MVAsc1</t>
  </si>
  <si>
    <t>X0</t>
  </si>
  <si>
    <t>ISC3</t>
  </si>
  <si>
    <t>ISC1</t>
  </si>
  <si>
    <t>SOURCE</t>
  </si>
  <si>
    <t>Base:</t>
  </si>
  <si>
    <t>basekv</t>
  </si>
  <si>
    <t>X1R1</t>
  </si>
  <si>
    <t>X0R0</t>
  </si>
  <si>
    <t>-</t>
  </si>
  <si>
    <t>NB problems converging</t>
  </si>
  <si>
    <t>http://smartgrid.epri.com/SimulationTool.aspx</t>
  </si>
  <si>
    <t>https://dpv.epri.com/feeder_j.html</t>
  </si>
  <si>
    <t>https://dpv.epri.com/feeder_k.html</t>
  </si>
  <si>
    <t>https://dpv.epri.com/feeder_m.html</t>
  </si>
  <si>
    <t>96% Res</t>
  </si>
  <si>
    <t>39% Res</t>
  </si>
  <si>
    <t>87% Res</t>
  </si>
  <si>
    <t>"Primarily residential"</t>
  </si>
  <si>
    <t>Mixture of res + commercial</t>
  </si>
  <si>
    <t>Mixture of res + comm + ind</t>
  </si>
  <si>
    <t>https://ieeexplore.ieee.org/stamp/stamp.jsp?tp=&amp;arnumber=5484381</t>
  </si>
  <si>
    <t>Problem?</t>
  </si>
  <si>
    <t>M</t>
  </si>
  <si>
    <t>N</t>
  </si>
  <si>
    <t>Problem with outlier removal?</t>
  </si>
  <si>
    <t>XX</t>
  </si>
  <si>
    <t>Feeder (MW)</t>
  </si>
  <si>
    <t>Predicted</t>
  </si>
  <si>
    <t>Log(t2s) (us)</t>
  </si>
  <si>
    <t>Fixed</t>
  </si>
  <si>
    <t>Tap</t>
  </si>
  <si>
    <t>LTC</t>
  </si>
  <si>
    <t>HC</t>
  </si>
  <si>
    <t>Zsrc</t>
  </si>
  <si>
    <t>V2 (9000 LFs)</t>
  </si>
  <si>
    <t>6000 LFs</t>
  </si>
  <si>
    <t>Done</t>
  </si>
  <si>
    <t>Done - nominal undervoltage?</t>
  </si>
  <si>
    <t>PLT</t>
  </si>
  <si>
    <t>Len (km)</t>
  </si>
  <si>
    <t>Manc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</si>
</sst>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4" borderId="7" applyNumberFormat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3" xfId="0" applyBorder="1" applyAlignment="1"/>
    <xf numFmtId="0" fontId="0" fillId="0" borderId="0" xfId="0" applyFill="1" applyBorder="1"/>
    <xf numFmtId="0" fontId="3" fillId="4" borderId="7" xfId="4"/>
    <xf numFmtId="49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4" fillId="0" borderId="0" xfId="5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</cellXfs>
  <cellStyles count="6">
    <cellStyle name="Heading 3" xfId="1" builtinId="18"/>
    <cellStyle name="Heading 4" xfId="2" builtinId="19"/>
    <cellStyle name="Hyperlink" xfId="5" builtinId="8"/>
    <cellStyle name="Input" xfId="4" builtinId="20"/>
    <cellStyle name="Normal" xfId="0" builtinId="0"/>
    <cellStyle name="Total" xfId="3" builtinId="25"/>
  </cellStyles>
  <dxfs count="34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plotTts!$B$2:$B$14</c:f>
              <c:numCache>
                <c:formatCode>General</c:formatCode>
                <c:ptCount val="13"/>
                <c:pt idx="0">
                  <c:v>16</c:v>
                </c:pt>
                <c:pt idx="1">
                  <c:v>37</c:v>
                </c:pt>
                <c:pt idx="2">
                  <c:v>39</c:v>
                </c:pt>
                <c:pt idx="3">
                  <c:v>132</c:v>
                </c:pt>
                <c:pt idx="4">
                  <c:v>4876</c:v>
                </c:pt>
                <c:pt idx="5">
                  <c:v>907</c:v>
                </c:pt>
                <c:pt idx="6">
                  <c:v>390</c:v>
                </c:pt>
                <c:pt idx="7">
                  <c:v>2998</c:v>
                </c:pt>
                <c:pt idx="8">
                  <c:v>1255</c:v>
                </c:pt>
                <c:pt idx="9">
                  <c:v>6058</c:v>
                </c:pt>
                <c:pt idx="10">
                  <c:v>4888</c:v>
                </c:pt>
                <c:pt idx="11">
                  <c:v>1282</c:v>
                </c:pt>
                <c:pt idx="12">
                  <c:v>2596</c:v>
                </c:pt>
              </c:numCache>
            </c:numRef>
          </c:xVal>
          <c:yVal>
            <c:numRef>
              <c:f>plotTts!$D$2:$D$14</c:f>
              <c:numCache>
                <c:formatCode>General</c:formatCode>
                <c:ptCount val="13"/>
                <c:pt idx="0">
                  <c:v>7.0300000000000007E-4</c:v>
                </c:pt>
                <c:pt idx="1">
                  <c:v>4.000000000000007E-3</c:v>
                </c:pt>
                <c:pt idx="2">
                  <c:v>2.9070000000000012E-3</c:v>
                </c:pt>
                <c:pt idx="3">
                  <c:v>4.9650000000000015E-3</c:v>
                </c:pt>
                <c:pt idx="4">
                  <c:v>0.27576300000000048</c:v>
                </c:pt>
                <c:pt idx="5">
                  <c:v>5.1440000000000088E-3</c:v>
                </c:pt>
                <c:pt idx="6">
                  <c:v>1.2061000000000023E-2</c:v>
                </c:pt>
                <c:pt idx="7">
                  <c:v>3.2321000000000009E-2</c:v>
                </c:pt>
                <c:pt idx="8">
                  <c:v>1.7450000000000004E-2</c:v>
                </c:pt>
                <c:pt idx="9">
                  <c:v>8.7955000000000019E-2</c:v>
                </c:pt>
                <c:pt idx="10">
                  <c:v>2.6279000000000014E-2</c:v>
                </c:pt>
                <c:pt idx="11">
                  <c:v>2.0153000000000025E-2</c:v>
                </c:pt>
                <c:pt idx="12">
                  <c:v>2.7688000000000022E-2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E-490A-8007-7A7F6D9C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72392"/>
        <c:axId val="128676656"/>
      </c:scatterChart>
      <c:valAx>
        <c:axId val="12867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656"/>
        <c:crosses val="autoZero"/>
        <c:crossBetween val="midCat"/>
      </c:valAx>
      <c:valAx>
        <c:axId val="1286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Solution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3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271460</xdr:colOff>
      <xdr:row>1</xdr:row>
      <xdr:rowOff>171449</xdr:rowOff>
    </xdr:from>
    <xdr:to>
      <xdr:col>19</xdr:col>
      <xdr:colOff>285749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grid.epri.com/SimulationToo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H5" sqref="H5"/>
    </sheetView>
  </sheetViews>
  <sheetFormatPr defaultRowHeight="15" x14ac:dyDescent="0.25"/>
  <cols>
    <col min="1" max="1" width="11.7109375" customWidth="1"/>
    <col min="2" max="2" width="10" bestFit="1" customWidth="1"/>
    <col min="3" max="3" width="3.85546875" customWidth="1"/>
    <col min="4" max="4" width="6.140625" bestFit="1" customWidth="1"/>
    <col min="5" max="5" width="6" bestFit="1" customWidth="1"/>
    <col min="6" max="6" width="9.5703125" customWidth="1"/>
    <col min="7" max="7" width="6" customWidth="1"/>
    <col min="8" max="8" width="6" bestFit="1" customWidth="1"/>
    <col min="9" max="10" width="5.140625" bestFit="1" customWidth="1"/>
    <col min="11" max="11" width="8.7109375" bestFit="1" customWidth="1"/>
    <col min="12" max="12" width="12.140625" bestFit="1" customWidth="1"/>
    <col min="13" max="13" width="13.140625" bestFit="1" customWidth="1"/>
    <col min="14" max="14" width="12" bestFit="1" customWidth="1"/>
    <col min="15" max="15" width="4.42578125" bestFit="1" customWidth="1"/>
    <col min="16" max="16" width="5.85546875" bestFit="1" customWidth="1"/>
    <col min="17" max="17" width="4.140625" bestFit="1" customWidth="1"/>
    <col min="18" max="18" width="4" bestFit="1" customWidth="1"/>
    <col min="19" max="19" width="3.42578125" bestFit="1" customWidth="1"/>
    <col min="20" max="20" width="3.42578125" customWidth="1"/>
    <col min="21" max="21" width="23" bestFit="1" customWidth="1"/>
    <col min="22" max="22" width="12.28515625" bestFit="1" customWidth="1"/>
  </cols>
  <sheetData>
    <row r="1" spans="1:24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41</v>
      </c>
      <c r="G1" s="3" t="s">
        <v>28</v>
      </c>
      <c r="H1" s="3" t="s">
        <v>32</v>
      </c>
      <c r="I1" s="3" t="s">
        <v>2</v>
      </c>
      <c r="J1" s="3" t="s">
        <v>3</v>
      </c>
      <c r="K1" s="3" t="s">
        <v>92</v>
      </c>
      <c r="L1" s="3" t="s">
        <v>18</v>
      </c>
      <c r="M1" s="3" t="s">
        <v>79</v>
      </c>
      <c r="N1" s="3" t="s">
        <v>81</v>
      </c>
      <c r="O1" s="24" t="s">
        <v>25</v>
      </c>
      <c r="P1" s="24"/>
      <c r="Q1" s="24"/>
      <c r="R1" s="24"/>
      <c r="S1" s="24"/>
      <c r="T1" s="23"/>
    </row>
    <row r="2" spans="1:24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4"/>
      <c r="O2" s="4" t="s">
        <v>86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91</v>
      </c>
      <c r="U2" s="4"/>
      <c r="V2" s="4" t="s">
        <v>87</v>
      </c>
      <c r="W2" s="4" t="s">
        <v>80</v>
      </c>
      <c r="X2" s="4" t="s">
        <v>88</v>
      </c>
    </row>
    <row r="3" spans="1:24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6">
        <f>LOG(E3*D3)</f>
        <v>0.6020599913279624</v>
      </c>
      <c r="G3" s="10" t="s">
        <v>29</v>
      </c>
      <c r="H3" s="7"/>
      <c r="I3" s="6">
        <v>0</v>
      </c>
      <c r="J3" s="6">
        <v>0</v>
      </c>
      <c r="K3" s="6" t="s">
        <v>19</v>
      </c>
      <c r="L3" s="6">
        <v>5.4</v>
      </c>
      <c r="M3" s="6">
        <v>5.4</v>
      </c>
      <c r="N3" s="21" t="s">
        <v>26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</row>
    <row r="4" spans="1:24" ht="15.75" thickTop="1" x14ac:dyDescent="0.25">
      <c r="B4" t="s">
        <v>5</v>
      </c>
      <c r="C4">
        <v>5</v>
      </c>
      <c r="D4">
        <v>16</v>
      </c>
      <c r="E4">
        <v>15</v>
      </c>
      <c r="F4" s="13">
        <f t="shared" ref="F4:F26" si="0">LOG(E4*D4)</f>
        <v>2.3802112417116059</v>
      </c>
      <c r="G4" t="s">
        <v>30</v>
      </c>
      <c r="H4" s="2">
        <v>4.16</v>
      </c>
      <c r="I4">
        <v>2</v>
      </c>
      <c r="J4">
        <v>1</v>
      </c>
      <c r="K4">
        <v>1.5</v>
      </c>
      <c r="L4">
        <v>3.6</v>
      </c>
      <c r="M4">
        <v>3.6</v>
      </c>
      <c r="N4">
        <f>LOG10(703)</f>
        <v>2.8469553250198238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V4">
        <f>18/60</f>
        <v>0.3</v>
      </c>
      <c r="W4">
        <f>(10^N4)*9000*0.000001/60</f>
        <v>0.10545000000000002</v>
      </c>
      <c r="X4">
        <f>18/60</f>
        <v>0.3</v>
      </c>
    </row>
    <row r="5" spans="1:24" x14ac:dyDescent="0.25">
      <c r="B5" t="s">
        <v>6</v>
      </c>
      <c r="C5">
        <v>6</v>
      </c>
      <c r="D5">
        <v>37</v>
      </c>
      <c r="E5">
        <v>68</v>
      </c>
      <c r="F5" s="13">
        <f t="shared" si="0"/>
        <v>3.4007106367732312</v>
      </c>
      <c r="G5" t="s">
        <v>30</v>
      </c>
      <c r="H5" s="2">
        <v>24.9</v>
      </c>
      <c r="I5">
        <v>2</v>
      </c>
      <c r="J5">
        <v>2</v>
      </c>
      <c r="K5">
        <v>50</v>
      </c>
      <c r="L5">
        <v>2</v>
      </c>
      <c r="M5">
        <v>2</v>
      </c>
      <c r="N5">
        <f>LOG10(4000)</f>
        <v>3.6020599913279625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V5">
        <f>53.7/60</f>
        <v>0.89500000000000002</v>
      </c>
      <c r="W5">
        <f t="shared" ref="W5:W26" si="1">(10^N5)*9000*0.000001/60</f>
        <v>0.60000000000000098</v>
      </c>
      <c r="X5">
        <f>19/60</f>
        <v>0.31666666666666665</v>
      </c>
    </row>
    <row r="6" spans="1:24" x14ac:dyDescent="0.25">
      <c r="B6" t="s">
        <v>7</v>
      </c>
      <c r="C6">
        <v>7</v>
      </c>
      <c r="D6">
        <v>39</v>
      </c>
      <c r="E6">
        <v>30</v>
      </c>
      <c r="F6" s="13">
        <f t="shared" si="0"/>
        <v>3.0681858617461617</v>
      </c>
      <c r="G6" s="9" t="s">
        <v>31</v>
      </c>
      <c r="H6" s="2">
        <v>4.8</v>
      </c>
      <c r="I6">
        <v>0</v>
      </c>
      <c r="J6">
        <v>1</v>
      </c>
      <c r="K6">
        <v>3</v>
      </c>
      <c r="L6">
        <v>2.6</v>
      </c>
      <c r="M6">
        <v>2.6</v>
      </c>
      <c r="N6">
        <f>LOG10(2907)</f>
        <v>3.4634450317704277</v>
      </c>
      <c r="O6" s="1" t="s">
        <v>27</v>
      </c>
      <c r="P6" s="1" t="s">
        <v>26</v>
      </c>
      <c r="Q6" s="1" t="s">
        <v>27</v>
      </c>
      <c r="R6" s="1" t="s">
        <v>27</v>
      </c>
      <c r="S6" s="1" t="s">
        <v>27</v>
      </c>
      <c r="T6" s="1" t="s">
        <v>27</v>
      </c>
      <c r="W6">
        <f t="shared" si="1"/>
        <v>0.43605000000000016</v>
      </c>
    </row>
    <row r="7" spans="1:24" x14ac:dyDescent="0.25">
      <c r="B7" t="s">
        <v>8</v>
      </c>
      <c r="C7">
        <v>8</v>
      </c>
      <c r="D7">
        <v>132</v>
      </c>
      <c r="E7">
        <v>92</v>
      </c>
      <c r="F7" s="13">
        <f t="shared" si="0"/>
        <v>4.0843617585514052</v>
      </c>
      <c r="G7" t="s">
        <v>30</v>
      </c>
      <c r="H7" s="2">
        <v>2.4</v>
      </c>
      <c r="I7">
        <v>4</v>
      </c>
      <c r="J7">
        <v>3</v>
      </c>
      <c r="K7">
        <v>6</v>
      </c>
      <c r="L7">
        <v>3.6</v>
      </c>
      <c r="M7">
        <v>3.6</v>
      </c>
      <c r="N7">
        <f>LOG10(4965)</f>
        <v>3.6959192528313998</v>
      </c>
      <c r="O7" s="1" t="s">
        <v>27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V7">
        <f>72/60</f>
        <v>1.2</v>
      </c>
      <c r="W7">
        <f t="shared" si="1"/>
        <v>0.74475000000000013</v>
      </c>
      <c r="X7">
        <f>33/60</f>
        <v>0.55000000000000004</v>
      </c>
    </row>
    <row r="8" spans="1:24" x14ac:dyDescent="0.25">
      <c r="B8" t="s">
        <v>17</v>
      </c>
      <c r="C8">
        <v>9</v>
      </c>
      <c r="D8">
        <v>4876</v>
      </c>
      <c r="E8">
        <v>2355</v>
      </c>
      <c r="F8" s="13">
        <f t="shared" si="0"/>
        <v>7.0600546084112592</v>
      </c>
      <c r="G8" t="s">
        <v>30</v>
      </c>
      <c r="H8" s="2">
        <v>7.2</v>
      </c>
      <c r="I8">
        <v>4</v>
      </c>
      <c r="J8">
        <v>12</v>
      </c>
      <c r="K8">
        <v>17</v>
      </c>
      <c r="L8">
        <v>12.05</v>
      </c>
      <c r="M8">
        <v>12.05</v>
      </c>
      <c r="N8">
        <f>LOG10(275763)</f>
        <v>5.4405359950748213</v>
      </c>
      <c r="O8" s="1" t="s">
        <v>27</v>
      </c>
      <c r="P8" s="1" t="s">
        <v>26</v>
      </c>
      <c r="Q8" s="1" t="s">
        <v>26</v>
      </c>
      <c r="R8" s="1" t="s">
        <v>27</v>
      </c>
      <c r="S8" s="1" t="s">
        <v>26</v>
      </c>
      <c r="T8" s="1" t="s">
        <v>26</v>
      </c>
      <c r="W8">
        <f t="shared" si="1"/>
        <v>41.364450000000069</v>
      </c>
      <c r="X8">
        <f>958/60</f>
        <v>15.966666666666667</v>
      </c>
    </row>
    <row r="9" spans="1:24" x14ac:dyDescent="0.25">
      <c r="B9" t="s">
        <v>9</v>
      </c>
      <c r="C9">
        <v>0</v>
      </c>
      <c r="D9">
        <v>907</v>
      </c>
      <c r="E9">
        <v>55</v>
      </c>
      <c r="F9" s="13">
        <f t="shared" si="0"/>
        <v>4.6979699765543392</v>
      </c>
      <c r="G9" t="s">
        <v>30</v>
      </c>
      <c r="H9" s="2">
        <v>0.41599999999999998</v>
      </c>
      <c r="I9">
        <v>0</v>
      </c>
      <c r="J9">
        <v>0</v>
      </c>
      <c r="K9">
        <v>0.3</v>
      </c>
      <c r="L9">
        <v>5.5E-2</v>
      </c>
      <c r="M9">
        <v>5.5E-2</v>
      </c>
      <c r="N9">
        <f>LOG10(5144)</f>
        <v>3.7113009599161657</v>
      </c>
      <c r="O9" s="1" t="s">
        <v>26</v>
      </c>
      <c r="P9" s="1" t="s">
        <v>26</v>
      </c>
      <c r="Q9" s="1" t="s">
        <v>27</v>
      </c>
      <c r="R9" s="1" t="s">
        <v>27</v>
      </c>
      <c r="S9" s="1" t="s">
        <v>26</v>
      </c>
      <c r="T9" s="1" t="s">
        <v>26</v>
      </c>
      <c r="W9">
        <f t="shared" si="1"/>
        <v>0.77160000000000128</v>
      </c>
      <c r="X9">
        <f>59/60</f>
        <v>0.98333333333333328</v>
      </c>
    </row>
    <row r="10" spans="1:24" x14ac:dyDescent="0.25">
      <c r="B10" t="s">
        <v>24</v>
      </c>
      <c r="C10">
        <v>14</v>
      </c>
      <c r="D10">
        <v>390</v>
      </c>
      <c r="E10">
        <v>694</v>
      </c>
      <c r="F10" s="13">
        <f t="shared" si="0"/>
        <v>5.4324240774813539</v>
      </c>
      <c r="G10" t="s">
        <v>30</v>
      </c>
      <c r="H10" s="2">
        <v>13.8</v>
      </c>
      <c r="I10">
        <v>0</v>
      </c>
      <c r="J10">
        <v>0</v>
      </c>
      <c r="L10">
        <v>42.8</v>
      </c>
      <c r="M10">
        <v>42.8</v>
      </c>
      <c r="N10" s="15">
        <f>LOG10(12061)</f>
        <v>4.0813833174622856</v>
      </c>
      <c r="O10" s="1" t="s">
        <v>26</v>
      </c>
      <c r="P10" s="1" t="s">
        <v>26</v>
      </c>
      <c r="Q10" s="1" t="s">
        <v>27</v>
      </c>
      <c r="R10" s="1" t="s">
        <v>27</v>
      </c>
      <c r="S10" s="1" t="s">
        <v>26</v>
      </c>
      <c r="T10" s="1" t="s">
        <v>27</v>
      </c>
      <c r="W10">
        <f t="shared" si="1"/>
        <v>1.8091500000000034</v>
      </c>
      <c r="X10">
        <f>145/60</f>
        <v>2.4166666666666665</v>
      </c>
    </row>
    <row r="11" spans="1:24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6">
        <f t="shared" si="0"/>
        <v>6.6163958946881101</v>
      </c>
      <c r="G11" s="6" t="s">
        <v>30</v>
      </c>
      <c r="H11" s="7">
        <v>12.47</v>
      </c>
      <c r="I11" s="6">
        <v>4</v>
      </c>
      <c r="J11" s="6">
        <v>0</v>
      </c>
      <c r="K11" s="6">
        <v>5</v>
      </c>
      <c r="L11" s="6">
        <v>16.3</v>
      </c>
      <c r="M11" s="6">
        <v>16.3</v>
      </c>
      <c r="N11">
        <f>LOG10(32321)</f>
        <v>4.50948478922394</v>
      </c>
      <c r="O11" s="8" t="s">
        <v>27</v>
      </c>
      <c r="P11" s="8" t="s">
        <v>26</v>
      </c>
      <c r="Q11" s="8" t="s">
        <v>27</v>
      </c>
      <c r="R11" s="8" t="s">
        <v>27</v>
      </c>
      <c r="S11" s="8" t="s">
        <v>26</v>
      </c>
      <c r="T11" s="8" t="s">
        <v>26</v>
      </c>
      <c r="V11">
        <f>637/60</f>
        <v>10.616666666666667</v>
      </c>
      <c r="W11">
        <f t="shared" si="1"/>
        <v>4.8481500000000013</v>
      </c>
      <c r="X11">
        <f>371/60</f>
        <v>6.1833333333333336</v>
      </c>
    </row>
    <row r="12" spans="1:24" ht="15.75" thickTop="1" x14ac:dyDescent="0.25">
      <c r="B12" t="s">
        <v>15</v>
      </c>
      <c r="C12" s="17">
        <v>18</v>
      </c>
      <c r="D12">
        <v>1255</v>
      </c>
      <c r="E12">
        <v>868</v>
      </c>
      <c r="F12" s="13">
        <f t="shared" si="0"/>
        <v>6.0371634509935488</v>
      </c>
      <c r="G12" t="s">
        <v>30</v>
      </c>
      <c r="H12" s="2">
        <v>12.47</v>
      </c>
      <c r="I12">
        <v>2</v>
      </c>
      <c r="J12">
        <v>0</v>
      </c>
      <c r="K12">
        <v>4</v>
      </c>
      <c r="L12">
        <v>78</v>
      </c>
      <c r="M12">
        <v>19.3</v>
      </c>
      <c r="N12">
        <f>LOG10(17450)</f>
        <v>4.2417954312951984</v>
      </c>
      <c r="O12" s="1" t="s">
        <v>26</v>
      </c>
      <c r="P12" s="1" t="s">
        <v>26</v>
      </c>
      <c r="Q12" s="1" t="s">
        <v>27</v>
      </c>
      <c r="R12" s="1" t="s">
        <v>27</v>
      </c>
      <c r="S12" s="1" t="s">
        <v>26</v>
      </c>
      <c r="T12" s="1" t="s">
        <v>26</v>
      </c>
      <c r="U12" t="s">
        <v>78</v>
      </c>
      <c r="V12" t="s">
        <v>90</v>
      </c>
      <c r="W12">
        <f t="shared" si="1"/>
        <v>2.6175000000000002</v>
      </c>
      <c r="X12">
        <f>367/60</f>
        <v>6.1166666666666663</v>
      </c>
    </row>
    <row r="13" spans="1:24" x14ac:dyDescent="0.25">
      <c r="B13" t="s">
        <v>16</v>
      </c>
      <c r="C13">
        <v>22</v>
      </c>
      <c r="D13">
        <v>6058</v>
      </c>
      <c r="E13">
        <v>3891</v>
      </c>
      <c r="F13" s="13">
        <f t="shared" si="0"/>
        <v>7.3723904998005798</v>
      </c>
      <c r="G13" t="s">
        <v>30</v>
      </c>
      <c r="H13" s="2">
        <v>34.5</v>
      </c>
      <c r="I13">
        <v>3</v>
      </c>
      <c r="J13">
        <v>1</v>
      </c>
      <c r="K13">
        <v>10</v>
      </c>
      <c r="L13">
        <v>52.2</v>
      </c>
      <c r="M13">
        <v>69.400000000000006</v>
      </c>
      <c r="N13" s="15">
        <f>LOG10(87955)</f>
        <v>4.9442605329428515</v>
      </c>
      <c r="O13" s="1" t="s">
        <v>26</v>
      </c>
      <c r="P13" s="1" t="s">
        <v>26</v>
      </c>
      <c r="Q13" s="1" t="s">
        <v>26</v>
      </c>
      <c r="R13" s="1" t="s">
        <v>27</v>
      </c>
      <c r="S13" s="1" t="s">
        <v>26</v>
      </c>
      <c r="T13" s="1" t="s">
        <v>26</v>
      </c>
      <c r="V13" t="s">
        <v>89</v>
      </c>
      <c r="W13">
        <f t="shared" si="1"/>
        <v>13.193250000000001</v>
      </c>
      <c r="X13">
        <f>1996/60</f>
        <v>33.266666666666666</v>
      </c>
    </row>
    <row r="14" spans="1:24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6">
        <f t="shared" si="0"/>
        <v>6.8302672873552366</v>
      </c>
      <c r="G14" s="6" t="s">
        <v>30</v>
      </c>
      <c r="H14" s="7">
        <v>12.47</v>
      </c>
      <c r="I14" s="6">
        <v>5</v>
      </c>
      <c r="J14" s="6">
        <v>9</v>
      </c>
      <c r="K14" s="6"/>
      <c r="L14" s="6">
        <v>11.6</v>
      </c>
      <c r="M14" s="6">
        <v>11.6</v>
      </c>
      <c r="N14">
        <f>LOG10(26279)</f>
        <v>4.4196088349081029</v>
      </c>
      <c r="O14" s="8" t="s">
        <v>26</v>
      </c>
      <c r="P14" s="8" t="s">
        <v>26</v>
      </c>
      <c r="Q14" s="8" t="s">
        <v>26</v>
      </c>
      <c r="R14" s="8" t="s">
        <v>27</v>
      </c>
      <c r="S14" s="8" t="s">
        <v>26</v>
      </c>
      <c r="T14" s="8" t="s">
        <v>26</v>
      </c>
      <c r="U14" t="s">
        <v>62</v>
      </c>
      <c r="W14">
        <f t="shared" si="1"/>
        <v>3.9418500000000019</v>
      </c>
      <c r="X14">
        <f>551/60</f>
        <v>9.1833333333333336</v>
      </c>
    </row>
    <row r="15" spans="1:24" ht="15.75" thickTop="1" x14ac:dyDescent="0.25">
      <c r="B15" t="s">
        <v>22</v>
      </c>
      <c r="C15">
        <v>20</v>
      </c>
      <c r="D15">
        <v>1282</v>
      </c>
      <c r="E15">
        <v>332</v>
      </c>
      <c r="F15" s="13">
        <f t="shared" si="0"/>
        <v>5.6290261088868352</v>
      </c>
      <c r="G15" t="s">
        <v>30</v>
      </c>
      <c r="H15" s="2">
        <v>13.2</v>
      </c>
      <c r="I15">
        <v>1</v>
      </c>
      <c r="J15">
        <v>1</v>
      </c>
      <c r="L15">
        <v>12.74</v>
      </c>
      <c r="M15">
        <v>12.74</v>
      </c>
      <c r="N15">
        <f>LOG10(20153)</f>
        <v>4.3043397048923389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W15">
        <f t="shared" si="1"/>
        <v>3.0229500000000038</v>
      </c>
      <c r="X15">
        <f>107/60</f>
        <v>1.7833333333333334</v>
      </c>
    </row>
    <row r="16" spans="1:24" x14ac:dyDescent="0.25">
      <c r="B16" t="s">
        <v>23</v>
      </c>
      <c r="C16">
        <v>21</v>
      </c>
      <c r="D16">
        <v>2596</v>
      </c>
      <c r="E16">
        <v>1470</v>
      </c>
      <c r="F16" s="13">
        <f t="shared" si="0"/>
        <v>6.5816220228765081</v>
      </c>
      <c r="G16" t="s">
        <v>30</v>
      </c>
      <c r="H16" s="2">
        <v>12.47</v>
      </c>
      <c r="I16">
        <v>3</v>
      </c>
      <c r="J16">
        <v>1</v>
      </c>
      <c r="L16">
        <v>15.67</v>
      </c>
      <c r="M16">
        <v>15.67</v>
      </c>
      <c r="N16" s="15">
        <f>LOG10(27688)</f>
        <v>4.4422915862860712</v>
      </c>
      <c r="O16" s="1" t="s">
        <v>26</v>
      </c>
      <c r="P16" s="1" t="s">
        <v>26</v>
      </c>
      <c r="Q16" s="1" t="s">
        <v>26</v>
      </c>
      <c r="R16" s="1" t="s">
        <v>27</v>
      </c>
      <c r="S16" s="1" t="s">
        <v>26</v>
      </c>
      <c r="T16" s="1" t="s">
        <v>26</v>
      </c>
      <c r="W16">
        <f t="shared" si="1"/>
        <v>4.1532000000000036</v>
      </c>
      <c r="X16">
        <f>445/60</f>
        <v>7.416666666666667</v>
      </c>
    </row>
    <row r="17" spans="1:23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6">
        <f t="shared" si="0"/>
        <v>4.6979699765543392</v>
      </c>
      <c r="G17" s="6" t="s">
        <v>30</v>
      </c>
      <c r="H17" s="7">
        <v>0.41599999999999998</v>
      </c>
      <c r="I17" s="6">
        <v>0</v>
      </c>
      <c r="J17" s="6">
        <v>0</v>
      </c>
      <c r="K17" s="6"/>
      <c r="L17" s="6">
        <f>E17*0.001</f>
        <v>5.5E-2</v>
      </c>
      <c r="M17" s="6">
        <v>5.5E-2</v>
      </c>
      <c r="N17">
        <f>LOG10(10388)</f>
        <v>4.0165319409572655</v>
      </c>
      <c r="O17" s="8" t="s">
        <v>26</v>
      </c>
      <c r="P17" s="8" t="s">
        <v>26</v>
      </c>
      <c r="Q17" s="8" t="s">
        <v>27</v>
      </c>
      <c r="R17" s="8" t="s">
        <v>27</v>
      </c>
      <c r="S17" s="8" t="s">
        <v>26</v>
      </c>
      <c r="T17" s="8"/>
      <c r="W17">
        <f t="shared" si="1"/>
        <v>1.5582000000000018</v>
      </c>
    </row>
    <row r="18" spans="1:23" ht="15.75" thickTop="1" x14ac:dyDescent="0.25">
      <c r="B18" s="12" t="s">
        <v>39</v>
      </c>
      <c r="C18" s="20" t="s">
        <v>61</v>
      </c>
      <c r="D18">
        <v>2287</v>
      </c>
      <c r="E18">
        <v>175</v>
      </c>
      <c r="F18" s="13">
        <f t="shared" si="0"/>
        <v>5.602304213293043</v>
      </c>
      <c r="G18" t="s">
        <v>30</v>
      </c>
      <c r="H18" s="2">
        <v>0.41599999999999998</v>
      </c>
      <c r="I18">
        <v>0</v>
      </c>
      <c r="J18">
        <v>0</v>
      </c>
      <c r="L18" s="13">
        <f t="shared" ref="L18:L26" si="2">E18*0.001</f>
        <v>0.17500000000000002</v>
      </c>
      <c r="M18" s="13">
        <v>0.17500000000000002</v>
      </c>
      <c r="N18">
        <f>LOG10(24732)</f>
        <v>4.3932592378268378</v>
      </c>
      <c r="O18" s="1" t="s">
        <v>26</v>
      </c>
      <c r="P18" s="1" t="s">
        <v>26</v>
      </c>
      <c r="Q18" s="1" t="s">
        <v>27</v>
      </c>
      <c r="R18" s="1" t="s">
        <v>27</v>
      </c>
      <c r="S18" s="1" t="s">
        <v>26</v>
      </c>
      <c r="T18" s="1"/>
      <c r="W18">
        <f t="shared" si="1"/>
        <v>3.7098000000000053</v>
      </c>
    </row>
    <row r="19" spans="1:23" x14ac:dyDescent="0.25">
      <c r="B19" s="12" t="s">
        <v>40</v>
      </c>
      <c r="C19" s="20" t="s">
        <v>61</v>
      </c>
      <c r="D19">
        <v>1304</v>
      </c>
      <c r="E19">
        <v>94</v>
      </c>
      <c r="F19" s="13">
        <f t="shared" si="0"/>
        <v>5.0884054449956002</v>
      </c>
      <c r="G19" t="s">
        <v>30</v>
      </c>
      <c r="H19" s="2">
        <v>0.41599999999999998</v>
      </c>
      <c r="I19">
        <v>0</v>
      </c>
      <c r="J19">
        <v>0</v>
      </c>
      <c r="L19" s="13">
        <f t="shared" si="2"/>
        <v>9.4E-2</v>
      </c>
      <c r="M19" s="13">
        <v>9.4E-2</v>
      </c>
      <c r="N19">
        <f>LOG10(24431)</f>
        <v>4.3879412437066989</v>
      </c>
      <c r="O19" s="1" t="s">
        <v>26</v>
      </c>
      <c r="P19" s="1" t="s">
        <v>26</v>
      </c>
      <c r="Q19" s="1" t="s">
        <v>27</v>
      </c>
      <c r="R19" s="1" t="s">
        <v>27</v>
      </c>
      <c r="S19" s="1" t="s">
        <v>26</v>
      </c>
      <c r="T19" s="1"/>
      <c r="W19">
        <f t="shared" si="1"/>
        <v>3.6646500000000035</v>
      </c>
    </row>
    <row r="20" spans="1:23" x14ac:dyDescent="0.25">
      <c r="B20" s="12" t="s">
        <v>36</v>
      </c>
      <c r="C20" s="20" t="s">
        <v>61</v>
      </c>
      <c r="D20">
        <v>375</v>
      </c>
      <c r="E20">
        <v>24</v>
      </c>
      <c r="F20" s="13">
        <f t="shared" si="0"/>
        <v>3.9542425094393248</v>
      </c>
      <c r="G20" t="s">
        <v>30</v>
      </c>
      <c r="H20" s="2">
        <v>0.41599999999999998</v>
      </c>
      <c r="I20">
        <v>0</v>
      </c>
      <c r="J20">
        <v>0</v>
      </c>
      <c r="L20" s="13">
        <f t="shared" si="2"/>
        <v>2.4E-2</v>
      </c>
      <c r="M20" s="13">
        <v>2.4E-2</v>
      </c>
      <c r="N20">
        <f>LOG10(6773)</f>
        <v>3.8307810756063612</v>
      </c>
      <c r="O20" s="1" t="s">
        <v>26</v>
      </c>
      <c r="P20" s="1" t="s">
        <v>26</v>
      </c>
      <c r="Q20" s="1" t="s">
        <v>27</v>
      </c>
      <c r="R20" s="1" t="s">
        <v>27</v>
      </c>
      <c r="S20" s="1" t="s">
        <v>26</v>
      </c>
      <c r="T20" s="1"/>
      <c r="W20">
        <f t="shared" si="1"/>
        <v>1.0159500000000004</v>
      </c>
    </row>
    <row r="21" spans="1:23" x14ac:dyDescent="0.25">
      <c r="B21" s="12" t="s">
        <v>34</v>
      </c>
      <c r="C21" s="20" t="s">
        <v>61</v>
      </c>
      <c r="D21">
        <v>1605</v>
      </c>
      <c r="E21">
        <v>115</v>
      </c>
      <c r="F21" s="13">
        <f t="shared" si="0"/>
        <v>5.2661728770945029</v>
      </c>
      <c r="G21" t="s">
        <v>30</v>
      </c>
      <c r="H21" s="2">
        <v>0.41599999999999998</v>
      </c>
      <c r="I21">
        <v>0</v>
      </c>
      <c r="J21">
        <v>0</v>
      </c>
      <c r="L21" s="13">
        <f t="shared" si="2"/>
        <v>0.115</v>
      </c>
      <c r="M21" s="13">
        <v>0.115</v>
      </c>
      <c r="N21">
        <f>LOG10(26276)</f>
        <v>4.4195592531957208</v>
      </c>
      <c r="O21" s="1" t="s">
        <v>26</v>
      </c>
      <c r="P21" s="1" t="s">
        <v>26</v>
      </c>
      <c r="Q21" s="1" t="s">
        <v>27</v>
      </c>
      <c r="R21" s="1" t="s">
        <v>27</v>
      </c>
      <c r="S21" s="1" t="s">
        <v>26</v>
      </c>
      <c r="T21" s="1"/>
      <c r="W21">
        <f t="shared" si="1"/>
        <v>3.9414000000000047</v>
      </c>
    </row>
    <row r="22" spans="1:23" x14ac:dyDescent="0.25">
      <c r="B22" s="12" t="s">
        <v>35</v>
      </c>
      <c r="C22" s="20" t="s">
        <v>61</v>
      </c>
      <c r="D22">
        <v>1545</v>
      </c>
      <c r="E22">
        <v>186</v>
      </c>
      <c r="F22" s="13">
        <f t="shared" si="0"/>
        <v>5.4584414279787694</v>
      </c>
      <c r="G22" t="s">
        <v>30</v>
      </c>
      <c r="H22" s="2">
        <v>0.41599999999999998</v>
      </c>
      <c r="I22">
        <v>0</v>
      </c>
      <c r="J22">
        <v>0</v>
      </c>
      <c r="L22" s="13">
        <f t="shared" si="2"/>
        <v>0.186</v>
      </c>
      <c r="M22" s="13">
        <v>0.186</v>
      </c>
      <c r="N22">
        <f>LOG10(20720)</f>
        <v>4.3163897510731957</v>
      </c>
      <c r="O22" s="1" t="s">
        <v>26</v>
      </c>
      <c r="P22" s="1" t="s">
        <v>26</v>
      </c>
      <c r="Q22" s="1" t="s">
        <v>27</v>
      </c>
      <c r="R22" s="1" t="s">
        <v>27</v>
      </c>
      <c r="S22" s="1" t="s">
        <v>26</v>
      </c>
      <c r="T22" s="1"/>
      <c r="W22">
        <f t="shared" si="1"/>
        <v>3.1080000000000032</v>
      </c>
    </row>
    <row r="23" spans="1:23" x14ac:dyDescent="0.25">
      <c r="B23" s="12">
        <v>193</v>
      </c>
      <c r="C23" s="20" t="s">
        <v>61</v>
      </c>
      <c r="D23">
        <v>1391</v>
      </c>
      <c r="E23">
        <v>65</v>
      </c>
      <c r="F23" s="13">
        <f t="shared" si="0"/>
        <v>4.9562404866349024</v>
      </c>
      <c r="G23" t="s">
        <v>30</v>
      </c>
      <c r="H23" s="2">
        <v>0.41599999999999998</v>
      </c>
      <c r="I23">
        <v>0</v>
      </c>
      <c r="J23">
        <v>0</v>
      </c>
      <c r="L23" s="13">
        <f t="shared" si="2"/>
        <v>6.5000000000000002E-2</v>
      </c>
      <c r="M23" s="13">
        <v>6.5000000000000002E-2</v>
      </c>
      <c r="N23">
        <f>LOG10(16241)</f>
        <v>4.2106127663528978</v>
      </c>
      <c r="O23" s="1" t="s">
        <v>26</v>
      </c>
      <c r="P23" s="1" t="s">
        <v>26</v>
      </c>
      <c r="Q23" s="1" t="s">
        <v>27</v>
      </c>
      <c r="R23" s="1" t="s">
        <v>27</v>
      </c>
      <c r="S23" s="1" t="s">
        <v>26</v>
      </c>
      <c r="T23" s="1"/>
      <c r="W23">
        <f t="shared" si="1"/>
        <v>2.4361500000000018</v>
      </c>
    </row>
    <row r="24" spans="1:23" x14ac:dyDescent="0.25">
      <c r="B24" s="12">
        <v>162</v>
      </c>
      <c r="C24" s="20" t="s">
        <v>61</v>
      </c>
      <c r="D24">
        <v>1077</v>
      </c>
      <c r="E24">
        <v>73</v>
      </c>
      <c r="F24" s="13">
        <f t="shared" si="0"/>
        <v>4.8955385634184374</v>
      </c>
      <c r="G24" t="s">
        <v>30</v>
      </c>
      <c r="H24" s="2">
        <v>0.41599999999999998</v>
      </c>
      <c r="I24">
        <v>0</v>
      </c>
      <c r="J24">
        <v>0</v>
      </c>
      <c r="L24" s="13">
        <f t="shared" si="2"/>
        <v>7.2999999999999995E-2</v>
      </c>
      <c r="M24" s="13">
        <v>7.2999999999999995E-2</v>
      </c>
      <c r="N24">
        <f>LOG10(10072)</f>
        <v>4.0031157170998064</v>
      </c>
      <c r="O24" s="1" t="s">
        <v>26</v>
      </c>
      <c r="P24" s="1" t="s">
        <v>26</v>
      </c>
      <c r="Q24" s="1" t="s">
        <v>27</v>
      </c>
      <c r="R24" s="1" t="s">
        <v>27</v>
      </c>
      <c r="S24" s="1" t="s">
        <v>26</v>
      </c>
      <c r="T24" s="1"/>
      <c r="W24">
        <f t="shared" si="1"/>
        <v>1.5108000000000019</v>
      </c>
    </row>
    <row r="25" spans="1:23" x14ac:dyDescent="0.25">
      <c r="B25" s="12">
        <v>213</v>
      </c>
      <c r="C25" s="20" t="s">
        <v>61</v>
      </c>
      <c r="D25">
        <v>844</v>
      </c>
      <c r="E25">
        <v>67</v>
      </c>
      <c r="F25" s="13">
        <f t="shared" si="0"/>
        <v>4.7524172493264816</v>
      </c>
      <c r="G25" t="s">
        <v>30</v>
      </c>
      <c r="H25" s="2">
        <v>0.41599999999999998</v>
      </c>
      <c r="I25">
        <v>0</v>
      </c>
      <c r="J25">
        <v>0</v>
      </c>
      <c r="L25" s="13">
        <f t="shared" si="2"/>
        <v>6.7000000000000004E-2</v>
      </c>
      <c r="M25" s="13">
        <v>6.7000000000000004E-2</v>
      </c>
      <c r="N25">
        <f>LOG10(7623)</f>
        <v>3.882125919770032</v>
      </c>
      <c r="O25" s="1" t="s">
        <v>26</v>
      </c>
      <c r="P25" s="1" t="s">
        <v>26</v>
      </c>
      <c r="Q25" s="1" t="s">
        <v>27</v>
      </c>
      <c r="R25" s="1" t="s">
        <v>27</v>
      </c>
      <c r="S25" s="1" t="s">
        <v>26</v>
      </c>
      <c r="T25" s="1"/>
      <c r="W25">
        <f t="shared" si="1"/>
        <v>1.1434500000000012</v>
      </c>
    </row>
    <row r="26" spans="1:23" x14ac:dyDescent="0.25">
      <c r="B26" s="12" t="s">
        <v>36</v>
      </c>
      <c r="C26" s="20" t="s">
        <v>61</v>
      </c>
      <c r="D26">
        <v>375</v>
      </c>
      <c r="E26">
        <v>24</v>
      </c>
      <c r="F26" s="13">
        <f t="shared" si="0"/>
        <v>3.9542425094393248</v>
      </c>
      <c r="G26" t="s">
        <v>30</v>
      </c>
      <c r="H26" s="2">
        <v>0.41599999999999998</v>
      </c>
      <c r="I26">
        <v>0</v>
      </c>
      <c r="J26">
        <v>0</v>
      </c>
      <c r="L26" s="13">
        <f t="shared" si="2"/>
        <v>2.4E-2</v>
      </c>
      <c r="M26" s="13">
        <v>2.4E-2</v>
      </c>
      <c r="N26">
        <f>LOG10(5757)</f>
        <v>3.7601962294551341</v>
      </c>
      <c r="O26" s="1" t="s">
        <v>26</v>
      </c>
      <c r="P26" s="1" t="s">
        <v>26</v>
      </c>
      <c r="Q26" s="1" t="s">
        <v>27</v>
      </c>
      <c r="R26" s="1" t="s">
        <v>27</v>
      </c>
      <c r="S26" s="1" t="s">
        <v>26</v>
      </c>
      <c r="T26" s="1"/>
      <c r="W26">
        <f t="shared" si="1"/>
        <v>0.86355000000000015</v>
      </c>
    </row>
    <row r="29" spans="1:23" x14ac:dyDescent="0.25">
      <c r="A29" t="s">
        <v>37</v>
      </c>
    </row>
  </sheetData>
  <mergeCells count="1">
    <mergeCell ref="O1:S1"/>
  </mergeCells>
  <conditionalFormatting sqref="O3:O16 R3:R16">
    <cfRule type="cellIs" dxfId="33" priority="45" operator="equal">
      <formula>0</formula>
    </cfRule>
    <cfRule type="cellIs" dxfId="32" priority="46" operator="equal">
      <formula>"O"</formula>
    </cfRule>
    <cfRule type="cellIs" dxfId="31" priority="47" operator="equal">
      <formula>"X"</formula>
    </cfRule>
  </conditionalFormatting>
  <conditionalFormatting sqref="D3:D1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G16 G17:G26 F4:F2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16 I18:J2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6 I18:I27">
    <cfRule type="colorScale" priority="41">
      <colorScale>
        <cfvo type="min"/>
        <cfvo type="max"/>
        <color rgb="FFFCFCFF"/>
        <color rgb="FFF8696B"/>
      </colorScale>
    </cfRule>
  </conditionalFormatting>
  <conditionalFormatting sqref="J3:J16 J18:J27">
    <cfRule type="colorScale" priority="40">
      <colorScale>
        <cfvo type="min"/>
        <cfvo type="max"/>
        <color rgb="FFFCFCFF"/>
        <color rgb="FFF8696B"/>
      </colorScale>
    </cfRule>
  </conditionalFormatting>
  <conditionalFormatting sqref="L3:L16 N3:N26">
    <cfRule type="colorScale" priority="39">
      <colorScale>
        <cfvo type="min"/>
        <cfvo type="max"/>
        <color rgb="FFFCFCFF"/>
        <color rgb="FF63BE7B"/>
      </colorScale>
    </cfRule>
  </conditionalFormatting>
  <conditionalFormatting sqref="G3:G26">
    <cfRule type="cellIs" dxfId="30" priority="38" operator="equal">
      <formula>"Y"</formula>
    </cfRule>
  </conditionalFormatting>
  <conditionalFormatting sqref="R17:R26">
    <cfRule type="cellIs" dxfId="29" priority="35" operator="equal">
      <formula>0</formula>
    </cfRule>
    <cfRule type="cellIs" dxfId="28" priority="36" operator="equal">
      <formula>"O"</formula>
    </cfRule>
    <cfRule type="cellIs" dxfId="27" priority="37" operator="equal">
      <formula>"X"</formula>
    </cfRule>
  </conditionalFormatting>
  <conditionalFormatting sqref="O17:O26">
    <cfRule type="cellIs" dxfId="26" priority="32" operator="equal">
      <formula>0</formula>
    </cfRule>
    <cfRule type="cellIs" dxfId="25" priority="33" operator="equal">
      <formula>"O"</formula>
    </cfRule>
    <cfRule type="cellIs" dxfId="24" priority="34" operator="equal">
      <formula>"X"</formula>
    </cfRule>
  </conditionalFormatting>
  <conditionalFormatting sqref="I3:J26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:F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26 N3:N26">
    <cfRule type="colorScale" priority="29">
      <colorScale>
        <cfvo type="min"/>
        <cfvo type="max"/>
        <color rgb="FFFCFCFF"/>
        <color rgb="FF63BE7B"/>
      </colorScale>
    </cfRule>
  </conditionalFormatting>
  <conditionalFormatting sqref="F3:F2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6">
    <cfRule type="cellIs" dxfId="23" priority="25" operator="equal">
      <formula>0</formula>
    </cfRule>
    <cfRule type="cellIs" dxfId="22" priority="26" operator="equal">
      <formula>"O"</formula>
    </cfRule>
    <cfRule type="cellIs" dxfId="21" priority="27" operator="equal">
      <formula>"X"</formula>
    </cfRule>
  </conditionalFormatting>
  <conditionalFormatting sqref="S17:S26">
    <cfRule type="cellIs" dxfId="20" priority="22" operator="equal">
      <formula>0</formula>
    </cfRule>
    <cfRule type="cellIs" dxfId="19" priority="23" operator="equal">
      <formula>"O"</formula>
    </cfRule>
    <cfRule type="cellIs" dxfId="18" priority="24" operator="equal">
      <formula>"X"</formula>
    </cfRule>
  </conditionalFormatting>
  <conditionalFormatting sqref="Q3:Q16">
    <cfRule type="cellIs" dxfId="17" priority="19" operator="equal">
      <formula>0</formula>
    </cfRule>
    <cfRule type="cellIs" dxfId="16" priority="20" operator="equal">
      <formula>"O"</formula>
    </cfRule>
    <cfRule type="cellIs" dxfId="15" priority="21" operator="equal">
      <formula>"X"</formula>
    </cfRule>
  </conditionalFormatting>
  <conditionalFormatting sqref="Q17:Q26">
    <cfRule type="cellIs" dxfId="14" priority="16" operator="equal">
      <formula>0</formula>
    </cfRule>
    <cfRule type="cellIs" dxfId="13" priority="17" operator="equal">
      <formula>"O"</formula>
    </cfRule>
    <cfRule type="cellIs" dxfId="12" priority="18" operator="equal">
      <formula>"X"</formula>
    </cfRule>
  </conditionalFormatting>
  <conditionalFormatting sqref="N3:N26">
    <cfRule type="colorScale" priority="15">
      <colorScale>
        <cfvo type="min"/>
        <cfvo type="max"/>
        <color rgb="FFFCFCFF"/>
        <color rgb="FF63BE7B"/>
      </colorScale>
    </cfRule>
  </conditionalFormatting>
  <conditionalFormatting sqref="P3:P16">
    <cfRule type="cellIs" dxfId="11" priority="12" operator="equal">
      <formula>0</formula>
    </cfRule>
    <cfRule type="cellIs" dxfId="10" priority="13" operator="equal">
      <formula>"O"</formula>
    </cfRule>
    <cfRule type="cellIs" dxfId="9" priority="14" operator="equal">
      <formula>"X"</formula>
    </cfRule>
  </conditionalFormatting>
  <conditionalFormatting sqref="P17:P26">
    <cfRule type="cellIs" dxfId="8" priority="9" operator="equal">
      <formula>0</formula>
    </cfRule>
    <cfRule type="cellIs" dxfId="7" priority="10" operator="equal">
      <formula>"O"</formula>
    </cfRule>
    <cfRule type="cellIs" dxfId="6" priority="11" operator="equal">
      <formula>"X"</formula>
    </cfRule>
  </conditionalFormatting>
  <conditionalFormatting sqref="M3:M16">
    <cfRule type="colorScale" priority="8">
      <colorScale>
        <cfvo type="min"/>
        <cfvo type="max"/>
        <color rgb="FFFCFCFF"/>
        <color rgb="FF63BE7B"/>
      </colorScale>
    </cfRule>
  </conditionalFormatting>
  <conditionalFormatting sqref="M3:M26">
    <cfRule type="colorScale" priority="7">
      <colorScale>
        <cfvo type="min"/>
        <cfvo type="max"/>
        <color rgb="FFFCFCFF"/>
        <color rgb="FF63BE7B"/>
      </colorScale>
    </cfRule>
  </conditionalFormatting>
  <conditionalFormatting sqref="T3:T16">
    <cfRule type="cellIs" dxfId="5" priority="4" operator="equal">
      <formula>0</formula>
    </cfRule>
    <cfRule type="cellIs" dxfId="4" priority="5" operator="equal">
      <formula>"O"</formula>
    </cfRule>
    <cfRule type="cellIs" dxfId="3" priority="6" operator="equal">
      <formula>"X"</formula>
    </cfRule>
  </conditionalFormatting>
  <conditionalFormatting sqref="T17:T26">
    <cfRule type="cellIs" dxfId="2" priority="1" operator="equal">
      <formula>0</formula>
    </cfRule>
    <cfRule type="cellIs" dxfId="1" priority="2" operator="equal">
      <formula>"O"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16" sqref="E16"/>
    </sheetView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13" x14ac:dyDescent="0.25">
      <c r="C1" t="s">
        <v>48</v>
      </c>
      <c r="D1" t="s">
        <v>49</v>
      </c>
      <c r="E1" t="s">
        <v>50</v>
      </c>
      <c r="F1" t="s">
        <v>53</v>
      </c>
      <c r="G1" t="s">
        <v>51</v>
      </c>
      <c r="H1" t="s">
        <v>52</v>
      </c>
      <c r="I1" t="s">
        <v>54</v>
      </c>
      <c r="J1" t="s">
        <v>55</v>
      </c>
      <c r="K1" t="s">
        <v>59</v>
      </c>
      <c r="L1" t="s">
        <v>60</v>
      </c>
      <c r="M1" t="s">
        <v>58</v>
      </c>
    </row>
    <row r="2" spans="1:13" x14ac:dyDescent="0.25">
      <c r="A2" t="s">
        <v>57</v>
      </c>
      <c r="B2" t="s">
        <v>56</v>
      </c>
      <c r="C2" s="18">
        <v>1.6037999999999999</v>
      </c>
      <c r="D2" s="18">
        <v>6.4150999999999998</v>
      </c>
      <c r="E2" s="18">
        <v>1.796</v>
      </c>
      <c r="F2" s="18">
        <v>5.3880999999999997</v>
      </c>
      <c r="G2" s="18">
        <v>2000</v>
      </c>
      <c r="H2" s="18">
        <v>2100</v>
      </c>
      <c r="I2" s="18">
        <v>10041</v>
      </c>
      <c r="J2" s="18">
        <v>10543</v>
      </c>
      <c r="K2" s="18">
        <v>4</v>
      </c>
      <c r="L2" s="18">
        <v>3</v>
      </c>
      <c r="M2" s="18">
        <v>115</v>
      </c>
    </row>
    <row r="3" spans="1:13" ht="15.75" thickBot="1" x14ac:dyDescent="0.3">
      <c r="A3" s="5" t="s">
        <v>0</v>
      </c>
      <c r="B3" s="6" t="s">
        <v>4</v>
      </c>
    </row>
    <row r="4" spans="1:13" ht="15.75" thickTop="1" x14ac:dyDescent="0.25">
      <c r="B4" t="s">
        <v>5</v>
      </c>
      <c r="C4">
        <f>C$2*($G$2/$G4)</f>
        <v>0.16037999999999999</v>
      </c>
      <c r="D4">
        <f>D$2*($G$2/$G4)</f>
        <v>0.64151000000000002</v>
      </c>
      <c r="E4">
        <f>E2/10</f>
        <v>0.17960000000000001</v>
      </c>
      <c r="F4">
        <f>F2/10</f>
        <v>0.53881000000000001</v>
      </c>
      <c r="G4" s="18">
        <v>20000</v>
      </c>
      <c r="H4" s="18">
        <v>21000</v>
      </c>
      <c r="M4" s="18">
        <v>115</v>
      </c>
    </row>
    <row r="5" spans="1:13" x14ac:dyDescent="0.25">
      <c r="B5" t="s">
        <v>6</v>
      </c>
      <c r="C5">
        <v>5.7736000000000003E-3</v>
      </c>
      <c r="D5">
        <v>2.3094E-2</v>
      </c>
      <c r="E5">
        <v>2.1358000000000001</v>
      </c>
      <c r="F5">
        <v>6.4074</v>
      </c>
      <c r="G5" s="18">
        <v>200000</v>
      </c>
      <c r="M5" s="18">
        <v>69</v>
      </c>
    </row>
    <row r="6" spans="1:13" x14ac:dyDescent="0.25">
      <c r="B6" t="s">
        <v>7</v>
      </c>
      <c r="C6">
        <v>6.4151E-2</v>
      </c>
      <c r="D6">
        <v>0.25659999999999999</v>
      </c>
      <c r="E6">
        <v>7.1841000000000002E-2</v>
      </c>
      <c r="F6">
        <v>0.21551999999999999</v>
      </c>
      <c r="G6" s="18">
        <v>200000</v>
      </c>
      <c r="H6" s="18">
        <v>210000</v>
      </c>
      <c r="M6" s="18">
        <v>230</v>
      </c>
    </row>
    <row r="7" spans="1:13" x14ac:dyDescent="0.25">
      <c r="B7" t="s">
        <v>8</v>
      </c>
      <c r="C7" s="18">
        <v>0</v>
      </c>
      <c r="D7" s="18">
        <v>1E-4</v>
      </c>
      <c r="E7" s="18">
        <v>0</v>
      </c>
      <c r="F7" s="18">
        <v>1E-4</v>
      </c>
      <c r="M7" s="18">
        <v>4.16</v>
      </c>
    </row>
    <row r="8" spans="1:13" x14ac:dyDescent="0.25">
      <c r="B8" t="s">
        <v>17</v>
      </c>
      <c r="C8" s="18">
        <v>0</v>
      </c>
      <c r="D8" s="18">
        <v>1E-3</v>
      </c>
      <c r="E8" s="18">
        <v>0</v>
      </c>
      <c r="F8" s="18">
        <v>1E-3</v>
      </c>
    </row>
    <row r="9" spans="1:13" x14ac:dyDescent="0.25">
      <c r="B9" t="s">
        <v>9</v>
      </c>
      <c r="C9">
        <v>0.51344000000000001</v>
      </c>
      <c r="D9">
        <v>2.0537000000000001</v>
      </c>
      <c r="E9">
        <v>1203.7</v>
      </c>
      <c r="F9">
        <v>3611</v>
      </c>
      <c r="I9" s="18">
        <v>3000</v>
      </c>
      <c r="J9" s="18">
        <v>5</v>
      </c>
      <c r="M9" s="18">
        <v>11</v>
      </c>
    </row>
    <row r="10" spans="1:13" x14ac:dyDescent="0.25">
      <c r="B10" t="s">
        <v>24</v>
      </c>
      <c r="C10">
        <v>6.4151E-2</v>
      </c>
      <c r="D10">
        <v>0.25659999999999999</v>
      </c>
      <c r="E10">
        <v>-0.14523</v>
      </c>
      <c r="F10">
        <v>-0.43568000000000001</v>
      </c>
      <c r="G10" s="18">
        <v>200000</v>
      </c>
      <c r="H10" s="18">
        <v>2000000</v>
      </c>
      <c r="M10" s="18">
        <v>230</v>
      </c>
    </row>
    <row r="11" spans="1:13" ht="15.75" thickBot="1" x14ac:dyDescent="0.3">
      <c r="A11" s="5" t="s">
        <v>10</v>
      </c>
      <c r="B11" s="6" t="s">
        <v>14</v>
      </c>
      <c r="C11" s="18">
        <v>0</v>
      </c>
      <c r="D11" s="18">
        <v>1E-3</v>
      </c>
      <c r="E11" s="18">
        <v>0</v>
      </c>
      <c r="F11" s="18">
        <v>1E-3</v>
      </c>
    </row>
    <row r="12" spans="1:13" ht="15.75" thickTop="1" x14ac:dyDescent="0.25">
      <c r="B12" t="s">
        <v>15</v>
      </c>
      <c r="C12" s="18">
        <v>2.3140000000000001</v>
      </c>
      <c r="D12" s="18">
        <v>28.52</v>
      </c>
      <c r="E12" s="18">
        <v>1E-4</v>
      </c>
      <c r="F12" s="18">
        <v>1E-4</v>
      </c>
      <c r="M12" s="18">
        <v>115</v>
      </c>
    </row>
    <row r="13" spans="1:13" x14ac:dyDescent="0.25">
      <c r="B13" t="s">
        <v>16</v>
      </c>
      <c r="C13" s="18">
        <v>0.63</v>
      </c>
      <c r="D13" s="18">
        <v>6.72</v>
      </c>
      <c r="E13" s="18">
        <v>4.07</v>
      </c>
      <c r="F13" s="18">
        <v>15.55</v>
      </c>
      <c r="M13" s="18">
        <v>230</v>
      </c>
    </row>
    <row r="14" spans="1:13" ht="15.75" thickBot="1" x14ac:dyDescent="0.3">
      <c r="A14" s="5" t="s">
        <v>20</v>
      </c>
      <c r="B14" s="6" t="s">
        <v>21</v>
      </c>
      <c r="C14" s="18">
        <v>1.3759999999999999</v>
      </c>
      <c r="D14" s="18">
        <v>14.257</v>
      </c>
      <c r="E14" s="18">
        <v>1E-3</v>
      </c>
      <c r="F14" s="18">
        <v>8.2029999999999994</v>
      </c>
      <c r="M14" s="18">
        <v>69</v>
      </c>
    </row>
    <row r="15" spans="1:13" ht="15.75" thickTop="1" x14ac:dyDescent="0.25">
      <c r="B15" t="s">
        <v>22</v>
      </c>
      <c r="C15" s="18">
        <v>0.80626299999999995</v>
      </c>
      <c r="D15" s="18">
        <v>7.8137910000000002</v>
      </c>
      <c r="E15" s="18">
        <v>0.91630699999999998</v>
      </c>
      <c r="F15" s="18">
        <v>14.556789999999999</v>
      </c>
      <c r="M15" s="18">
        <v>69</v>
      </c>
    </row>
    <row r="16" spans="1:13" x14ac:dyDescent="0.25">
      <c r="B16" t="s">
        <v>23</v>
      </c>
      <c r="C16" s="18">
        <v>5.1799999999999999E-2</v>
      </c>
      <c r="D16" s="18">
        <v>0.15554999999999999</v>
      </c>
      <c r="E16" s="18">
        <v>5.1799999999999999E-2</v>
      </c>
      <c r="F16" s="18">
        <v>0.155</v>
      </c>
      <c r="M16" s="18">
        <v>67</v>
      </c>
    </row>
    <row r="17" spans="1:13" ht="15.75" thickBot="1" x14ac:dyDescent="0.3">
      <c r="A17" s="5" t="s">
        <v>33</v>
      </c>
      <c r="B17" s="11" t="s">
        <v>38</v>
      </c>
      <c r="C17">
        <v>0.51344000000000001</v>
      </c>
      <c r="D17">
        <v>2.0537000000000001</v>
      </c>
      <c r="E17">
        <v>1.0729</v>
      </c>
      <c r="F17">
        <v>3.2185999999999999</v>
      </c>
      <c r="I17" s="18">
        <v>3000</v>
      </c>
      <c r="J17" s="18">
        <v>2500</v>
      </c>
      <c r="M17" s="18">
        <v>11</v>
      </c>
    </row>
    <row r="18" spans="1:13" ht="15.75" thickTop="1" x14ac:dyDescent="0.25">
      <c r="B18" s="12" t="s">
        <v>39</v>
      </c>
      <c r="C18">
        <v>0.51344000000000001</v>
      </c>
      <c r="D18">
        <v>2.0537000000000001</v>
      </c>
      <c r="E18">
        <v>1.0729</v>
      </c>
      <c r="F18">
        <v>3.2185999999999999</v>
      </c>
      <c r="I18" s="18">
        <v>3000</v>
      </c>
      <c r="J18" s="18">
        <v>2500</v>
      </c>
      <c r="M18" s="18">
        <v>11</v>
      </c>
    </row>
    <row r="19" spans="1:13" x14ac:dyDescent="0.25">
      <c r="B19" s="12" t="s">
        <v>40</v>
      </c>
      <c r="C19">
        <v>0.51344000000000001</v>
      </c>
      <c r="D19">
        <v>2.0537000000000001</v>
      </c>
      <c r="E19">
        <v>1.0729</v>
      </c>
      <c r="F19">
        <v>3.2185999999999999</v>
      </c>
      <c r="I19" s="18">
        <v>3000</v>
      </c>
      <c r="J19" s="18">
        <v>2500</v>
      </c>
      <c r="M19" s="18">
        <v>11</v>
      </c>
    </row>
    <row r="20" spans="1:13" x14ac:dyDescent="0.25">
      <c r="B20" s="12" t="s">
        <v>36</v>
      </c>
      <c r="C20">
        <v>0.51344000000000001</v>
      </c>
      <c r="D20">
        <v>2.0537000000000001</v>
      </c>
      <c r="E20">
        <v>1.0729</v>
      </c>
      <c r="F20">
        <v>3.2185999999999999</v>
      </c>
      <c r="I20" s="18">
        <v>3000</v>
      </c>
      <c r="J20" s="18">
        <v>2500</v>
      </c>
      <c r="M20" s="18">
        <v>11</v>
      </c>
    </row>
    <row r="21" spans="1:13" x14ac:dyDescent="0.25">
      <c r="B21" s="12" t="s">
        <v>34</v>
      </c>
      <c r="C21">
        <v>0.51344000000000001</v>
      </c>
      <c r="D21">
        <v>2.0537000000000001</v>
      </c>
      <c r="E21">
        <v>1.0729</v>
      </c>
      <c r="F21">
        <v>3.2185999999999999</v>
      </c>
      <c r="I21" s="18">
        <v>3000</v>
      </c>
      <c r="J21" s="18">
        <v>2500</v>
      </c>
      <c r="M21" s="18">
        <v>11</v>
      </c>
    </row>
    <row r="22" spans="1:13" x14ac:dyDescent="0.25">
      <c r="B22" s="12" t="s">
        <v>35</v>
      </c>
      <c r="C22">
        <v>0.51344000000000001</v>
      </c>
      <c r="D22">
        <v>2.0537000000000001</v>
      </c>
      <c r="E22">
        <v>1.0729</v>
      </c>
      <c r="F22">
        <v>3.2185999999999999</v>
      </c>
      <c r="I22" s="18">
        <v>3000</v>
      </c>
      <c r="J22" s="18">
        <v>2500</v>
      </c>
      <c r="M22" s="18">
        <v>11</v>
      </c>
    </row>
    <row r="23" spans="1:13" x14ac:dyDescent="0.25">
      <c r="B23" s="12">
        <v>193</v>
      </c>
      <c r="C23">
        <v>0.51344000000000001</v>
      </c>
      <c r="D23">
        <v>2.0537000000000001</v>
      </c>
      <c r="E23">
        <v>1.0729</v>
      </c>
      <c r="F23">
        <v>3.2185999999999999</v>
      </c>
      <c r="I23" s="18">
        <v>3000</v>
      </c>
      <c r="J23" s="18">
        <v>2500</v>
      </c>
      <c r="M23" s="18">
        <v>11</v>
      </c>
    </row>
    <row r="24" spans="1:13" x14ac:dyDescent="0.25">
      <c r="B24" s="12">
        <v>162</v>
      </c>
      <c r="C24">
        <v>0.51344000000000001</v>
      </c>
      <c r="D24">
        <v>2.0537000000000001</v>
      </c>
      <c r="E24">
        <v>1.0729</v>
      </c>
      <c r="F24">
        <v>3.2185999999999999</v>
      </c>
      <c r="I24" s="18">
        <v>3000</v>
      </c>
      <c r="J24" s="18">
        <v>2500</v>
      </c>
      <c r="M24" s="18">
        <v>11</v>
      </c>
    </row>
    <row r="25" spans="1:13" x14ac:dyDescent="0.25">
      <c r="B25" s="12">
        <v>213</v>
      </c>
      <c r="C25">
        <v>0.51344000000000001</v>
      </c>
      <c r="D25">
        <v>2.0537000000000001</v>
      </c>
      <c r="E25">
        <v>1.0729</v>
      </c>
      <c r="F25">
        <v>3.2185999999999999</v>
      </c>
      <c r="I25" s="18">
        <v>3000</v>
      </c>
      <c r="J25" s="18">
        <v>2500</v>
      </c>
      <c r="M25" s="18">
        <v>11</v>
      </c>
    </row>
    <row r="26" spans="1:13" x14ac:dyDescent="0.25">
      <c r="B26" s="12" t="s">
        <v>36</v>
      </c>
      <c r="C26">
        <v>0.51344000000000001</v>
      </c>
      <c r="D26">
        <v>2.0537000000000001</v>
      </c>
      <c r="E26">
        <v>1.0729</v>
      </c>
      <c r="F26">
        <v>3.2185999999999999</v>
      </c>
      <c r="I26" s="18">
        <v>3000</v>
      </c>
      <c r="J26" s="18">
        <v>2500</v>
      </c>
      <c r="M26" s="1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8" sqref="A8"/>
    </sheetView>
  </sheetViews>
  <sheetFormatPr defaultRowHeight="15" x14ac:dyDescent="0.25"/>
  <cols>
    <col min="6" max="6" width="11.140625" bestFit="1" customWidth="1"/>
    <col min="9" max="9" width="14.5703125" bestFit="1" customWidth="1"/>
  </cols>
  <sheetData>
    <row r="1" spans="1:9" x14ac:dyDescent="0.25">
      <c r="E1" t="s">
        <v>46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5</v>
      </c>
      <c r="B2">
        <v>16</v>
      </c>
      <c r="C2">
        <v>2.8469553250198238</v>
      </c>
      <c r="D2">
        <f>(10^C2)/1000000</f>
        <v>7.0300000000000007E-4</v>
      </c>
      <c r="E2">
        <f>1/D2</f>
        <v>1422.4751066856329</v>
      </c>
      <c r="F2">
        <v>4</v>
      </c>
      <c r="G2">
        <v>20</v>
      </c>
      <c r="H2">
        <v>1000</v>
      </c>
      <c r="I2">
        <f>(H2*G2*F2*D2)/60</f>
        <v>0.93733333333333335</v>
      </c>
    </row>
    <row r="3" spans="1:9" x14ac:dyDescent="0.25">
      <c r="A3" t="s">
        <v>6</v>
      </c>
      <c r="B3">
        <v>37</v>
      </c>
      <c r="C3">
        <v>3.6020599913279625</v>
      </c>
      <c r="D3">
        <f t="shared" ref="D3:D14" si="0">(10^C3)/1000000</f>
        <v>4.000000000000007E-3</v>
      </c>
      <c r="E3">
        <f t="shared" ref="E3:E14" si="1">1/D3</f>
        <v>249.99999999999957</v>
      </c>
      <c r="F3">
        <v>4</v>
      </c>
      <c r="G3">
        <v>20</v>
      </c>
      <c r="H3">
        <v>1000</v>
      </c>
      <c r="I3">
        <f t="shared" ref="I3:I14" si="2">(H3*G3*F3*D3)/60</f>
        <v>5.3333333333333428</v>
      </c>
    </row>
    <row r="4" spans="1:9" x14ac:dyDescent="0.25">
      <c r="A4" t="s">
        <v>7</v>
      </c>
      <c r="B4">
        <v>39</v>
      </c>
      <c r="C4">
        <v>3.4634450317704277</v>
      </c>
      <c r="D4">
        <f t="shared" si="0"/>
        <v>2.9070000000000012E-3</v>
      </c>
      <c r="E4">
        <f t="shared" si="1"/>
        <v>343.9972480220157</v>
      </c>
      <c r="F4">
        <v>4</v>
      </c>
      <c r="G4">
        <v>20</v>
      </c>
      <c r="H4">
        <v>1000</v>
      </c>
      <c r="I4">
        <f t="shared" si="2"/>
        <v>3.8760000000000017</v>
      </c>
    </row>
    <row r="5" spans="1:9" x14ac:dyDescent="0.25">
      <c r="A5" t="s">
        <v>8</v>
      </c>
      <c r="B5">
        <v>132</v>
      </c>
      <c r="C5">
        <v>3.6959192528313998</v>
      </c>
      <c r="D5">
        <f t="shared" si="0"/>
        <v>4.9650000000000015E-3</v>
      </c>
      <c r="E5">
        <f t="shared" si="1"/>
        <v>201.40986908358502</v>
      </c>
      <c r="F5">
        <v>4</v>
      </c>
      <c r="G5">
        <v>20</v>
      </c>
      <c r="H5">
        <v>1000</v>
      </c>
      <c r="I5">
        <f t="shared" si="2"/>
        <v>6.6200000000000019</v>
      </c>
    </row>
    <row r="6" spans="1:9" x14ac:dyDescent="0.25">
      <c r="A6" t="s">
        <v>17</v>
      </c>
      <c r="B6">
        <v>4876</v>
      </c>
      <c r="C6">
        <v>5.4405359950748213</v>
      </c>
      <c r="D6">
        <f t="shared" si="0"/>
        <v>0.27576300000000048</v>
      </c>
      <c r="E6">
        <f t="shared" si="1"/>
        <v>3.6263022958119771</v>
      </c>
      <c r="F6">
        <v>4</v>
      </c>
      <c r="G6">
        <v>20</v>
      </c>
      <c r="H6">
        <v>1000</v>
      </c>
      <c r="I6">
        <f t="shared" si="2"/>
        <v>367.68400000000059</v>
      </c>
    </row>
    <row r="7" spans="1:9" x14ac:dyDescent="0.25">
      <c r="A7" t="s">
        <v>9</v>
      </c>
      <c r="B7">
        <v>907</v>
      </c>
      <c r="C7">
        <v>3.7113009599161657</v>
      </c>
      <c r="D7">
        <f t="shared" si="0"/>
        <v>5.1440000000000088E-3</v>
      </c>
      <c r="E7">
        <f t="shared" si="1"/>
        <v>194.40124416796235</v>
      </c>
      <c r="F7">
        <v>4</v>
      </c>
      <c r="G7">
        <v>20</v>
      </c>
      <c r="H7">
        <v>1000</v>
      </c>
      <c r="I7">
        <f t="shared" si="2"/>
        <v>6.8586666666666787</v>
      </c>
    </row>
    <row r="8" spans="1:9" x14ac:dyDescent="0.25">
      <c r="A8" t="s">
        <v>24</v>
      </c>
      <c r="B8">
        <v>390</v>
      </c>
      <c r="C8" s="15">
        <v>4.0813833174622856</v>
      </c>
      <c r="D8">
        <f t="shared" si="0"/>
        <v>1.2061000000000023E-2</v>
      </c>
      <c r="E8">
        <f t="shared" si="1"/>
        <v>82.911864687836669</v>
      </c>
      <c r="F8">
        <v>4</v>
      </c>
      <c r="G8">
        <v>20</v>
      </c>
      <c r="H8">
        <v>1000</v>
      </c>
      <c r="I8">
        <f t="shared" si="2"/>
        <v>16.081333333333365</v>
      </c>
    </row>
    <row r="9" spans="1:9" x14ac:dyDescent="0.25">
      <c r="A9" s="6" t="s">
        <v>14</v>
      </c>
      <c r="B9" s="6">
        <v>2998</v>
      </c>
      <c r="C9">
        <v>4.50948478922394</v>
      </c>
      <c r="D9">
        <f t="shared" si="0"/>
        <v>3.2321000000000009E-2</v>
      </c>
      <c r="E9">
        <f t="shared" si="1"/>
        <v>30.939636768664325</v>
      </c>
      <c r="F9">
        <v>4</v>
      </c>
      <c r="G9">
        <v>20</v>
      </c>
      <c r="H9">
        <v>1000</v>
      </c>
      <c r="I9">
        <f t="shared" si="2"/>
        <v>43.094666666666676</v>
      </c>
    </row>
    <row r="10" spans="1:9" x14ac:dyDescent="0.25">
      <c r="A10" t="s">
        <v>15</v>
      </c>
      <c r="B10">
        <v>1255</v>
      </c>
      <c r="C10">
        <v>4.2417954312951984</v>
      </c>
      <c r="D10">
        <f t="shared" si="0"/>
        <v>1.7450000000000004E-2</v>
      </c>
      <c r="E10">
        <f t="shared" si="1"/>
        <v>57.306590257879641</v>
      </c>
      <c r="F10">
        <v>4</v>
      </c>
      <c r="G10">
        <v>20</v>
      </c>
      <c r="H10">
        <v>1000</v>
      </c>
      <c r="I10">
        <f t="shared" si="2"/>
        <v>23.266666666666669</v>
      </c>
    </row>
    <row r="11" spans="1:9" x14ac:dyDescent="0.25">
      <c r="A11" t="s">
        <v>16</v>
      </c>
      <c r="B11">
        <v>6058</v>
      </c>
      <c r="C11" s="15">
        <v>4.9442605329428515</v>
      </c>
      <c r="D11">
        <f t="shared" si="0"/>
        <v>8.7955000000000019E-2</v>
      </c>
      <c r="E11">
        <f t="shared" si="1"/>
        <v>11.369450287078617</v>
      </c>
      <c r="F11">
        <v>4</v>
      </c>
      <c r="G11">
        <v>20</v>
      </c>
      <c r="H11">
        <v>1000</v>
      </c>
      <c r="I11">
        <f t="shared" si="2"/>
        <v>117.27333333333335</v>
      </c>
    </row>
    <row r="12" spans="1:9" x14ac:dyDescent="0.25">
      <c r="A12" s="6" t="s">
        <v>21</v>
      </c>
      <c r="B12" s="6">
        <v>4888</v>
      </c>
      <c r="C12">
        <v>4.4196088349081029</v>
      </c>
      <c r="D12">
        <f t="shared" si="0"/>
        <v>2.6279000000000014E-2</v>
      </c>
      <c r="E12">
        <f t="shared" si="1"/>
        <v>38.053198371323091</v>
      </c>
      <c r="F12">
        <v>4</v>
      </c>
      <c r="G12">
        <v>20</v>
      </c>
      <c r="H12">
        <v>1000</v>
      </c>
      <c r="I12">
        <f t="shared" si="2"/>
        <v>35.038666666666686</v>
      </c>
    </row>
    <row r="13" spans="1:9" x14ac:dyDescent="0.25">
      <c r="A13" t="s">
        <v>22</v>
      </c>
      <c r="B13">
        <v>1282</v>
      </c>
      <c r="C13">
        <v>4.3043397048923389</v>
      </c>
      <c r="D13">
        <f t="shared" si="0"/>
        <v>2.0153000000000025E-2</v>
      </c>
      <c r="E13">
        <f t="shared" si="1"/>
        <v>49.620403910087767</v>
      </c>
      <c r="F13">
        <v>4</v>
      </c>
      <c r="G13">
        <v>20</v>
      </c>
      <c r="H13">
        <v>1000</v>
      </c>
      <c r="I13">
        <f t="shared" si="2"/>
        <v>26.8706666666667</v>
      </c>
    </row>
    <row r="14" spans="1:9" x14ac:dyDescent="0.25">
      <c r="A14" t="s">
        <v>23</v>
      </c>
      <c r="B14">
        <v>2596</v>
      </c>
      <c r="C14" s="15">
        <v>4.4422915862860712</v>
      </c>
      <c r="D14">
        <f t="shared" si="0"/>
        <v>2.7688000000000022E-2</v>
      </c>
      <c r="E14">
        <f t="shared" si="1"/>
        <v>36.116729268997375</v>
      </c>
      <c r="F14">
        <v>4</v>
      </c>
      <c r="G14">
        <v>20</v>
      </c>
      <c r="H14">
        <v>1000</v>
      </c>
      <c r="I14">
        <f t="shared" si="2"/>
        <v>36.91733333333336</v>
      </c>
    </row>
  </sheetData>
  <conditionalFormatting sqref="C2:C14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4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6" sqref="G16"/>
    </sheetView>
  </sheetViews>
  <sheetFormatPr defaultRowHeight="15" x14ac:dyDescent="0.25"/>
  <cols>
    <col min="3" max="3" width="5.28515625" customWidth="1"/>
    <col min="4" max="4" width="65.140625" bestFit="1" customWidth="1"/>
    <col min="5" max="5" width="26.140625" bestFit="1" customWidth="1"/>
  </cols>
  <sheetData>
    <row r="1" spans="1:7" ht="15.75" thickBot="1" x14ac:dyDescent="0.3">
      <c r="A1" s="3" t="s">
        <v>12</v>
      </c>
      <c r="B1" s="3" t="s">
        <v>11</v>
      </c>
      <c r="C1" s="3" t="s">
        <v>47</v>
      </c>
      <c r="F1" t="s">
        <v>74</v>
      </c>
      <c r="G1" t="s">
        <v>77</v>
      </c>
    </row>
    <row r="2" spans="1:7" x14ac:dyDescent="0.25">
      <c r="A2" s="16"/>
      <c r="B2" s="16"/>
      <c r="C2" s="16"/>
    </row>
    <row r="3" spans="1:7" ht="15.75" thickBot="1" x14ac:dyDescent="0.3">
      <c r="A3" s="5" t="s">
        <v>0</v>
      </c>
      <c r="B3" s="6" t="s">
        <v>4</v>
      </c>
      <c r="C3" s="21" t="s">
        <v>61</v>
      </c>
    </row>
    <row r="4" spans="1:7" ht="15.75" thickTop="1" x14ac:dyDescent="0.25">
      <c r="B4" t="s">
        <v>5</v>
      </c>
      <c r="C4">
        <v>5</v>
      </c>
      <c r="F4" t="s">
        <v>30</v>
      </c>
    </row>
    <row r="5" spans="1:7" x14ac:dyDescent="0.25">
      <c r="B5" t="s">
        <v>6</v>
      </c>
      <c r="C5">
        <v>6</v>
      </c>
      <c r="F5" t="s">
        <v>30</v>
      </c>
    </row>
    <row r="6" spans="1:7" x14ac:dyDescent="0.25">
      <c r="B6" t="s">
        <v>7</v>
      </c>
      <c r="C6">
        <v>7</v>
      </c>
    </row>
    <row r="7" spans="1:7" x14ac:dyDescent="0.25">
      <c r="B7" t="s">
        <v>8</v>
      </c>
      <c r="C7">
        <v>8</v>
      </c>
      <c r="F7" t="s">
        <v>75</v>
      </c>
      <c r="G7" t="s">
        <v>75</v>
      </c>
    </row>
    <row r="8" spans="1:7" x14ac:dyDescent="0.25">
      <c r="B8" t="s">
        <v>17</v>
      </c>
      <c r="C8">
        <v>9</v>
      </c>
      <c r="D8" t="s">
        <v>73</v>
      </c>
      <c r="F8" t="s">
        <v>76</v>
      </c>
      <c r="G8" t="s">
        <v>76</v>
      </c>
    </row>
    <row r="9" spans="1:7" x14ac:dyDescent="0.25">
      <c r="B9" t="s">
        <v>9</v>
      </c>
      <c r="C9">
        <v>0</v>
      </c>
    </row>
    <row r="10" spans="1:7" x14ac:dyDescent="0.25">
      <c r="B10" t="s">
        <v>24</v>
      </c>
      <c r="C10">
        <v>14</v>
      </c>
    </row>
    <row r="11" spans="1:7" ht="15.75" thickBot="1" x14ac:dyDescent="0.3">
      <c r="A11" s="5" t="s">
        <v>10</v>
      </c>
      <c r="B11" s="6" t="s">
        <v>14</v>
      </c>
      <c r="C11" s="6">
        <v>17</v>
      </c>
      <c r="D11" s="22" t="s">
        <v>63</v>
      </c>
      <c r="E11" t="s">
        <v>67</v>
      </c>
      <c r="F11" t="s">
        <v>76</v>
      </c>
      <c r="G11" t="s">
        <v>76</v>
      </c>
    </row>
    <row r="12" spans="1:7" ht="15.75" thickTop="1" x14ac:dyDescent="0.25">
      <c r="B12" t="s">
        <v>15</v>
      </c>
      <c r="C12" s="17">
        <v>18</v>
      </c>
      <c r="D12" t="s">
        <v>63</v>
      </c>
      <c r="E12" t="s">
        <v>68</v>
      </c>
      <c r="F12" t="s">
        <v>30</v>
      </c>
      <c r="G12" t="s">
        <v>75</v>
      </c>
    </row>
    <row r="13" spans="1:7" x14ac:dyDescent="0.25">
      <c r="B13" t="s">
        <v>16</v>
      </c>
      <c r="C13">
        <v>22</v>
      </c>
      <c r="D13" t="s">
        <v>63</v>
      </c>
      <c r="E13" t="s">
        <v>69</v>
      </c>
      <c r="F13" t="s">
        <v>30</v>
      </c>
      <c r="G13" t="s">
        <v>76</v>
      </c>
    </row>
    <row r="14" spans="1:7" ht="15.75" thickBot="1" x14ac:dyDescent="0.3">
      <c r="A14" s="5" t="s">
        <v>20</v>
      </c>
      <c r="B14" s="6" t="s">
        <v>21</v>
      </c>
      <c r="C14" s="6">
        <v>19</v>
      </c>
      <c r="D14" t="s">
        <v>64</v>
      </c>
      <c r="E14" t="s">
        <v>72</v>
      </c>
      <c r="F14" t="s">
        <v>30</v>
      </c>
      <c r="G14" t="s">
        <v>76</v>
      </c>
    </row>
    <row r="15" spans="1:7" ht="15.75" thickTop="1" x14ac:dyDescent="0.25">
      <c r="B15" t="s">
        <v>22</v>
      </c>
      <c r="C15">
        <v>20</v>
      </c>
      <c r="D15" t="s">
        <v>65</v>
      </c>
      <c r="E15" t="s">
        <v>71</v>
      </c>
      <c r="F15" t="s">
        <v>30</v>
      </c>
      <c r="G15" t="s">
        <v>76</v>
      </c>
    </row>
    <row r="16" spans="1:7" x14ac:dyDescent="0.25">
      <c r="B16" t="s">
        <v>23</v>
      </c>
      <c r="C16">
        <v>21</v>
      </c>
      <c r="D16" t="s">
        <v>66</v>
      </c>
      <c r="E16" t="s">
        <v>70</v>
      </c>
      <c r="F16" t="s">
        <v>30</v>
      </c>
      <c r="G16" t="s">
        <v>76</v>
      </c>
    </row>
    <row r="17" spans="1:3" ht="15.75" thickBot="1" x14ac:dyDescent="0.3">
      <c r="A17" s="5" t="s">
        <v>33</v>
      </c>
      <c r="B17" s="11" t="s">
        <v>38</v>
      </c>
      <c r="C17" s="19" t="s">
        <v>61</v>
      </c>
    </row>
    <row r="18" spans="1:3" ht="15.75" thickTop="1" x14ac:dyDescent="0.25">
      <c r="B18" s="12" t="s">
        <v>39</v>
      </c>
      <c r="C18" s="20" t="s">
        <v>61</v>
      </c>
    </row>
    <row r="19" spans="1:3" x14ac:dyDescent="0.25">
      <c r="B19" s="12" t="s">
        <v>40</v>
      </c>
      <c r="C19" s="20" t="s">
        <v>61</v>
      </c>
    </row>
    <row r="20" spans="1:3" x14ac:dyDescent="0.25">
      <c r="B20" s="12" t="s">
        <v>36</v>
      </c>
      <c r="C20" s="20" t="s">
        <v>61</v>
      </c>
    </row>
    <row r="21" spans="1:3" x14ac:dyDescent="0.25">
      <c r="B21" s="12" t="s">
        <v>34</v>
      </c>
      <c r="C21" s="20" t="s">
        <v>61</v>
      </c>
    </row>
    <row r="22" spans="1:3" x14ac:dyDescent="0.25">
      <c r="B22" s="12" t="s">
        <v>35</v>
      </c>
      <c r="C22" s="20" t="s">
        <v>61</v>
      </c>
    </row>
    <row r="23" spans="1:3" x14ac:dyDescent="0.25">
      <c r="B23" s="12">
        <v>193</v>
      </c>
      <c r="C23" s="20" t="s">
        <v>61</v>
      </c>
    </row>
    <row r="24" spans="1:3" x14ac:dyDescent="0.25">
      <c r="B24" s="12">
        <v>162</v>
      </c>
      <c r="C24" s="20" t="s">
        <v>61</v>
      </c>
    </row>
    <row r="25" spans="1:3" x14ac:dyDescent="0.25">
      <c r="B25" s="12">
        <v>213</v>
      </c>
      <c r="C25" s="20" t="s">
        <v>61</v>
      </c>
    </row>
    <row r="26" spans="1:3" x14ac:dyDescent="0.25">
      <c r="B26" s="12" t="s">
        <v>36</v>
      </c>
      <c r="C26" s="20" t="s">
        <v>61</v>
      </c>
    </row>
  </sheetData>
  <hyperlinks>
    <hyperlink ref="D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sourceParams</vt:lpstr>
      <vt:lpstr>plotTts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2019-03-19T18:03:19Z</dcterms:modified>
</cp:coreProperties>
</file>