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4"/>
  </bookViews>
  <sheets>
    <sheet name="master" sheetId="1" r:id="rId1"/>
    <sheet name="notes" sheetId="4" r:id="rId2"/>
    <sheet name="caps" sheetId="11" r:id="rId3"/>
    <sheet name="regs" sheetId="12" r:id="rId4"/>
    <sheet name="workflow" sheetId="13" r:id="rId5"/>
    <sheet name="legacy&gt;&gt;&gt;" sheetId="10" r:id="rId6"/>
    <sheet name="plotting" sheetId="8" r:id="rId7"/>
    <sheet name="sourceParams" sheetId="3" r:id="rId8"/>
    <sheet name="plotTts" sheetId="2" r:id="rId9"/>
    <sheet name="svdStuff" sheetId="5" r:id="rId10"/>
    <sheet name="varStuff" sheetId="6" r:id="rId11"/>
    <sheet name="varV2stuff" sheetId="7" r:id="rId12"/>
    <sheet name="quarterGenQuarterMax" sheetId="9" r:id="rId1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5" i="11" l="1"/>
  <c r="K5" i="11"/>
  <c r="L8" i="9" l="1"/>
  <c r="M8" i="9" s="1"/>
  <c r="N8" i="9" s="1"/>
  <c r="L9" i="9"/>
  <c r="M9" i="9" s="1"/>
  <c r="N9" i="9" s="1"/>
  <c r="L10" i="9"/>
  <c r="M10" i="9" s="1"/>
  <c r="N10" i="9" s="1"/>
  <c r="L11" i="9"/>
  <c r="M11" i="9" s="1"/>
  <c r="N11" i="9" s="1"/>
  <c r="L12" i="9"/>
  <c r="M12" i="9" s="1"/>
  <c r="N12" i="9" s="1"/>
  <c r="L13" i="9"/>
  <c r="M13" i="9" s="1"/>
  <c r="N13" i="9" s="1"/>
  <c r="L7" i="9"/>
  <c r="M7" i="9" s="1"/>
  <c r="N7" i="9" s="1"/>
  <c r="K3" i="9"/>
  <c r="J3" i="9"/>
  <c r="T11" i="7" l="1"/>
  <c r="S11" i="7"/>
  <c r="S4" i="7"/>
  <c r="S16" i="7"/>
  <c r="S12" i="7"/>
  <c r="S8" i="7"/>
  <c r="V16" i="7"/>
  <c r="U16" i="7"/>
  <c r="T16" i="7"/>
  <c r="V15" i="7"/>
  <c r="U15" i="7"/>
  <c r="T15" i="7"/>
  <c r="S15" i="7"/>
  <c r="V14" i="7"/>
  <c r="U14" i="7"/>
  <c r="T14" i="7"/>
  <c r="S14" i="7"/>
  <c r="V13" i="7"/>
  <c r="U13" i="7"/>
  <c r="T13" i="7"/>
  <c r="S13" i="7"/>
  <c r="V12" i="7"/>
  <c r="U12" i="7"/>
  <c r="T12" i="7"/>
  <c r="V11" i="7"/>
  <c r="U11" i="7"/>
  <c r="V10" i="7"/>
  <c r="U10" i="7"/>
  <c r="T10" i="7"/>
  <c r="S10" i="7"/>
  <c r="V9" i="7"/>
  <c r="U9" i="7"/>
  <c r="T9" i="7"/>
  <c r="S9" i="7"/>
  <c r="V8" i="7"/>
  <c r="U8" i="7"/>
  <c r="T8" i="7"/>
  <c r="V7" i="7"/>
  <c r="U7" i="7"/>
  <c r="T7" i="7"/>
  <c r="S7" i="7"/>
  <c r="V5" i="7"/>
  <c r="U5" i="7"/>
  <c r="T5" i="7"/>
  <c r="S5" i="7"/>
  <c r="V4" i="7"/>
  <c r="U4" i="7"/>
  <c r="T4" i="7"/>
  <c r="L4" i="7" l="1"/>
  <c r="M4" i="7"/>
  <c r="N4" i="7"/>
  <c r="L5" i="7"/>
  <c r="M5" i="7"/>
  <c r="N5" i="7"/>
  <c r="L7" i="7"/>
  <c r="M7" i="7"/>
  <c r="N7" i="7"/>
  <c r="L8" i="7"/>
  <c r="M8" i="7"/>
  <c r="N8" i="7"/>
  <c r="L9" i="7"/>
  <c r="M9" i="7"/>
  <c r="N9" i="7"/>
  <c r="L10" i="7"/>
  <c r="M10" i="7"/>
  <c r="N10" i="7"/>
  <c r="L11" i="7"/>
  <c r="M11" i="7"/>
  <c r="N11" i="7"/>
  <c r="L12" i="7"/>
  <c r="M12" i="7"/>
  <c r="N12" i="7"/>
  <c r="L13" i="7"/>
  <c r="M13" i="7"/>
  <c r="N13" i="7"/>
  <c r="L14" i="7"/>
  <c r="M14" i="7"/>
  <c r="N14" i="7"/>
  <c r="L15" i="7"/>
  <c r="M15" i="7"/>
  <c r="N15" i="7"/>
  <c r="L16" i="7"/>
  <c r="M16" i="7"/>
  <c r="N16" i="7"/>
  <c r="K5" i="7"/>
  <c r="K7" i="7"/>
  <c r="K8" i="7"/>
  <c r="K9" i="7"/>
  <c r="K10" i="7"/>
  <c r="K11" i="7"/>
  <c r="K12" i="7"/>
  <c r="K13" i="7"/>
  <c r="K14" i="7"/>
  <c r="K15" i="7"/>
  <c r="K16" i="7"/>
  <c r="K4" i="7"/>
  <c r="R5" i="5"/>
  <c r="S5" i="5"/>
  <c r="T5" i="5"/>
  <c r="U5" i="5"/>
  <c r="V5" i="5"/>
  <c r="R6" i="5"/>
  <c r="S6" i="5"/>
  <c r="T6" i="5"/>
  <c r="U6" i="5"/>
  <c r="V6" i="5"/>
  <c r="R7" i="5"/>
  <c r="S7" i="5"/>
  <c r="T7" i="5"/>
  <c r="U7" i="5"/>
  <c r="V7" i="5"/>
  <c r="R8" i="5"/>
  <c r="S8" i="5"/>
  <c r="T8" i="5"/>
  <c r="U8" i="5"/>
  <c r="V8" i="5"/>
  <c r="R9" i="5"/>
  <c r="S9" i="5"/>
  <c r="T9" i="5"/>
  <c r="U9" i="5"/>
  <c r="V9" i="5"/>
  <c r="R10" i="5"/>
  <c r="S10" i="5"/>
  <c r="T10" i="5"/>
  <c r="U10" i="5"/>
  <c r="V10" i="5"/>
  <c r="R11" i="5"/>
  <c r="S11" i="5"/>
  <c r="T11" i="5"/>
  <c r="U11" i="5"/>
  <c r="V11" i="5"/>
  <c r="R12" i="5"/>
  <c r="S12" i="5"/>
  <c r="T12" i="5"/>
  <c r="U12" i="5"/>
  <c r="V12" i="5"/>
  <c r="R13" i="5"/>
  <c r="S13" i="5"/>
  <c r="T13" i="5"/>
  <c r="U13" i="5"/>
  <c r="V13" i="5"/>
  <c r="R14" i="5"/>
  <c r="S14" i="5"/>
  <c r="T14" i="5"/>
  <c r="U14" i="5"/>
  <c r="V14" i="5"/>
  <c r="R15" i="5"/>
  <c r="S15" i="5"/>
  <c r="T15" i="5"/>
  <c r="U15" i="5"/>
  <c r="V15" i="5"/>
  <c r="R16" i="5"/>
  <c r="S16" i="5"/>
  <c r="T16" i="5"/>
  <c r="U16" i="5"/>
  <c r="V16" i="5"/>
  <c r="S4" i="5"/>
  <c r="T4" i="5"/>
  <c r="U4" i="5"/>
  <c r="V4" i="5"/>
  <c r="R4" i="5"/>
  <c r="M5" i="6"/>
  <c r="N5" i="6"/>
  <c r="O5" i="6"/>
  <c r="P5" i="6"/>
  <c r="Q5" i="6"/>
  <c r="R5" i="6"/>
  <c r="M7" i="6"/>
  <c r="N7" i="6"/>
  <c r="O7" i="6"/>
  <c r="P7" i="6"/>
  <c r="Q7" i="6"/>
  <c r="R7" i="6"/>
  <c r="M8" i="6"/>
  <c r="N8" i="6"/>
  <c r="O8" i="6"/>
  <c r="P8" i="6"/>
  <c r="Q8" i="6"/>
  <c r="R8" i="6"/>
  <c r="M9" i="6"/>
  <c r="N9" i="6"/>
  <c r="O9" i="6"/>
  <c r="P9" i="6"/>
  <c r="Q9" i="6"/>
  <c r="R9" i="6"/>
  <c r="M10" i="6"/>
  <c r="N10" i="6"/>
  <c r="O10" i="6"/>
  <c r="P10" i="6"/>
  <c r="Q10" i="6"/>
  <c r="R10" i="6"/>
  <c r="M11" i="6"/>
  <c r="N11" i="6"/>
  <c r="O11" i="6"/>
  <c r="P11" i="6"/>
  <c r="Q11" i="6"/>
  <c r="R11" i="6"/>
  <c r="M12" i="6"/>
  <c r="N12" i="6"/>
  <c r="O12" i="6"/>
  <c r="P12" i="6"/>
  <c r="Q12" i="6"/>
  <c r="R12" i="6"/>
  <c r="M13" i="6"/>
  <c r="N13" i="6"/>
  <c r="O13" i="6"/>
  <c r="P13" i="6"/>
  <c r="Q13" i="6"/>
  <c r="R13" i="6"/>
  <c r="M14" i="6"/>
  <c r="N14" i="6"/>
  <c r="O14" i="6"/>
  <c r="P14" i="6"/>
  <c r="Q14" i="6"/>
  <c r="R14" i="6"/>
  <c r="M15" i="6"/>
  <c r="N15" i="6"/>
  <c r="O15" i="6"/>
  <c r="P15" i="6"/>
  <c r="Q15" i="6"/>
  <c r="R15" i="6"/>
  <c r="M16" i="6"/>
  <c r="N16" i="6"/>
  <c r="O16" i="6"/>
  <c r="P16" i="6"/>
  <c r="Q16" i="6"/>
  <c r="R16" i="6"/>
  <c r="N4" i="6"/>
  <c r="O4" i="6"/>
  <c r="P4" i="6"/>
  <c r="Q4" i="6"/>
  <c r="R4" i="6"/>
  <c r="M4" i="6"/>
  <c r="N4" i="5" l="1"/>
  <c r="O4" i="5"/>
  <c r="P4" i="5"/>
  <c r="Q4" i="5"/>
  <c r="N5" i="5"/>
  <c r="O5" i="5"/>
  <c r="P5" i="5"/>
  <c r="Q5" i="5"/>
  <c r="N6" i="5"/>
  <c r="O6" i="5"/>
  <c r="P6" i="5"/>
  <c r="Q6" i="5"/>
  <c r="N7" i="5"/>
  <c r="O7" i="5"/>
  <c r="P7" i="5"/>
  <c r="Q7" i="5"/>
  <c r="N8" i="5"/>
  <c r="O8" i="5"/>
  <c r="P8" i="5"/>
  <c r="Q8" i="5"/>
  <c r="N9" i="5"/>
  <c r="O9" i="5"/>
  <c r="P9" i="5"/>
  <c r="Q9" i="5"/>
  <c r="N10" i="5"/>
  <c r="O10" i="5"/>
  <c r="P10" i="5"/>
  <c r="Q10" i="5"/>
  <c r="N11" i="5"/>
  <c r="O11" i="5"/>
  <c r="P11" i="5"/>
  <c r="Q11" i="5"/>
  <c r="N12" i="5"/>
  <c r="O12" i="5"/>
  <c r="P12" i="5"/>
  <c r="Q12" i="5"/>
  <c r="N13" i="5"/>
  <c r="O13" i="5"/>
  <c r="P13" i="5"/>
  <c r="Q13" i="5"/>
  <c r="N14" i="5"/>
  <c r="O14" i="5"/>
  <c r="P14" i="5"/>
  <c r="Q14" i="5"/>
  <c r="N15" i="5"/>
  <c r="O15" i="5"/>
  <c r="P15" i="5"/>
  <c r="Q15" i="5"/>
  <c r="N16" i="5"/>
  <c r="O16" i="5"/>
  <c r="P16" i="5"/>
  <c r="Q16" i="5"/>
  <c r="M5" i="5"/>
  <c r="M6" i="5"/>
  <c r="M7" i="5"/>
  <c r="M8" i="5"/>
  <c r="M9" i="5"/>
  <c r="M10" i="5"/>
  <c r="M11" i="5"/>
  <c r="M12" i="5"/>
  <c r="M13" i="5"/>
  <c r="M14" i="5"/>
  <c r="M15" i="5"/>
  <c r="M16" i="5"/>
  <c r="M4" i="5"/>
  <c r="W7" i="1" l="1"/>
  <c r="W5" i="1"/>
  <c r="W11" i="1"/>
  <c r="Y16" i="1" l="1"/>
  <c r="Y15" i="1"/>
  <c r="Y14" i="1"/>
  <c r="Y13" i="1"/>
  <c r="Y12" i="1"/>
  <c r="Y11" i="1"/>
  <c r="Y10" i="1"/>
  <c r="Y9" i="1"/>
  <c r="Y8" i="1"/>
  <c r="Y7" i="1"/>
  <c r="Y5" i="1"/>
  <c r="Y4" i="1"/>
  <c r="W4" i="1"/>
  <c r="N26" i="1" l="1"/>
  <c r="X26" i="1" s="1"/>
  <c r="N25" i="1"/>
  <c r="X25" i="1" s="1"/>
  <c r="N24" i="1"/>
  <c r="X24" i="1" s="1"/>
  <c r="N23" i="1"/>
  <c r="X23" i="1" s="1"/>
  <c r="N22" i="1"/>
  <c r="X22" i="1" s="1"/>
  <c r="N21" i="1"/>
  <c r="X21" i="1" s="1"/>
  <c r="N20" i="1"/>
  <c r="X20" i="1" s="1"/>
  <c r="N19" i="1"/>
  <c r="X19" i="1" s="1"/>
  <c r="N18" i="1"/>
  <c r="X18" i="1" s="1"/>
  <c r="N17" i="1"/>
  <c r="X17" i="1" s="1"/>
  <c r="F4" i="3" l="1"/>
  <c r="E4" i="3"/>
  <c r="D4" i="3"/>
  <c r="C4" i="3"/>
  <c r="D3" i="2" l="1"/>
  <c r="E3" i="2" s="1"/>
  <c r="D4" i="2"/>
  <c r="E4" i="2" s="1"/>
  <c r="D5" i="2"/>
  <c r="E5" i="2" s="1"/>
  <c r="D6" i="2"/>
  <c r="E6" i="2" s="1"/>
  <c r="D7" i="2"/>
  <c r="E7" i="2" s="1"/>
  <c r="D8" i="2"/>
  <c r="E8" i="2" s="1"/>
  <c r="D9" i="2"/>
  <c r="E9" i="2" s="1"/>
  <c r="D10" i="2"/>
  <c r="E10" i="2" s="1"/>
  <c r="D11" i="2"/>
  <c r="E11" i="2" s="1"/>
  <c r="D12" i="2"/>
  <c r="E12" i="2" s="1"/>
  <c r="D13" i="2"/>
  <c r="E13" i="2" s="1"/>
  <c r="D14" i="2"/>
  <c r="E14" i="2" s="1"/>
  <c r="D2" i="2"/>
  <c r="E2" i="2" s="1"/>
  <c r="N9" i="1"/>
  <c r="X9" i="1" s="1"/>
  <c r="N10" i="1"/>
  <c r="X10" i="1" s="1"/>
  <c r="N16" i="1"/>
  <c r="X16" i="1" s="1"/>
  <c r="N15" i="1"/>
  <c r="X15" i="1" s="1"/>
  <c r="N14" i="1"/>
  <c r="X14" i="1" s="1"/>
  <c r="N13" i="1"/>
  <c r="X13" i="1" s="1"/>
  <c r="N12" i="1"/>
  <c r="X12" i="1" s="1"/>
  <c r="N11" i="1"/>
  <c r="X11" i="1" s="1"/>
  <c r="N8" i="1"/>
  <c r="X8" i="1" s="1"/>
  <c r="N7" i="1"/>
  <c r="X7" i="1" s="1"/>
  <c r="N6" i="1"/>
  <c r="X6" i="1" s="1"/>
  <c r="N5" i="1"/>
  <c r="X5" i="1" s="1"/>
  <c r="N4" i="1"/>
  <c r="X4" i="1" s="1"/>
  <c r="I14" i="2" l="1"/>
  <c r="I10" i="2"/>
  <c r="I6" i="2"/>
  <c r="I13" i="2"/>
  <c r="I9" i="2"/>
  <c r="I5" i="2"/>
  <c r="I12" i="2"/>
  <c r="I8" i="2"/>
  <c r="I4" i="2"/>
  <c r="I2" i="2"/>
  <c r="I11" i="2"/>
  <c r="I7" i="2"/>
  <c r="I3" i="2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3" i="1"/>
  <c r="L18" i="1" l="1"/>
  <c r="L19" i="1"/>
  <c r="L20" i="1"/>
  <c r="L21" i="1"/>
  <c r="L22" i="1"/>
  <c r="L23" i="1"/>
  <c r="L24" i="1"/>
  <c r="L25" i="1"/>
  <c r="L26" i="1"/>
  <c r="L17" i="1"/>
</calcChain>
</file>

<file path=xl/sharedStrings.xml><?xml version="1.0" encoding="utf-8"?>
<sst xmlns="http://schemas.openxmlformats.org/spreadsheetml/2006/main" count="912" uniqueCount="196">
  <si>
    <t>IEEE Circuits</t>
  </si>
  <si>
    <t>Buses</t>
  </si>
  <si>
    <t>Caps</t>
  </si>
  <si>
    <t>Regs</t>
  </si>
  <si>
    <t>4 bus</t>
  </si>
  <si>
    <t>13 bus</t>
  </si>
  <si>
    <t>34 bus</t>
  </si>
  <si>
    <t>37 bus</t>
  </si>
  <si>
    <t>123 bus</t>
  </si>
  <si>
    <t>EU LV</t>
  </si>
  <si>
    <t>EPRI test</t>
  </si>
  <si>
    <t>Name</t>
  </si>
  <si>
    <t>Series</t>
  </si>
  <si>
    <t>Loads</t>
  </si>
  <si>
    <t>Ckt5</t>
  </si>
  <si>
    <t>Ckt7</t>
  </si>
  <si>
    <t>Ckt24</t>
  </si>
  <si>
    <t>8500 node</t>
  </si>
  <si>
    <t>Power (MW)</t>
  </si>
  <si>
    <t>NA</t>
  </si>
  <si>
    <t>EPRI HC</t>
  </si>
  <si>
    <t>J1</t>
  </si>
  <si>
    <t>K1</t>
  </si>
  <si>
    <t>M1</t>
  </si>
  <si>
    <t>US LV</t>
  </si>
  <si>
    <t>Implemented</t>
  </si>
  <si>
    <t>X</t>
  </si>
  <si>
    <t>O</t>
  </si>
  <si>
    <t>Conn</t>
  </si>
  <si>
    <t>Y/D</t>
  </si>
  <si>
    <t>Y</t>
  </si>
  <si>
    <t>D</t>
  </si>
  <si>
    <t>kV</t>
  </si>
  <si>
    <t>Manchester LV</t>
  </si>
  <si>
    <t>024</t>
  </si>
  <si>
    <t>074</t>
  </si>
  <si>
    <t>041</t>
  </si>
  <si>
    <t>NB: "Buses" &lt;" Nodes"</t>
  </si>
  <si>
    <t>011</t>
  </si>
  <si>
    <t>021</t>
  </si>
  <si>
    <t>031</t>
  </si>
  <si>
    <t>log(NBNL)</t>
  </si>
  <si>
    <t>Load points</t>
  </si>
  <si>
    <t>Gen Points</t>
  </si>
  <si>
    <t>Scenarios</t>
  </si>
  <si>
    <t>Sln time (mins)</t>
  </si>
  <si>
    <t>slns per s-1</t>
  </si>
  <si>
    <t>ID</t>
  </si>
  <si>
    <t>R1</t>
  </si>
  <si>
    <t>X1</t>
  </si>
  <si>
    <t>R0</t>
  </si>
  <si>
    <t>MVAsc3</t>
  </si>
  <si>
    <t>MVAsc1</t>
  </si>
  <si>
    <t>X0</t>
  </si>
  <si>
    <t>ISC3</t>
  </si>
  <si>
    <t>ISC1</t>
  </si>
  <si>
    <t>SOURCE</t>
  </si>
  <si>
    <t>Base:</t>
  </si>
  <si>
    <t>basekv</t>
  </si>
  <si>
    <t>X1R1</t>
  </si>
  <si>
    <t>X0R0</t>
  </si>
  <si>
    <t>-</t>
  </si>
  <si>
    <t>NB problems converging</t>
  </si>
  <si>
    <t>http://smartgrid.epri.com/SimulationTool.aspx</t>
  </si>
  <si>
    <t>https://dpv.epri.com/feeder_j.html</t>
  </si>
  <si>
    <t>https://dpv.epri.com/feeder_k.html</t>
  </si>
  <si>
    <t>https://dpv.epri.com/feeder_m.html</t>
  </si>
  <si>
    <t>96% Res</t>
  </si>
  <si>
    <t>39% Res</t>
  </si>
  <si>
    <t>87% Res</t>
  </si>
  <si>
    <t>"Primarily residential"</t>
  </si>
  <si>
    <t>Mixture of res + commercial</t>
  </si>
  <si>
    <t>Mixture of res + comm + ind</t>
  </si>
  <si>
    <t>https://ieeexplore.ieee.org/stamp/stamp.jsp?tp=&amp;arnumber=5484381</t>
  </si>
  <si>
    <t>Problem?</t>
  </si>
  <si>
    <t>M</t>
  </si>
  <si>
    <t>N</t>
  </si>
  <si>
    <t>Problem with outlier removal?</t>
  </si>
  <si>
    <t>XX</t>
  </si>
  <si>
    <t>Feeder (MW)</t>
  </si>
  <si>
    <t>Predicted</t>
  </si>
  <si>
    <t>Log(t2s) (us)</t>
  </si>
  <si>
    <t>Fixed</t>
  </si>
  <si>
    <t>Tap</t>
  </si>
  <si>
    <t>LTC</t>
  </si>
  <si>
    <t>HC</t>
  </si>
  <si>
    <t>Zsrc</t>
  </si>
  <si>
    <t>V2 (9000 LFs)</t>
  </si>
  <si>
    <t>6000 LFs</t>
  </si>
  <si>
    <t>Done</t>
  </si>
  <si>
    <t>Done - nominal undervoltage?</t>
  </si>
  <si>
    <t>PLT</t>
  </si>
  <si>
    <t>Len (km)</t>
  </si>
  <si>
    <t>Manc LV</t>
  </si>
  <si>
    <t>3500-&gt;0.9986</t>
  </si>
  <si>
    <t>midNodes</t>
  </si>
  <si>
    <t>500 sec</t>
  </si>
  <si>
    <t>2500 sec</t>
  </si>
  <si>
    <t>Fraction of time</t>
  </si>
  <si>
    <t>99%, 99%</t>
  </si>
  <si>
    <t>99%, 98%</t>
  </si>
  <si>
    <t>99%, 95%</t>
  </si>
  <si>
    <t>90%, 95%</t>
  </si>
  <si>
    <t>90%, 98%</t>
  </si>
  <si>
    <t>90%, 99%</t>
  </si>
  <si>
    <t>HC2</t>
  </si>
  <si>
    <t>Regulators</t>
  </si>
  <si>
    <t>Source</t>
  </si>
  <si>
    <t>na</t>
  </si>
  <si>
    <t>BUS ID</t>
  </si>
  <si>
    <t>SRC Reg</t>
  </si>
  <si>
    <t>Location</t>
  </si>
  <si>
    <t>SouthEast</t>
  </si>
  <si>
    <t>NorthEast</t>
  </si>
  <si>
    <t>NorthWest</t>
  </si>
  <si>
    <t>theta</t>
  </si>
  <si>
    <t>vp_pct(0.25)</t>
  </si>
  <si>
    <t>mean(loads(loads&lt;100kW))</t>
  </si>
  <si>
    <t>std(loads(loads&lt;100kW))</t>
  </si>
  <si>
    <t>Target</t>
  </si>
  <si>
    <t>k</t>
  </si>
  <si>
    <t>th</t>
  </si>
  <si>
    <t>mu</t>
  </si>
  <si>
    <t>sgm</t>
  </si>
  <si>
    <t>Location?</t>
  </si>
  <si>
    <t>NorthEast US</t>
  </si>
  <si>
    <t>southeastern US</t>
  </si>
  <si>
    <t>?</t>
  </si>
  <si>
    <t>Scale</t>
  </si>
  <si>
    <t>HC 5%</t>
  </si>
  <si>
    <t>HC 75%</t>
  </si>
  <si>
    <t>HC 5% new</t>
  </si>
  <si>
    <t>HC 75% new</t>
  </si>
  <si>
    <t>RULE</t>
  </si>
  <si>
    <t>if HC 75% &lt; 10% -&gt; 0.5</t>
  </si>
  <si>
    <t>if HC 5% &gt; 90% -&gt; 2</t>
  </si>
  <si>
    <t>CAP No</t>
  </si>
  <si>
    <t>Ctrl</t>
  </si>
  <si>
    <t>Q, V, None, Temp</t>
  </si>
  <si>
    <t>Type</t>
  </si>
  <si>
    <t>Q with V override x9</t>
  </si>
  <si>
    <t>I, no override x4</t>
  </si>
  <si>
    <t>V, x2</t>
  </si>
  <si>
    <t>V, x3</t>
  </si>
  <si>
    <t>118, 121, 120.5</t>
  </si>
  <si>
    <t>124, 125, 125</t>
  </si>
  <si>
    <t>Von (V)</t>
  </si>
  <si>
    <t>Voff (V)</t>
  </si>
  <si>
    <t>Base</t>
  </si>
  <si>
    <t>120, 118</t>
  </si>
  <si>
    <t>124, 121</t>
  </si>
  <si>
    <t>bandwidth</t>
  </si>
  <si>
    <t>2,2,2</t>
  </si>
  <si>
    <t>2,2,2,2,2,2</t>
  </si>
  <si>
    <t>2,2,1,1,2,2</t>
  </si>
  <si>
    <t>All 2</t>
  </si>
  <si>
    <t>Vreg</t>
  </si>
  <si>
    <t>122x3</t>
  </si>
  <si>
    <t>122x3, 124x3</t>
  </si>
  <si>
    <t>120x4, 124x3</t>
  </si>
  <si>
    <t>125-&gt;124x9, 126.5-&gt;125x3</t>
  </si>
  <si>
    <t>9x2, 3x2-&gt;1</t>
  </si>
  <si>
    <t>Chngd</t>
  </si>
  <si>
    <t>3-&gt;1</t>
  </si>
  <si>
    <t>Reg no</t>
  </si>
  <si>
    <t>124 for all</t>
  </si>
  <si>
    <t>&lt;-- there are two voltage regulator settings here for some reason?\</t>
  </si>
  <si>
    <t>&lt;--- for some reason, some are commented out in orgnl script</t>
  </si>
  <si>
    <t>Chngd bck</t>
  </si>
  <si>
    <t>R/X!=0 (?)</t>
  </si>
  <si>
    <t>linearise_manc_py</t>
  </si>
  <si>
    <t>if reg &gt;&gt;&gt;</t>
  </si>
  <si>
    <t>if ldc &gt;&gt;&gt;</t>
  </si>
  <si>
    <t>linHcCalcs</t>
  </si>
  <si>
    <t>choose_lin_point</t>
  </si>
  <si>
    <t>linSvdCalcs_run</t>
  </si>
  <si>
    <t>linearise_regs</t>
  </si>
  <si>
    <t>&lt;&lt;&lt;</t>
  </si>
  <si>
    <t>vvv</t>
  </si>
  <si>
    <t>&gt;&gt;&gt;</t>
  </si>
  <si>
    <t>fixed_voltage_testing</t>
  </si>
  <si>
    <t>ltc_voltage_testing</t>
  </si>
  <si>
    <t>Class: linSvdCalcs</t>
  </si>
  <si>
    <t>_Z</t>
  </si>
  <si>
    <t>_Z_Y</t>
  </si>
  <si>
    <t>pltHcResults</t>
  </si>
  <si>
    <t>DSS SCRIPTS</t>
  </si>
  <si>
    <t>\</t>
  </si>
  <si>
    <t>linHcCalcs Full</t>
  </si>
  <si>
    <t>linHcCalcs Sns</t>
  </si>
  <si>
    <t>x3</t>
  </si>
  <si>
    <t>6//4</t>
  </si>
  <si>
    <t>2//0</t>
  </si>
  <si>
    <t>0//0</t>
  </si>
  <si>
    <t>3//2</t>
  </si>
  <si>
    <t>BSP: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</si>
</sst>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</patternFill>
    </fill>
  </fills>
  <borders count="8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theme="4" tint="0.3999755851924192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double">
        <color theme="4"/>
      </bottom>
      <diagonal/>
    </border>
    <border>
      <left/>
      <right/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">
    <xf numFmtId="0" fontId="0" fillId="0" borderId="0"/>
    <xf numFmtId="0" fontId="1" fillId="0" borderId="1" applyNumberFormat="0" applyFill="0" applyAlignment="0" applyProtection="0"/>
    <xf numFmtId="0" fontId="1" fillId="0" borderId="0" applyNumberFormat="0" applyFill="0" applyBorder="0" applyAlignment="0" applyProtection="0"/>
    <xf numFmtId="0" fontId="2" fillId="0" borderId="2" applyNumberFormat="0" applyFill="0" applyAlignment="0" applyProtection="0"/>
    <xf numFmtId="0" fontId="3" fillId="4" borderId="7" applyNumberFormat="0" applyAlignment="0" applyProtection="0"/>
    <xf numFmtId="0" fontId="4" fillId="0" borderId="0" applyNumberFormat="0" applyFill="0" applyBorder="0" applyAlignment="0" applyProtection="0"/>
  </cellStyleXfs>
  <cellXfs count="3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1" xfId="1"/>
    <xf numFmtId="0" fontId="1" fillId="0" borderId="0" xfId="2" applyAlignment="1">
      <alignment horizontal="center"/>
    </xf>
    <xf numFmtId="0" fontId="2" fillId="0" borderId="5" xfId="3" applyBorder="1"/>
    <xf numFmtId="0" fontId="0" fillId="0" borderId="4" xfId="0" applyBorder="1"/>
    <xf numFmtId="0" fontId="0" fillId="0" borderId="4" xfId="0" applyBorder="1" applyAlignment="1">
      <alignment horizontal="left"/>
    </xf>
    <xf numFmtId="0" fontId="0" fillId="0" borderId="4" xfId="0" applyBorder="1" applyAlignment="1">
      <alignment horizontal="center"/>
    </xf>
    <xf numFmtId="0" fontId="0" fillId="2" borderId="0" xfId="0" applyFill="1"/>
    <xf numFmtId="0" fontId="0" fillId="3" borderId="4" xfId="0" applyFill="1" applyBorder="1"/>
    <xf numFmtId="49" fontId="0" fillId="0" borderId="4" xfId="0" applyNumberFormat="1" applyBorder="1" applyAlignment="1">
      <alignment horizontal="left"/>
    </xf>
    <xf numFmtId="49" fontId="0" fillId="0" borderId="0" xfId="0" applyNumberFormat="1" applyAlignment="1">
      <alignment horizontal="left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6" xfId="0" applyBorder="1"/>
    <xf numFmtId="0" fontId="0" fillId="0" borderId="3" xfId="0" applyBorder="1" applyAlignment="1"/>
    <xf numFmtId="0" fontId="0" fillId="0" borderId="0" xfId="0" applyFill="1" applyBorder="1"/>
    <xf numFmtId="0" fontId="3" fillId="4" borderId="7" xfId="4"/>
    <xf numFmtId="49" fontId="0" fillId="0" borderId="4" xfId="0" applyNumberFormat="1" applyBorder="1" applyAlignment="1">
      <alignment horizontal="right"/>
    </xf>
    <xf numFmtId="49" fontId="0" fillId="0" borderId="0" xfId="0" applyNumberFormat="1" applyAlignment="1">
      <alignment horizontal="right"/>
    </xf>
    <xf numFmtId="0" fontId="0" fillId="0" borderId="4" xfId="0" applyBorder="1" applyAlignment="1">
      <alignment horizontal="right"/>
    </xf>
    <xf numFmtId="0" fontId="4" fillId="0" borderId="0" xfId="5"/>
    <xf numFmtId="0" fontId="1" fillId="0" borderId="0" xfId="1" applyBorder="1" applyAlignment="1">
      <alignment horizontal="center"/>
    </xf>
    <xf numFmtId="9" fontId="0" fillId="0" borderId="0" xfId="0" applyNumberFormat="1"/>
    <xf numFmtId="10" fontId="0" fillId="0" borderId="0" xfId="0" applyNumberFormat="1"/>
    <xf numFmtId="0" fontId="0" fillId="0" borderId="0" xfId="0" applyBorder="1" applyAlignment="1"/>
    <xf numFmtId="0" fontId="1" fillId="0" borderId="0" xfId="1" applyBorder="1" applyAlignment="1">
      <alignment horizontal="center"/>
    </xf>
    <xf numFmtId="0" fontId="2" fillId="0" borderId="0" xfId="0" applyFont="1"/>
    <xf numFmtId="0" fontId="0" fillId="0" borderId="0" xfId="0" applyFont="1"/>
    <xf numFmtId="0" fontId="5" fillId="0" borderId="0" xfId="0" applyFont="1"/>
    <xf numFmtId="0" fontId="1" fillId="0" borderId="0" xfId="1" applyBorder="1" applyAlignment="1">
      <alignment horizontal="center"/>
    </xf>
  </cellXfs>
  <cellStyles count="6">
    <cellStyle name="Heading 3" xfId="1" builtinId="18"/>
    <cellStyle name="Heading 4" xfId="2" builtinId="19"/>
    <cellStyle name="Hyperlink" xfId="5" builtinId="8"/>
    <cellStyle name="Input" xfId="4" builtinId="20"/>
    <cellStyle name="Normal" xfId="0" builtinId="0"/>
    <cellStyle name="Total" xfId="3" builtinId="25"/>
  </cellStyles>
  <dxfs count="40">
    <dxf>
      <font>
        <color auto="1"/>
      </font>
      <fill>
        <patternFill>
          <bgColor theme="7"/>
        </patternFill>
      </fill>
    </dxf>
    <dxf>
      <font>
        <color auto="1"/>
      </font>
      <fill>
        <patternFill>
          <bgColor theme="5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7"/>
        </patternFill>
      </fill>
    </dxf>
    <dxf>
      <font>
        <color auto="1"/>
      </font>
      <fill>
        <patternFill>
          <bgColor theme="5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7"/>
        </patternFill>
      </fill>
    </dxf>
    <dxf>
      <font>
        <color auto="1"/>
      </font>
      <fill>
        <patternFill>
          <bgColor theme="5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7"/>
        </patternFill>
      </fill>
    </dxf>
    <dxf>
      <font>
        <color auto="1"/>
      </font>
      <fill>
        <patternFill>
          <bgColor theme="5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7"/>
        </patternFill>
      </fill>
    </dxf>
    <dxf>
      <font>
        <color auto="1"/>
      </font>
      <fill>
        <patternFill>
          <bgColor theme="5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7"/>
        </patternFill>
      </fill>
    </dxf>
    <dxf>
      <font>
        <color auto="1"/>
      </font>
      <fill>
        <patternFill>
          <bgColor theme="5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7"/>
        </patternFill>
      </fill>
    </dxf>
    <dxf>
      <font>
        <color auto="1"/>
      </font>
      <fill>
        <patternFill>
          <bgColor theme="5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7"/>
        </patternFill>
      </fill>
    </dxf>
    <dxf>
      <font>
        <color auto="1"/>
      </font>
      <fill>
        <patternFill>
          <bgColor theme="5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7"/>
        </patternFill>
      </fill>
    </dxf>
    <dxf>
      <font>
        <color auto="1"/>
      </font>
      <fill>
        <patternFill>
          <bgColor theme="5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7"/>
        </patternFill>
      </fill>
    </dxf>
    <dxf>
      <font>
        <color auto="1"/>
      </font>
      <fill>
        <patternFill>
          <bgColor theme="5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7"/>
        </patternFill>
      </fill>
    </dxf>
    <dxf>
      <font>
        <color auto="1"/>
      </font>
      <fill>
        <patternFill>
          <bgColor theme="5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7"/>
        </patternFill>
      </fill>
    </dxf>
    <dxf>
      <font>
        <color auto="1"/>
      </font>
      <fill>
        <patternFill>
          <bgColor theme="5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theme="4"/>
        </patternFill>
      </fill>
    </dxf>
    <dxf>
      <font>
        <color auto="1"/>
      </font>
      <fill>
        <patternFill>
          <bgColor theme="7"/>
        </patternFill>
      </fill>
    </dxf>
    <dxf>
      <font>
        <color auto="1"/>
      </font>
      <fill>
        <patternFill>
          <bgColor theme="5"/>
        </patternFill>
      </fill>
    </dxf>
    <dxf>
      <font>
        <color auto="1"/>
      </font>
      <fill>
        <patternFill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smartgrid.epri.com/SimulationTool.aspx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Y29"/>
  <sheetViews>
    <sheetView topLeftCell="B1" workbookViewId="0">
      <selection activeCell="T14" sqref="T14"/>
    </sheetView>
  </sheetViews>
  <sheetFormatPr defaultRowHeight="15" x14ac:dyDescent="0.25"/>
  <cols>
    <col min="1" max="1" width="11.7109375" customWidth="1"/>
    <col min="2" max="2" width="10" bestFit="1" customWidth="1"/>
    <col min="3" max="3" width="3.85546875" customWidth="1"/>
    <col min="4" max="4" width="6.5703125" bestFit="1" customWidth="1"/>
    <col min="5" max="5" width="6.140625" bestFit="1" customWidth="1"/>
    <col min="6" max="6" width="9.5703125" customWidth="1"/>
    <col min="7" max="7" width="6" customWidth="1"/>
    <col min="8" max="8" width="6" bestFit="1" customWidth="1"/>
    <col min="9" max="10" width="5.140625" bestFit="1" customWidth="1"/>
    <col min="11" max="11" width="8.7109375" bestFit="1" customWidth="1"/>
    <col min="12" max="12" width="12.140625" bestFit="1" customWidth="1"/>
    <col min="13" max="13" width="13.140625" bestFit="1" customWidth="1"/>
    <col min="14" max="14" width="12" bestFit="1" customWidth="1"/>
    <col min="15" max="15" width="4.140625" customWidth="1"/>
    <col min="16" max="16" width="5.85546875" bestFit="1" customWidth="1"/>
    <col min="17" max="17" width="4.140625" bestFit="1" customWidth="1"/>
    <col min="18" max="18" width="4" bestFit="1" customWidth="1"/>
    <col min="19" max="19" width="3.42578125" bestFit="1" customWidth="1"/>
    <col min="20" max="21" width="3.42578125" customWidth="1"/>
    <col min="22" max="22" width="23" bestFit="1" customWidth="1"/>
    <col min="23" max="23" width="12.28515625" bestFit="1" customWidth="1"/>
  </cols>
  <sheetData>
    <row r="1" spans="1:25" ht="15.75" thickBot="1" x14ac:dyDescent="0.3">
      <c r="A1" s="3" t="s">
        <v>12</v>
      </c>
      <c r="B1" s="3" t="s">
        <v>11</v>
      </c>
      <c r="C1" s="3" t="s">
        <v>47</v>
      </c>
      <c r="D1" s="3" t="s">
        <v>13</v>
      </c>
      <c r="E1" s="3" t="s">
        <v>1</v>
      </c>
      <c r="F1" s="3" t="s">
        <v>41</v>
      </c>
      <c r="G1" s="3" t="s">
        <v>28</v>
      </c>
      <c r="H1" s="3" t="s">
        <v>32</v>
      </c>
      <c r="I1" s="3" t="s">
        <v>2</v>
      </c>
      <c r="J1" s="3" t="s">
        <v>3</v>
      </c>
      <c r="K1" s="3" t="s">
        <v>92</v>
      </c>
      <c r="L1" s="3" t="s">
        <v>18</v>
      </c>
      <c r="M1" s="3" t="s">
        <v>79</v>
      </c>
      <c r="N1" s="3" t="s">
        <v>81</v>
      </c>
      <c r="O1" s="31" t="s">
        <v>25</v>
      </c>
      <c r="P1" s="31"/>
      <c r="Q1" s="31"/>
      <c r="R1" s="31"/>
      <c r="S1" s="31"/>
      <c r="T1" s="23"/>
      <c r="U1" s="27"/>
    </row>
    <row r="2" spans="1:25" x14ac:dyDescent="0.25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4"/>
      <c r="O2" s="4" t="s">
        <v>86</v>
      </c>
      <c r="P2" s="4" t="s">
        <v>82</v>
      </c>
      <c r="Q2" s="4" t="s">
        <v>83</v>
      </c>
      <c r="R2" s="4" t="s">
        <v>84</v>
      </c>
      <c r="S2" s="4" t="s">
        <v>85</v>
      </c>
      <c r="T2" s="4" t="s">
        <v>91</v>
      </c>
      <c r="U2" s="4" t="s">
        <v>105</v>
      </c>
      <c r="V2" s="4"/>
      <c r="W2" s="4" t="s">
        <v>87</v>
      </c>
      <c r="X2" s="4" t="s">
        <v>80</v>
      </c>
      <c r="Y2" s="4" t="s">
        <v>88</v>
      </c>
    </row>
    <row r="3" spans="1:25" ht="15.75" thickBot="1" x14ac:dyDescent="0.3">
      <c r="A3" s="5" t="s">
        <v>0</v>
      </c>
      <c r="B3" s="6" t="s">
        <v>4</v>
      </c>
      <c r="C3" s="21" t="s">
        <v>61</v>
      </c>
      <c r="D3" s="6">
        <v>1</v>
      </c>
      <c r="E3" s="6">
        <v>4</v>
      </c>
      <c r="F3" s="6">
        <f>LOG(svdStuff!E3*E3)</f>
        <v>0.6020599913279624</v>
      </c>
      <c r="G3" s="10" t="s">
        <v>29</v>
      </c>
      <c r="H3" s="7"/>
      <c r="I3" s="6">
        <v>0</v>
      </c>
      <c r="J3" s="6">
        <v>0</v>
      </c>
      <c r="K3" s="6" t="s">
        <v>19</v>
      </c>
      <c r="L3" s="6">
        <v>5.4</v>
      </c>
      <c r="M3" s="6">
        <v>5.4</v>
      </c>
      <c r="N3" s="21" t="s">
        <v>26</v>
      </c>
      <c r="O3" s="8" t="s">
        <v>27</v>
      </c>
      <c r="P3" s="8" t="s">
        <v>27</v>
      </c>
      <c r="Q3" s="8" t="s">
        <v>27</v>
      </c>
      <c r="R3" s="8" t="s">
        <v>27</v>
      </c>
      <c r="S3" s="8" t="s">
        <v>27</v>
      </c>
      <c r="T3" s="8" t="s">
        <v>27</v>
      </c>
      <c r="U3" s="8" t="s">
        <v>27</v>
      </c>
    </row>
    <row r="4" spans="1:25" ht="15.75" thickTop="1" x14ac:dyDescent="0.25">
      <c r="B4" t="s">
        <v>5</v>
      </c>
      <c r="C4">
        <v>5</v>
      </c>
      <c r="D4">
        <v>15</v>
      </c>
      <c r="E4">
        <v>16</v>
      </c>
      <c r="F4" s="13">
        <f>LOG(svdStuff!E4*E4)</f>
        <v>2.3802112417116059</v>
      </c>
      <c r="G4" t="s">
        <v>30</v>
      </c>
      <c r="H4" s="2">
        <v>4.16</v>
      </c>
      <c r="I4">
        <v>2</v>
      </c>
      <c r="J4">
        <v>1</v>
      </c>
      <c r="K4">
        <v>1.5</v>
      </c>
      <c r="L4">
        <v>3.6</v>
      </c>
      <c r="M4">
        <v>3.6</v>
      </c>
      <c r="N4">
        <f>LOG10(703)</f>
        <v>2.8469553250198238</v>
      </c>
      <c r="O4" s="1" t="s">
        <v>26</v>
      </c>
      <c r="P4" s="1" t="s">
        <v>26</v>
      </c>
      <c r="Q4" s="1" t="s">
        <v>26</v>
      </c>
      <c r="R4" s="1" t="s">
        <v>26</v>
      </c>
      <c r="S4" s="1" t="s">
        <v>26</v>
      </c>
      <c r="T4" s="1" t="s">
        <v>26</v>
      </c>
      <c r="U4" s="1" t="s">
        <v>26</v>
      </c>
      <c r="W4">
        <f>18/60</f>
        <v>0.3</v>
      </c>
      <c r="X4">
        <f>(10^N4)*9000*0.000001/60</f>
        <v>0.10545000000000002</v>
      </c>
      <c r="Y4">
        <f>18/60</f>
        <v>0.3</v>
      </c>
    </row>
    <row r="5" spans="1:25" x14ac:dyDescent="0.25">
      <c r="B5" t="s">
        <v>6</v>
      </c>
      <c r="C5">
        <v>6</v>
      </c>
      <c r="D5">
        <v>68</v>
      </c>
      <c r="E5">
        <v>37</v>
      </c>
      <c r="F5" s="13">
        <f>LOG(svdStuff!E5*E5)</f>
        <v>3.4007106367732312</v>
      </c>
      <c r="G5" t="s">
        <v>30</v>
      </c>
      <c r="H5" s="2">
        <v>24.9</v>
      </c>
      <c r="I5">
        <v>2</v>
      </c>
      <c r="J5">
        <v>2</v>
      </c>
      <c r="K5">
        <v>50</v>
      </c>
      <c r="L5">
        <v>2</v>
      </c>
      <c r="M5">
        <v>2</v>
      </c>
      <c r="N5">
        <f>LOG10(4000)</f>
        <v>3.6020599913279625</v>
      </c>
      <c r="O5" s="1" t="s">
        <v>26</v>
      </c>
      <c r="P5" s="1" t="s">
        <v>26</v>
      </c>
      <c r="Q5" s="1" t="s">
        <v>26</v>
      </c>
      <c r="R5" s="1" t="s">
        <v>26</v>
      </c>
      <c r="S5" s="1" t="s">
        <v>26</v>
      </c>
      <c r="T5" s="1" t="s">
        <v>26</v>
      </c>
      <c r="U5" s="1" t="s">
        <v>26</v>
      </c>
      <c r="W5">
        <f>53.7/60</f>
        <v>0.89500000000000002</v>
      </c>
      <c r="X5">
        <f t="shared" ref="X5:X26" si="0">(10^N5)*9000*0.000001/60</f>
        <v>0.60000000000000098</v>
      </c>
      <c r="Y5">
        <f>19/60</f>
        <v>0.31666666666666665</v>
      </c>
    </row>
    <row r="6" spans="1:25" x14ac:dyDescent="0.25">
      <c r="B6" t="s">
        <v>7</v>
      </c>
      <c r="C6">
        <v>7</v>
      </c>
      <c r="D6">
        <v>30</v>
      </c>
      <c r="E6">
        <v>39</v>
      </c>
      <c r="F6" s="13">
        <f>LOG(svdStuff!E6*E6)</f>
        <v>3.0681858617461617</v>
      </c>
      <c r="G6" s="9" t="s">
        <v>31</v>
      </c>
      <c r="H6" s="2">
        <v>4.8</v>
      </c>
      <c r="I6">
        <v>0</v>
      </c>
      <c r="J6">
        <v>1</v>
      </c>
      <c r="K6">
        <v>3</v>
      </c>
      <c r="L6">
        <v>2.6</v>
      </c>
      <c r="M6">
        <v>2.6</v>
      </c>
      <c r="N6">
        <f>LOG10(2907)</f>
        <v>3.4634450317704277</v>
      </c>
      <c r="O6" s="1" t="s">
        <v>27</v>
      </c>
      <c r="P6" s="1" t="s">
        <v>26</v>
      </c>
      <c r="Q6" s="1" t="s">
        <v>27</v>
      </c>
      <c r="R6" s="1" t="s">
        <v>27</v>
      </c>
      <c r="S6" s="1" t="s">
        <v>27</v>
      </c>
      <c r="T6" s="1" t="s">
        <v>27</v>
      </c>
      <c r="U6" s="1" t="s">
        <v>27</v>
      </c>
      <c r="X6">
        <f t="shared" si="0"/>
        <v>0.43605000000000016</v>
      </c>
    </row>
    <row r="7" spans="1:25" x14ac:dyDescent="0.25">
      <c r="B7" t="s">
        <v>8</v>
      </c>
      <c r="C7">
        <v>8</v>
      </c>
      <c r="D7">
        <v>92</v>
      </c>
      <c r="E7">
        <v>132</v>
      </c>
      <c r="F7" s="13">
        <f>LOG(svdStuff!E7*E7)</f>
        <v>4.0843617585514052</v>
      </c>
      <c r="G7" t="s">
        <v>30</v>
      </c>
      <c r="H7" s="2">
        <v>2.4</v>
      </c>
      <c r="I7">
        <v>4</v>
      </c>
      <c r="J7">
        <v>3</v>
      </c>
      <c r="K7">
        <v>6</v>
      </c>
      <c r="L7">
        <v>3.6</v>
      </c>
      <c r="M7">
        <v>3.6</v>
      </c>
      <c r="N7">
        <f>LOG10(4965)</f>
        <v>3.6959192528313998</v>
      </c>
      <c r="O7" s="1" t="s">
        <v>27</v>
      </c>
      <c r="P7" s="1" t="s">
        <v>26</v>
      </c>
      <c r="Q7" s="1" t="s">
        <v>26</v>
      </c>
      <c r="R7" s="1" t="s">
        <v>26</v>
      </c>
      <c r="S7" s="1" t="s">
        <v>26</v>
      </c>
      <c r="T7" s="1" t="s">
        <v>26</v>
      </c>
      <c r="U7" s="1" t="s">
        <v>26</v>
      </c>
      <c r="W7">
        <f>72/60</f>
        <v>1.2</v>
      </c>
      <c r="X7">
        <f t="shared" si="0"/>
        <v>0.74475000000000013</v>
      </c>
      <c r="Y7">
        <f>33/60</f>
        <v>0.55000000000000004</v>
      </c>
    </row>
    <row r="8" spans="1:25" x14ac:dyDescent="0.25">
      <c r="B8" t="s">
        <v>17</v>
      </c>
      <c r="C8">
        <v>9</v>
      </c>
      <c r="D8">
        <v>2355</v>
      </c>
      <c r="E8">
        <v>4876</v>
      </c>
      <c r="F8" s="13">
        <f>LOG(svdStuff!E8*E8)</f>
        <v>7.0600546084112592</v>
      </c>
      <c r="G8" t="s">
        <v>30</v>
      </c>
      <c r="H8" s="2">
        <v>7.2</v>
      </c>
      <c r="I8">
        <v>4</v>
      </c>
      <c r="J8">
        <v>12</v>
      </c>
      <c r="K8">
        <v>17</v>
      </c>
      <c r="L8">
        <v>12.05</v>
      </c>
      <c r="M8">
        <v>12.05</v>
      </c>
      <c r="N8">
        <f>LOG10(275763)</f>
        <v>5.4405359950748213</v>
      </c>
      <c r="O8" s="1" t="s">
        <v>27</v>
      </c>
      <c r="P8" s="1" t="s">
        <v>26</v>
      </c>
      <c r="Q8" s="1" t="s">
        <v>26</v>
      </c>
      <c r="R8" s="1" t="s">
        <v>27</v>
      </c>
      <c r="S8" s="1" t="s">
        <v>26</v>
      </c>
      <c r="T8" s="1" t="s">
        <v>26</v>
      </c>
      <c r="U8" s="1"/>
      <c r="X8">
        <f t="shared" si="0"/>
        <v>41.364450000000069</v>
      </c>
      <c r="Y8">
        <f>958/60</f>
        <v>15.966666666666667</v>
      </c>
    </row>
    <row r="9" spans="1:25" x14ac:dyDescent="0.25">
      <c r="B9" t="s">
        <v>9</v>
      </c>
      <c r="C9">
        <v>0</v>
      </c>
      <c r="D9">
        <v>55</v>
      </c>
      <c r="E9">
        <v>907</v>
      </c>
      <c r="F9" s="13">
        <f>LOG(svdStuff!E9*E9)</f>
        <v>4.6979699765543392</v>
      </c>
      <c r="G9" t="s">
        <v>30</v>
      </c>
      <c r="H9" s="2">
        <v>0.41599999999999998</v>
      </c>
      <c r="I9">
        <v>0</v>
      </c>
      <c r="J9">
        <v>0</v>
      </c>
      <c r="K9">
        <v>0.3</v>
      </c>
      <c r="L9">
        <v>5.5E-2</v>
      </c>
      <c r="M9">
        <v>5.5E-2</v>
      </c>
      <c r="N9">
        <f>LOG10(5144)</f>
        <v>3.7113009599161657</v>
      </c>
      <c r="O9" s="1" t="s">
        <v>26</v>
      </c>
      <c r="P9" s="1" t="s">
        <v>26</v>
      </c>
      <c r="Q9" s="1" t="s">
        <v>27</v>
      </c>
      <c r="R9" s="1" t="s">
        <v>27</v>
      </c>
      <c r="S9" s="1" t="s">
        <v>26</v>
      </c>
      <c r="T9" s="1" t="s">
        <v>26</v>
      </c>
      <c r="U9" s="1" t="s">
        <v>26</v>
      </c>
      <c r="X9">
        <f t="shared" si="0"/>
        <v>0.77160000000000128</v>
      </c>
      <c r="Y9">
        <f>59/60</f>
        <v>0.98333333333333328</v>
      </c>
    </row>
    <row r="10" spans="1:25" x14ac:dyDescent="0.25">
      <c r="B10" t="s">
        <v>24</v>
      </c>
      <c r="C10">
        <v>14</v>
      </c>
      <c r="D10">
        <v>624</v>
      </c>
      <c r="E10">
        <v>390</v>
      </c>
      <c r="F10" s="13">
        <f>LOG(svdStuff!E10*E10)</f>
        <v>5.4324240774813539</v>
      </c>
      <c r="G10" t="s">
        <v>30</v>
      </c>
      <c r="H10" s="2">
        <v>13.8</v>
      </c>
      <c r="I10">
        <v>0</v>
      </c>
      <c r="J10">
        <v>0</v>
      </c>
      <c r="L10">
        <v>42.8</v>
      </c>
      <c r="M10">
        <v>42.8</v>
      </c>
      <c r="N10" s="15">
        <f>LOG10(12061)</f>
        <v>4.0813833174622856</v>
      </c>
      <c r="O10" s="1" t="s">
        <v>26</v>
      </c>
      <c r="P10" s="1" t="s">
        <v>26</v>
      </c>
      <c r="Q10" s="1" t="s">
        <v>27</v>
      </c>
      <c r="R10" s="1" t="s">
        <v>27</v>
      </c>
      <c r="S10" s="1" t="s">
        <v>26</v>
      </c>
      <c r="T10" s="1" t="s">
        <v>27</v>
      </c>
      <c r="U10" s="1" t="s">
        <v>26</v>
      </c>
      <c r="X10">
        <f t="shared" si="0"/>
        <v>1.8091500000000034</v>
      </c>
      <c r="Y10">
        <f>145/60</f>
        <v>2.4166666666666665</v>
      </c>
    </row>
    <row r="11" spans="1:25" ht="15.75" thickBot="1" x14ac:dyDescent="0.3">
      <c r="A11" s="5" t="s">
        <v>10</v>
      </c>
      <c r="B11" s="6" t="s">
        <v>14</v>
      </c>
      <c r="C11" s="6">
        <v>17</v>
      </c>
      <c r="D11" s="6">
        <v>1379</v>
      </c>
      <c r="E11" s="6">
        <v>2998</v>
      </c>
      <c r="F11" s="6">
        <f>LOG(svdStuff!E11*E11)</f>
        <v>6.6163958946881101</v>
      </c>
      <c r="G11" s="6" t="s">
        <v>30</v>
      </c>
      <c r="H11" s="7">
        <v>12.47</v>
      </c>
      <c r="I11" s="6">
        <v>4</v>
      </c>
      <c r="J11" s="6">
        <v>0</v>
      </c>
      <c r="K11" s="6">
        <v>5</v>
      </c>
      <c r="L11" s="6">
        <v>16.3</v>
      </c>
      <c r="M11" s="6">
        <v>16.3</v>
      </c>
      <c r="N11">
        <f>LOG10(32321)</f>
        <v>4.50948478922394</v>
      </c>
      <c r="O11" s="8" t="s">
        <v>27</v>
      </c>
      <c r="P11" s="8" t="s">
        <v>26</v>
      </c>
      <c r="Q11" s="8" t="s">
        <v>27</v>
      </c>
      <c r="R11" s="8" t="s">
        <v>27</v>
      </c>
      <c r="S11" s="8" t="s">
        <v>26</v>
      </c>
      <c r="T11" s="8" t="s">
        <v>26</v>
      </c>
      <c r="U11" s="8" t="s">
        <v>26</v>
      </c>
      <c r="W11">
        <f>637/60</f>
        <v>10.616666666666667</v>
      </c>
      <c r="X11">
        <f t="shared" si="0"/>
        <v>4.8481500000000013</v>
      </c>
      <c r="Y11">
        <f>371/60</f>
        <v>6.1833333333333336</v>
      </c>
    </row>
    <row r="12" spans="1:25" ht="15.75" thickTop="1" x14ac:dyDescent="0.25">
      <c r="B12" t="s">
        <v>15</v>
      </c>
      <c r="C12" s="17">
        <v>18</v>
      </c>
      <c r="D12">
        <v>868</v>
      </c>
      <c r="E12">
        <v>1255</v>
      </c>
      <c r="F12" s="13">
        <f>LOG(svdStuff!E12*E12)</f>
        <v>6.0371634509935488</v>
      </c>
      <c r="G12" t="s">
        <v>30</v>
      </c>
      <c r="H12" s="2">
        <v>12.47</v>
      </c>
      <c r="I12">
        <v>2</v>
      </c>
      <c r="J12">
        <v>0</v>
      </c>
      <c r="K12">
        <v>4</v>
      </c>
      <c r="L12">
        <v>78</v>
      </c>
      <c r="M12">
        <v>19.3</v>
      </c>
      <c r="N12">
        <f>LOG10(17450)</f>
        <v>4.2417954312951984</v>
      </c>
      <c r="O12" s="1" t="s">
        <v>26</v>
      </c>
      <c r="P12" s="1" t="s">
        <v>26</v>
      </c>
      <c r="Q12" s="1" t="s">
        <v>27</v>
      </c>
      <c r="R12" s="1" t="s">
        <v>27</v>
      </c>
      <c r="S12" s="1" t="s">
        <v>26</v>
      </c>
      <c r="T12" s="1" t="s">
        <v>26</v>
      </c>
      <c r="U12" s="1" t="s">
        <v>26</v>
      </c>
      <c r="V12" t="s">
        <v>78</v>
      </c>
      <c r="W12" t="s">
        <v>90</v>
      </c>
      <c r="X12">
        <f t="shared" si="0"/>
        <v>2.6175000000000002</v>
      </c>
      <c r="Y12">
        <f>367/60</f>
        <v>6.1166666666666663</v>
      </c>
    </row>
    <row r="13" spans="1:25" x14ac:dyDescent="0.25">
      <c r="B13" t="s">
        <v>16</v>
      </c>
      <c r="C13">
        <v>22</v>
      </c>
      <c r="D13">
        <v>3891</v>
      </c>
      <c r="E13">
        <v>6058</v>
      </c>
      <c r="F13" s="13">
        <f>LOG(svdStuff!E13*E13)</f>
        <v>7.3723904998005798</v>
      </c>
      <c r="G13" t="s">
        <v>30</v>
      </c>
      <c r="H13" s="2">
        <v>34.5</v>
      </c>
      <c r="I13">
        <v>3</v>
      </c>
      <c r="J13">
        <v>1</v>
      </c>
      <c r="K13">
        <v>10</v>
      </c>
      <c r="L13">
        <v>52.2</v>
      </c>
      <c r="M13">
        <v>69.400000000000006</v>
      </c>
      <c r="N13" s="15">
        <f>LOG10(87955)</f>
        <v>4.9442605329428515</v>
      </c>
      <c r="O13" s="1" t="s">
        <v>26</v>
      </c>
      <c r="P13" s="1" t="s">
        <v>26</v>
      </c>
      <c r="Q13" s="1" t="s">
        <v>26</v>
      </c>
      <c r="R13" s="1" t="s">
        <v>27</v>
      </c>
      <c r="S13" s="1" t="s">
        <v>26</v>
      </c>
      <c r="T13" s="1" t="s">
        <v>26</v>
      </c>
      <c r="U13" s="1"/>
      <c r="W13" t="s">
        <v>89</v>
      </c>
      <c r="X13">
        <f t="shared" si="0"/>
        <v>13.193250000000001</v>
      </c>
      <c r="Y13">
        <f>1996/60</f>
        <v>33.266666666666666</v>
      </c>
    </row>
    <row r="14" spans="1:25" ht="15.75" thickBot="1" x14ac:dyDescent="0.3">
      <c r="A14" s="5" t="s">
        <v>20</v>
      </c>
      <c r="B14" s="6" t="s">
        <v>21</v>
      </c>
      <c r="C14" s="6">
        <v>19</v>
      </c>
      <c r="D14" s="6">
        <v>1384</v>
      </c>
      <c r="E14" s="6">
        <v>4888</v>
      </c>
      <c r="F14" s="6">
        <f>LOG(svdStuff!E14*E14)</f>
        <v>6.8302672873552366</v>
      </c>
      <c r="G14" s="6" t="s">
        <v>30</v>
      </c>
      <c r="H14" s="7">
        <v>12.47</v>
      </c>
      <c r="I14" s="6">
        <v>5</v>
      </c>
      <c r="J14" s="6">
        <v>9</v>
      </c>
      <c r="K14" s="6"/>
      <c r="L14" s="6">
        <v>11.6</v>
      </c>
      <c r="M14" s="6">
        <v>11.6</v>
      </c>
      <c r="N14">
        <f>LOG10(26279)</f>
        <v>4.4196088349081029</v>
      </c>
      <c r="O14" s="8" t="s">
        <v>26</v>
      </c>
      <c r="P14" s="8" t="s">
        <v>26</v>
      </c>
      <c r="Q14" s="8" t="s">
        <v>26</v>
      </c>
      <c r="R14" s="8" t="s">
        <v>27</v>
      </c>
      <c r="S14" s="8" t="s">
        <v>26</v>
      </c>
      <c r="T14" s="8" t="s">
        <v>26</v>
      </c>
      <c r="U14" s="8"/>
      <c r="V14" t="s">
        <v>62</v>
      </c>
      <c r="X14">
        <f t="shared" si="0"/>
        <v>3.9418500000000019</v>
      </c>
      <c r="Y14">
        <f>551/60</f>
        <v>9.1833333333333336</v>
      </c>
    </row>
    <row r="15" spans="1:25" ht="15.75" thickTop="1" x14ac:dyDescent="0.25">
      <c r="B15" t="s">
        <v>22</v>
      </c>
      <c r="C15">
        <v>20</v>
      </c>
      <c r="D15">
        <v>332</v>
      </c>
      <c r="E15">
        <v>1282</v>
      </c>
      <c r="F15" s="13">
        <f>LOG(svdStuff!E15*E15)</f>
        <v>5.6290261088868352</v>
      </c>
      <c r="G15" t="s">
        <v>30</v>
      </c>
      <c r="H15" s="2">
        <v>13.2</v>
      </c>
      <c r="I15">
        <v>1</v>
      </c>
      <c r="J15">
        <v>1</v>
      </c>
      <c r="L15">
        <v>12.74</v>
      </c>
      <c r="M15">
        <v>12.74</v>
      </c>
      <c r="N15">
        <f>LOG10(20153)</f>
        <v>4.3043397048923389</v>
      </c>
      <c r="O15" s="1" t="s">
        <v>26</v>
      </c>
      <c r="P15" s="1" t="s">
        <v>26</v>
      </c>
      <c r="Q15" s="1" t="s">
        <v>26</v>
      </c>
      <c r="R15" s="1" t="s">
        <v>26</v>
      </c>
      <c r="S15" s="1" t="s">
        <v>26</v>
      </c>
      <c r="T15" s="1" t="s">
        <v>26</v>
      </c>
      <c r="U15" s="1"/>
      <c r="X15">
        <f t="shared" si="0"/>
        <v>3.0229500000000038</v>
      </c>
      <c r="Y15">
        <f>107/60</f>
        <v>1.7833333333333334</v>
      </c>
    </row>
    <row r="16" spans="1:25" x14ac:dyDescent="0.25">
      <c r="B16" t="s">
        <v>23</v>
      </c>
      <c r="C16">
        <v>21</v>
      </c>
      <c r="D16">
        <v>1470</v>
      </c>
      <c r="E16">
        <v>2596</v>
      </c>
      <c r="F16" s="13">
        <f>LOG(svdStuff!E16*E16)</f>
        <v>6.5816220228765081</v>
      </c>
      <c r="G16" t="s">
        <v>30</v>
      </c>
      <c r="H16" s="2">
        <v>12.47</v>
      </c>
      <c r="I16">
        <v>3</v>
      </c>
      <c r="J16">
        <v>1</v>
      </c>
      <c r="L16">
        <v>15.67</v>
      </c>
      <c r="M16">
        <v>15.67</v>
      </c>
      <c r="N16" s="15">
        <f>LOG10(27688)</f>
        <v>4.4422915862860712</v>
      </c>
      <c r="O16" s="1" t="s">
        <v>26</v>
      </c>
      <c r="P16" s="1" t="s">
        <v>26</v>
      </c>
      <c r="Q16" s="1" t="s">
        <v>26</v>
      </c>
      <c r="R16" s="1" t="s">
        <v>27</v>
      </c>
      <c r="S16" s="1" t="s">
        <v>26</v>
      </c>
      <c r="T16" s="1" t="s">
        <v>26</v>
      </c>
      <c r="U16" s="1"/>
      <c r="X16">
        <f t="shared" si="0"/>
        <v>4.1532000000000036</v>
      </c>
      <c r="Y16">
        <f>445/60</f>
        <v>7.416666666666667</v>
      </c>
    </row>
    <row r="17" spans="1:24" ht="15.75" thickBot="1" x14ac:dyDescent="0.3">
      <c r="A17" s="5" t="s">
        <v>93</v>
      </c>
      <c r="B17" s="11" t="s">
        <v>38</v>
      </c>
      <c r="C17" s="19" t="s">
        <v>61</v>
      </c>
      <c r="D17" s="6">
        <v>55</v>
      </c>
      <c r="E17" s="6">
        <v>907</v>
      </c>
      <c r="F17" s="6">
        <f>LOG(svdStuff!E17*E17)</f>
        <v>4.6979699765543392</v>
      </c>
      <c r="G17" s="6" t="s">
        <v>30</v>
      </c>
      <c r="H17" s="7">
        <v>0.41599999999999998</v>
      </c>
      <c r="I17" s="6">
        <v>0</v>
      </c>
      <c r="J17" s="6">
        <v>0</v>
      </c>
      <c r="K17" s="6"/>
      <c r="L17" s="6">
        <f>svdStuff!E17*0.001</f>
        <v>5.5E-2</v>
      </c>
      <c r="M17" s="6">
        <v>5.5E-2</v>
      </c>
      <c r="N17">
        <f>LOG10(10388)</f>
        <v>4.0165319409572655</v>
      </c>
      <c r="O17" s="8" t="s">
        <v>26</v>
      </c>
      <c r="P17" s="8" t="s">
        <v>26</v>
      </c>
      <c r="Q17" s="8" t="s">
        <v>27</v>
      </c>
      <c r="R17" s="8" t="s">
        <v>27</v>
      </c>
      <c r="S17" s="8" t="s">
        <v>26</v>
      </c>
      <c r="T17" s="8"/>
      <c r="U17" s="8"/>
      <c r="X17">
        <f t="shared" si="0"/>
        <v>1.5582000000000018</v>
      </c>
    </row>
    <row r="18" spans="1:24" ht="15.75" thickTop="1" x14ac:dyDescent="0.25">
      <c r="B18" s="12" t="s">
        <v>39</v>
      </c>
      <c r="C18" s="20" t="s">
        <v>61</v>
      </c>
      <c r="D18">
        <v>175</v>
      </c>
      <c r="E18">
        <v>2287</v>
      </c>
      <c r="F18" s="13">
        <f>LOG(svdStuff!E18*E18)</f>
        <v>5.602304213293043</v>
      </c>
      <c r="G18" t="s">
        <v>30</v>
      </c>
      <c r="H18" s="2">
        <v>0.41599999999999998</v>
      </c>
      <c r="I18">
        <v>0</v>
      </c>
      <c r="J18">
        <v>0</v>
      </c>
      <c r="L18" s="13">
        <f>svdStuff!E18*0.001</f>
        <v>0.17500000000000002</v>
      </c>
      <c r="M18" s="13">
        <v>0.17500000000000002</v>
      </c>
      <c r="N18">
        <f>LOG10(24732)</f>
        <v>4.3932592378268378</v>
      </c>
      <c r="O18" s="1" t="s">
        <v>26</v>
      </c>
      <c r="P18" s="1" t="s">
        <v>26</v>
      </c>
      <c r="Q18" s="1" t="s">
        <v>27</v>
      </c>
      <c r="R18" s="1" t="s">
        <v>27</v>
      </c>
      <c r="S18" s="1" t="s">
        <v>26</v>
      </c>
      <c r="T18" s="1"/>
      <c r="U18" s="1"/>
      <c r="X18">
        <f t="shared" si="0"/>
        <v>3.7098000000000053</v>
      </c>
    </row>
    <row r="19" spans="1:24" x14ac:dyDescent="0.25">
      <c r="B19" s="12" t="s">
        <v>40</v>
      </c>
      <c r="C19" s="20" t="s">
        <v>61</v>
      </c>
      <c r="D19">
        <v>94</v>
      </c>
      <c r="E19">
        <v>1304</v>
      </c>
      <c r="F19" s="13">
        <f>LOG(svdStuff!E19*E19)</f>
        <v>5.0884054449956002</v>
      </c>
      <c r="G19" t="s">
        <v>30</v>
      </c>
      <c r="H19" s="2">
        <v>0.41599999999999998</v>
      </c>
      <c r="I19">
        <v>0</v>
      </c>
      <c r="J19">
        <v>0</v>
      </c>
      <c r="L19" s="13">
        <f>svdStuff!E19*0.001</f>
        <v>9.4E-2</v>
      </c>
      <c r="M19" s="13">
        <v>9.4E-2</v>
      </c>
      <c r="N19">
        <f>LOG10(24431)</f>
        <v>4.3879412437066989</v>
      </c>
      <c r="O19" s="1" t="s">
        <v>26</v>
      </c>
      <c r="P19" s="1" t="s">
        <v>26</v>
      </c>
      <c r="Q19" s="1" t="s">
        <v>27</v>
      </c>
      <c r="R19" s="1" t="s">
        <v>27</v>
      </c>
      <c r="S19" s="1" t="s">
        <v>26</v>
      </c>
      <c r="T19" s="1"/>
      <c r="U19" s="1"/>
      <c r="X19">
        <f t="shared" si="0"/>
        <v>3.6646500000000035</v>
      </c>
    </row>
    <row r="20" spans="1:24" x14ac:dyDescent="0.25">
      <c r="B20" s="12" t="s">
        <v>36</v>
      </c>
      <c r="C20" s="20" t="s">
        <v>61</v>
      </c>
      <c r="D20">
        <v>24</v>
      </c>
      <c r="E20">
        <v>375</v>
      </c>
      <c r="F20" s="13">
        <f>LOG(svdStuff!E20*E20)</f>
        <v>3.9542425094393248</v>
      </c>
      <c r="G20" t="s">
        <v>30</v>
      </c>
      <c r="H20" s="2">
        <v>0.41599999999999998</v>
      </c>
      <c r="I20">
        <v>0</v>
      </c>
      <c r="J20">
        <v>0</v>
      </c>
      <c r="L20" s="13">
        <f>svdStuff!E20*0.001</f>
        <v>2.4E-2</v>
      </c>
      <c r="M20" s="13">
        <v>2.4E-2</v>
      </c>
      <c r="N20">
        <f>LOG10(6773)</f>
        <v>3.8307810756063612</v>
      </c>
      <c r="O20" s="1" t="s">
        <v>26</v>
      </c>
      <c r="P20" s="1" t="s">
        <v>26</v>
      </c>
      <c r="Q20" s="1" t="s">
        <v>27</v>
      </c>
      <c r="R20" s="1" t="s">
        <v>27</v>
      </c>
      <c r="S20" s="1" t="s">
        <v>26</v>
      </c>
      <c r="T20" s="1"/>
      <c r="U20" s="1"/>
      <c r="X20">
        <f t="shared" si="0"/>
        <v>1.0159500000000004</v>
      </c>
    </row>
    <row r="21" spans="1:24" x14ac:dyDescent="0.25">
      <c r="B21" s="12" t="s">
        <v>34</v>
      </c>
      <c r="C21" s="20" t="s">
        <v>61</v>
      </c>
      <c r="D21">
        <v>115</v>
      </c>
      <c r="E21">
        <v>1605</v>
      </c>
      <c r="F21" s="13">
        <f>LOG(svdStuff!E21*E21)</f>
        <v>5.2661728770945029</v>
      </c>
      <c r="G21" t="s">
        <v>30</v>
      </c>
      <c r="H21" s="2">
        <v>0.41599999999999998</v>
      </c>
      <c r="I21">
        <v>0</v>
      </c>
      <c r="J21">
        <v>0</v>
      </c>
      <c r="L21" s="13">
        <f>svdStuff!E21*0.001</f>
        <v>0.115</v>
      </c>
      <c r="M21" s="13">
        <v>0.115</v>
      </c>
      <c r="N21">
        <f>LOG10(26276)</f>
        <v>4.4195592531957208</v>
      </c>
      <c r="O21" s="1" t="s">
        <v>26</v>
      </c>
      <c r="P21" s="1" t="s">
        <v>26</v>
      </c>
      <c r="Q21" s="1" t="s">
        <v>27</v>
      </c>
      <c r="R21" s="1" t="s">
        <v>27</v>
      </c>
      <c r="S21" s="1" t="s">
        <v>26</v>
      </c>
      <c r="T21" s="1"/>
      <c r="U21" s="1"/>
      <c r="X21">
        <f t="shared" si="0"/>
        <v>3.9414000000000047</v>
      </c>
    </row>
    <row r="22" spans="1:24" x14ac:dyDescent="0.25">
      <c r="B22" s="12" t="s">
        <v>35</v>
      </c>
      <c r="C22" s="20" t="s">
        <v>61</v>
      </c>
      <c r="D22">
        <v>186</v>
      </c>
      <c r="E22">
        <v>1545</v>
      </c>
      <c r="F22" s="13">
        <f>LOG(svdStuff!E22*E22)</f>
        <v>5.4584414279787694</v>
      </c>
      <c r="G22" t="s">
        <v>30</v>
      </c>
      <c r="H22" s="2">
        <v>0.41599999999999998</v>
      </c>
      <c r="I22">
        <v>0</v>
      </c>
      <c r="J22">
        <v>0</v>
      </c>
      <c r="L22" s="13">
        <f>svdStuff!E22*0.001</f>
        <v>0.186</v>
      </c>
      <c r="M22" s="13">
        <v>0.186</v>
      </c>
      <c r="N22">
        <f>LOG10(20720)</f>
        <v>4.3163897510731957</v>
      </c>
      <c r="O22" s="1" t="s">
        <v>26</v>
      </c>
      <c r="P22" s="1" t="s">
        <v>26</v>
      </c>
      <c r="Q22" s="1" t="s">
        <v>27</v>
      </c>
      <c r="R22" s="1" t="s">
        <v>27</v>
      </c>
      <c r="S22" s="1" t="s">
        <v>26</v>
      </c>
      <c r="T22" s="1"/>
      <c r="U22" s="1"/>
      <c r="X22">
        <f t="shared" si="0"/>
        <v>3.1080000000000032</v>
      </c>
    </row>
    <row r="23" spans="1:24" x14ac:dyDescent="0.25">
      <c r="B23" s="12">
        <v>193</v>
      </c>
      <c r="C23" s="20" t="s">
        <v>61</v>
      </c>
      <c r="D23">
        <v>65</v>
      </c>
      <c r="E23">
        <v>1391</v>
      </c>
      <c r="F23" s="13">
        <f>LOG(svdStuff!E23*E23)</f>
        <v>4.9562404866349024</v>
      </c>
      <c r="G23" t="s">
        <v>30</v>
      </c>
      <c r="H23" s="2">
        <v>0.41599999999999998</v>
      </c>
      <c r="I23">
        <v>0</v>
      </c>
      <c r="J23">
        <v>0</v>
      </c>
      <c r="L23" s="13">
        <f>svdStuff!E23*0.001</f>
        <v>6.5000000000000002E-2</v>
      </c>
      <c r="M23" s="13">
        <v>6.5000000000000002E-2</v>
      </c>
      <c r="N23">
        <f>LOG10(16241)</f>
        <v>4.2106127663528978</v>
      </c>
      <c r="O23" s="1" t="s">
        <v>26</v>
      </c>
      <c r="P23" s="1" t="s">
        <v>26</v>
      </c>
      <c r="Q23" s="1" t="s">
        <v>27</v>
      </c>
      <c r="R23" s="1" t="s">
        <v>27</v>
      </c>
      <c r="S23" s="1" t="s">
        <v>26</v>
      </c>
      <c r="T23" s="1"/>
      <c r="U23" s="1"/>
      <c r="X23">
        <f t="shared" si="0"/>
        <v>2.4361500000000018</v>
      </c>
    </row>
    <row r="24" spans="1:24" x14ac:dyDescent="0.25">
      <c r="B24" s="12">
        <v>162</v>
      </c>
      <c r="C24" s="20" t="s">
        <v>61</v>
      </c>
      <c r="D24">
        <v>73</v>
      </c>
      <c r="E24">
        <v>1077</v>
      </c>
      <c r="F24" s="13">
        <f>LOG(svdStuff!E24*E24)</f>
        <v>4.8955385634184374</v>
      </c>
      <c r="G24" t="s">
        <v>30</v>
      </c>
      <c r="H24" s="2">
        <v>0.41599999999999998</v>
      </c>
      <c r="I24">
        <v>0</v>
      </c>
      <c r="J24">
        <v>0</v>
      </c>
      <c r="L24" s="13">
        <f>svdStuff!E24*0.001</f>
        <v>7.2999999999999995E-2</v>
      </c>
      <c r="M24" s="13">
        <v>7.2999999999999995E-2</v>
      </c>
      <c r="N24">
        <f>LOG10(10072)</f>
        <v>4.0031157170998064</v>
      </c>
      <c r="O24" s="1" t="s">
        <v>26</v>
      </c>
      <c r="P24" s="1" t="s">
        <v>26</v>
      </c>
      <c r="Q24" s="1" t="s">
        <v>27</v>
      </c>
      <c r="R24" s="1" t="s">
        <v>27</v>
      </c>
      <c r="S24" s="1" t="s">
        <v>26</v>
      </c>
      <c r="T24" s="1"/>
      <c r="U24" s="1"/>
      <c r="X24">
        <f t="shared" si="0"/>
        <v>1.5108000000000019</v>
      </c>
    </row>
    <row r="25" spans="1:24" x14ac:dyDescent="0.25">
      <c r="B25" s="12">
        <v>213</v>
      </c>
      <c r="C25" s="20" t="s">
        <v>61</v>
      </c>
      <c r="D25">
        <v>67</v>
      </c>
      <c r="E25">
        <v>844</v>
      </c>
      <c r="F25" s="13">
        <f>LOG(svdStuff!E25*E25)</f>
        <v>4.7524172493264816</v>
      </c>
      <c r="G25" t="s">
        <v>30</v>
      </c>
      <c r="H25" s="2">
        <v>0.41599999999999998</v>
      </c>
      <c r="I25">
        <v>0</v>
      </c>
      <c r="J25">
        <v>0</v>
      </c>
      <c r="L25" s="13">
        <f>svdStuff!E25*0.001</f>
        <v>6.7000000000000004E-2</v>
      </c>
      <c r="M25" s="13">
        <v>6.7000000000000004E-2</v>
      </c>
      <c r="N25">
        <f>LOG10(7623)</f>
        <v>3.882125919770032</v>
      </c>
      <c r="O25" s="1" t="s">
        <v>26</v>
      </c>
      <c r="P25" s="1" t="s">
        <v>26</v>
      </c>
      <c r="Q25" s="1" t="s">
        <v>27</v>
      </c>
      <c r="R25" s="1" t="s">
        <v>27</v>
      </c>
      <c r="S25" s="1" t="s">
        <v>26</v>
      </c>
      <c r="T25" s="1"/>
      <c r="U25" s="1"/>
      <c r="X25">
        <f t="shared" si="0"/>
        <v>1.1434500000000012</v>
      </c>
    </row>
    <row r="26" spans="1:24" x14ac:dyDescent="0.25">
      <c r="B26" s="12" t="s">
        <v>36</v>
      </c>
      <c r="C26" s="20" t="s">
        <v>61</v>
      </c>
      <c r="D26">
        <v>24</v>
      </c>
      <c r="E26">
        <v>375</v>
      </c>
      <c r="F26" s="13">
        <f>LOG(svdStuff!E26*E26)</f>
        <v>3.9542425094393248</v>
      </c>
      <c r="G26" t="s">
        <v>30</v>
      </c>
      <c r="H26" s="2">
        <v>0.41599999999999998</v>
      </c>
      <c r="I26">
        <v>0</v>
      </c>
      <c r="J26">
        <v>0</v>
      </c>
      <c r="L26" s="13">
        <f>svdStuff!E26*0.001</f>
        <v>2.4E-2</v>
      </c>
      <c r="M26" s="13">
        <v>2.4E-2</v>
      </c>
      <c r="N26">
        <f>LOG10(5757)</f>
        <v>3.7601962294551341</v>
      </c>
      <c r="O26" s="1" t="s">
        <v>26</v>
      </c>
      <c r="P26" s="1" t="s">
        <v>26</v>
      </c>
      <c r="Q26" s="1" t="s">
        <v>27</v>
      </c>
      <c r="R26" s="1" t="s">
        <v>27</v>
      </c>
      <c r="S26" s="1" t="s">
        <v>26</v>
      </c>
      <c r="T26" s="1"/>
      <c r="U26" s="1"/>
      <c r="X26">
        <f t="shared" si="0"/>
        <v>0.86355000000000015</v>
      </c>
    </row>
    <row r="29" spans="1:24" x14ac:dyDescent="0.25">
      <c r="A29" t="s">
        <v>37</v>
      </c>
    </row>
  </sheetData>
  <mergeCells count="1">
    <mergeCell ref="O1:S1"/>
  </mergeCells>
  <conditionalFormatting sqref="O3:O16 R3:R16">
    <cfRule type="cellIs" dxfId="39" priority="54" operator="equal">
      <formula>0</formula>
    </cfRule>
    <cfRule type="cellIs" dxfId="38" priority="55" operator="equal">
      <formula>"O"</formula>
    </cfRule>
    <cfRule type="cellIs" dxfId="37" priority="56" operator="equal">
      <formula>"X"</formula>
    </cfRule>
  </conditionalFormatting>
  <conditionalFormatting sqref="E3:E16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G16 G17:G26 F4:F26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J16 I18:J27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16 I18:I27">
    <cfRule type="colorScale" priority="50">
      <colorScale>
        <cfvo type="min"/>
        <cfvo type="max"/>
        <color rgb="FFFCFCFF"/>
        <color rgb="FFF8696B"/>
      </colorScale>
    </cfRule>
  </conditionalFormatting>
  <conditionalFormatting sqref="J3:J16 J18:J27">
    <cfRule type="colorScale" priority="49">
      <colorScale>
        <cfvo type="min"/>
        <cfvo type="max"/>
        <color rgb="FFFCFCFF"/>
        <color rgb="FFF8696B"/>
      </colorScale>
    </cfRule>
  </conditionalFormatting>
  <conditionalFormatting sqref="L3:L16 N3:N26">
    <cfRule type="colorScale" priority="48">
      <colorScale>
        <cfvo type="min"/>
        <cfvo type="max"/>
        <color rgb="FFFCFCFF"/>
        <color rgb="FF63BE7B"/>
      </colorScale>
    </cfRule>
  </conditionalFormatting>
  <conditionalFormatting sqref="G3:G26">
    <cfRule type="cellIs" dxfId="36" priority="47" operator="equal">
      <formula>"Y"</formula>
    </cfRule>
  </conditionalFormatting>
  <conditionalFormatting sqref="R17:R26">
    <cfRule type="cellIs" dxfId="35" priority="44" operator="equal">
      <formula>0</formula>
    </cfRule>
    <cfRule type="cellIs" dxfId="34" priority="45" operator="equal">
      <formula>"O"</formula>
    </cfRule>
    <cfRule type="cellIs" dxfId="33" priority="46" operator="equal">
      <formula>"X"</formula>
    </cfRule>
  </conditionalFormatting>
  <conditionalFormatting sqref="O17:O26">
    <cfRule type="cellIs" dxfId="32" priority="41" operator="equal">
      <formula>0</formula>
    </cfRule>
    <cfRule type="cellIs" dxfId="31" priority="42" operator="equal">
      <formula>"O"</formula>
    </cfRule>
    <cfRule type="cellIs" dxfId="30" priority="43" operator="equal">
      <formula>"X"</formula>
    </cfRule>
  </conditionalFormatting>
  <conditionalFormatting sqref="I3:J26">
    <cfRule type="colorScale" priority="40">
      <colorScale>
        <cfvo type="min"/>
        <cfvo type="max"/>
        <color rgb="FFFCFCFF"/>
        <color rgb="FFF8696B"/>
      </colorScale>
    </cfRule>
  </conditionalFormatting>
  <conditionalFormatting sqref="E3:F26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26 N3:N26">
    <cfRule type="colorScale" priority="38">
      <colorScale>
        <cfvo type="min"/>
        <cfvo type="max"/>
        <color rgb="FFFCFCFF"/>
        <color rgb="FF63BE7B"/>
      </colorScale>
    </cfRule>
  </conditionalFormatting>
  <conditionalFormatting sqref="F3:F26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:S16">
    <cfRule type="cellIs" dxfId="29" priority="34" operator="equal">
      <formula>0</formula>
    </cfRule>
    <cfRule type="cellIs" dxfId="28" priority="35" operator="equal">
      <formula>"O"</formula>
    </cfRule>
    <cfRule type="cellIs" dxfId="27" priority="36" operator="equal">
      <formula>"X"</formula>
    </cfRule>
  </conditionalFormatting>
  <conditionalFormatting sqref="S17:S26">
    <cfRule type="cellIs" dxfId="26" priority="31" operator="equal">
      <formula>0</formula>
    </cfRule>
    <cfRule type="cellIs" dxfId="25" priority="32" operator="equal">
      <formula>"O"</formula>
    </cfRule>
    <cfRule type="cellIs" dxfId="24" priority="33" operator="equal">
      <formula>"X"</formula>
    </cfRule>
  </conditionalFormatting>
  <conditionalFormatting sqref="Q3:Q16">
    <cfRule type="cellIs" dxfId="23" priority="28" operator="equal">
      <formula>0</formula>
    </cfRule>
    <cfRule type="cellIs" dxfId="22" priority="29" operator="equal">
      <formula>"O"</formula>
    </cfRule>
    <cfRule type="cellIs" dxfId="21" priority="30" operator="equal">
      <formula>"X"</formula>
    </cfRule>
  </conditionalFormatting>
  <conditionalFormatting sqref="Q17:Q26">
    <cfRule type="cellIs" dxfId="20" priority="25" operator="equal">
      <formula>0</formula>
    </cfRule>
    <cfRule type="cellIs" dxfId="19" priority="26" operator="equal">
      <formula>"O"</formula>
    </cfRule>
    <cfRule type="cellIs" dxfId="18" priority="27" operator="equal">
      <formula>"X"</formula>
    </cfRule>
  </conditionalFormatting>
  <conditionalFormatting sqref="N3:N26">
    <cfRule type="colorScale" priority="24">
      <colorScale>
        <cfvo type="min"/>
        <cfvo type="max"/>
        <color rgb="FFFCFCFF"/>
        <color rgb="FF63BE7B"/>
      </colorScale>
    </cfRule>
  </conditionalFormatting>
  <conditionalFormatting sqref="P3:P16">
    <cfRule type="cellIs" dxfId="17" priority="21" operator="equal">
      <formula>0</formula>
    </cfRule>
    <cfRule type="cellIs" dxfId="16" priority="22" operator="equal">
      <formula>"O"</formula>
    </cfRule>
    <cfRule type="cellIs" dxfId="15" priority="23" operator="equal">
      <formula>"X"</formula>
    </cfRule>
  </conditionalFormatting>
  <conditionalFormatting sqref="P17:P26">
    <cfRule type="cellIs" dxfId="14" priority="18" operator="equal">
      <formula>0</formula>
    </cfRule>
    <cfRule type="cellIs" dxfId="13" priority="19" operator="equal">
      <formula>"O"</formula>
    </cfRule>
    <cfRule type="cellIs" dxfId="12" priority="20" operator="equal">
      <formula>"X"</formula>
    </cfRule>
  </conditionalFormatting>
  <conditionalFormatting sqref="M3:M16">
    <cfRule type="colorScale" priority="17">
      <colorScale>
        <cfvo type="min"/>
        <cfvo type="max"/>
        <color rgb="FFFCFCFF"/>
        <color rgb="FF63BE7B"/>
      </colorScale>
    </cfRule>
  </conditionalFormatting>
  <conditionalFormatting sqref="M3:M26">
    <cfRule type="colorScale" priority="16">
      <colorScale>
        <cfvo type="min"/>
        <cfvo type="max"/>
        <color rgb="FFFCFCFF"/>
        <color rgb="FF63BE7B"/>
      </colorScale>
    </cfRule>
  </conditionalFormatting>
  <conditionalFormatting sqref="T3:T16">
    <cfRule type="cellIs" dxfId="11" priority="13" operator="equal">
      <formula>0</formula>
    </cfRule>
    <cfRule type="cellIs" dxfId="10" priority="14" operator="equal">
      <formula>"O"</formula>
    </cfRule>
    <cfRule type="cellIs" dxfId="9" priority="15" operator="equal">
      <formula>"X"</formula>
    </cfRule>
  </conditionalFormatting>
  <conditionalFormatting sqref="T17:T26">
    <cfRule type="cellIs" dxfId="8" priority="10" operator="equal">
      <formula>0</formula>
    </cfRule>
    <cfRule type="cellIs" dxfId="7" priority="11" operator="equal">
      <formula>"O"</formula>
    </cfRule>
    <cfRule type="cellIs" dxfId="6" priority="12" operator="equal">
      <formula>"X"</formula>
    </cfRule>
  </conditionalFormatting>
  <conditionalFormatting sqref="U3:U16">
    <cfRule type="cellIs" dxfId="5" priority="7" operator="equal">
      <formula>0</formula>
    </cfRule>
    <cfRule type="cellIs" dxfId="4" priority="8" operator="equal">
      <formula>"O"</formula>
    </cfRule>
    <cfRule type="cellIs" dxfId="3" priority="9" operator="equal">
      <formula>"X"</formula>
    </cfRule>
  </conditionalFormatting>
  <conditionalFormatting sqref="U17:U26">
    <cfRule type="cellIs" dxfId="2" priority="4" operator="equal">
      <formula>0</formula>
    </cfRule>
    <cfRule type="cellIs" dxfId="1" priority="5" operator="equal">
      <formula>"O"</formula>
    </cfRule>
    <cfRule type="cellIs" dxfId="0" priority="6" operator="equal">
      <formula>"X"</formula>
    </cfRule>
  </conditionalFormatting>
  <conditionalFormatting sqref="D3:D1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2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ignoredErrors>
    <ignoredError sqref="B21:B22 B26 B17 B18:B20" numberStoredAsText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6"/>
  <sheetViews>
    <sheetView workbookViewId="0">
      <selection activeCell="G19" sqref="G19"/>
    </sheetView>
  </sheetViews>
  <sheetFormatPr defaultRowHeight="15" x14ac:dyDescent="0.25"/>
  <cols>
    <col min="3" max="3" width="3.85546875" customWidth="1"/>
    <col min="4" max="4" width="6.140625" bestFit="1" customWidth="1"/>
    <col min="5" max="5" width="6" bestFit="1" customWidth="1"/>
    <col min="6" max="6" width="6" customWidth="1"/>
    <col min="12" max="12" width="12.85546875" customWidth="1"/>
    <col min="13" max="13" width="12" bestFit="1" customWidth="1"/>
  </cols>
  <sheetData>
    <row r="1" spans="1:22" ht="15.75" thickBot="1" x14ac:dyDescent="0.3">
      <c r="A1" s="3" t="s">
        <v>12</v>
      </c>
      <c r="B1" s="3" t="s">
        <v>11</v>
      </c>
      <c r="C1" s="3" t="s">
        <v>47</v>
      </c>
      <c r="D1" s="3" t="s">
        <v>1</v>
      </c>
      <c r="E1" s="3" t="s">
        <v>13</v>
      </c>
      <c r="F1" s="3" t="s">
        <v>95</v>
      </c>
      <c r="R1" t="s">
        <v>98</v>
      </c>
    </row>
    <row r="2" spans="1:22" x14ac:dyDescent="0.25">
      <c r="A2" s="16"/>
      <c r="B2" s="16"/>
      <c r="C2" s="16"/>
      <c r="D2" s="16"/>
      <c r="E2" s="16"/>
      <c r="F2" s="26"/>
      <c r="H2" s="24">
        <v>0.95</v>
      </c>
      <c r="I2" s="24">
        <v>0.98</v>
      </c>
      <c r="J2" s="24">
        <v>0.99</v>
      </c>
      <c r="K2" s="25">
        <v>0.995</v>
      </c>
      <c r="L2" s="24">
        <v>0.99900000000000011</v>
      </c>
      <c r="M2" s="24">
        <v>0.95</v>
      </c>
      <c r="N2" s="24">
        <v>0.98</v>
      </c>
      <c r="O2" s="24">
        <v>0.99</v>
      </c>
      <c r="P2" s="25">
        <v>0.995</v>
      </c>
      <c r="Q2" s="24">
        <v>0.99900000000000011</v>
      </c>
      <c r="R2" s="24">
        <v>0.95</v>
      </c>
      <c r="S2" s="24">
        <v>0.98</v>
      </c>
      <c r="T2" s="24">
        <v>0.99</v>
      </c>
      <c r="U2" s="25">
        <v>0.995</v>
      </c>
      <c r="V2" s="24">
        <v>0.99900000000000011</v>
      </c>
    </row>
    <row r="3" spans="1:22" ht="15.75" thickBot="1" x14ac:dyDescent="0.3">
      <c r="A3" s="5" t="s">
        <v>0</v>
      </c>
      <c r="B3" s="6" t="s">
        <v>4</v>
      </c>
      <c r="C3" s="21" t="s">
        <v>61</v>
      </c>
      <c r="D3" s="6">
        <v>4</v>
      </c>
      <c r="E3" s="6">
        <v>1</v>
      </c>
      <c r="F3" s="13"/>
    </row>
    <row r="4" spans="1:22" ht="15.75" thickTop="1" x14ac:dyDescent="0.25">
      <c r="B4" t="s">
        <v>5</v>
      </c>
      <c r="C4">
        <v>5</v>
      </c>
      <c r="D4">
        <v>16</v>
      </c>
      <c r="E4">
        <v>15</v>
      </c>
      <c r="F4">
        <v>31</v>
      </c>
      <c r="H4">
        <v>2</v>
      </c>
      <c r="I4">
        <v>4</v>
      </c>
      <c r="J4">
        <v>6</v>
      </c>
      <c r="K4">
        <v>8</v>
      </c>
      <c r="L4">
        <v>10</v>
      </c>
      <c r="M4">
        <f>H4/$E4</f>
        <v>0.13333333333333333</v>
      </c>
      <c r="N4">
        <f t="shared" ref="N4:Q16" si="0">I4/$E4</f>
        <v>0.26666666666666666</v>
      </c>
      <c r="O4">
        <f t="shared" si="0"/>
        <v>0.4</v>
      </c>
      <c r="P4">
        <f t="shared" si="0"/>
        <v>0.53333333333333333</v>
      </c>
      <c r="Q4">
        <f t="shared" si="0"/>
        <v>0.66666666666666663</v>
      </c>
      <c r="R4">
        <f>MIN((H4*($F4+$E4))/($E4*$F4),1)</f>
        <v>0.19784946236559139</v>
      </c>
      <c r="S4">
        <f t="shared" ref="S4:V4" si="1">MIN((I4*($F4+$E4))/($E4*$F4),1)</f>
        <v>0.39569892473118279</v>
      </c>
      <c r="T4">
        <f t="shared" si="1"/>
        <v>0.59354838709677415</v>
      </c>
      <c r="U4">
        <f t="shared" si="1"/>
        <v>0.79139784946236558</v>
      </c>
      <c r="V4">
        <f t="shared" si="1"/>
        <v>0.989247311827957</v>
      </c>
    </row>
    <row r="5" spans="1:22" x14ac:dyDescent="0.25">
      <c r="B5" t="s">
        <v>6</v>
      </c>
      <c r="C5">
        <v>6</v>
      </c>
      <c r="D5">
        <v>37</v>
      </c>
      <c r="E5">
        <v>68</v>
      </c>
      <c r="F5">
        <v>74</v>
      </c>
      <c r="H5">
        <v>12</v>
      </c>
      <c r="I5">
        <v>13</v>
      </c>
      <c r="J5">
        <v>13</v>
      </c>
      <c r="K5">
        <v>13</v>
      </c>
      <c r="L5">
        <v>15</v>
      </c>
      <c r="M5">
        <f t="shared" ref="M5:M16" si="2">H5/$E5</f>
        <v>0.17647058823529413</v>
      </c>
      <c r="N5">
        <f t="shared" si="0"/>
        <v>0.19117647058823528</v>
      </c>
      <c r="O5">
        <f t="shared" si="0"/>
        <v>0.19117647058823528</v>
      </c>
      <c r="P5">
        <f t="shared" si="0"/>
        <v>0.19117647058823528</v>
      </c>
      <c r="Q5">
        <f t="shared" si="0"/>
        <v>0.22058823529411764</v>
      </c>
      <c r="R5">
        <f t="shared" ref="R5:R16" si="3">MIN((H5*($F5+$E5))/($E5*$F5),1)</f>
        <v>0.33863275039745627</v>
      </c>
      <c r="S5">
        <f t="shared" ref="S5:S16" si="4">MIN((I5*($F5+$E5))/($E5*$F5),1)</f>
        <v>0.36685214626391099</v>
      </c>
      <c r="T5">
        <f t="shared" ref="T5:T16" si="5">MIN((J5*($F5+$E5))/($E5*$F5),1)</f>
        <v>0.36685214626391099</v>
      </c>
      <c r="U5">
        <f t="shared" ref="U5:U16" si="6">MIN((K5*($F5+$E5))/($E5*$F5),1)</f>
        <v>0.36685214626391099</v>
      </c>
      <c r="V5">
        <f t="shared" ref="V5:V16" si="7">MIN((L5*($F5+$E5))/($E5*$F5),1)</f>
        <v>0.42329093799682033</v>
      </c>
    </row>
    <row r="6" spans="1:22" x14ac:dyDescent="0.25">
      <c r="B6" t="s">
        <v>7</v>
      </c>
      <c r="C6">
        <v>7</v>
      </c>
      <c r="D6">
        <v>39</v>
      </c>
      <c r="E6">
        <v>30</v>
      </c>
      <c r="M6">
        <f t="shared" si="2"/>
        <v>0</v>
      </c>
      <c r="N6">
        <f t="shared" si="0"/>
        <v>0</v>
      </c>
      <c r="O6">
        <f t="shared" si="0"/>
        <v>0</v>
      </c>
      <c r="P6">
        <f t="shared" si="0"/>
        <v>0</v>
      </c>
      <c r="Q6">
        <f t="shared" si="0"/>
        <v>0</v>
      </c>
      <c r="R6" t="e">
        <f t="shared" si="3"/>
        <v>#DIV/0!</v>
      </c>
      <c r="S6" t="e">
        <f t="shared" si="4"/>
        <v>#DIV/0!</v>
      </c>
      <c r="T6" t="e">
        <f t="shared" si="5"/>
        <v>#DIV/0!</v>
      </c>
      <c r="U6" t="e">
        <f t="shared" si="6"/>
        <v>#DIV/0!</v>
      </c>
      <c r="V6" t="e">
        <f t="shared" si="7"/>
        <v>#DIV/0!</v>
      </c>
    </row>
    <row r="7" spans="1:22" x14ac:dyDescent="0.25">
      <c r="B7" t="s">
        <v>8</v>
      </c>
      <c r="C7">
        <v>8</v>
      </c>
      <c r="D7">
        <v>132</v>
      </c>
      <c r="E7">
        <v>92</v>
      </c>
      <c r="F7">
        <v>119</v>
      </c>
      <c r="H7">
        <v>5</v>
      </c>
      <c r="I7">
        <v>10</v>
      </c>
      <c r="J7">
        <v>15</v>
      </c>
      <c r="K7">
        <v>21</v>
      </c>
      <c r="L7">
        <v>35</v>
      </c>
      <c r="M7">
        <f t="shared" si="2"/>
        <v>5.434782608695652E-2</v>
      </c>
      <c r="N7">
        <f t="shared" si="0"/>
        <v>0.10869565217391304</v>
      </c>
      <c r="O7">
        <f t="shared" si="0"/>
        <v>0.16304347826086957</v>
      </c>
      <c r="P7">
        <f t="shared" si="0"/>
        <v>0.22826086956521738</v>
      </c>
      <c r="Q7">
        <f t="shared" si="0"/>
        <v>0.38043478260869568</v>
      </c>
      <c r="R7">
        <f t="shared" si="3"/>
        <v>9.6364632809645592E-2</v>
      </c>
      <c r="S7">
        <f t="shared" si="4"/>
        <v>0.19272926561929118</v>
      </c>
      <c r="T7">
        <f t="shared" si="5"/>
        <v>0.28909389842893679</v>
      </c>
      <c r="U7">
        <f t="shared" si="6"/>
        <v>0.40473145780051151</v>
      </c>
      <c r="V7">
        <f t="shared" si="7"/>
        <v>0.67455242966751916</v>
      </c>
    </row>
    <row r="8" spans="1:22" x14ac:dyDescent="0.25">
      <c r="B8" t="s">
        <v>17</v>
      </c>
      <c r="C8">
        <v>9</v>
      </c>
      <c r="D8">
        <v>4876</v>
      </c>
      <c r="E8">
        <v>2355</v>
      </c>
      <c r="F8">
        <v>5900</v>
      </c>
      <c r="G8" t="s">
        <v>96</v>
      </c>
      <c r="H8">
        <v>1214</v>
      </c>
      <c r="I8">
        <v>1504</v>
      </c>
      <c r="J8">
        <v>1676</v>
      </c>
      <c r="K8">
        <v>1811</v>
      </c>
      <c r="L8">
        <v>2034</v>
      </c>
      <c r="M8">
        <f t="shared" si="2"/>
        <v>0.51549893842887473</v>
      </c>
      <c r="N8">
        <f t="shared" si="0"/>
        <v>0.63864118895966027</v>
      </c>
      <c r="O8">
        <f t="shared" si="0"/>
        <v>0.71167728237791927</v>
      </c>
      <c r="P8">
        <f t="shared" si="0"/>
        <v>0.76900212314225058</v>
      </c>
      <c r="Q8">
        <f t="shared" si="0"/>
        <v>0.8636942675159236</v>
      </c>
      <c r="R8">
        <f t="shared" si="3"/>
        <v>0.72126165029328149</v>
      </c>
      <c r="S8">
        <f t="shared" si="4"/>
        <v>0.89355644319694838</v>
      </c>
      <c r="T8">
        <f t="shared" si="5"/>
        <v>0.99574507898808884</v>
      </c>
      <c r="U8">
        <f t="shared" si="6"/>
        <v>1</v>
      </c>
      <c r="V8">
        <f t="shared" si="7"/>
        <v>1</v>
      </c>
    </row>
    <row r="9" spans="1:22" x14ac:dyDescent="0.25">
      <c r="B9" t="s">
        <v>9</v>
      </c>
      <c r="C9">
        <v>0</v>
      </c>
      <c r="D9">
        <v>907</v>
      </c>
      <c r="E9">
        <v>55</v>
      </c>
      <c r="F9">
        <v>61</v>
      </c>
      <c r="H9">
        <v>3</v>
      </c>
      <c r="I9">
        <v>4</v>
      </c>
      <c r="J9">
        <v>6</v>
      </c>
      <c r="K9">
        <v>9</v>
      </c>
      <c r="L9">
        <v>21</v>
      </c>
      <c r="M9">
        <f t="shared" si="2"/>
        <v>5.4545454545454543E-2</v>
      </c>
      <c r="N9">
        <f t="shared" si="0"/>
        <v>7.2727272727272724E-2</v>
      </c>
      <c r="O9">
        <f t="shared" si="0"/>
        <v>0.10909090909090909</v>
      </c>
      <c r="P9">
        <f t="shared" si="0"/>
        <v>0.16363636363636364</v>
      </c>
      <c r="Q9">
        <f t="shared" si="0"/>
        <v>0.38181818181818183</v>
      </c>
      <c r="R9">
        <f t="shared" si="3"/>
        <v>0.10372578241430701</v>
      </c>
      <c r="S9">
        <f t="shared" si="4"/>
        <v>0.13830104321907602</v>
      </c>
      <c r="T9">
        <f t="shared" si="5"/>
        <v>0.20745156482861402</v>
      </c>
      <c r="U9">
        <f t="shared" si="6"/>
        <v>0.31117734724292101</v>
      </c>
      <c r="V9">
        <f t="shared" si="7"/>
        <v>0.72608047690014899</v>
      </c>
    </row>
    <row r="10" spans="1:22" x14ac:dyDescent="0.25">
      <c r="B10" t="s">
        <v>24</v>
      </c>
      <c r="C10">
        <v>14</v>
      </c>
      <c r="D10">
        <v>390</v>
      </c>
      <c r="E10">
        <v>694</v>
      </c>
      <c r="F10">
        <v>729</v>
      </c>
      <c r="H10">
        <v>102</v>
      </c>
      <c r="I10">
        <v>146</v>
      </c>
      <c r="J10">
        <v>176</v>
      </c>
      <c r="K10">
        <v>204</v>
      </c>
      <c r="L10">
        <v>272</v>
      </c>
      <c r="M10">
        <f t="shared" si="2"/>
        <v>0.14697406340057637</v>
      </c>
      <c r="N10">
        <f t="shared" si="0"/>
        <v>0.21037463976945245</v>
      </c>
      <c r="O10">
        <f t="shared" si="0"/>
        <v>0.25360230547550433</v>
      </c>
      <c r="P10">
        <f t="shared" si="0"/>
        <v>0.29394812680115273</v>
      </c>
      <c r="Q10">
        <f t="shared" si="0"/>
        <v>0.39193083573487031</v>
      </c>
      <c r="R10">
        <f t="shared" si="3"/>
        <v>0.2868917588738274</v>
      </c>
      <c r="S10">
        <f t="shared" si="4"/>
        <v>0.410648988191949</v>
      </c>
      <c r="T10">
        <f t="shared" si="5"/>
        <v>0.49502891727248649</v>
      </c>
      <c r="U10">
        <f t="shared" si="6"/>
        <v>0.57378351774765479</v>
      </c>
      <c r="V10">
        <f t="shared" si="7"/>
        <v>0.76504469033020639</v>
      </c>
    </row>
    <row r="11" spans="1:22" ht="15.75" thickBot="1" x14ac:dyDescent="0.3">
      <c r="A11" s="5" t="s">
        <v>10</v>
      </c>
      <c r="B11" s="6" t="s">
        <v>14</v>
      </c>
      <c r="C11" s="6">
        <v>17</v>
      </c>
      <c r="D11" s="6">
        <v>2998</v>
      </c>
      <c r="E11" s="6">
        <v>1379</v>
      </c>
      <c r="F11" s="17">
        <v>2567</v>
      </c>
      <c r="H11">
        <v>588</v>
      </c>
      <c r="I11">
        <v>872</v>
      </c>
      <c r="J11">
        <v>1031</v>
      </c>
      <c r="K11">
        <v>1147</v>
      </c>
      <c r="L11">
        <v>1299</v>
      </c>
      <c r="M11">
        <f t="shared" si="2"/>
        <v>0.42639593908629442</v>
      </c>
      <c r="N11">
        <f t="shared" si="0"/>
        <v>0.63234227701232781</v>
      </c>
      <c r="O11">
        <f t="shared" si="0"/>
        <v>0.74764321972443804</v>
      </c>
      <c r="P11">
        <f t="shared" si="0"/>
        <v>0.83176214648295865</v>
      </c>
      <c r="Q11">
        <f t="shared" si="0"/>
        <v>0.94198694706308916</v>
      </c>
      <c r="R11">
        <f t="shared" si="3"/>
        <v>0.65545709997449075</v>
      </c>
      <c r="S11">
        <f t="shared" si="4"/>
        <v>0.97203842037033328</v>
      </c>
      <c r="T11">
        <f t="shared" si="5"/>
        <v>1</v>
      </c>
      <c r="U11">
        <f t="shared" si="6"/>
        <v>1</v>
      </c>
      <c r="V11">
        <f t="shared" si="7"/>
        <v>1</v>
      </c>
    </row>
    <row r="12" spans="1:22" ht="15.75" thickTop="1" x14ac:dyDescent="0.25">
      <c r="B12" t="s">
        <v>15</v>
      </c>
      <c r="C12" s="17">
        <v>18</v>
      </c>
      <c r="D12">
        <v>1255</v>
      </c>
      <c r="E12">
        <v>868</v>
      </c>
      <c r="F12" s="17">
        <v>1975</v>
      </c>
      <c r="H12">
        <v>103</v>
      </c>
      <c r="I12">
        <v>172</v>
      </c>
      <c r="J12">
        <v>259</v>
      </c>
      <c r="K12">
        <v>385</v>
      </c>
      <c r="L12">
        <v>779</v>
      </c>
      <c r="M12">
        <f t="shared" si="2"/>
        <v>0.11866359447004608</v>
      </c>
      <c r="N12">
        <f t="shared" si="0"/>
        <v>0.19815668202764977</v>
      </c>
      <c r="O12">
        <f t="shared" si="0"/>
        <v>0.29838709677419356</v>
      </c>
      <c r="P12">
        <f t="shared" si="0"/>
        <v>0.44354838709677419</v>
      </c>
      <c r="Q12">
        <f t="shared" si="0"/>
        <v>0.89746543778801846</v>
      </c>
      <c r="R12">
        <f t="shared" si="3"/>
        <v>0.17081549320422329</v>
      </c>
      <c r="S12">
        <f t="shared" si="4"/>
        <v>0.2852452896225865</v>
      </c>
      <c r="T12">
        <f t="shared" si="5"/>
        <v>0.42952633728052264</v>
      </c>
      <c r="U12">
        <f t="shared" si="6"/>
        <v>0.63848509595753367</v>
      </c>
      <c r="V12">
        <f t="shared" si="7"/>
        <v>1</v>
      </c>
    </row>
    <row r="13" spans="1:22" x14ac:dyDescent="0.25">
      <c r="B13" t="s">
        <v>16</v>
      </c>
      <c r="C13">
        <v>22</v>
      </c>
      <c r="D13">
        <v>6058</v>
      </c>
      <c r="E13">
        <v>3891</v>
      </c>
      <c r="F13" s="17">
        <v>6328</v>
      </c>
      <c r="G13" t="s">
        <v>97</v>
      </c>
      <c r="H13">
        <v>1028</v>
      </c>
      <c r="I13">
        <v>1681</v>
      </c>
      <c r="J13">
        <v>2231</v>
      </c>
      <c r="K13">
        <v>2743</v>
      </c>
      <c r="L13" t="s">
        <v>94</v>
      </c>
      <c r="M13">
        <f t="shared" si="2"/>
        <v>0.26419943459264972</v>
      </c>
      <c r="N13">
        <f t="shared" si="0"/>
        <v>0.43202261629401184</v>
      </c>
      <c r="O13">
        <f t="shared" si="0"/>
        <v>0.57337445386790031</v>
      </c>
      <c r="P13">
        <f t="shared" si="0"/>
        <v>0.70496016448213827</v>
      </c>
      <c r="Q13" t="e">
        <f t="shared" si="0"/>
        <v>#VALUE!</v>
      </c>
      <c r="R13">
        <f t="shared" si="3"/>
        <v>0.42665202624878118</v>
      </c>
      <c r="S13">
        <f t="shared" si="4"/>
        <v>0.69766736977062371</v>
      </c>
      <c r="T13">
        <f t="shared" si="5"/>
        <v>0.92593450443680037</v>
      </c>
      <c r="U13">
        <f t="shared" si="6"/>
        <v>1</v>
      </c>
      <c r="V13" t="e">
        <f t="shared" si="7"/>
        <v>#VALUE!</v>
      </c>
    </row>
    <row r="14" spans="1:22" ht="15.75" thickBot="1" x14ac:dyDescent="0.3">
      <c r="A14" s="5" t="s">
        <v>20</v>
      </c>
      <c r="B14" s="6" t="s">
        <v>21</v>
      </c>
      <c r="C14" s="6">
        <v>19</v>
      </c>
      <c r="D14" s="6">
        <v>4888</v>
      </c>
      <c r="E14" s="6">
        <v>1384</v>
      </c>
      <c r="F14" s="17">
        <v>3056</v>
      </c>
      <c r="H14">
        <v>667</v>
      </c>
      <c r="I14">
        <v>774</v>
      </c>
      <c r="J14">
        <v>841</v>
      </c>
      <c r="K14">
        <v>929</v>
      </c>
      <c r="L14">
        <v>1144</v>
      </c>
      <c r="M14">
        <f t="shared" si="2"/>
        <v>0.48193641618497107</v>
      </c>
      <c r="N14">
        <f t="shared" si="0"/>
        <v>0.55924855491329484</v>
      </c>
      <c r="O14">
        <f t="shared" si="0"/>
        <v>0.60765895953757221</v>
      </c>
      <c r="P14">
        <f t="shared" si="0"/>
        <v>0.67124277456647397</v>
      </c>
      <c r="Q14">
        <f t="shared" si="0"/>
        <v>0.82658959537572252</v>
      </c>
      <c r="R14">
        <f t="shared" si="3"/>
        <v>0.70019557848863601</v>
      </c>
      <c r="S14">
        <f t="shared" si="4"/>
        <v>0.81252080622219536</v>
      </c>
      <c r="T14">
        <f t="shared" si="5"/>
        <v>0.88285529461610623</v>
      </c>
      <c r="U14">
        <f t="shared" si="6"/>
        <v>0.97523492116333266</v>
      </c>
      <c r="V14">
        <f t="shared" si="7"/>
        <v>1</v>
      </c>
    </row>
    <row r="15" spans="1:22" ht="15.75" thickTop="1" x14ac:dyDescent="0.25">
      <c r="B15" t="s">
        <v>22</v>
      </c>
      <c r="C15">
        <v>20</v>
      </c>
      <c r="D15">
        <v>1282</v>
      </c>
      <c r="E15">
        <v>332</v>
      </c>
      <c r="F15" s="17">
        <v>1041</v>
      </c>
      <c r="H15">
        <v>226</v>
      </c>
      <c r="I15">
        <v>261</v>
      </c>
      <c r="J15">
        <v>277</v>
      </c>
      <c r="K15">
        <v>290</v>
      </c>
      <c r="L15">
        <v>308</v>
      </c>
      <c r="M15">
        <f t="shared" si="2"/>
        <v>0.68072289156626509</v>
      </c>
      <c r="N15">
        <f t="shared" si="0"/>
        <v>0.78614457831325302</v>
      </c>
      <c r="O15">
        <f t="shared" si="0"/>
        <v>0.83433734939759041</v>
      </c>
      <c r="P15">
        <f t="shared" si="0"/>
        <v>0.87349397590361444</v>
      </c>
      <c r="Q15">
        <f t="shared" si="0"/>
        <v>0.92771084337349397</v>
      </c>
      <c r="R15">
        <f t="shared" si="3"/>
        <v>0.89782183488999223</v>
      </c>
      <c r="S15">
        <f t="shared" si="4"/>
        <v>1</v>
      </c>
      <c r="T15">
        <f t="shared" si="5"/>
        <v>1</v>
      </c>
      <c r="U15">
        <f t="shared" si="6"/>
        <v>1</v>
      </c>
      <c r="V15">
        <f t="shared" si="7"/>
        <v>1</v>
      </c>
    </row>
    <row r="16" spans="1:22" x14ac:dyDescent="0.25">
      <c r="B16" t="s">
        <v>23</v>
      </c>
      <c r="C16">
        <v>21</v>
      </c>
      <c r="D16">
        <v>2596</v>
      </c>
      <c r="E16">
        <v>1470</v>
      </c>
      <c r="F16" s="17">
        <v>1820</v>
      </c>
      <c r="H16">
        <v>314</v>
      </c>
      <c r="I16">
        <v>512</v>
      </c>
      <c r="J16">
        <v>781</v>
      </c>
      <c r="K16">
        <v>1037</v>
      </c>
      <c r="L16">
        <v>1328</v>
      </c>
      <c r="M16">
        <f t="shared" si="2"/>
        <v>0.21360544217687075</v>
      </c>
      <c r="N16">
        <f t="shared" si="0"/>
        <v>0.34829931972789113</v>
      </c>
      <c r="O16">
        <f t="shared" si="0"/>
        <v>0.53129251700680269</v>
      </c>
      <c r="P16">
        <f t="shared" si="0"/>
        <v>0.70544217687074828</v>
      </c>
      <c r="Q16">
        <f t="shared" si="0"/>
        <v>0.90340136054421771</v>
      </c>
      <c r="R16">
        <f t="shared" si="3"/>
        <v>0.3861329147043433</v>
      </c>
      <c r="S16">
        <f t="shared" si="4"/>
        <v>0.62961800104657251</v>
      </c>
      <c r="T16">
        <f t="shared" si="5"/>
        <v>0.96041339612768184</v>
      </c>
      <c r="U16">
        <f t="shared" si="6"/>
        <v>1</v>
      </c>
      <c r="V16">
        <f t="shared" si="7"/>
        <v>1</v>
      </c>
    </row>
    <row r="17" spans="1:6" ht="15.75" thickBot="1" x14ac:dyDescent="0.3">
      <c r="A17" s="5" t="s">
        <v>93</v>
      </c>
      <c r="B17" s="11" t="s">
        <v>38</v>
      </c>
      <c r="C17" s="19" t="s">
        <v>61</v>
      </c>
      <c r="D17" s="6">
        <v>907</v>
      </c>
      <c r="E17" s="6">
        <v>55</v>
      </c>
      <c r="F17" s="13"/>
    </row>
    <row r="18" spans="1:6" ht="15.75" thickTop="1" x14ac:dyDescent="0.25">
      <c r="B18" s="12" t="s">
        <v>39</v>
      </c>
      <c r="C18" s="20" t="s">
        <v>61</v>
      </c>
      <c r="D18">
        <v>2287</v>
      </c>
      <c r="E18">
        <v>175</v>
      </c>
    </row>
    <row r="19" spans="1:6" x14ac:dyDescent="0.25">
      <c r="B19" s="12" t="s">
        <v>40</v>
      </c>
      <c r="C19" s="20" t="s">
        <v>61</v>
      </c>
      <c r="D19">
        <v>1304</v>
      </c>
      <c r="E19">
        <v>94</v>
      </c>
    </row>
    <row r="20" spans="1:6" x14ac:dyDescent="0.25">
      <c r="B20" s="12" t="s">
        <v>36</v>
      </c>
      <c r="C20" s="20" t="s">
        <v>61</v>
      </c>
      <c r="D20">
        <v>375</v>
      </c>
      <c r="E20">
        <v>24</v>
      </c>
    </row>
    <row r="21" spans="1:6" x14ac:dyDescent="0.25">
      <c r="B21" s="12" t="s">
        <v>34</v>
      </c>
      <c r="C21" s="20" t="s">
        <v>61</v>
      </c>
      <c r="D21">
        <v>1605</v>
      </c>
      <c r="E21">
        <v>115</v>
      </c>
    </row>
    <row r="22" spans="1:6" x14ac:dyDescent="0.25">
      <c r="B22" s="12" t="s">
        <v>35</v>
      </c>
      <c r="C22" s="20" t="s">
        <v>61</v>
      </c>
      <c r="D22">
        <v>1545</v>
      </c>
      <c r="E22">
        <v>186</v>
      </c>
    </row>
    <row r="23" spans="1:6" x14ac:dyDescent="0.25">
      <c r="B23" s="12">
        <v>193</v>
      </c>
      <c r="C23" s="20" t="s">
        <v>61</v>
      </c>
      <c r="D23">
        <v>1391</v>
      </c>
      <c r="E23">
        <v>65</v>
      </c>
    </row>
    <row r="24" spans="1:6" x14ac:dyDescent="0.25">
      <c r="B24" s="12">
        <v>162</v>
      </c>
      <c r="C24" s="20" t="s">
        <v>61</v>
      </c>
      <c r="D24">
        <v>1077</v>
      </c>
      <c r="E24">
        <v>73</v>
      </c>
    </row>
    <row r="25" spans="1:6" x14ac:dyDescent="0.25">
      <c r="B25" s="12">
        <v>213</v>
      </c>
      <c r="C25" s="20" t="s">
        <v>61</v>
      </c>
      <c r="D25">
        <v>844</v>
      </c>
      <c r="E25">
        <v>67</v>
      </c>
    </row>
    <row r="26" spans="1:6" x14ac:dyDescent="0.25">
      <c r="B26" s="12" t="s">
        <v>36</v>
      </c>
      <c r="C26" s="20" t="s">
        <v>61</v>
      </c>
      <c r="D26">
        <v>375</v>
      </c>
      <c r="E26">
        <v>24</v>
      </c>
    </row>
  </sheetData>
  <conditionalFormatting sqref="D3:D1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F1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F2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4:V16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workbookViewId="0">
      <selection activeCell="L21" sqref="L21"/>
    </sheetView>
  </sheetViews>
  <sheetFormatPr defaultRowHeight="15" x14ac:dyDescent="0.25"/>
  <cols>
    <col min="13" max="13" width="11" bestFit="1" customWidth="1"/>
  </cols>
  <sheetData>
    <row r="1" spans="1:18" ht="15.75" thickBot="1" x14ac:dyDescent="0.3">
      <c r="A1" s="3" t="s">
        <v>12</v>
      </c>
      <c r="B1" s="3" t="s">
        <v>11</v>
      </c>
      <c r="C1" s="3" t="s">
        <v>47</v>
      </c>
      <c r="D1" s="3" t="s">
        <v>1</v>
      </c>
      <c r="E1" s="3" t="s">
        <v>13</v>
      </c>
      <c r="F1" s="3" t="s">
        <v>95</v>
      </c>
    </row>
    <row r="2" spans="1:18" x14ac:dyDescent="0.25">
      <c r="A2" s="16"/>
      <c r="B2" s="16"/>
      <c r="C2" s="16"/>
      <c r="D2" s="16"/>
      <c r="E2" s="16"/>
      <c r="F2" s="26"/>
    </row>
    <row r="3" spans="1:18" ht="15.75" thickBot="1" x14ac:dyDescent="0.3">
      <c r="A3" s="5" t="s">
        <v>0</v>
      </c>
      <c r="B3" s="6" t="s">
        <v>4</v>
      </c>
      <c r="C3" s="21" t="s">
        <v>61</v>
      </c>
      <c r="D3" s="6">
        <v>4</v>
      </c>
      <c r="E3" s="6">
        <v>1</v>
      </c>
      <c r="F3" s="13"/>
      <c r="G3" s="24">
        <v>0.9</v>
      </c>
      <c r="H3" s="24">
        <v>0.95</v>
      </c>
      <c r="I3" s="24">
        <v>0.98</v>
      </c>
      <c r="J3" s="24">
        <v>0.99</v>
      </c>
      <c r="K3" s="25">
        <v>0.995</v>
      </c>
      <c r="L3" s="24">
        <v>0.99900000000000011</v>
      </c>
      <c r="M3" s="24">
        <v>0.9</v>
      </c>
      <c r="N3" s="24">
        <v>0.95</v>
      </c>
      <c r="O3" s="24">
        <v>0.98</v>
      </c>
      <c r="P3" s="24">
        <v>0.99</v>
      </c>
      <c r="Q3" s="25">
        <v>0.995</v>
      </c>
      <c r="R3" s="24">
        <v>0.99900000000000011</v>
      </c>
    </row>
    <row r="4" spans="1:18" ht="15.75" thickTop="1" x14ac:dyDescent="0.25">
      <c r="B4" t="s">
        <v>5</v>
      </c>
      <c r="C4">
        <v>5</v>
      </c>
      <c r="D4">
        <v>16</v>
      </c>
      <c r="E4">
        <v>15</v>
      </c>
      <c r="F4">
        <v>31</v>
      </c>
      <c r="G4">
        <v>24</v>
      </c>
      <c r="H4">
        <v>25</v>
      </c>
      <c r="I4">
        <v>26</v>
      </c>
      <c r="J4">
        <v>26</v>
      </c>
      <c r="K4">
        <v>26</v>
      </c>
      <c r="L4">
        <v>31</v>
      </c>
      <c r="M4">
        <f>G4/$F4</f>
        <v>0.77419354838709675</v>
      </c>
      <c r="N4">
        <f t="shared" ref="N4:R4" si="0">H4/$F4</f>
        <v>0.80645161290322576</v>
      </c>
      <c r="O4">
        <f t="shared" si="0"/>
        <v>0.83870967741935487</v>
      </c>
      <c r="P4">
        <f t="shared" si="0"/>
        <v>0.83870967741935487</v>
      </c>
      <c r="Q4">
        <f t="shared" si="0"/>
        <v>0.83870967741935487</v>
      </c>
      <c r="R4">
        <f t="shared" si="0"/>
        <v>1</v>
      </c>
    </row>
    <row r="5" spans="1:18" x14ac:dyDescent="0.25">
      <c r="B5" t="s">
        <v>6</v>
      </c>
      <c r="C5">
        <v>6</v>
      </c>
      <c r="D5">
        <v>37</v>
      </c>
      <c r="E5">
        <v>68</v>
      </c>
      <c r="F5">
        <v>74</v>
      </c>
      <c r="G5">
        <v>20</v>
      </c>
      <c r="H5">
        <v>31</v>
      </c>
      <c r="I5">
        <v>64</v>
      </c>
      <c r="J5">
        <v>65</v>
      </c>
      <c r="K5">
        <v>66</v>
      </c>
      <c r="L5">
        <v>69</v>
      </c>
      <c r="M5">
        <f t="shared" ref="M5:M16" si="1">G5/$F5</f>
        <v>0.27027027027027029</v>
      </c>
      <c r="N5">
        <f t="shared" ref="N5:N16" si="2">H5/$F5</f>
        <v>0.41891891891891891</v>
      </c>
      <c r="O5">
        <f t="shared" ref="O5:O16" si="3">I5/$F5</f>
        <v>0.86486486486486491</v>
      </c>
      <c r="P5">
        <f t="shared" ref="P5:P16" si="4">J5/$F5</f>
        <v>0.8783783783783784</v>
      </c>
      <c r="Q5">
        <f t="shared" ref="Q5:Q16" si="5">K5/$F5</f>
        <v>0.89189189189189189</v>
      </c>
      <c r="R5">
        <f t="shared" ref="R5:R16" si="6">L5/$F5</f>
        <v>0.93243243243243246</v>
      </c>
    </row>
    <row r="6" spans="1:18" x14ac:dyDescent="0.25">
      <c r="B6" t="s">
        <v>7</v>
      </c>
      <c r="C6">
        <v>7</v>
      </c>
      <c r="D6">
        <v>39</v>
      </c>
      <c r="E6">
        <v>30</v>
      </c>
    </row>
    <row r="7" spans="1:18" x14ac:dyDescent="0.25">
      <c r="B7" t="s">
        <v>8</v>
      </c>
      <c r="C7">
        <v>8</v>
      </c>
      <c r="D7">
        <v>132</v>
      </c>
      <c r="E7">
        <v>92</v>
      </c>
      <c r="F7">
        <v>119</v>
      </c>
      <c r="G7">
        <v>78</v>
      </c>
      <c r="H7">
        <v>103</v>
      </c>
      <c r="I7">
        <v>114</v>
      </c>
      <c r="J7">
        <v>116</v>
      </c>
      <c r="K7">
        <v>116</v>
      </c>
      <c r="L7">
        <v>117</v>
      </c>
      <c r="M7">
        <f t="shared" si="1"/>
        <v>0.65546218487394958</v>
      </c>
      <c r="N7">
        <f t="shared" si="2"/>
        <v>0.86554621848739499</v>
      </c>
      <c r="O7">
        <f t="shared" si="3"/>
        <v>0.95798319327731096</v>
      </c>
      <c r="P7">
        <f t="shared" si="4"/>
        <v>0.97478991596638653</v>
      </c>
      <c r="Q7">
        <f t="shared" si="5"/>
        <v>0.97478991596638653</v>
      </c>
      <c r="R7">
        <f t="shared" si="6"/>
        <v>0.98319327731092432</v>
      </c>
    </row>
    <row r="8" spans="1:18" x14ac:dyDescent="0.25">
      <c r="B8" t="s">
        <v>17</v>
      </c>
      <c r="C8">
        <v>9</v>
      </c>
      <c r="D8">
        <v>4876</v>
      </c>
      <c r="E8">
        <v>2355</v>
      </c>
      <c r="F8">
        <v>5900</v>
      </c>
      <c r="G8">
        <v>1822</v>
      </c>
      <c r="H8">
        <v>4225</v>
      </c>
      <c r="I8">
        <v>5606</v>
      </c>
      <c r="J8">
        <v>5810</v>
      </c>
      <c r="K8">
        <v>5866</v>
      </c>
      <c r="L8">
        <v>5898</v>
      </c>
      <c r="M8">
        <f t="shared" si="1"/>
        <v>0.30881355932203391</v>
      </c>
      <c r="N8">
        <f t="shared" si="2"/>
        <v>0.71610169491525422</v>
      </c>
      <c r="O8">
        <f t="shared" si="3"/>
        <v>0.95016949152542374</v>
      </c>
      <c r="P8">
        <f t="shared" si="4"/>
        <v>0.98474576271186443</v>
      </c>
      <c r="Q8">
        <f t="shared" si="5"/>
        <v>0.9942372881355932</v>
      </c>
      <c r="R8">
        <f t="shared" si="6"/>
        <v>0.99966101694915255</v>
      </c>
    </row>
    <row r="9" spans="1:18" x14ac:dyDescent="0.25">
      <c r="B9" t="s">
        <v>9</v>
      </c>
      <c r="C9">
        <v>0</v>
      </c>
      <c r="D9">
        <v>907</v>
      </c>
      <c r="E9">
        <v>55</v>
      </c>
      <c r="F9">
        <v>61</v>
      </c>
      <c r="G9">
        <v>53</v>
      </c>
      <c r="H9">
        <v>55</v>
      </c>
      <c r="I9">
        <v>56</v>
      </c>
      <c r="J9">
        <v>56</v>
      </c>
      <c r="K9">
        <v>56</v>
      </c>
      <c r="L9">
        <v>59</v>
      </c>
      <c r="M9">
        <f t="shared" si="1"/>
        <v>0.86885245901639341</v>
      </c>
      <c r="N9">
        <f t="shared" si="2"/>
        <v>0.90163934426229508</v>
      </c>
      <c r="O9">
        <f t="shared" si="3"/>
        <v>0.91803278688524592</v>
      </c>
      <c r="P9">
        <f t="shared" si="4"/>
        <v>0.91803278688524592</v>
      </c>
      <c r="Q9">
        <f t="shared" si="5"/>
        <v>0.91803278688524592</v>
      </c>
      <c r="R9">
        <f t="shared" si="6"/>
        <v>0.96721311475409832</v>
      </c>
    </row>
    <row r="10" spans="1:18" x14ac:dyDescent="0.25">
      <c r="B10" t="s">
        <v>24</v>
      </c>
      <c r="C10">
        <v>14</v>
      </c>
      <c r="D10">
        <v>390</v>
      </c>
      <c r="E10">
        <v>694</v>
      </c>
      <c r="F10">
        <v>729</v>
      </c>
      <c r="G10">
        <v>516</v>
      </c>
      <c r="H10">
        <v>723</v>
      </c>
      <c r="I10">
        <v>724</v>
      </c>
      <c r="J10">
        <v>724</v>
      </c>
      <c r="K10">
        <v>724</v>
      </c>
      <c r="L10">
        <v>724</v>
      </c>
      <c r="M10">
        <f t="shared" si="1"/>
        <v>0.70781893004115226</v>
      </c>
      <c r="N10">
        <f t="shared" si="2"/>
        <v>0.99176954732510292</v>
      </c>
      <c r="O10">
        <f t="shared" si="3"/>
        <v>0.99314128943758573</v>
      </c>
      <c r="P10">
        <f t="shared" si="4"/>
        <v>0.99314128943758573</v>
      </c>
      <c r="Q10">
        <f t="shared" si="5"/>
        <v>0.99314128943758573</v>
      </c>
      <c r="R10">
        <f t="shared" si="6"/>
        <v>0.99314128943758573</v>
      </c>
    </row>
    <row r="11" spans="1:18" ht="15.75" thickBot="1" x14ac:dyDescent="0.3">
      <c r="A11" s="5" t="s">
        <v>10</v>
      </c>
      <c r="B11" s="6" t="s">
        <v>14</v>
      </c>
      <c r="C11" s="6">
        <v>17</v>
      </c>
      <c r="D11" s="6">
        <v>2998</v>
      </c>
      <c r="E11" s="6">
        <v>1379</v>
      </c>
      <c r="F11" s="17">
        <v>2567</v>
      </c>
      <c r="G11" s="17">
        <v>2128</v>
      </c>
      <c r="H11" s="17">
        <v>2423</v>
      </c>
      <c r="I11" s="17">
        <v>2561</v>
      </c>
      <c r="J11" s="17">
        <v>2564</v>
      </c>
      <c r="K11" s="17">
        <v>2565</v>
      </c>
      <c r="L11" s="17">
        <v>2567</v>
      </c>
      <c r="M11">
        <f t="shared" si="1"/>
        <v>0.82898324892871056</v>
      </c>
      <c r="N11">
        <f t="shared" si="2"/>
        <v>0.94390338917023764</v>
      </c>
      <c r="O11">
        <f t="shared" si="3"/>
        <v>0.99766264121542658</v>
      </c>
      <c r="P11">
        <f t="shared" si="4"/>
        <v>0.99883132060771329</v>
      </c>
      <c r="Q11">
        <f t="shared" si="5"/>
        <v>0.99922088040514223</v>
      </c>
      <c r="R11">
        <f t="shared" si="6"/>
        <v>1</v>
      </c>
    </row>
    <row r="12" spans="1:18" ht="15.75" thickTop="1" x14ac:dyDescent="0.25">
      <c r="B12" t="s">
        <v>15</v>
      </c>
      <c r="C12" s="17">
        <v>18</v>
      </c>
      <c r="D12">
        <v>1255</v>
      </c>
      <c r="E12">
        <v>868</v>
      </c>
      <c r="F12" s="17">
        <v>1975</v>
      </c>
      <c r="G12" s="17">
        <v>192</v>
      </c>
      <c r="H12" s="17">
        <v>256</v>
      </c>
      <c r="I12" s="17">
        <v>986</v>
      </c>
      <c r="J12" s="17">
        <v>1384</v>
      </c>
      <c r="K12" s="17">
        <v>1962</v>
      </c>
      <c r="L12" s="17">
        <v>1975</v>
      </c>
      <c r="M12">
        <f t="shared" si="1"/>
        <v>9.7215189873417721E-2</v>
      </c>
      <c r="N12">
        <f t="shared" si="2"/>
        <v>0.12962025316455697</v>
      </c>
      <c r="O12">
        <f t="shared" si="3"/>
        <v>0.49924050632911393</v>
      </c>
      <c r="P12">
        <f t="shared" si="4"/>
        <v>0.70075949367088608</v>
      </c>
      <c r="Q12">
        <f t="shared" si="5"/>
        <v>0.99341772151898733</v>
      </c>
      <c r="R12">
        <f t="shared" si="6"/>
        <v>1</v>
      </c>
    </row>
    <row r="13" spans="1:18" x14ac:dyDescent="0.25">
      <c r="B13" t="s">
        <v>16</v>
      </c>
      <c r="C13">
        <v>22</v>
      </c>
      <c r="D13">
        <v>6058</v>
      </c>
      <c r="E13">
        <v>3891</v>
      </c>
      <c r="F13" s="17">
        <v>6328</v>
      </c>
      <c r="G13" s="17">
        <v>1353</v>
      </c>
      <c r="H13" s="17">
        <v>3393</v>
      </c>
      <c r="I13" s="17">
        <v>5868</v>
      </c>
      <c r="J13" s="17">
        <v>6188</v>
      </c>
      <c r="K13" s="17">
        <v>6277</v>
      </c>
      <c r="L13" s="17">
        <v>6324</v>
      </c>
      <c r="M13">
        <f t="shared" si="1"/>
        <v>0.21381163084702909</v>
      </c>
      <c r="N13">
        <f t="shared" si="2"/>
        <v>0.53618836915297097</v>
      </c>
      <c r="O13">
        <f t="shared" si="3"/>
        <v>0.927307206068268</v>
      </c>
      <c r="P13">
        <f t="shared" si="4"/>
        <v>0.97787610619469023</v>
      </c>
      <c r="Q13">
        <f t="shared" si="5"/>
        <v>0.99194058154235143</v>
      </c>
      <c r="R13">
        <f t="shared" si="6"/>
        <v>0.99936788874841975</v>
      </c>
    </row>
    <row r="14" spans="1:18" ht="15.75" thickBot="1" x14ac:dyDescent="0.3">
      <c r="A14" s="5" t="s">
        <v>20</v>
      </c>
      <c r="B14" s="6" t="s">
        <v>21</v>
      </c>
      <c r="C14" s="6">
        <v>19</v>
      </c>
      <c r="D14" s="6">
        <v>4888</v>
      </c>
      <c r="E14" s="6">
        <v>1384</v>
      </c>
      <c r="F14" s="17">
        <v>3056</v>
      </c>
      <c r="G14" s="17">
        <v>2037</v>
      </c>
      <c r="H14" s="17">
        <v>2583</v>
      </c>
      <c r="I14" s="17">
        <v>2976</v>
      </c>
      <c r="J14" s="17">
        <v>3037</v>
      </c>
      <c r="K14" s="17">
        <v>3051</v>
      </c>
      <c r="L14" s="17">
        <v>3056</v>
      </c>
      <c r="M14">
        <f t="shared" si="1"/>
        <v>0.66655759162303663</v>
      </c>
      <c r="N14">
        <f t="shared" si="2"/>
        <v>0.8452225130890052</v>
      </c>
      <c r="O14">
        <f t="shared" si="3"/>
        <v>0.97382198952879584</v>
      </c>
      <c r="P14">
        <f t="shared" si="4"/>
        <v>0.99378272251308897</v>
      </c>
      <c r="Q14">
        <f t="shared" si="5"/>
        <v>0.99836387434554974</v>
      </c>
      <c r="R14">
        <f t="shared" si="6"/>
        <v>1</v>
      </c>
    </row>
    <row r="15" spans="1:18" ht="15.75" thickTop="1" x14ac:dyDescent="0.25">
      <c r="B15" t="s">
        <v>22</v>
      </c>
      <c r="C15">
        <v>20</v>
      </c>
      <c r="D15">
        <v>1282</v>
      </c>
      <c r="E15">
        <v>332</v>
      </c>
      <c r="F15" s="17">
        <v>1041</v>
      </c>
      <c r="G15" s="17">
        <v>767</v>
      </c>
      <c r="H15" s="17">
        <v>999</v>
      </c>
      <c r="I15" s="17">
        <v>1018</v>
      </c>
      <c r="J15" s="17">
        <v>1037</v>
      </c>
      <c r="K15" s="17">
        <v>1040</v>
      </c>
      <c r="L15" s="17">
        <v>1041</v>
      </c>
      <c r="M15">
        <f t="shared" si="1"/>
        <v>0.73679154658981749</v>
      </c>
      <c r="N15">
        <f t="shared" si="2"/>
        <v>0.95965417867435154</v>
      </c>
      <c r="O15">
        <f t="shared" si="3"/>
        <v>0.97790585975024014</v>
      </c>
      <c r="P15">
        <f t="shared" si="4"/>
        <v>0.99615754082612873</v>
      </c>
      <c r="Q15">
        <f t="shared" si="5"/>
        <v>0.99903938520653213</v>
      </c>
      <c r="R15">
        <f t="shared" si="6"/>
        <v>1</v>
      </c>
    </row>
    <row r="16" spans="1:18" x14ac:dyDescent="0.25">
      <c r="B16" t="s">
        <v>23</v>
      </c>
      <c r="C16">
        <v>21</v>
      </c>
      <c r="D16">
        <v>2596</v>
      </c>
      <c r="E16">
        <v>1470</v>
      </c>
      <c r="F16" s="17">
        <v>1820</v>
      </c>
      <c r="G16" s="17">
        <v>25</v>
      </c>
      <c r="H16" s="17">
        <v>795</v>
      </c>
      <c r="I16" s="17">
        <v>1620</v>
      </c>
      <c r="J16" s="17">
        <v>1734</v>
      </c>
      <c r="K16" s="17">
        <v>1808</v>
      </c>
      <c r="L16" s="17">
        <v>1816</v>
      </c>
      <c r="M16">
        <f t="shared" si="1"/>
        <v>1.3736263736263736E-2</v>
      </c>
      <c r="N16">
        <f t="shared" si="2"/>
        <v>0.43681318681318682</v>
      </c>
      <c r="O16">
        <f t="shared" si="3"/>
        <v>0.89010989010989006</v>
      </c>
      <c r="P16">
        <f t="shared" si="4"/>
        <v>0.95274725274725269</v>
      </c>
      <c r="Q16">
        <f t="shared" si="5"/>
        <v>0.99340659340659343</v>
      </c>
      <c r="R16">
        <f t="shared" si="6"/>
        <v>0.99780219780219781</v>
      </c>
    </row>
    <row r="17" spans="1:6" ht="15.75" thickBot="1" x14ac:dyDescent="0.3">
      <c r="A17" s="5" t="s">
        <v>93</v>
      </c>
      <c r="B17" s="11" t="s">
        <v>38</v>
      </c>
      <c r="C17" s="19" t="s">
        <v>61</v>
      </c>
      <c r="D17" s="6">
        <v>907</v>
      </c>
      <c r="E17" s="6">
        <v>55</v>
      </c>
      <c r="F17" s="13"/>
    </row>
    <row r="18" spans="1:6" ht="15.75" thickTop="1" x14ac:dyDescent="0.25">
      <c r="B18" s="12" t="s">
        <v>39</v>
      </c>
      <c r="C18" s="20" t="s">
        <v>61</v>
      </c>
      <c r="D18">
        <v>2287</v>
      </c>
      <c r="E18">
        <v>175</v>
      </c>
    </row>
    <row r="19" spans="1:6" x14ac:dyDescent="0.25">
      <c r="B19" s="12" t="s">
        <v>40</v>
      </c>
      <c r="C19" s="20" t="s">
        <v>61</v>
      </c>
      <c r="D19">
        <v>1304</v>
      </c>
      <c r="E19">
        <v>94</v>
      </c>
    </row>
    <row r="20" spans="1:6" x14ac:dyDescent="0.25">
      <c r="B20" s="12" t="s">
        <v>36</v>
      </c>
      <c r="C20" s="20" t="s">
        <v>61</v>
      </c>
      <c r="D20">
        <v>375</v>
      </c>
      <c r="E20">
        <v>24</v>
      </c>
    </row>
    <row r="21" spans="1:6" x14ac:dyDescent="0.25">
      <c r="B21" s="12" t="s">
        <v>34</v>
      </c>
      <c r="C21" s="20" t="s">
        <v>61</v>
      </c>
      <c r="D21">
        <v>1605</v>
      </c>
      <c r="E21">
        <v>115</v>
      </c>
    </row>
    <row r="22" spans="1:6" x14ac:dyDescent="0.25">
      <c r="B22" s="12" t="s">
        <v>35</v>
      </c>
      <c r="C22" s="20" t="s">
        <v>61</v>
      </c>
      <c r="D22">
        <v>1545</v>
      </c>
      <c r="E22">
        <v>186</v>
      </c>
    </row>
    <row r="23" spans="1:6" x14ac:dyDescent="0.25">
      <c r="B23" s="12">
        <v>193</v>
      </c>
      <c r="C23" s="20" t="s">
        <v>61</v>
      </c>
      <c r="D23">
        <v>1391</v>
      </c>
      <c r="E23">
        <v>65</v>
      </c>
    </row>
    <row r="24" spans="1:6" x14ac:dyDescent="0.25">
      <c r="B24" s="12">
        <v>162</v>
      </c>
      <c r="C24" s="20" t="s">
        <v>61</v>
      </c>
      <c r="D24">
        <v>1077</v>
      </c>
      <c r="E24">
        <v>73</v>
      </c>
    </row>
    <row r="25" spans="1:6" x14ac:dyDescent="0.25">
      <c r="B25" s="12">
        <v>213</v>
      </c>
      <c r="C25" s="20" t="s">
        <v>61</v>
      </c>
      <c r="D25">
        <v>844</v>
      </c>
      <c r="E25">
        <v>67</v>
      </c>
    </row>
    <row r="26" spans="1:6" x14ac:dyDescent="0.25">
      <c r="B26" s="12" t="s">
        <v>36</v>
      </c>
      <c r="C26" s="20" t="s">
        <v>61</v>
      </c>
      <c r="D26">
        <v>375</v>
      </c>
      <c r="E26">
        <v>24</v>
      </c>
    </row>
  </sheetData>
  <conditionalFormatting sqref="D3:D1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F16 G4:L5 G7:L1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F26 G4:L5 G7:L1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:R16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6"/>
  <sheetViews>
    <sheetView topLeftCell="D1" workbookViewId="0">
      <selection activeCell="V8" sqref="A8:XFD8"/>
    </sheetView>
  </sheetViews>
  <sheetFormatPr defaultRowHeight="15" x14ac:dyDescent="0.25"/>
  <cols>
    <col min="11" max="11" width="11" bestFit="1" customWidth="1"/>
  </cols>
  <sheetData>
    <row r="1" spans="1:22" ht="15.75" thickBot="1" x14ac:dyDescent="0.3">
      <c r="A1" s="3" t="s">
        <v>12</v>
      </c>
      <c r="B1" s="3" t="s">
        <v>11</v>
      </c>
      <c r="C1" s="3" t="s">
        <v>47</v>
      </c>
      <c r="D1" s="3" t="s">
        <v>1</v>
      </c>
      <c r="E1" s="3" t="s">
        <v>13</v>
      </c>
      <c r="F1" s="3" t="s">
        <v>95</v>
      </c>
    </row>
    <row r="2" spans="1:22" x14ac:dyDescent="0.25">
      <c r="A2" s="16"/>
      <c r="B2" s="16"/>
      <c r="C2" s="16"/>
      <c r="D2" s="16"/>
      <c r="E2" s="16"/>
      <c r="F2" s="26"/>
    </row>
    <row r="3" spans="1:22" ht="15.75" thickBot="1" x14ac:dyDescent="0.3">
      <c r="A3" s="5" t="s">
        <v>0</v>
      </c>
      <c r="B3" s="6" t="s">
        <v>4</v>
      </c>
      <c r="C3" s="21" t="s">
        <v>61</v>
      </c>
      <c r="D3" s="6">
        <v>4</v>
      </c>
      <c r="E3" s="6">
        <v>1</v>
      </c>
      <c r="F3" s="13"/>
      <c r="G3" s="24">
        <v>0.99</v>
      </c>
      <c r="H3" s="24" t="s">
        <v>101</v>
      </c>
      <c r="I3" s="24" t="s">
        <v>100</v>
      </c>
      <c r="J3" s="24" t="s">
        <v>99</v>
      </c>
      <c r="K3" s="24">
        <v>0.99</v>
      </c>
      <c r="L3" s="24" t="s">
        <v>101</v>
      </c>
      <c r="M3" s="24" t="s">
        <v>100</v>
      </c>
      <c r="N3" s="24" t="s">
        <v>99</v>
      </c>
      <c r="O3" s="24">
        <v>0.9</v>
      </c>
      <c r="P3" s="24" t="s">
        <v>102</v>
      </c>
      <c r="Q3" s="24" t="s">
        <v>103</v>
      </c>
      <c r="R3" s="24" t="s">
        <v>104</v>
      </c>
      <c r="S3" s="24">
        <v>0.9</v>
      </c>
      <c r="T3" s="24" t="s">
        <v>102</v>
      </c>
      <c r="U3" s="24" t="s">
        <v>103</v>
      </c>
      <c r="V3" s="24" t="s">
        <v>104</v>
      </c>
    </row>
    <row r="4" spans="1:22" ht="15.75" thickTop="1" x14ac:dyDescent="0.25">
      <c r="B4" t="s">
        <v>5</v>
      </c>
      <c r="C4">
        <v>5</v>
      </c>
      <c r="D4">
        <v>16</v>
      </c>
      <c r="E4">
        <v>15</v>
      </c>
      <c r="F4">
        <v>31</v>
      </c>
      <c r="G4">
        <v>26</v>
      </c>
      <c r="H4">
        <v>11</v>
      </c>
      <c r="I4">
        <v>18</v>
      </c>
      <c r="J4">
        <v>19</v>
      </c>
      <c r="K4">
        <f>G4/$F4</f>
        <v>0.83870967741935487</v>
      </c>
      <c r="L4">
        <f t="shared" ref="L4:N16" si="0">H4/$F4</f>
        <v>0.35483870967741937</v>
      </c>
      <c r="M4">
        <f t="shared" si="0"/>
        <v>0.58064516129032262</v>
      </c>
      <c r="N4">
        <f t="shared" si="0"/>
        <v>0.61290322580645162</v>
      </c>
      <c r="O4">
        <v>24</v>
      </c>
      <c r="P4">
        <v>9</v>
      </c>
      <c r="Q4">
        <v>16</v>
      </c>
      <c r="R4">
        <v>17</v>
      </c>
      <c r="S4">
        <f>O4/$F4</f>
        <v>0.77419354838709675</v>
      </c>
      <c r="T4">
        <f t="shared" ref="T4:T5" si="1">P4/$F4</f>
        <v>0.29032258064516131</v>
      </c>
      <c r="U4">
        <f t="shared" ref="U4:U5" si="2">Q4/$F4</f>
        <v>0.5161290322580645</v>
      </c>
      <c r="V4">
        <f t="shared" ref="V4:V5" si="3">R4/$F4</f>
        <v>0.54838709677419351</v>
      </c>
    </row>
    <row r="5" spans="1:22" x14ac:dyDescent="0.25">
      <c r="B5" t="s">
        <v>6</v>
      </c>
      <c r="C5">
        <v>6</v>
      </c>
      <c r="D5">
        <v>37</v>
      </c>
      <c r="E5">
        <v>68</v>
      </c>
      <c r="F5">
        <v>74</v>
      </c>
      <c r="G5">
        <v>65</v>
      </c>
      <c r="H5">
        <v>24</v>
      </c>
      <c r="I5">
        <v>27</v>
      </c>
      <c r="J5">
        <v>31</v>
      </c>
      <c r="K5">
        <f t="shared" ref="K5:K16" si="4">G5/$F5</f>
        <v>0.8783783783783784</v>
      </c>
      <c r="L5">
        <f t="shared" si="0"/>
        <v>0.32432432432432434</v>
      </c>
      <c r="M5">
        <f t="shared" si="0"/>
        <v>0.36486486486486486</v>
      </c>
      <c r="N5">
        <f t="shared" si="0"/>
        <v>0.41891891891891891</v>
      </c>
      <c r="O5">
        <v>20</v>
      </c>
      <c r="P5">
        <v>11</v>
      </c>
      <c r="Q5">
        <v>12</v>
      </c>
      <c r="R5">
        <v>14</v>
      </c>
      <c r="S5">
        <f t="shared" ref="S5" si="5">O5/$F5</f>
        <v>0.27027027027027029</v>
      </c>
      <c r="T5">
        <f t="shared" si="1"/>
        <v>0.14864864864864866</v>
      </c>
      <c r="U5">
        <f t="shared" si="2"/>
        <v>0.16216216216216217</v>
      </c>
      <c r="V5">
        <f t="shared" si="3"/>
        <v>0.1891891891891892</v>
      </c>
    </row>
    <row r="6" spans="1:22" x14ac:dyDescent="0.25">
      <c r="B6" t="s">
        <v>7</v>
      </c>
      <c r="C6">
        <v>7</v>
      </c>
      <c r="D6">
        <v>39</v>
      </c>
      <c r="E6">
        <v>30</v>
      </c>
    </row>
    <row r="7" spans="1:22" x14ac:dyDescent="0.25">
      <c r="B7" t="s">
        <v>8</v>
      </c>
      <c r="C7">
        <v>8</v>
      </c>
      <c r="D7">
        <v>132</v>
      </c>
      <c r="E7">
        <v>92</v>
      </c>
      <c r="F7">
        <v>119</v>
      </c>
      <c r="G7">
        <v>116</v>
      </c>
      <c r="H7">
        <v>53</v>
      </c>
      <c r="I7">
        <v>67</v>
      </c>
      <c r="J7">
        <v>76</v>
      </c>
      <c r="K7">
        <f t="shared" si="4"/>
        <v>0.97478991596638653</v>
      </c>
      <c r="L7">
        <f t="shared" si="0"/>
        <v>0.44537815126050423</v>
      </c>
      <c r="M7">
        <f t="shared" si="0"/>
        <v>0.56302521008403361</v>
      </c>
      <c r="N7">
        <f t="shared" si="0"/>
        <v>0.6386554621848739</v>
      </c>
      <c r="O7">
        <v>78</v>
      </c>
      <c r="P7">
        <v>28</v>
      </c>
      <c r="Q7">
        <v>35</v>
      </c>
      <c r="R7">
        <v>40</v>
      </c>
      <c r="S7">
        <f t="shared" ref="S7:S16" si="6">O7/$F7</f>
        <v>0.65546218487394958</v>
      </c>
      <c r="T7">
        <f t="shared" ref="T7:T16" si="7">P7/$F7</f>
        <v>0.23529411764705882</v>
      </c>
      <c r="U7">
        <f t="shared" ref="U7:U16" si="8">Q7/$F7</f>
        <v>0.29411764705882354</v>
      </c>
      <c r="V7">
        <f t="shared" ref="V7:V16" si="9">R7/$F7</f>
        <v>0.33613445378151263</v>
      </c>
    </row>
    <row r="8" spans="1:22" x14ac:dyDescent="0.25">
      <c r="B8" t="s">
        <v>17</v>
      </c>
      <c r="C8">
        <v>9</v>
      </c>
      <c r="D8">
        <v>4876</v>
      </c>
      <c r="E8">
        <v>2355</v>
      </c>
      <c r="F8">
        <v>5900</v>
      </c>
      <c r="G8">
        <v>5810</v>
      </c>
      <c r="H8">
        <v>4149</v>
      </c>
      <c r="I8">
        <v>4631</v>
      </c>
      <c r="J8">
        <v>4760</v>
      </c>
      <c r="K8">
        <f t="shared" si="4"/>
        <v>0.98474576271186443</v>
      </c>
      <c r="L8">
        <f t="shared" si="0"/>
        <v>0.70322033898305081</v>
      </c>
      <c r="M8">
        <f t="shared" si="0"/>
        <v>0.78491525423728814</v>
      </c>
      <c r="N8">
        <f t="shared" si="0"/>
        <v>0.8067796610169492</v>
      </c>
      <c r="O8">
        <v>1822</v>
      </c>
      <c r="P8">
        <v>1670</v>
      </c>
      <c r="Q8">
        <v>1789</v>
      </c>
      <c r="R8">
        <v>1799</v>
      </c>
      <c r="S8">
        <f t="shared" si="6"/>
        <v>0.30881355932203391</v>
      </c>
      <c r="T8">
        <f t="shared" si="7"/>
        <v>0.2830508474576271</v>
      </c>
      <c r="U8">
        <f t="shared" si="8"/>
        <v>0.30322033898305084</v>
      </c>
      <c r="V8">
        <f t="shared" si="9"/>
        <v>0.30491525423728816</v>
      </c>
    </row>
    <row r="9" spans="1:22" x14ac:dyDescent="0.25">
      <c r="B9" t="s">
        <v>9</v>
      </c>
      <c r="C9">
        <v>0</v>
      </c>
      <c r="D9">
        <v>907</v>
      </c>
      <c r="E9">
        <v>55</v>
      </c>
      <c r="F9">
        <v>61</v>
      </c>
      <c r="G9">
        <v>56</v>
      </c>
      <c r="H9">
        <v>10</v>
      </c>
      <c r="I9">
        <v>19</v>
      </c>
      <c r="J9">
        <v>25</v>
      </c>
      <c r="K9">
        <f t="shared" si="4"/>
        <v>0.91803278688524592</v>
      </c>
      <c r="L9">
        <f t="shared" si="0"/>
        <v>0.16393442622950818</v>
      </c>
      <c r="M9">
        <f t="shared" si="0"/>
        <v>0.31147540983606559</v>
      </c>
      <c r="N9">
        <f t="shared" si="0"/>
        <v>0.4098360655737705</v>
      </c>
      <c r="O9">
        <v>53</v>
      </c>
      <c r="P9">
        <v>9</v>
      </c>
      <c r="Q9">
        <v>18</v>
      </c>
      <c r="R9">
        <v>24</v>
      </c>
      <c r="S9">
        <f t="shared" si="6"/>
        <v>0.86885245901639341</v>
      </c>
      <c r="T9">
        <f t="shared" si="7"/>
        <v>0.14754098360655737</v>
      </c>
      <c r="U9">
        <f t="shared" si="8"/>
        <v>0.29508196721311475</v>
      </c>
      <c r="V9">
        <f t="shared" si="9"/>
        <v>0.39344262295081966</v>
      </c>
    </row>
    <row r="10" spans="1:22" x14ac:dyDescent="0.25">
      <c r="B10" t="s">
        <v>24</v>
      </c>
      <c r="C10">
        <v>14</v>
      </c>
      <c r="D10">
        <v>390</v>
      </c>
      <c r="E10">
        <v>694</v>
      </c>
      <c r="F10">
        <v>729</v>
      </c>
      <c r="G10">
        <v>724</v>
      </c>
      <c r="H10">
        <v>276</v>
      </c>
      <c r="I10">
        <v>415</v>
      </c>
      <c r="J10">
        <v>444</v>
      </c>
      <c r="K10">
        <f t="shared" si="4"/>
        <v>0.99314128943758573</v>
      </c>
      <c r="L10">
        <f t="shared" si="0"/>
        <v>0.37860082304526749</v>
      </c>
      <c r="M10">
        <f t="shared" si="0"/>
        <v>0.56927297668038412</v>
      </c>
      <c r="N10">
        <f t="shared" si="0"/>
        <v>0.60905349794238683</v>
      </c>
      <c r="O10">
        <v>516</v>
      </c>
      <c r="P10">
        <v>270</v>
      </c>
      <c r="Q10">
        <v>403</v>
      </c>
      <c r="R10">
        <v>417</v>
      </c>
      <c r="S10">
        <f t="shared" si="6"/>
        <v>0.70781893004115226</v>
      </c>
      <c r="T10">
        <f t="shared" si="7"/>
        <v>0.37037037037037035</v>
      </c>
      <c r="U10">
        <f t="shared" si="8"/>
        <v>0.55281207133058985</v>
      </c>
      <c r="V10">
        <f t="shared" si="9"/>
        <v>0.57201646090534974</v>
      </c>
    </row>
    <row r="11" spans="1:22" ht="15.75" thickBot="1" x14ac:dyDescent="0.3">
      <c r="A11" s="5" t="s">
        <v>10</v>
      </c>
      <c r="B11" s="6" t="s">
        <v>14</v>
      </c>
      <c r="C11" s="6">
        <v>17</v>
      </c>
      <c r="D11" s="6">
        <v>2998</v>
      </c>
      <c r="E11" s="6">
        <v>1379</v>
      </c>
      <c r="F11" s="17">
        <v>2567</v>
      </c>
      <c r="G11" s="17">
        <v>2564</v>
      </c>
      <c r="H11" s="17">
        <v>1547</v>
      </c>
      <c r="I11" s="17">
        <v>1871</v>
      </c>
      <c r="J11" s="17">
        <v>1928</v>
      </c>
      <c r="K11">
        <f t="shared" si="4"/>
        <v>0.99883132060771329</v>
      </c>
      <c r="L11">
        <f t="shared" si="0"/>
        <v>0.60264900662251653</v>
      </c>
      <c r="M11">
        <f t="shared" si="0"/>
        <v>0.72886638098948187</v>
      </c>
      <c r="N11">
        <f t="shared" si="0"/>
        <v>0.75107128944292945</v>
      </c>
      <c r="O11" s="17">
        <v>2128</v>
      </c>
      <c r="P11" s="17">
        <v>1515</v>
      </c>
      <c r="Q11" s="17">
        <v>1815</v>
      </c>
      <c r="R11" s="17">
        <v>1855</v>
      </c>
      <c r="S11">
        <f>O11/$F11</f>
        <v>0.82898324892871056</v>
      </c>
      <c r="T11">
        <f>P11/$F11</f>
        <v>0.59018309310479156</v>
      </c>
      <c r="U11">
        <f t="shared" si="8"/>
        <v>0.70705103233346323</v>
      </c>
      <c r="V11">
        <f t="shared" si="9"/>
        <v>0.72263342423061938</v>
      </c>
    </row>
    <row r="12" spans="1:22" ht="15.75" thickTop="1" x14ac:dyDescent="0.25">
      <c r="B12" t="s">
        <v>15</v>
      </c>
      <c r="C12" s="17">
        <v>18</v>
      </c>
      <c r="D12">
        <v>1255</v>
      </c>
      <c r="E12">
        <v>868</v>
      </c>
      <c r="F12" s="17">
        <v>1975</v>
      </c>
      <c r="G12" s="17">
        <v>1384</v>
      </c>
      <c r="H12" s="17">
        <v>1160</v>
      </c>
      <c r="I12" s="17">
        <v>1179</v>
      </c>
      <c r="J12" s="17">
        <v>1196</v>
      </c>
      <c r="K12">
        <f t="shared" si="4"/>
        <v>0.70075949367088608</v>
      </c>
      <c r="L12">
        <f t="shared" si="0"/>
        <v>0.58734177215189876</v>
      </c>
      <c r="M12">
        <f t="shared" si="0"/>
        <v>0.5969620253164557</v>
      </c>
      <c r="N12">
        <f t="shared" si="0"/>
        <v>0.60556962025316452</v>
      </c>
      <c r="O12" s="17">
        <v>192</v>
      </c>
      <c r="P12" s="17">
        <v>191</v>
      </c>
      <c r="Q12" s="17">
        <v>191</v>
      </c>
      <c r="R12" s="17">
        <v>191</v>
      </c>
      <c r="S12">
        <f t="shared" si="6"/>
        <v>9.7215189873417721E-2</v>
      </c>
      <c r="T12">
        <f t="shared" si="7"/>
        <v>9.670886075949367E-2</v>
      </c>
      <c r="U12">
        <f t="shared" si="8"/>
        <v>9.670886075949367E-2</v>
      </c>
      <c r="V12">
        <f t="shared" si="9"/>
        <v>9.670886075949367E-2</v>
      </c>
    </row>
    <row r="13" spans="1:22" x14ac:dyDescent="0.25">
      <c r="B13" t="s">
        <v>16</v>
      </c>
      <c r="C13">
        <v>22</v>
      </c>
      <c r="D13">
        <v>6058</v>
      </c>
      <c r="E13">
        <v>3891</v>
      </c>
      <c r="F13" s="17">
        <v>6328</v>
      </c>
      <c r="G13" s="17">
        <v>6188</v>
      </c>
      <c r="H13" s="17">
        <v>4809</v>
      </c>
      <c r="I13" s="17">
        <v>5091</v>
      </c>
      <c r="J13" s="17">
        <v>5233</v>
      </c>
      <c r="K13">
        <f t="shared" si="4"/>
        <v>0.97787610619469023</v>
      </c>
      <c r="L13">
        <f t="shared" si="0"/>
        <v>0.75995575221238942</v>
      </c>
      <c r="M13">
        <f t="shared" si="0"/>
        <v>0.80451959544879903</v>
      </c>
      <c r="N13">
        <f t="shared" si="0"/>
        <v>0.82695954487989887</v>
      </c>
      <c r="O13" s="17">
        <v>1353</v>
      </c>
      <c r="P13" s="17">
        <v>1247</v>
      </c>
      <c r="Q13" s="17">
        <v>1291</v>
      </c>
      <c r="R13" s="17">
        <v>1308</v>
      </c>
      <c r="S13">
        <f t="shared" si="6"/>
        <v>0.21381163084702909</v>
      </c>
      <c r="T13">
        <f t="shared" si="7"/>
        <v>0.1970606826801517</v>
      </c>
      <c r="U13">
        <f t="shared" si="8"/>
        <v>0.20401390644753475</v>
      </c>
      <c r="V13">
        <f t="shared" si="9"/>
        <v>0.20670037926675094</v>
      </c>
    </row>
    <row r="14" spans="1:22" ht="15.75" thickBot="1" x14ac:dyDescent="0.3">
      <c r="A14" s="5" t="s">
        <v>20</v>
      </c>
      <c r="B14" s="6" t="s">
        <v>21</v>
      </c>
      <c r="C14" s="6">
        <v>19</v>
      </c>
      <c r="D14" s="6">
        <v>4888</v>
      </c>
      <c r="E14" s="6">
        <v>1384</v>
      </c>
      <c r="F14" s="17">
        <v>3056</v>
      </c>
      <c r="G14" s="17">
        <v>3037</v>
      </c>
      <c r="H14" s="17">
        <v>1559</v>
      </c>
      <c r="I14" s="17">
        <v>1937</v>
      </c>
      <c r="J14" s="17">
        <v>2132</v>
      </c>
      <c r="K14">
        <f t="shared" si="4"/>
        <v>0.99378272251308897</v>
      </c>
      <c r="L14">
        <f t="shared" si="0"/>
        <v>0.51014397905759157</v>
      </c>
      <c r="M14">
        <f t="shared" si="0"/>
        <v>0.63383507853403143</v>
      </c>
      <c r="N14">
        <f t="shared" si="0"/>
        <v>0.69764397905759157</v>
      </c>
      <c r="O14" s="17">
        <v>2037</v>
      </c>
      <c r="P14" s="17">
        <v>1150</v>
      </c>
      <c r="Q14" s="17">
        <v>1428</v>
      </c>
      <c r="R14" s="17">
        <v>1566</v>
      </c>
      <c r="S14">
        <f t="shared" si="6"/>
        <v>0.66655759162303663</v>
      </c>
      <c r="T14">
        <f t="shared" si="7"/>
        <v>0.3763089005235602</v>
      </c>
      <c r="U14">
        <f t="shared" si="8"/>
        <v>0.46727748691099474</v>
      </c>
      <c r="V14">
        <f t="shared" si="9"/>
        <v>0.51243455497382195</v>
      </c>
    </row>
    <row r="15" spans="1:22" ht="15.75" thickTop="1" x14ac:dyDescent="0.25">
      <c r="B15" t="s">
        <v>22</v>
      </c>
      <c r="C15">
        <v>20</v>
      </c>
      <c r="D15">
        <v>1282</v>
      </c>
      <c r="E15">
        <v>332</v>
      </c>
      <c r="F15" s="17">
        <v>1041</v>
      </c>
      <c r="G15" s="17">
        <v>1037</v>
      </c>
      <c r="H15" s="17">
        <v>460</v>
      </c>
      <c r="I15" s="17">
        <v>606</v>
      </c>
      <c r="J15" s="17">
        <v>666</v>
      </c>
      <c r="K15">
        <f t="shared" si="4"/>
        <v>0.99615754082612873</v>
      </c>
      <c r="L15">
        <f t="shared" si="0"/>
        <v>0.44188280499519694</v>
      </c>
      <c r="M15">
        <f t="shared" si="0"/>
        <v>0.58213256484149856</v>
      </c>
      <c r="N15">
        <f t="shared" si="0"/>
        <v>0.63976945244956773</v>
      </c>
      <c r="O15" s="17">
        <v>767</v>
      </c>
      <c r="P15" s="17">
        <v>407</v>
      </c>
      <c r="Q15" s="17">
        <v>528</v>
      </c>
      <c r="R15" s="17">
        <v>570</v>
      </c>
      <c r="S15">
        <f t="shared" si="6"/>
        <v>0.73679154658981749</v>
      </c>
      <c r="T15">
        <f t="shared" si="7"/>
        <v>0.39097022094140249</v>
      </c>
      <c r="U15">
        <f t="shared" si="8"/>
        <v>0.50720461095100866</v>
      </c>
      <c r="V15">
        <f t="shared" si="9"/>
        <v>0.54755043227665701</v>
      </c>
    </row>
    <row r="16" spans="1:22" x14ac:dyDescent="0.25">
      <c r="B16" t="s">
        <v>23</v>
      </c>
      <c r="C16">
        <v>21</v>
      </c>
      <c r="D16">
        <v>2596</v>
      </c>
      <c r="E16">
        <v>1470</v>
      </c>
      <c r="F16" s="17">
        <v>1820</v>
      </c>
      <c r="G16" s="17">
        <v>1734</v>
      </c>
      <c r="H16" s="17">
        <v>1300</v>
      </c>
      <c r="I16" s="17">
        <v>1623</v>
      </c>
      <c r="J16" s="17">
        <v>1639</v>
      </c>
      <c r="K16">
        <f t="shared" si="4"/>
        <v>0.95274725274725269</v>
      </c>
      <c r="L16">
        <f t="shared" si="0"/>
        <v>0.7142857142857143</v>
      </c>
      <c r="M16">
        <f t="shared" si="0"/>
        <v>0.89175824175824181</v>
      </c>
      <c r="N16">
        <f t="shared" si="0"/>
        <v>0.90054945054945057</v>
      </c>
      <c r="O16" s="17">
        <v>25</v>
      </c>
      <c r="P16" s="17">
        <v>17</v>
      </c>
      <c r="Q16" s="17">
        <v>23</v>
      </c>
      <c r="R16" s="17">
        <v>23</v>
      </c>
      <c r="S16">
        <f t="shared" si="6"/>
        <v>1.3736263736263736E-2</v>
      </c>
      <c r="T16">
        <f t="shared" si="7"/>
        <v>9.3406593406593404E-3</v>
      </c>
      <c r="U16">
        <f t="shared" si="8"/>
        <v>1.2637362637362638E-2</v>
      </c>
      <c r="V16">
        <f t="shared" si="9"/>
        <v>1.2637362637362638E-2</v>
      </c>
    </row>
    <row r="17" spans="1:6" ht="15.75" thickBot="1" x14ac:dyDescent="0.3">
      <c r="A17" s="5" t="s">
        <v>93</v>
      </c>
      <c r="B17" s="11" t="s">
        <v>38</v>
      </c>
      <c r="C17" s="19" t="s">
        <v>61</v>
      </c>
      <c r="D17" s="6">
        <v>907</v>
      </c>
      <c r="E17" s="6">
        <v>55</v>
      </c>
      <c r="F17" s="13"/>
    </row>
    <row r="18" spans="1:6" ht="15.75" thickTop="1" x14ac:dyDescent="0.25">
      <c r="B18" s="12" t="s">
        <v>39</v>
      </c>
      <c r="C18" s="20" t="s">
        <v>61</v>
      </c>
      <c r="D18">
        <v>2287</v>
      </c>
      <c r="E18">
        <v>175</v>
      </c>
    </row>
    <row r="19" spans="1:6" x14ac:dyDescent="0.25">
      <c r="B19" s="12" t="s">
        <v>40</v>
      </c>
      <c r="C19" s="20" t="s">
        <v>61</v>
      </c>
      <c r="D19">
        <v>1304</v>
      </c>
      <c r="E19">
        <v>94</v>
      </c>
    </row>
    <row r="20" spans="1:6" x14ac:dyDescent="0.25">
      <c r="B20" s="12" t="s">
        <v>36</v>
      </c>
      <c r="C20" s="20" t="s">
        <v>61</v>
      </c>
      <c r="D20">
        <v>375</v>
      </c>
      <c r="E20">
        <v>24</v>
      </c>
    </row>
    <row r="21" spans="1:6" x14ac:dyDescent="0.25">
      <c r="B21" s="12" t="s">
        <v>34</v>
      </c>
      <c r="C21" s="20" t="s">
        <v>61</v>
      </c>
      <c r="D21">
        <v>1605</v>
      </c>
      <c r="E21">
        <v>115</v>
      </c>
    </row>
    <row r="22" spans="1:6" x14ac:dyDescent="0.25">
      <c r="B22" s="12" t="s">
        <v>35</v>
      </c>
      <c r="C22" s="20" t="s">
        <v>61</v>
      </c>
      <c r="D22">
        <v>1545</v>
      </c>
      <c r="E22">
        <v>186</v>
      </c>
    </row>
    <row r="23" spans="1:6" x14ac:dyDescent="0.25">
      <c r="B23" s="12">
        <v>193</v>
      </c>
      <c r="C23" s="20" t="s">
        <v>61</v>
      </c>
      <c r="D23">
        <v>1391</v>
      </c>
      <c r="E23">
        <v>65</v>
      </c>
    </row>
    <row r="24" spans="1:6" x14ac:dyDescent="0.25">
      <c r="B24" s="12">
        <v>162</v>
      </c>
      <c r="C24" s="20" t="s">
        <v>61</v>
      </c>
      <c r="D24">
        <v>1077</v>
      </c>
      <c r="E24">
        <v>73</v>
      </c>
    </row>
    <row r="25" spans="1:6" x14ac:dyDescent="0.25">
      <c r="B25" s="12">
        <v>213</v>
      </c>
      <c r="C25" s="20" t="s">
        <v>61</v>
      </c>
      <c r="D25">
        <v>844</v>
      </c>
      <c r="E25">
        <v>67</v>
      </c>
    </row>
    <row r="26" spans="1:6" x14ac:dyDescent="0.25">
      <c r="B26" s="12" t="s">
        <v>36</v>
      </c>
      <c r="C26" s="20" t="s">
        <v>61</v>
      </c>
      <c r="D26">
        <v>375</v>
      </c>
      <c r="E26">
        <v>24</v>
      </c>
    </row>
  </sheetData>
  <conditionalFormatting sqref="D3:D16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2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F16 G4:J5 G7:J16">
    <cfRule type="colorScale" priority="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F26 G4:J5 G7:J16">
    <cfRule type="colorScale" priority="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:N16">
    <cfRule type="colorScale" priority="6">
      <colorScale>
        <cfvo type="min"/>
        <cfvo type="max"/>
        <color rgb="FFFCFCFF"/>
        <color rgb="FFF8696B"/>
      </colorScale>
    </cfRule>
  </conditionalFormatting>
  <conditionalFormatting sqref="P4:R5 P7:R1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4:R5 P7:R1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:V16 T17:V17">
    <cfRule type="colorScale" priority="3">
      <colorScale>
        <cfvo type="min"/>
        <cfvo type="max"/>
        <color rgb="FFFCFCFF"/>
        <color rgb="FFF8696B"/>
      </colorScale>
    </cfRule>
  </conditionalFormatting>
  <conditionalFormatting sqref="O4:O5 O7:O1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:O5 O7:O1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26"/>
  <sheetViews>
    <sheetView workbookViewId="0">
      <selection activeCell="I17" sqref="I17"/>
    </sheetView>
  </sheetViews>
  <sheetFormatPr defaultRowHeight="15" x14ac:dyDescent="0.25"/>
  <cols>
    <col min="2" max="2" width="11.5703125" bestFit="1" customWidth="1"/>
    <col min="8" max="8" width="11.85546875" bestFit="1" customWidth="1"/>
    <col min="9" max="9" width="22.28515625" bestFit="1" customWidth="1"/>
    <col min="10" max="11" width="10.5703125" customWidth="1"/>
    <col min="12" max="12" width="8.85546875" customWidth="1"/>
    <col min="13" max="13" width="12" bestFit="1" customWidth="1"/>
    <col min="14" max="14" width="11" bestFit="1" customWidth="1"/>
  </cols>
  <sheetData>
    <row r="2" spans="2:16" x14ac:dyDescent="0.25">
      <c r="J2" t="s">
        <v>122</v>
      </c>
      <c r="K2" t="s">
        <v>123</v>
      </c>
      <c r="M2" t="s">
        <v>120</v>
      </c>
      <c r="N2" t="s">
        <v>121</v>
      </c>
    </row>
    <row r="3" spans="2:16" x14ac:dyDescent="0.25">
      <c r="I3" t="s">
        <v>119</v>
      </c>
      <c r="J3">
        <f>M3*N3</f>
        <v>10.25</v>
      </c>
      <c r="K3">
        <f>SQRT(M3)*N3</f>
        <v>5.0621141828291458</v>
      </c>
      <c r="M3">
        <v>4.0999999999999996</v>
      </c>
      <c r="N3">
        <v>2.5</v>
      </c>
    </row>
    <row r="6" spans="2:16" x14ac:dyDescent="0.25">
      <c r="G6" t="s">
        <v>115</v>
      </c>
      <c r="H6" t="s">
        <v>116</v>
      </c>
      <c r="J6" t="s">
        <v>117</v>
      </c>
      <c r="K6" t="s">
        <v>118</v>
      </c>
      <c r="M6" t="s">
        <v>120</v>
      </c>
      <c r="N6" t="s">
        <v>121</v>
      </c>
      <c r="P6" t="s">
        <v>128</v>
      </c>
    </row>
    <row r="7" spans="2:16" x14ac:dyDescent="0.25">
      <c r="D7" t="s">
        <v>17</v>
      </c>
      <c r="E7">
        <v>9</v>
      </c>
      <c r="G7">
        <v>0.21</v>
      </c>
      <c r="H7">
        <v>33.33</v>
      </c>
      <c r="J7">
        <v>2.2799999999999998</v>
      </c>
      <c r="K7">
        <v>1.86</v>
      </c>
      <c r="L7">
        <f>K7/SQRT(2)</f>
        <v>1.3152186130069783</v>
      </c>
      <c r="M7">
        <f>(J7/L7)^2</f>
        <v>3.0052029136316341</v>
      </c>
      <c r="N7">
        <f>J7/M7</f>
        <v>0.75868421052631563</v>
      </c>
      <c r="P7">
        <v>0.5</v>
      </c>
    </row>
    <row r="8" spans="2:16" ht="15.75" thickBot="1" x14ac:dyDescent="0.3">
      <c r="C8" s="5" t="s">
        <v>10</v>
      </c>
      <c r="D8" s="6" t="s">
        <v>14</v>
      </c>
      <c r="E8" s="6">
        <v>17</v>
      </c>
      <c r="G8">
        <v>0.35</v>
      </c>
      <c r="H8">
        <v>27</v>
      </c>
      <c r="J8">
        <v>2.57</v>
      </c>
      <c r="K8">
        <v>1.58</v>
      </c>
      <c r="L8">
        <f t="shared" ref="L8:L13" si="0">K8/SQRT(2)</f>
        <v>1.117228714274745</v>
      </c>
      <c r="M8">
        <f t="shared" ref="M8:M13" si="1">(J8/L8)^2</f>
        <v>5.2915398173369654</v>
      </c>
      <c r="N8">
        <f t="shared" ref="N8:N13" si="2">J8/M8</f>
        <v>0.48568093385214001</v>
      </c>
    </row>
    <row r="9" spans="2:16" ht="15.75" thickTop="1" x14ac:dyDescent="0.25">
      <c r="D9" t="s">
        <v>15</v>
      </c>
      <c r="E9" s="17">
        <v>18</v>
      </c>
      <c r="G9">
        <v>0.34</v>
      </c>
      <c r="H9">
        <v>23.3</v>
      </c>
      <c r="J9">
        <v>2.48</v>
      </c>
      <c r="K9">
        <v>3.01</v>
      </c>
      <c r="L9">
        <f t="shared" si="0"/>
        <v>2.1283914113715077</v>
      </c>
      <c r="M9">
        <f t="shared" si="1"/>
        <v>1.3576892087283809</v>
      </c>
      <c r="N9">
        <f t="shared" si="2"/>
        <v>1.8266330645161284</v>
      </c>
    </row>
    <row r="10" spans="2:16" x14ac:dyDescent="0.25">
      <c r="D10" t="s">
        <v>16</v>
      </c>
      <c r="E10">
        <v>22</v>
      </c>
      <c r="G10">
        <v>1.08</v>
      </c>
      <c r="H10">
        <v>24</v>
      </c>
      <c r="J10">
        <v>2.65</v>
      </c>
      <c r="K10">
        <v>2.5099999999999998</v>
      </c>
      <c r="L10">
        <f t="shared" si="0"/>
        <v>1.7748380207782339</v>
      </c>
      <c r="M10">
        <f t="shared" si="1"/>
        <v>2.2293296931794737</v>
      </c>
      <c r="N10">
        <f t="shared" si="2"/>
        <v>1.1886981132075469</v>
      </c>
    </row>
    <row r="11" spans="2:16" ht="15.75" thickBot="1" x14ac:dyDescent="0.3">
      <c r="C11" s="5" t="s">
        <v>20</v>
      </c>
      <c r="D11" s="6" t="s">
        <v>21</v>
      </c>
      <c r="E11" s="6">
        <v>19</v>
      </c>
      <c r="G11">
        <v>0.17</v>
      </c>
      <c r="H11">
        <v>25</v>
      </c>
      <c r="J11">
        <v>1.71</v>
      </c>
      <c r="K11">
        <v>1.68</v>
      </c>
      <c r="L11">
        <f t="shared" si="0"/>
        <v>1.1879393923933996</v>
      </c>
      <c r="M11">
        <f t="shared" si="1"/>
        <v>2.0720663265306127</v>
      </c>
      <c r="N11">
        <f t="shared" si="2"/>
        <v>0.82526315789473659</v>
      </c>
    </row>
    <row r="12" spans="2:16" ht="15.75" thickTop="1" x14ac:dyDescent="0.25">
      <c r="D12" t="s">
        <v>22</v>
      </c>
      <c r="E12">
        <v>20</v>
      </c>
      <c r="G12">
        <v>2.35</v>
      </c>
      <c r="H12">
        <v>22.3</v>
      </c>
      <c r="J12">
        <v>6.08</v>
      </c>
      <c r="K12">
        <v>4.3600000000000003</v>
      </c>
      <c r="L12">
        <f t="shared" si="0"/>
        <v>3.0829855659733472</v>
      </c>
      <c r="M12">
        <f t="shared" si="1"/>
        <v>3.889234912886121</v>
      </c>
      <c r="N12">
        <f t="shared" si="2"/>
        <v>1.5632894736842105</v>
      </c>
    </row>
    <row r="13" spans="2:16" x14ac:dyDescent="0.25">
      <c r="D13" t="s">
        <v>23</v>
      </c>
      <c r="E13">
        <v>21</v>
      </c>
      <c r="G13">
        <v>1.5</v>
      </c>
      <c r="H13">
        <v>24.3</v>
      </c>
      <c r="J13">
        <v>1.94</v>
      </c>
      <c r="K13">
        <v>1.5</v>
      </c>
      <c r="L13">
        <f t="shared" si="0"/>
        <v>1.0606601717798212</v>
      </c>
      <c r="M13">
        <f t="shared" si="1"/>
        <v>3.345422222222223</v>
      </c>
      <c r="N13">
        <f t="shared" si="2"/>
        <v>0.57989690721649467</v>
      </c>
    </row>
    <row r="14" spans="2:16" x14ac:dyDescent="0.25">
      <c r="E14" t="s">
        <v>129</v>
      </c>
      <c r="F14" t="s">
        <v>130</v>
      </c>
      <c r="G14" t="s">
        <v>128</v>
      </c>
      <c r="H14" t="s">
        <v>131</v>
      </c>
      <c r="I14" t="s">
        <v>132</v>
      </c>
    </row>
    <row r="15" spans="2:16" ht="15.75" thickBot="1" x14ac:dyDescent="0.3">
      <c r="B15" s="5" t="s">
        <v>0</v>
      </c>
      <c r="C15" t="s">
        <v>5</v>
      </c>
      <c r="D15">
        <v>5</v>
      </c>
      <c r="E15">
        <v>0</v>
      </c>
      <c r="F15">
        <v>0</v>
      </c>
      <c r="G15">
        <v>2</v>
      </c>
      <c r="J15" t="s">
        <v>133</v>
      </c>
    </row>
    <row r="16" spans="2:16" ht="15.75" thickTop="1" x14ac:dyDescent="0.25">
      <c r="C16" t="s">
        <v>6</v>
      </c>
      <c r="D16">
        <v>6</v>
      </c>
      <c r="E16">
        <v>27</v>
      </c>
      <c r="F16">
        <v>100</v>
      </c>
      <c r="G16">
        <v>1</v>
      </c>
      <c r="J16" t="s">
        <v>135</v>
      </c>
    </row>
    <row r="17" spans="2:10" x14ac:dyDescent="0.25">
      <c r="J17" t="s">
        <v>134</v>
      </c>
    </row>
    <row r="18" spans="2:10" x14ac:dyDescent="0.25">
      <c r="C18" t="s">
        <v>17</v>
      </c>
      <c r="D18">
        <v>9</v>
      </c>
      <c r="E18">
        <v>100</v>
      </c>
      <c r="F18">
        <v>100</v>
      </c>
      <c r="G18">
        <v>0.5</v>
      </c>
    </row>
    <row r="19" spans="2:10" x14ac:dyDescent="0.25">
      <c r="C19" t="s">
        <v>9</v>
      </c>
      <c r="D19">
        <v>0</v>
      </c>
      <c r="E19">
        <v>93</v>
      </c>
      <c r="F19">
        <v>100</v>
      </c>
      <c r="G19">
        <v>0.5</v>
      </c>
    </row>
    <row r="20" spans="2:10" x14ac:dyDescent="0.25">
      <c r="C20" t="s">
        <v>24</v>
      </c>
      <c r="D20">
        <v>14</v>
      </c>
      <c r="E20">
        <v>0</v>
      </c>
      <c r="F20">
        <v>6.6</v>
      </c>
      <c r="G20">
        <v>2</v>
      </c>
    </row>
    <row r="21" spans="2:10" ht="15.75" thickBot="1" x14ac:dyDescent="0.3">
      <c r="B21" s="5" t="s">
        <v>10</v>
      </c>
      <c r="C21" s="6" t="s">
        <v>14</v>
      </c>
      <c r="D21" s="6">
        <v>17</v>
      </c>
      <c r="E21">
        <v>100</v>
      </c>
      <c r="F21">
        <v>100</v>
      </c>
      <c r="G21">
        <v>0.5</v>
      </c>
    </row>
    <row r="22" spans="2:10" ht="15.75" thickTop="1" x14ac:dyDescent="0.25">
      <c r="C22" t="s">
        <v>15</v>
      </c>
      <c r="D22" s="17">
        <v>18</v>
      </c>
      <c r="E22">
        <v>100</v>
      </c>
      <c r="F22">
        <v>100</v>
      </c>
      <c r="G22">
        <v>0.5</v>
      </c>
    </row>
    <row r="23" spans="2:10" x14ac:dyDescent="0.25">
      <c r="C23" t="s">
        <v>16</v>
      </c>
      <c r="D23">
        <v>22</v>
      </c>
      <c r="E23">
        <v>0</v>
      </c>
      <c r="F23">
        <v>100</v>
      </c>
      <c r="G23">
        <v>1</v>
      </c>
    </row>
    <row r="24" spans="2:10" ht="15.75" thickBot="1" x14ac:dyDescent="0.3">
      <c r="B24" s="5" t="s">
        <v>20</v>
      </c>
      <c r="C24" s="6" t="s">
        <v>21</v>
      </c>
      <c r="D24" s="6">
        <v>19</v>
      </c>
      <c r="E24">
        <v>100</v>
      </c>
      <c r="F24">
        <v>100</v>
      </c>
      <c r="G24">
        <v>0.5</v>
      </c>
    </row>
    <row r="25" spans="2:10" ht="15.75" thickTop="1" x14ac:dyDescent="0.25">
      <c r="C25" t="s">
        <v>22</v>
      </c>
      <c r="D25">
        <v>20</v>
      </c>
      <c r="E25">
        <v>0</v>
      </c>
      <c r="F25">
        <v>0</v>
      </c>
      <c r="G25">
        <v>2</v>
      </c>
    </row>
    <row r="26" spans="2:10" x14ac:dyDescent="0.25">
      <c r="C26" t="s">
        <v>23</v>
      </c>
      <c r="D26">
        <v>21</v>
      </c>
      <c r="E26">
        <v>0</v>
      </c>
      <c r="F26">
        <v>100</v>
      </c>
      <c r="G26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H26"/>
  <sheetViews>
    <sheetView workbookViewId="0">
      <selection activeCell="D14" sqref="D14"/>
    </sheetView>
  </sheetViews>
  <sheetFormatPr defaultRowHeight="15" x14ac:dyDescent="0.25"/>
  <cols>
    <col min="3" max="3" width="5.28515625" customWidth="1"/>
    <col min="4" max="4" width="65.140625" bestFit="1" customWidth="1"/>
    <col min="5" max="5" width="26.140625" bestFit="1" customWidth="1"/>
    <col min="7" max="7" width="13" customWidth="1"/>
    <col min="10" max="10" width="10.7109375" bestFit="1" customWidth="1"/>
  </cols>
  <sheetData>
    <row r="1" spans="1:8" ht="15.75" thickBot="1" x14ac:dyDescent="0.3">
      <c r="A1" s="3" t="s">
        <v>12</v>
      </c>
      <c r="B1" s="3" t="s">
        <v>11</v>
      </c>
      <c r="C1" s="3" t="s">
        <v>47</v>
      </c>
      <c r="F1" t="s">
        <v>74</v>
      </c>
      <c r="G1" t="s">
        <v>77</v>
      </c>
      <c r="H1" t="s">
        <v>124</v>
      </c>
    </row>
    <row r="2" spans="1:8" x14ac:dyDescent="0.25">
      <c r="A2" s="16"/>
      <c r="B2" s="16"/>
      <c r="C2" s="16"/>
    </row>
    <row r="3" spans="1:8" ht="15.75" thickBot="1" x14ac:dyDescent="0.3">
      <c r="A3" s="5" t="s">
        <v>0</v>
      </c>
      <c r="B3" s="6" t="s">
        <v>4</v>
      </c>
      <c r="C3" s="21" t="s">
        <v>61</v>
      </c>
    </row>
    <row r="4" spans="1:8" ht="15.75" thickTop="1" x14ac:dyDescent="0.25">
      <c r="B4" t="s">
        <v>5</v>
      </c>
      <c r="C4">
        <v>5</v>
      </c>
      <c r="F4" t="s">
        <v>30</v>
      </c>
    </row>
    <row r="5" spans="1:8" x14ac:dyDescent="0.25">
      <c r="B5" t="s">
        <v>6</v>
      </c>
      <c r="C5">
        <v>6</v>
      </c>
      <c r="F5" t="s">
        <v>30</v>
      </c>
    </row>
    <row r="6" spans="1:8" x14ac:dyDescent="0.25">
      <c r="B6" t="s">
        <v>7</v>
      </c>
      <c r="C6">
        <v>7</v>
      </c>
    </row>
    <row r="7" spans="1:8" x14ac:dyDescent="0.25">
      <c r="B7" t="s">
        <v>8</v>
      </c>
      <c r="C7">
        <v>8</v>
      </c>
      <c r="F7" t="s">
        <v>75</v>
      </c>
      <c r="G7" t="s">
        <v>75</v>
      </c>
    </row>
    <row r="8" spans="1:8" x14ac:dyDescent="0.25">
      <c r="B8" t="s">
        <v>17</v>
      </c>
      <c r="C8">
        <v>9</v>
      </c>
      <c r="D8" t="s">
        <v>73</v>
      </c>
      <c r="F8" t="s">
        <v>76</v>
      </c>
      <c r="G8" t="s">
        <v>76</v>
      </c>
    </row>
    <row r="9" spans="1:8" x14ac:dyDescent="0.25">
      <c r="B9" t="s">
        <v>9</v>
      </c>
      <c r="C9">
        <v>0</v>
      </c>
    </row>
    <row r="10" spans="1:8" x14ac:dyDescent="0.25">
      <c r="B10" t="s">
        <v>24</v>
      </c>
      <c r="C10">
        <v>14</v>
      </c>
    </row>
    <row r="11" spans="1:8" ht="15.75" thickBot="1" x14ac:dyDescent="0.3">
      <c r="A11" s="5" t="s">
        <v>10</v>
      </c>
      <c r="B11" s="6" t="s">
        <v>14</v>
      </c>
      <c r="C11" s="6">
        <v>17</v>
      </c>
      <c r="D11" s="22" t="s">
        <v>63</v>
      </c>
      <c r="E11" t="s">
        <v>67</v>
      </c>
      <c r="F11" t="s">
        <v>76</v>
      </c>
      <c r="G11" t="s">
        <v>76</v>
      </c>
      <c r="H11" t="s">
        <v>127</v>
      </c>
    </row>
    <row r="12" spans="1:8" ht="15.75" thickTop="1" x14ac:dyDescent="0.25">
      <c r="B12" t="s">
        <v>15</v>
      </c>
      <c r="C12" s="17">
        <v>18</v>
      </c>
      <c r="D12" t="s">
        <v>63</v>
      </c>
      <c r="E12" t="s">
        <v>68</v>
      </c>
      <c r="F12" t="s">
        <v>30</v>
      </c>
      <c r="G12" t="s">
        <v>75</v>
      </c>
      <c r="H12" t="s">
        <v>127</v>
      </c>
    </row>
    <row r="13" spans="1:8" x14ac:dyDescent="0.25">
      <c r="B13" t="s">
        <v>16</v>
      </c>
      <c r="C13">
        <v>22</v>
      </c>
      <c r="D13" t="s">
        <v>63</v>
      </c>
      <c r="E13" t="s">
        <v>69</v>
      </c>
      <c r="F13" t="s">
        <v>30</v>
      </c>
      <c r="G13" t="s">
        <v>76</v>
      </c>
      <c r="H13" t="s">
        <v>127</v>
      </c>
    </row>
    <row r="14" spans="1:8" ht="15.75" thickBot="1" x14ac:dyDescent="0.3">
      <c r="A14" s="5" t="s">
        <v>20</v>
      </c>
      <c r="B14" s="6" t="s">
        <v>21</v>
      </c>
      <c r="C14" s="6">
        <v>19</v>
      </c>
      <c r="D14" t="s">
        <v>64</v>
      </c>
      <c r="E14" t="s">
        <v>72</v>
      </c>
      <c r="F14" t="s">
        <v>30</v>
      </c>
      <c r="G14" t="s">
        <v>76</v>
      </c>
      <c r="H14" t="s">
        <v>125</v>
      </c>
    </row>
    <row r="15" spans="1:8" ht="15.75" thickTop="1" x14ac:dyDescent="0.25">
      <c r="B15" t="s">
        <v>22</v>
      </c>
      <c r="C15">
        <v>20</v>
      </c>
      <c r="D15" t="s">
        <v>65</v>
      </c>
      <c r="E15" t="s">
        <v>71</v>
      </c>
      <c r="F15" t="s">
        <v>30</v>
      </c>
      <c r="G15" t="s">
        <v>76</v>
      </c>
      <c r="H15" t="s">
        <v>126</v>
      </c>
    </row>
    <row r="16" spans="1:8" x14ac:dyDescent="0.25">
      <c r="B16" t="s">
        <v>23</v>
      </c>
      <c r="C16">
        <v>21</v>
      </c>
      <c r="D16" t="s">
        <v>66</v>
      </c>
      <c r="E16" t="s">
        <v>70</v>
      </c>
      <c r="F16" t="s">
        <v>30</v>
      </c>
      <c r="G16" t="s">
        <v>76</v>
      </c>
      <c r="H16" t="s">
        <v>127</v>
      </c>
    </row>
    <row r="17" spans="1:3" ht="15.75" thickBot="1" x14ac:dyDescent="0.3">
      <c r="A17" s="5" t="s">
        <v>33</v>
      </c>
      <c r="B17" s="11" t="s">
        <v>38</v>
      </c>
      <c r="C17" s="19" t="s">
        <v>61</v>
      </c>
    </row>
    <row r="18" spans="1:3" ht="15.75" thickTop="1" x14ac:dyDescent="0.25">
      <c r="B18" s="12" t="s">
        <v>39</v>
      </c>
      <c r="C18" s="20" t="s">
        <v>61</v>
      </c>
    </row>
    <row r="19" spans="1:3" x14ac:dyDescent="0.25">
      <c r="B19" s="12" t="s">
        <v>40</v>
      </c>
      <c r="C19" s="20" t="s">
        <v>61</v>
      </c>
    </row>
    <row r="20" spans="1:3" x14ac:dyDescent="0.25">
      <c r="B20" s="12" t="s">
        <v>36</v>
      </c>
      <c r="C20" s="20" t="s">
        <v>61</v>
      </c>
    </row>
    <row r="21" spans="1:3" x14ac:dyDescent="0.25">
      <c r="B21" s="12" t="s">
        <v>34</v>
      </c>
      <c r="C21" s="20" t="s">
        <v>61</v>
      </c>
    </row>
    <row r="22" spans="1:3" x14ac:dyDescent="0.25">
      <c r="B22" s="12" t="s">
        <v>35</v>
      </c>
      <c r="C22" s="20" t="s">
        <v>61</v>
      </c>
    </row>
    <row r="23" spans="1:3" x14ac:dyDescent="0.25">
      <c r="B23" s="12">
        <v>193</v>
      </c>
      <c r="C23" s="20" t="s">
        <v>61</v>
      </c>
    </row>
    <row r="24" spans="1:3" x14ac:dyDescent="0.25">
      <c r="B24" s="12">
        <v>162</v>
      </c>
      <c r="C24" s="20" t="s">
        <v>61</v>
      </c>
    </row>
    <row r="25" spans="1:3" x14ac:dyDescent="0.25">
      <c r="B25" s="12">
        <v>213</v>
      </c>
      <c r="C25" s="20" t="s">
        <v>61</v>
      </c>
    </row>
    <row r="26" spans="1:3" x14ac:dyDescent="0.25">
      <c r="B26" s="12" t="s">
        <v>36</v>
      </c>
      <c r="C26" s="20" t="s">
        <v>61</v>
      </c>
    </row>
  </sheetData>
  <hyperlinks>
    <hyperlink ref="D11" r:id="rId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M15"/>
  <sheetViews>
    <sheetView workbookViewId="0">
      <selection activeCell="I11" sqref="I11"/>
    </sheetView>
  </sheetViews>
  <sheetFormatPr defaultRowHeight="15" x14ac:dyDescent="0.25"/>
  <cols>
    <col min="6" max="6" width="19.28515625" bestFit="1" customWidth="1"/>
    <col min="7" max="7" width="13.85546875" bestFit="1" customWidth="1"/>
    <col min="8" max="8" width="12.140625" bestFit="1" customWidth="1"/>
  </cols>
  <sheetData>
    <row r="1" spans="1:13" x14ac:dyDescent="0.25">
      <c r="D1" t="s">
        <v>136</v>
      </c>
      <c r="E1" t="s">
        <v>137</v>
      </c>
      <c r="F1" t="s">
        <v>139</v>
      </c>
      <c r="G1" t="s">
        <v>146</v>
      </c>
      <c r="H1" t="s">
        <v>147</v>
      </c>
      <c r="I1" t="s">
        <v>148</v>
      </c>
    </row>
    <row r="2" spans="1:13" ht="15.75" thickBot="1" x14ac:dyDescent="0.3">
      <c r="A2" s="5" t="s">
        <v>0</v>
      </c>
      <c r="B2" s="6" t="s">
        <v>5</v>
      </c>
      <c r="C2" s="21">
        <v>5</v>
      </c>
      <c r="D2" s="6">
        <v>2</v>
      </c>
      <c r="E2">
        <v>0</v>
      </c>
    </row>
    <row r="3" spans="1:13" ht="15.75" thickTop="1" x14ac:dyDescent="0.25">
      <c r="B3" t="s">
        <v>6</v>
      </c>
      <c r="C3">
        <v>6</v>
      </c>
      <c r="D3">
        <v>2</v>
      </c>
      <c r="E3">
        <v>0</v>
      </c>
    </row>
    <row r="4" spans="1:13" x14ac:dyDescent="0.25">
      <c r="B4" t="s">
        <v>8</v>
      </c>
      <c r="C4">
        <v>8</v>
      </c>
      <c r="D4">
        <v>4</v>
      </c>
      <c r="E4">
        <v>0</v>
      </c>
    </row>
    <row r="5" spans="1:13" x14ac:dyDescent="0.25">
      <c r="B5" t="s">
        <v>17</v>
      </c>
      <c r="C5">
        <v>9</v>
      </c>
      <c r="D5">
        <v>4</v>
      </c>
      <c r="E5">
        <v>1</v>
      </c>
      <c r="F5" t="s">
        <v>140</v>
      </c>
      <c r="G5">
        <v>7110</v>
      </c>
      <c r="H5">
        <v>7740</v>
      </c>
      <c r="I5">
        <v>7200</v>
      </c>
      <c r="J5">
        <f>G5/I5</f>
        <v>0.98750000000000004</v>
      </c>
      <c r="K5">
        <f>H5/I5</f>
        <v>1.075</v>
      </c>
      <c r="L5" t="s">
        <v>191</v>
      </c>
    </row>
    <row r="6" spans="1:13" x14ac:dyDescent="0.25">
      <c r="B6" t="s">
        <v>9</v>
      </c>
      <c r="C6">
        <v>0</v>
      </c>
      <c r="D6">
        <v>0</v>
      </c>
      <c r="E6">
        <v>0</v>
      </c>
    </row>
    <row r="7" spans="1:13" x14ac:dyDescent="0.25">
      <c r="B7" t="s">
        <v>24</v>
      </c>
      <c r="C7">
        <v>14</v>
      </c>
      <c r="D7">
        <v>0</v>
      </c>
      <c r="E7">
        <v>0</v>
      </c>
    </row>
    <row r="8" spans="1:13" ht="15.75" thickBot="1" x14ac:dyDescent="0.3">
      <c r="A8" s="5" t="s">
        <v>10</v>
      </c>
      <c r="B8" s="6" t="s">
        <v>14</v>
      </c>
      <c r="C8" s="6">
        <v>17</v>
      </c>
      <c r="D8" s="6">
        <v>4</v>
      </c>
      <c r="E8">
        <v>1</v>
      </c>
      <c r="F8" t="s">
        <v>141</v>
      </c>
      <c r="L8" t="s">
        <v>193</v>
      </c>
    </row>
    <row r="9" spans="1:13" ht="15.75" thickTop="1" x14ac:dyDescent="0.25">
      <c r="B9" t="s">
        <v>15</v>
      </c>
      <c r="C9" s="17">
        <v>18</v>
      </c>
      <c r="D9">
        <v>2</v>
      </c>
      <c r="E9">
        <v>1</v>
      </c>
      <c r="F9" t="s">
        <v>142</v>
      </c>
      <c r="G9" t="s">
        <v>149</v>
      </c>
      <c r="H9" t="s">
        <v>150</v>
      </c>
      <c r="L9" t="s">
        <v>192</v>
      </c>
    </row>
    <row r="10" spans="1:13" x14ac:dyDescent="0.25">
      <c r="B10" t="s">
        <v>16</v>
      </c>
      <c r="C10">
        <v>22</v>
      </c>
      <c r="D10">
        <v>3</v>
      </c>
      <c r="E10">
        <v>0</v>
      </c>
    </row>
    <row r="11" spans="1:13" ht="15.75" thickBot="1" x14ac:dyDescent="0.3">
      <c r="A11" s="5" t="s">
        <v>20</v>
      </c>
      <c r="B11" s="6" t="s">
        <v>21</v>
      </c>
      <c r="C11" s="6">
        <v>19</v>
      </c>
      <c r="D11" s="6">
        <v>5</v>
      </c>
      <c r="E11">
        <v>1</v>
      </c>
      <c r="F11" t="s">
        <v>143</v>
      </c>
      <c r="G11" t="s">
        <v>144</v>
      </c>
      <c r="H11" t="s">
        <v>145</v>
      </c>
      <c r="I11">
        <v>120</v>
      </c>
      <c r="L11" t="s">
        <v>194</v>
      </c>
      <c r="M11" t="s">
        <v>167</v>
      </c>
    </row>
    <row r="12" spans="1:13" ht="15.75" thickTop="1" x14ac:dyDescent="0.25">
      <c r="B12" t="s">
        <v>22</v>
      </c>
      <c r="C12">
        <v>20</v>
      </c>
      <c r="D12">
        <v>1</v>
      </c>
      <c r="E12">
        <v>0</v>
      </c>
    </row>
    <row r="13" spans="1:13" x14ac:dyDescent="0.25">
      <c r="B13" t="s">
        <v>23</v>
      </c>
      <c r="C13">
        <v>21</v>
      </c>
      <c r="D13">
        <v>3</v>
      </c>
      <c r="E13">
        <v>1</v>
      </c>
      <c r="F13" t="s">
        <v>190</v>
      </c>
      <c r="L13" t="s">
        <v>193</v>
      </c>
    </row>
    <row r="15" spans="1:13" x14ac:dyDescent="0.25">
      <c r="E15" t="s">
        <v>138</v>
      </c>
    </row>
  </sheetData>
  <conditionalFormatting sqref="D2:D13">
    <cfRule type="colorScale" priority="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13">
    <cfRule type="colorScale" priority="93">
      <colorScale>
        <cfvo type="min"/>
        <cfvo type="max"/>
        <color rgb="FFFCFCFF"/>
        <color rgb="FFF8696B"/>
      </colorScale>
    </cfRule>
  </conditionalFormatting>
  <conditionalFormatting sqref="E2:E1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L13"/>
  <sheetViews>
    <sheetView workbookViewId="0">
      <selection activeCell="F11" sqref="F11"/>
    </sheetView>
  </sheetViews>
  <sheetFormatPr defaultRowHeight="15" x14ac:dyDescent="0.25"/>
  <cols>
    <col min="6" max="6" width="10.7109375" bestFit="1" customWidth="1"/>
    <col min="7" max="7" width="23.5703125" bestFit="1" customWidth="1"/>
    <col min="8" max="8" width="6.5703125" bestFit="1" customWidth="1"/>
    <col min="9" max="9" width="10" bestFit="1" customWidth="1"/>
  </cols>
  <sheetData>
    <row r="1" spans="1:12" x14ac:dyDescent="0.25">
      <c r="D1" t="s">
        <v>164</v>
      </c>
      <c r="E1" t="s">
        <v>137</v>
      </c>
      <c r="F1" t="s">
        <v>151</v>
      </c>
      <c r="G1" t="s">
        <v>156</v>
      </c>
      <c r="H1" t="s">
        <v>162</v>
      </c>
      <c r="I1" t="s">
        <v>168</v>
      </c>
      <c r="J1">
        <v>1</v>
      </c>
      <c r="K1">
        <v>0</v>
      </c>
    </row>
    <row r="2" spans="1:12" ht="15.75" thickBot="1" x14ac:dyDescent="0.3">
      <c r="A2" s="5" t="s">
        <v>0</v>
      </c>
      <c r="B2" s="6" t="s">
        <v>5</v>
      </c>
      <c r="C2" s="21">
        <v>5</v>
      </c>
      <c r="D2">
        <v>1</v>
      </c>
      <c r="E2">
        <v>1</v>
      </c>
      <c r="F2" t="s">
        <v>152</v>
      </c>
      <c r="G2" t="s">
        <v>157</v>
      </c>
      <c r="H2" t="s">
        <v>76</v>
      </c>
      <c r="I2" t="s">
        <v>61</v>
      </c>
      <c r="J2" t="s">
        <v>26</v>
      </c>
      <c r="K2" t="s">
        <v>26</v>
      </c>
    </row>
    <row r="3" spans="1:12" ht="15.75" thickTop="1" x14ac:dyDescent="0.25">
      <c r="B3" t="s">
        <v>6</v>
      </c>
      <c r="C3">
        <v>6</v>
      </c>
      <c r="D3">
        <v>2</v>
      </c>
      <c r="E3">
        <v>1</v>
      </c>
      <c r="F3" t="s">
        <v>153</v>
      </c>
      <c r="G3" t="s">
        <v>158</v>
      </c>
      <c r="H3" t="s">
        <v>76</v>
      </c>
      <c r="I3" t="s">
        <v>61</v>
      </c>
      <c r="J3" t="s">
        <v>26</v>
      </c>
      <c r="K3" t="s">
        <v>26</v>
      </c>
    </row>
    <row r="4" spans="1:12" x14ac:dyDescent="0.25">
      <c r="B4" t="s">
        <v>8</v>
      </c>
      <c r="C4">
        <v>8</v>
      </c>
      <c r="D4">
        <v>3</v>
      </c>
      <c r="E4">
        <v>1</v>
      </c>
      <c r="F4" t="s">
        <v>154</v>
      </c>
      <c r="G4" t="s">
        <v>159</v>
      </c>
      <c r="H4" t="s">
        <v>76</v>
      </c>
      <c r="I4" t="s">
        <v>61</v>
      </c>
      <c r="J4" t="s">
        <v>26</v>
      </c>
      <c r="K4" t="s">
        <v>26</v>
      </c>
    </row>
    <row r="5" spans="1:12" x14ac:dyDescent="0.25">
      <c r="B5" t="s">
        <v>17</v>
      </c>
      <c r="C5">
        <v>9</v>
      </c>
      <c r="D5">
        <v>12</v>
      </c>
      <c r="E5">
        <v>1</v>
      </c>
      <c r="F5" t="s">
        <v>161</v>
      </c>
      <c r="G5" t="s">
        <v>160</v>
      </c>
      <c r="H5" t="s">
        <v>30</v>
      </c>
      <c r="I5" t="s">
        <v>30</v>
      </c>
      <c r="J5" t="s">
        <v>26</v>
      </c>
      <c r="K5" t="s">
        <v>26</v>
      </c>
    </row>
    <row r="6" spans="1:12" x14ac:dyDescent="0.25">
      <c r="B6" t="s">
        <v>9</v>
      </c>
      <c r="C6">
        <v>0</v>
      </c>
      <c r="D6">
        <v>0</v>
      </c>
      <c r="E6">
        <v>0</v>
      </c>
      <c r="H6" t="s">
        <v>61</v>
      </c>
      <c r="I6" t="s">
        <v>61</v>
      </c>
      <c r="J6" t="s">
        <v>26</v>
      </c>
      <c r="K6" t="s">
        <v>26</v>
      </c>
    </row>
    <row r="7" spans="1:12" x14ac:dyDescent="0.25">
      <c r="B7" t="s">
        <v>24</v>
      </c>
      <c r="C7">
        <v>14</v>
      </c>
      <c r="D7">
        <v>0</v>
      </c>
      <c r="E7">
        <v>0</v>
      </c>
      <c r="H7" t="s">
        <v>61</v>
      </c>
      <c r="I7" t="s">
        <v>61</v>
      </c>
      <c r="J7" t="s">
        <v>26</v>
      </c>
      <c r="K7" t="s">
        <v>26</v>
      </c>
    </row>
    <row r="8" spans="1:12" ht="15.75" thickBot="1" x14ac:dyDescent="0.3">
      <c r="A8" s="5" t="s">
        <v>10</v>
      </c>
      <c r="B8" s="6" t="s">
        <v>14</v>
      </c>
      <c r="C8" s="6">
        <v>17</v>
      </c>
      <c r="D8" s="6">
        <v>0</v>
      </c>
      <c r="E8">
        <v>0</v>
      </c>
      <c r="H8" t="s">
        <v>61</v>
      </c>
      <c r="I8" t="s">
        <v>61</v>
      </c>
      <c r="J8" t="s">
        <v>26</v>
      </c>
      <c r="K8" t="s">
        <v>26</v>
      </c>
    </row>
    <row r="9" spans="1:12" ht="15.75" thickTop="1" x14ac:dyDescent="0.25">
      <c r="B9" t="s">
        <v>15</v>
      </c>
      <c r="C9" s="17">
        <v>18</v>
      </c>
      <c r="D9">
        <v>0</v>
      </c>
      <c r="E9">
        <v>0</v>
      </c>
      <c r="H9" t="s">
        <v>61</v>
      </c>
      <c r="I9" t="s">
        <v>61</v>
      </c>
      <c r="J9" t="s">
        <v>26</v>
      </c>
      <c r="K9" t="s">
        <v>26</v>
      </c>
    </row>
    <row r="10" spans="1:12" x14ac:dyDescent="0.25">
      <c r="B10" t="s">
        <v>16</v>
      </c>
      <c r="C10">
        <v>22</v>
      </c>
      <c r="D10">
        <v>1</v>
      </c>
      <c r="E10">
        <v>1</v>
      </c>
      <c r="F10">
        <v>3</v>
      </c>
      <c r="G10" t="s">
        <v>169</v>
      </c>
      <c r="H10" t="s">
        <v>30</v>
      </c>
      <c r="I10" t="s">
        <v>30</v>
      </c>
      <c r="J10" t="s">
        <v>26</v>
      </c>
      <c r="K10" t="s">
        <v>26</v>
      </c>
      <c r="L10" t="s">
        <v>166</v>
      </c>
    </row>
    <row r="11" spans="1:12" ht="15.75" thickBot="1" x14ac:dyDescent="0.3">
      <c r="A11" s="5" t="s">
        <v>20</v>
      </c>
      <c r="B11" s="6" t="s">
        <v>21</v>
      </c>
      <c r="C11" s="6">
        <v>19</v>
      </c>
      <c r="D11" s="6">
        <v>9</v>
      </c>
      <c r="E11">
        <v>1</v>
      </c>
      <c r="F11" t="s">
        <v>155</v>
      </c>
      <c r="G11" t="s">
        <v>165</v>
      </c>
      <c r="H11" t="s">
        <v>76</v>
      </c>
      <c r="I11" t="s">
        <v>61</v>
      </c>
      <c r="J11" t="s">
        <v>26</v>
      </c>
      <c r="K11" t="s">
        <v>26</v>
      </c>
    </row>
    <row r="12" spans="1:12" ht="15.75" thickTop="1" x14ac:dyDescent="0.25">
      <c r="B12" t="s">
        <v>22</v>
      </c>
      <c r="C12">
        <v>20</v>
      </c>
      <c r="D12">
        <v>1</v>
      </c>
      <c r="E12">
        <v>1</v>
      </c>
      <c r="F12" t="s">
        <v>163</v>
      </c>
      <c r="G12">
        <v>122</v>
      </c>
      <c r="H12" t="s">
        <v>30</v>
      </c>
      <c r="I12" t="s">
        <v>30</v>
      </c>
      <c r="J12" t="s">
        <v>26</v>
      </c>
      <c r="K12" t="s">
        <v>26</v>
      </c>
    </row>
    <row r="13" spans="1:12" x14ac:dyDescent="0.25">
      <c r="B13" t="s">
        <v>23</v>
      </c>
      <c r="C13">
        <v>21</v>
      </c>
      <c r="D13">
        <v>1</v>
      </c>
      <c r="E13">
        <v>1</v>
      </c>
      <c r="F13" t="s">
        <v>163</v>
      </c>
      <c r="G13">
        <v>122</v>
      </c>
      <c r="H13" t="s">
        <v>30</v>
      </c>
      <c r="I13" t="s">
        <v>30</v>
      </c>
      <c r="J13" t="s">
        <v>26</v>
      </c>
      <c r="K13" t="s">
        <v>26</v>
      </c>
    </row>
  </sheetData>
  <conditionalFormatting sqref="D2:D1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13">
    <cfRule type="colorScale" priority="3">
      <colorScale>
        <cfvo type="min"/>
        <cfvo type="max"/>
        <color rgb="FFFCFCFF"/>
        <color rgb="FFF8696B"/>
      </colorScale>
    </cfRule>
  </conditionalFormatting>
  <conditionalFormatting sqref="E2:E1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L36"/>
  <sheetViews>
    <sheetView tabSelected="1" topLeftCell="A16" workbookViewId="0">
      <selection activeCell="P31" sqref="P31"/>
    </sheetView>
  </sheetViews>
  <sheetFormatPr defaultRowHeight="15" x14ac:dyDescent="0.25"/>
  <cols>
    <col min="1" max="1" width="17.85546875" bestFit="1" customWidth="1"/>
    <col min="3" max="3" width="13.5703125" bestFit="1" customWidth="1"/>
    <col min="4" max="4" width="4" bestFit="1" customWidth="1"/>
    <col min="5" max="5" width="20.5703125" bestFit="1" customWidth="1"/>
    <col min="6" max="6" width="8.7109375" bestFit="1" customWidth="1"/>
    <col min="7" max="7" width="18.140625" bestFit="1" customWidth="1"/>
    <col min="9" max="9" width="13.42578125" bestFit="1" customWidth="1"/>
    <col min="10" max="10" width="13.7109375" bestFit="1" customWidth="1"/>
  </cols>
  <sheetData>
    <row r="1" spans="1:12" x14ac:dyDescent="0.25">
      <c r="A1" s="28" t="s">
        <v>174</v>
      </c>
    </row>
    <row r="2" spans="1:12" x14ac:dyDescent="0.25">
      <c r="A2" t="s">
        <v>178</v>
      </c>
      <c r="K2" t="s">
        <v>186</v>
      </c>
    </row>
    <row r="3" spans="1:12" x14ac:dyDescent="0.25">
      <c r="A3" s="28" t="s">
        <v>170</v>
      </c>
      <c r="B3" t="s">
        <v>171</v>
      </c>
      <c r="C3" s="28" t="s">
        <v>176</v>
      </c>
      <c r="D3" s="29" t="s">
        <v>179</v>
      </c>
      <c r="E3" s="28" t="s">
        <v>180</v>
      </c>
      <c r="F3" t="s">
        <v>172</v>
      </c>
      <c r="G3" s="28" t="s">
        <v>181</v>
      </c>
      <c r="K3" t="s">
        <v>183</v>
      </c>
      <c r="L3" t="s">
        <v>184</v>
      </c>
    </row>
    <row r="4" spans="1:12" x14ac:dyDescent="0.25">
      <c r="B4" t="s">
        <v>178</v>
      </c>
      <c r="F4" t="s">
        <v>178</v>
      </c>
      <c r="G4" t="s">
        <v>178</v>
      </c>
    </row>
    <row r="5" spans="1:12" x14ac:dyDescent="0.25">
      <c r="A5" s="28" t="s">
        <v>173</v>
      </c>
      <c r="B5" t="s">
        <v>177</v>
      </c>
      <c r="F5" t="s">
        <v>177</v>
      </c>
      <c r="G5" t="s">
        <v>177</v>
      </c>
    </row>
    <row r="6" spans="1:12" x14ac:dyDescent="0.25">
      <c r="A6" t="s">
        <v>178</v>
      </c>
    </row>
    <row r="7" spans="1:12" x14ac:dyDescent="0.25">
      <c r="A7" s="28" t="s">
        <v>175</v>
      </c>
    </row>
    <row r="8" spans="1:12" x14ac:dyDescent="0.25">
      <c r="A8" t="s">
        <v>178</v>
      </c>
    </row>
    <row r="9" spans="1:12" x14ac:dyDescent="0.25">
      <c r="A9" s="28" t="s">
        <v>185</v>
      </c>
    </row>
    <row r="10" spans="1:12" x14ac:dyDescent="0.25">
      <c r="F10" s="28" t="s">
        <v>170</v>
      </c>
      <c r="G10" s="28" t="s">
        <v>180</v>
      </c>
      <c r="H10" s="28" t="s">
        <v>181</v>
      </c>
      <c r="I10" s="28" t="s">
        <v>189</v>
      </c>
      <c r="J10" s="28" t="s">
        <v>188</v>
      </c>
      <c r="K10" s="28" t="s">
        <v>185</v>
      </c>
    </row>
    <row r="11" spans="1:12" x14ac:dyDescent="0.25">
      <c r="A11" s="30" t="s">
        <v>182</v>
      </c>
      <c r="E11" s="6" t="s">
        <v>4</v>
      </c>
      <c r="F11" t="s">
        <v>187</v>
      </c>
      <c r="G11" t="s">
        <v>187</v>
      </c>
      <c r="H11" t="s">
        <v>187</v>
      </c>
      <c r="I11" t="s">
        <v>187</v>
      </c>
      <c r="J11" t="s">
        <v>187</v>
      </c>
      <c r="K11" t="s">
        <v>187</v>
      </c>
    </row>
    <row r="12" spans="1:12" x14ac:dyDescent="0.25">
      <c r="E12" t="s">
        <v>5</v>
      </c>
      <c r="F12" t="s">
        <v>26</v>
      </c>
      <c r="G12" t="s">
        <v>26</v>
      </c>
      <c r="H12" t="s">
        <v>26</v>
      </c>
      <c r="I12" t="s">
        <v>187</v>
      </c>
      <c r="J12" t="s">
        <v>26</v>
      </c>
      <c r="K12" t="s">
        <v>26</v>
      </c>
    </row>
    <row r="13" spans="1:12" x14ac:dyDescent="0.25">
      <c r="E13" t="s">
        <v>6</v>
      </c>
      <c r="F13" t="s">
        <v>26</v>
      </c>
      <c r="G13" t="s">
        <v>26</v>
      </c>
      <c r="H13" t="s">
        <v>26</v>
      </c>
      <c r="I13" t="s">
        <v>187</v>
      </c>
      <c r="J13" t="s">
        <v>26</v>
      </c>
      <c r="K13" t="s">
        <v>26</v>
      </c>
    </row>
    <row r="14" spans="1:12" x14ac:dyDescent="0.25">
      <c r="E14" t="s">
        <v>7</v>
      </c>
      <c r="F14" t="s">
        <v>187</v>
      </c>
      <c r="G14" t="s">
        <v>187</v>
      </c>
      <c r="H14" t="s">
        <v>187</v>
      </c>
      <c r="I14" t="s">
        <v>187</v>
      </c>
      <c r="J14" t="s">
        <v>187</v>
      </c>
      <c r="K14" t="s">
        <v>187</v>
      </c>
    </row>
    <row r="15" spans="1:12" x14ac:dyDescent="0.25">
      <c r="E15" t="s">
        <v>8</v>
      </c>
      <c r="F15" t="s">
        <v>26</v>
      </c>
      <c r="G15" t="s">
        <v>26</v>
      </c>
      <c r="H15" t="s">
        <v>26</v>
      </c>
      <c r="I15" t="s">
        <v>187</v>
      </c>
      <c r="J15" t="s">
        <v>26</v>
      </c>
      <c r="K15" t="s">
        <v>26</v>
      </c>
    </row>
    <row r="16" spans="1:12" x14ac:dyDescent="0.25">
      <c r="E16" t="s">
        <v>17</v>
      </c>
      <c r="F16" t="s">
        <v>26</v>
      </c>
      <c r="G16" t="s">
        <v>26</v>
      </c>
      <c r="H16" t="s">
        <v>187</v>
      </c>
      <c r="I16" t="s">
        <v>26</v>
      </c>
    </row>
    <row r="17" spans="2:12" x14ac:dyDescent="0.25">
      <c r="E17" t="s">
        <v>9</v>
      </c>
      <c r="F17" t="s">
        <v>26</v>
      </c>
      <c r="G17" t="s">
        <v>187</v>
      </c>
      <c r="H17" t="s">
        <v>187</v>
      </c>
      <c r="I17" t="s">
        <v>187</v>
      </c>
      <c r="J17" t="s">
        <v>26</v>
      </c>
      <c r="K17" t="s">
        <v>26</v>
      </c>
    </row>
    <row r="18" spans="2:12" x14ac:dyDescent="0.25">
      <c r="E18" t="s">
        <v>24</v>
      </c>
      <c r="F18" t="s">
        <v>26</v>
      </c>
      <c r="G18" t="s">
        <v>187</v>
      </c>
      <c r="H18" t="s">
        <v>187</v>
      </c>
      <c r="I18" t="s">
        <v>187</v>
      </c>
      <c r="J18" t="s">
        <v>26</v>
      </c>
      <c r="K18" t="s">
        <v>26</v>
      </c>
    </row>
    <row r="19" spans="2:12" x14ac:dyDescent="0.25">
      <c r="E19" s="6" t="s">
        <v>14</v>
      </c>
      <c r="F19" t="s">
        <v>26</v>
      </c>
      <c r="G19" t="s">
        <v>187</v>
      </c>
      <c r="H19" t="s">
        <v>187</v>
      </c>
      <c r="I19" t="s">
        <v>187</v>
      </c>
      <c r="J19" t="s">
        <v>26</v>
      </c>
      <c r="K19" t="s">
        <v>26</v>
      </c>
    </row>
    <row r="20" spans="2:12" x14ac:dyDescent="0.25">
      <c r="E20" t="s">
        <v>15</v>
      </c>
      <c r="F20" t="s">
        <v>26</v>
      </c>
      <c r="G20" t="s">
        <v>187</v>
      </c>
      <c r="H20" t="s">
        <v>187</v>
      </c>
      <c r="I20" t="s">
        <v>187</v>
      </c>
      <c r="J20" t="s">
        <v>26</v>
      </c>
      <c r="K20" t="s">
        <v>26</v>
      </c>
    </row>
    <row r="21" spans="2:12" x14ac:dyDescent="0.25">
      <c r="E21" t="s">
        <v>16</v>
      </c>
      <c r="F21" t="s">
        <v>26</v>
      </c>
      <c r="G21" t="s">
        <v>26</v>
      </c>
      <c r="H21" t="s">
        <v>187</v>
      </c>
      <c r="I21" t="s">
        <v>26</v>
      </c>
    </row>
    <row r="22" spans="2:12" x14ac:dyDescent="0.25">
      <c r="E22" s="6" t="s">
        <v>21</v>
      </c>
      <c r="F22" t="s">
        <v>26</v>
      </c>
      <c r="G22" t="s">
        <v>26</v>
      </c>
      <c r="H22" t="s">
        <v>187</v>
      </c>
      <c r="I22" t="s">
        <v>26</v>
      </c>
    </row>
    <row r="23" spans="2:12" x14ac:dyDescent="0.25">
      <c r="E23" t="s">
        <v>22</v>
      </c>
      <c r="F23" t="s">
        <v>26</v>
      </c>
      <c r="G23" t="s">
        <v>26</v>
      </c>
      <c r="H23" t="s">
        <v>187</v>
      </c>
      <c r="I23" t="s">
        <v>26</v>
      </c>
      <c r="J23" t="s">
        <v>26</v>
      </c>
      <c r="K23" t="s">
        <v>26</v>
      </c>
    </row>
    <row r="24" spans="2:12" x14ac:dyDescent="0.25">
      <c r="E24" t="s">
        <v>23</v>
      </c>
      <c r="F24" t="s">
        <v>26</v>
      </c>
      <c r="G24" t="s">
        <v>26</v>
      </c>
      <c r="H24" t="s">
        <v>187</v>
      </c>
      <c r="I24" t="s">
        <v>26</v>
      </c>
      <c r="J24" t="s">
        <v>26</v>
      </c>
      <c r="K24" t="s">
        <v>26</v>
      </c>
    </row>
    <row r="27" spans="2:12" x14ac:dyDescent="0.25">
      <c r="F27" s="28" t="s">
        <v>170</v>
      </c>
      <c r="G27" s="28" t="s">
        <v>176</v>
      </c>
      <c r="H27" s="28" t="s">
        <v>180</v>
      </c>
      <c r="I27" s="28" t="s">
        <v>181</v>
      </c>
      <c r="J27" s="28" t="s">
        <v>189</v>
      </c>
      <c r="K27" s="28" t="s">
        <v>188</v>
      </c>
      <c r="L27" s="28" t="s">
        <v>185</v>
      </c>
    </row>
    <row r="28" spans="2:12" x14ac:dyDescent="0.25">
      <c r="B28" t="s">
        <v>195</v>
      </c>
      <c r="E28" t="s">
        <v>6</v>
      </c>
      <c r="F28" t="s">
        <v>26</v>
      </c>
      <c r="G28" t="s">
        <v>26</v>
      </c>
      <c r="H28" t="s">
        <v>26</v>
      </c>
      <c r="I28" t="s">
        <v>26</v>
      </c>
      <c r="J28" t="s">
        <v>187</v>
      </c>
    </row>
    <row r="29" spans="2:12" x14ac:dyDescent="0.25">
      <c r="E29" t="s">
        <v>8</v>
      </c>
      <c r="F29" t="s">
        <v>26</v>
      </c>
      <c r="G29" t="s">
        <v>26</v>
      </c>
      <c r="H29" t="s">
        <v>26</v>
      </c>
      <c r="I29" t="s">
        <v>26</v>
      </c>
      <c r="J29" t="s">
        <v>187</v>
      </c>
    </row>
    <row r="30" spans="2:12" x14ac:dyDescent="0.25">
      <c r="E30" t="s">
        <v>17</v>
      </c>
      <c r="F30" t="s">
        <v>26</v>
      </c>
      <c r="G30" t="s">
        <v>26</v>
      </c>
      <c r="H30" t="s">
        <v>26</v>
      </c>
      <c r="I30" t="s">
        <v>187</v>
      </c>
      <c r="J30" t="s">
        <v>26</v>
      </c>
    </row>
    <row r="31" spans="2:12" x14ac:dyDescent="0.25">
      <c r="E31" s="6" t="s">
        <v>14</v>
      </c>
      <c r="F31" t="s">
        <v>26</v>
      </c>
      <c r="G31" t="s">
        <v>187</v>
      </c>
      <c r="H31" t="s">
        <v>187</v>
      </c>
      <c r="I31" t="s">
        <v>187</v>
      </c>
      <c r="J31" t="s">
        <v>187</v>
      </c>
    </row>
    <row r="32" spans="2:12" x14ac:dyDescent="0.25">
      <c r="E32" t="s">
        <v>15</v>
      </c>
      <c r="F32" t="s">
        <v>26</v>
      </c>
      <c r="G32" t="s">
        <v>187</v>
      </c>
      <c r="H32" t="s">
        <v>187</v>
      </c>
      <c r="I32" t="s">
        <v>187</v>
      </c>
      <c r="J32" t="s">
        <v>187</v>
      </c>
    </row>
    <row r="33" spans="5:10" x14ac:dyDescent="0.25">
      <c r="E33" t="s">
        <v>16</v>
      </c>
      <c r="F33" t="s">
        <v>26</v>
      </c>
      <c r="G33" t="s">
        <v>26</v>
      </c>
      <c r="H33" t="s">
        <v>26</v>
      </c>
      <c r="I33" t="s">
        <v>187</v>
      </c>
      <c r="J33" t="s">
        <v>26</v>
      </c>
    </row>
    <row r="34" spans="5:10" x14ac:dyDescent="0.25">
      <c r="E34" s="6" t="s">
        <v>21</v>
      </c>
      <c r="F34" t="s">
        <v>26</v>
      </c>
      <c r="G34" t="s">
        <v>26</v>
      </c>
      <c r="H34" t="s">
        <v>26</v>
      </c>
      <c r="I34" t="s">
        <v>187</v>
      </c>
      <c r="J34" t="s">
        <v>26</v>
      </c>
    </row>
    <row r="35" spans="5:10" x14ac:dyDescent="0.25">
      <c r="E35" t="s">
        <v>22</v>
      </c>
      <c r="F35" t="s">
        <v>26</v>
      </c>
      <c r="G35" t="s">
        <v>26</v>
      </c>
      <c r="H35" t="s">
        <v>26</v>
      </c>
      <c r="I35" t="s">
        <v>187</v>
      </c>
      <c r="J35" t="s">
        <v>26</v>
      </c>
    </row>
    <row r="36" spans="5:10" x14ac:dyDescent="0.25">
      <c r="E36" t="s">
        <v>23</v>
      </c>
      <c r="F36" t="s">
        <v>26</v>
      </c>
      <c r="G36" t="s">
        <v>26</v>
      </c>
      <c r="H36" t="s">
        <v>26</v>
      </c>
      <c r="I36" t="s">
        <v>187</v>
      </c>
      <c r="J36" t="s">
        <v>26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"/>
  <sheetViews>
    <sheetView workbookViewId="0">
      <selection activeCell="G17" sqref="G17"/>
    </sheetView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/>
  </sheetPr>
  <dimension ref="A2:G13"/>
  <sheetViews>
    <sheetView workbookViewId="0">
      <selection activeCell="F16" sqref="F16"/>
    </sheetView>
  </sheetViews>
  <sheetFormatPr defaultRowHeight="15" x14ac:dyDescent="0.25"/>
  <cols>
    <col min="4" max="4" width="10.42578125" bestFit="1" customWidth="1"/>
    <col min="7" max="7" width="10.7109375" bestFit="1" customWidth="1"/>
  </cols>
  <sheetData>
    <row r="2" spans="1:7" x14ac:dyDescent="0.25">
      <c r="C2" t="s">
        <v>107</v>
      </c>
      <c r="D2" t="s">
        <v>106</v>
      </c>
      <c r="E2" t="s">
        <v>109</v>
      </c>
      <c r="F2" t="s">
        <v>110</v>
      </c>
      <c r="G2" t="s">
        <v>111</v>
      </c>
    </row>
    <row r="3" spans="1:7" ht="15.75" thickBot="1" x14ac:dyDescent="0.3">
      <c r="A3" s="5" t="s">
        <v>0</v>
      </c>
      <c r="B3" t="s">
        <v>5</v>
      </c>
      <c r="C3" t="s">
        <v>26</v>
      </c>
      <c r="D3" t="s">
        <v>26</v>
      </c>
      <c r="G3" t="s">
        <v>113</v>
      </c>
    </row>
    <row r="4" spans="1:7" ht="15.75" thickTop="1" x14ac:dyDescent="0.25">
      <c r="B4" t="s">
        <v>6</v>
      </c>
      <c r="C4" t="s">
        <v>26</v>
      </c>
      <c r="D4" t="s">
        <v>26</v>
      </c>
      <c r="G4" t="s">
        <v>114</v>
      </c>
    </row>
    <row r="5" spans="1:7" x14ac:dyDescent="0.25">
      <c r="B5" t="s">
        <v>8</v>
      </c>
      <c r="C5" t="s">
        <v>26</v>
      </c>
      <c r="D5" t="s">
        <v>26</v>
      </c>
      <c r="F5" t="s">
        <v>30</v>
      </c>
      <c r="G5" t="s">
        <v>113</v>
      </c>
    </row>
    <row r="6" spans="1:7" x14ac:dyDescent="0.25">
      <c r="B6" t="s">
        <v>17</v>
      </c>
      <c r="C6" t="s">
        <v>26</v>
      </c>
      <c r="D6" t="s">
        <v>26</v>
      </c>
      <c r="F6" t="s">
        <v>30</v>
      </c>
      <c r="G6" t="s">
        <v>112</v>
      </c>
    </row>
    <row r="7" spans="1:7" x14ac:dyDescent="0.25">
      <c r="B7" t="s">
        <v>9</v>
      </c>
      <c r="C7" t="s">
        <v>26</v>
      </c>
      <c r="D7" t="s">
        <v>108</v>
      </c>
      <c r="E7">
        <v>1</v>
      </c>
      <c r="G7" t="s">
        <v>113</v>
      </c>
    </row>
    <row r="8" spans="1:7" ht="15.75" thickBot="1" x14ac:dyDescent="0.3">
      <c r="A8" s="5" t="s">
        <v>10</v>
      </c>
      <c r="B8" s="6" t="s">
        <v>14</v>
      </c>
      <c r="C8" t="s">
        <v>26</v>
      </c>
      <c r="D8" t="s">
        <v>108</v>
      </c>
      <c r="E8">
        <v>796</v>
      </c>
      <c r="G8" t="s">
        <v>114</v>
      </c>
    </row>
    <row r="9" spans="1:7" ht="15.75" thickTop="1" x14ac:dyDescent="0.25">
      <c r="B9" t="s">
        <v>15</v>
      </c>
      <c r="C9" t="s">
        <v>26</v>
      </c>
      <c r="D9" t="s">
        <v>108</v>
      </c>
      <c r="E9">
        <v>318412</v>
      </c>
      <c r="G9" t="s">
        <v>114</v>
      </c>
    </row>
    <row r="10" spans="1:7" x14ac:dyDescent="0.25">
      <c r="B10" t="s">
        <v>16</v>
      </c>
      <c r="G10" t="s">
        <v>114</v>
      </c>
    </row>
    <row r="11" spans="1:7" ht="15.75" thickBot="1" x14ac:dyDescent="0.3">
      <c r="A11" s="5" t="s">
        <v>20</v>
      </c>
      <c r="B11" s="6" t="s">
        <v>21</v>
      </c>
      <c r="C11" t="s">
        <v>26</v>
      </c>
      <c r="D11">
        <v>0</v>
      </c>
      <c r="E11">
        <v>5964927408</v>
      </c>
      <c r="G11" t="s">
        <v>112</v>
      </c>
    </row>
    <row r="12" spans="1:7" ht="15.75" thickTop="1" x14ac:dyDescent="0.25">
      <c r="B12" t="s">
        <v>22</v>
      </c>
      <c r="C12" t="s">
        <v>26</v>
      </c>
      <c r="D12" t="s">
        <v>26</v>
      </c>
      <c r="F12" t="s">
        <v>30</v>
      </c>
      <c r="G12" t="s">
        <v>114</v>
      </c>
    </row>
    <row r="13" spans="1:7" x14ac:dyDescent="0.25">
      <c r="B13" t="s">
        <v>23</v>
      </c>
      <c r="C13" t="s">
        <v>26</v>
      </c>
      <c r="D13" t="s">
        <v>26</v>
      </c>
      <c r="F13" t="s">
        <v>30</v>
      </c>
      <c r="G13" t="s">
        <v>114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workbookViewId="0">
      <selection activeCell="B13" sqref="B13"/>
    </sheetView>
  </sheetViews>
  <sheetFormatPr defaultRowHeight="15" x14ac:dyDescent="0.25"/>
  <cols>
    <col min="1" max="1" width="14.28515625" bestFit="1" customWidth="1"/>
    <col min="2" max="2" width="10" bestFit="1" customWidth="1"/>
  </cols>
  <sheetData>
    <row r="1" spans="1:13" x14ac:dyDescent="0.25">
      <c r="C1" t="s">
        <v>48</v>
      </c>
      <c r="D1" t="s">
        <v>49</v>
      </c>
      <c r="E1" t="s">
        <v>50</v>
      </c>
      <c r="F1" t="s">
        <v>53</v>
      </c>
      <c r="G1" t="s">
        <v>51</v>
      </c>
      <c r="H1" t="s">
        <v>52</v>
      </c>
      <c r="I1" t="s">
        <v>54</v>
      </c>
      <c r="J1" t="s">
        <v>55</v>
      </c>
      <c r="K1" t="s">
        <v>59</v>
      </c>
      <c r="L1" t="s">
        <v>60</v>
      </c>
      <c r="M1" t="s">
        <v>58</v>
      </c>
    </row>
    <row r="2" spans="1:13" x14ac:dyDescent="0.25">
      <c r="A2" t="s">
        <v>57</v>
      </c>
      <c r="B2" t="s">
        <v>56</v>
      </c>
      <c r="C2" s="18">
        <v>1.6037999999999999</v>
      </c>
      <c r="D2" s="18">
        <v>6.4150999999999998</v>
      </c>
      <c r="E2" s="18">
        <v>1.796</v>
      </c>
      <c r="F2" s="18">
        <v>5.3880999999999997</v>
      </c>
      <c r="G2" s="18">
        <v>2000</v>
      </c>
      <c r="H2" s="18">
        <v>2100</v>
      </c>
      <c r="I2" s="18">
        <v>10041</v>
      </c>
      <c r="J2" s="18">
        <v>10543</v>
      </c>
      <c r="K2" s="18">
        <v>4</v>
      </c>
      <c r="L2" s="18">
        <v>3</v>
      </c>
      <c r="M2" s="18">
        <v>115</v>
      </c>
    </row>
    <row r="3" spans="1:13" ht="15.75" thickBot="1" x14ac:dyDescent="0.3">
      <c r="A3" s="5" t="s">
        <v>0</v>
      </c>
      <c r="B3" s="6" t="s">
        <v>4</v>
      </c>
    </row>
    <row r="4" spans="1:13" ht="15.75" thickTop="1" x14ac:dyDescent="0.25">
      <c r="B4" t="s">
        <v>5</v>
      </c>
      <c r="C4">
        <f>C$2*($G$2/$G4)</f>
        <v>0.16037999999999999</v>
      </c>
      <c r="D4">
        <f>D$2*($G$2/$G4)</f>
        <v>0.64151000000000002</v>
      </c>
      <c r="E4">
        <f>E2/10</f>
        <v>0.17960000000000001</v>
      </c>
      <c r="F4">
        <f>F2/10</f>
        <v>0.53881000000000001</v>
      </c>
      <c r="G4" s="18">
        <v>20000</v>
      </c>
      <c r="H4" s="18">
        <v>21000</v>
      </c>
      <c r="M4" s="18">
        <v>115</v>
      </c>
    </row>
    <row r="5" spans="1:13" x14ac:dyDescent="0.25">
      <c r="B5" t="s">
        <v>6</v>
      </c>
      <c r="C5">
        <v>5.7736000000000003E-3</v>
      </c>
      <c r="D5">
        <v>2.3094E-2</v>
      </c>
      <c r="E5">
        <v>2.1358000000000001</v>
      </c>
      <c r="F5">
        <v>6.4074</v>
      </c>
      <c r="G5" s="18">
        <v>200000</v>
      </c>
      <c r="M5" s="18">
        <v>69</v>
      </c>
    </row>
    <row r="6" spans="1:13" x14ac:dyDescent="0.25">
      <c r="B6" t="s">
        <v>7</v>
      </c>
      <c r="C6">
        <v>6.4151E-2</v>
      </c>
      <c r="D6">
        <v>0.25659999999999999</v>
      </c>
      <c r="E6">
        <v>7.1841000000000002E-2</v>
      </c>
      <c r="F6">
        <v>0.21551999999999999</v>
      </c>
      <c r="G6" s="18">
        <v>200000</v>
      </c>
      <c r="H6" s="18">
        <v>210000</v>
      </c>
      <c r="M6" s="18">
        <v>230</v>
      </c>
    </row>
    <row r="7" spans="1:13" x14ac:dyDescent="0.25">
      <c r="B7" t="s">
        <v>8</v>
      </c>
      <c r="C7" s="18">
        <v>0</v>
      </c>
      <c r="D7" s="18">
        <v>1E-4</v>
      </c>
      <c r="E7" s="18">
        <v>0</v>
      </c>
      <c r="F7" s="18">
        <v>1E-4</v>
      </c>
      <c r="M7" s="18">
        <v>4.16</v>
      </c>
    </row>
    <row r="8" spans="1:13" x14ac:dyDescent="0.25">
      <c r="B8" t="s">
        <v>17</v>
      </c>
      <c r="C8" s="18">
        <v>0</v>
      </c>
      <c r="D8" s="18">
        <v>1E-3</v>
      </c>
      <c r="E8" s="18">
        <v>0</v>
      </c>
      <c r="F8" s="18">
        <v>1E-3</v>
      </c>
    </row>
    <row r="9" spans="1:13" x14ac:dyDescent="0.25">
      <c r="B9" t="s">
        <v>9</v>
      </c>
      <c r="C9">
        <v>0.51344000000000001</v>
      </c>
      <c r="D9">
        <v>2.0537000000000001</v>
      </c>
      <c r="E9">
        <v>1203.7</v>
      </c>
      <c r="F9">
        <v>3611</v>
      </c>
      <c r="I9" s="18">
        <v>3000</v>
      </c>
      <c r="J9" s="18">
        <v>5</v>
      </c>
      <c r="M9" s="18">
        <v>11</v>
      </c>
    </row>
    <row r="10" spans="1:13" x14ac:dyDescent="0.25">
      <c r="B10" t="s">
        <v>24</v>
      </c>
      <c r="C10">
        <v>6.4151E-2</v>
      </c>
      <c r="D10">
        <v>0.25659999999999999</v>
      </c>
      <c r="E10">
        <v>-0.14523</v>
      </c>
      <c r="F10">
        <v>-0.43568000000000001</v>
      </c>
      <c r="G10" s="18">
        <v>200000</v>
      </c>
      <c r="H10" s="18">
        <v>2000000</v>
      </c>
      <c r="M10" s="18">
        <v>230</v>
      </c>
    </row>
    <row r="11" spans="1:13" ht="15.75" thickBot="1" x14ac:dyDescent="0.3">
      <c r="A11" s="5" t="s">
        <v>10</v>
      </c>
      <c r="B11" s="6" t="s">
        <v>14</v>
      </c>
      <c r="C11" s="18">
        <v>0</v>
      </c>
      <c r="D11" s="18">
        <v>1E-3</v>
      </c>
      <c r="E11" s="18">
        <v>0</v>
      </c>
      <c r="F11" s="18">
        <v>1E-3</v>
      </c>
    </row>
    <row r="12" spans="1:13" ht="15.75" thickTop="1" x14ac:dyDescent="0.25">
      <c r="B12" t="s">
        <v>15</v>
      </c>
      <c r="C12" s="18">
        <v>2.3140000000000001</v>
      </c>
      <c r="D12" s="18">
        <v>28.52</v>
      </c>
      <c r="E12" s="18">
        <v>1E-4</v>
      </c>
      <c r="F12" s="18">
        <v>1E-4</v>
      </c>
      <c r="M12" s="18">
        <v>115</v>
      </c>
    </row>
    <row r="13" spans="1:13" x14ac:dyDescent="0.25">
      <c r="B13" t="s">
        <v>16</v>
      </c>
      <c r="C13" s="18">
        <v>0.63</v>
      </c>
      <c r="D13" s="18">
        <v>6.72</v>
      </c>
      <c r="E13" s="18">
        <v>4.07</v>
      </c>
      <c r="F13" s="18">
        <v>15.55</v>
      </c>
      <c r="M13" s="18">
        <v>230</v>
      </c>
    </row>
    <row r="14" spans="1:13" ht="15.75" thickBot="1" x14ac:dyDescent="0.3">
      <c r="A14" s="5" t="s">
        <v>20</v>
      </c>
      <c r="B14" s="6" t="s">
        <v>21</v>
      </c>
      <c r="C14" s="18">
        <v>1.3759999999999999</v>
      </c>
      <c r="D14" s="18">
        <v>14.257</v>
      </c>
      <c r="E14" s="18">
        <v>1E-3</v>
      </c>
      <c r="F14" s="18">
        <v>8.2029999999999994</v>
      </c>
      <c r="M14" s="18">
        <v>69</v>
      </c>
    </row>
    <row r="15" spans="1:13" ht="15.75" thickTop="1" x14ac:dyDescent="0.25">
      <c r="B15" t="s">
        <v>22</v>
      </c>
      <c r="C15" s="18">
        <v>0.80626299999999995</v>
      </c>
      <c r="D15" s="18">
        <v>7.8137910000000002</v>
      </c>
      <c r="E15" s="18">
        <v>0.91630699999999998</v>
      </c>
      <c r="F15" s="18">
        <v>14.556789999999999</v>
      </c>
      <c r="M15" s="18">
        <v>69</v>
      </c>
    </row>
    <row r="16" spans="1:13" x14ac:dyDescent="0.25">
      <c r="B16" t="s">
        <v>23</v>
      </c>
      <c r="C16" s="18">
        <v>5.1799999999999999E-2</v>
      </c>
      <c r="D16" s="18">
        <v>0.15554999999999999</v>
      </c>
      <c r="E16" s="18">
        <v>5.1799999999999999E-2</v>
      </c>
      <c r="F16" s="18">
        <v>0.155</v>
      </c>
      <c r="M16" s="18">
        <v>67</v>
      </c>
    </row>
    <row r="17" spans="1:13" ht="15.75" thickBot="1" x14ac:dyDescent="0.3">
      <c r="A17" s="5" t="s">
        <v>33</v>
      </c>
      <c r="B17" s="11" t="s">
        <v>38</v>
      </c>
      <c r="C17">
        <v>0.51344000000000001</v>
      </c>
      <c r="D17">
        <v>2.0537000000000001</v>
      </c>
      <c r="E17">
        <v>1.0729</v>
      </c>
      <c r="F17">
        <v>3.2185999999999999</v>
      </c>
      <c r="I17" s="18">
        <v>3000</v>
      </c>
      <c r="J17" s="18">
        <v>2500</v>
      </c>
      <c r="M17" s="18">
        <v>11</v>
      </c>
    </row>
    <row r="18" spans="1:13" ht="15.75" thickTop="1" x14ac:dyDescent="0.25">
      <c r="B18" s="12" t="s">
        <v>39</v>
      </c>
      <c r="C18">
        <v>0.51344000000000001</v>
      </c>
      <c r="D18">
        <v>2.0537000000000001</v>
      </c>
      <c r="E18">
        <v>1.0729</v>
      </c>
      <c r="F18">
        <v>3.2185999999999999</v>
      </c>
      <c r="I18" s="18">
        <v>3000</v>
      </c>
      <c r="J18" s="18">
        <v>2500</v>
      </c>
      <c r="M18" s="18">
        <v>11</v>
      </c>
    </row>
    <row r="19" spans="1:13" x14ac:dyDescent="0.25">
      <c r="B19" s="12" t="s">
        <v>40</v>
      </c>
      <c r="C19">
        <v>0.51344000000000001</v>
      </c>
      <c r="D19">
        <v>2.0537000000000001</v>
      </c>
      <c r="E19">
        <v>1.0729</v>
      </c>
      <c r="F19">
        <v>3.2185999999999999</v>
      </c>
      <c r="I19" s="18">
        <v>3000</v>
      </c>
      <c r="J19" s="18">
        <v>2500</v>
      </c>
      <c r="M19" s="18">
        <v>11</v>
      </c>
    </row>
    <row r="20" spans="1:13" x14ac:dyDescent="0.25">
      <c r="B20" s="12" t="s">
        <v>36</v>
      </c>
      <c r="C20">
        <v>0.51344000000000001</v>
      </c>
      <c r="D20">
        <v>2.0537000000000001</v>
      </c>
      <c r="E20">
        <v>1.0729</v>
      </c>
      <c r="F20">
        <v>3.2185999999999999</v>
      </c>
      <c r="I20" s="18">
        <v>3000</v>
      </c>
      <c r="J20" s="18">
        <v>2500</v>
      </c>
      <c r="M20" s="18">
        <v>11</v>
      </c>
    </row>
    <row r="21" spans="1:13" x14ac:dyDescent="0.25">
      <c r="B21" s="12" t="s">
        <v>34</v>
      </c>
      <c r="C21">
        <v>0.51344000000000001</v>
      </c>
      <c r="D21">
        <v>2.0537000000000001</v>
      </c>
      <c r="E21">
        <v>1.0729</v>
      </c>
      <c r="F21">
        <v>3.2185999999999999</v>
      </c>
      <c r="I21" s="18">
        <v>3000</v>
      </c>
      <c r="J21" s="18">
        <v>2500</v>
      </c>
      <c r="M21" s="18">
        <v>11</v>
      </c>
    </row>
    <row r="22" spans="1:13" x14ac:dyDescent="0.25">
      <c r="B22" s="12" t="s">
        <v>35</v>
      </c>
      <c r="C22">
        <v>0.51344000000000001</v>
      </c>
      <c r="D22">
        <v>2.0537000000000001</v>
      </c>
      <c r="E22">
        <v>1.0729</v>
      </c>
      <c r="F22">
        <v>3.2185999999999999</v>
      </c>
      <c r="I22" s="18">
        <v>3000</v>
      </c>
      <c r="J22" s="18">
        <v>2500</v>
      </c>
      <c r="M22" s="18">
        <v>11</v>
      </c>
    </row>
    <row r="23" spans="1:13" x14ac:dyDescent="0.25">
      <c r="B23" s="12">
        <v>193</v>
      </c>
      <c r="C23">
        <v>0.51344000000000001</v>
      </c>
      <c r="D23">
        <v>2.0537000000000001</v>
      </c>
      <c r="E23">
        <v>1.0729</v>
      </c>
      <c r="F23">
        <v>3.2185999999999999</v>
      </c>
      <c r="I23" s="18">
        <v>3000</v>
      </c>
      <c r="J23" s="18">
        <v>2500</v>
      </c>
      <c r="M23" s="18">
        <v>11</v>
      </c>
    </row>
    <row r="24" spans="1:13" x14ac:dyDescent="0.25">
      <c r="B24" s="12">
        <v>162</v>
      </c>
      <c r="C24">
        <v>0.51344000000000001</v>
      </c>
      <c r="D24">
        <v>2.0537000000000001</v>
      </c>
      <c r="E24">
        <v>1.0729</v>
      </c>
      <c r="F24">
        <v>3.2185999999999999</v>
      </c>
      <c r="I24" s="18">
        <v>3000</v>
      </c>
      <c r="J24" s="18">
        <v>2500</v>
      </c>
      <c r="M24" s="18">
        <v>11</v>
      </c>
    </row>
    <row r="25" spans="1:13" x14ac:dyDescent="0.25">
      <c r="B25" s="12">
        <v>213</v>
      </c>
      <c r="C25">
        <v>0.51344000000000001</v>
      </c>
      <c r="D25">
        <v>2.0537000000000001</v>
      </c>
      <c r="E25">
        <v>1.0729</v>
      </c>
      <c r="F25">
        <v>3.2185999999999999</v>
      </c>
      <c r="I25" s="18">
        <v>3000</v>
      </c>
      <c r="J25" s="18">
        <v>2500</v>
      </c>
      <c r="M25" s="18">
        <v>11</v>
      </c>
    </row>
    <row r="26" spans="1:13" x14ac:dyDescent="0.25">
      <c r="B26" s="12" t="s">
        <v>36</v>
      </c>
      <c r="C26">
        <v>0.51344000000000001</v>
      </c>
      <c r="D26">
        <v>2.0537000000000001</v>
      </c>
      <c r="E26">
        <v>1.0729</v>
      </c>
      <c r="F26">
        <v>3.2185999999999999</v>
      </c>
      <c r="I26" s="18">
        <v>3000</v>
      </c>
      <c r="J26" s="18">
        <v>2500</v>
      </c>
      <c r="M26" s="18">
        <v>11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workbookViewId="0">
      <selection activeCell="G24" sqref="G24"/>
    </sheetView>
  </sheetViews>
  <sheetFormatPr defaultRowHeight="15" x14ac:dyDescent="0.25"/>
  <cols>
    <col min="6" max="6" width="11.140625" bestFit="1" customWidth="1"/>
    <col min="9" max="9" width="14.5703125" bestFit="1" customWidth="1"/>
  </cols>
  <sheetData>
    <row r="1" spans="1:9" x14ac:dyDescent="0.25">
      <c r="E1" t="s">
        <v>46</v>
      </c>
      <c r="F1" t="s">
        <v>42</v>
      </c>
      <c r="G1" t="s">
        <v>43</v>
      </c>
      <c r="H1" t="s">
        <v>44</v>
      </c>
      <c r="I1" t="s">
        <v>45</v>
      </c>
    </row>
    <row r="2" spans="1:9" x14ac:dyDescent="0.25">
      <c r="A2" t="s">
        <v>5</v>
      </c>
      <c r="B2">
        <v>16</v>
      </c>
      <c r="C2">
        <v>2.8469553250198238</v>
      </c>
      <c r="D2">
        <f>(10^C2)/1000000</f>
        <v>7.0300000000000007E-4</v>
      </c>
      <c r="E2">
        <f>1/D2</f>
        <v>1422.4751066856329</v>
      </c>
      <c r="F2">
        <v>4</v>
      </c>
      <c r="G2">
        <v>20</v>
      </c>
      <c r="H2">
        <v>1000</v>
      </c>
      <c r="I2">
        <f>(H2*G2*F2*D2)/60</f>
        <v>0.93733333333333335</v>
      </c>
    </row>
    <row r="3" spans="1:9" x14ac:dyDescent="0.25">
      <c r="A3" t="s">
        <v>6</v>
      </c>
      <c r="B3">
        <v>37</v>
      </c>
      <c r="C3">
        <v>3.6020599913279625</v>
      </c>
      <c r="D3">
        <f t="shared" ref="D3:D14" si="0">(10^C3)/1000000</f>
        <v>4.000000000000007E-3</v>
      </c>
      <c r="E3">
        <f t="shared" ref="E3:E14" si="1">1/D3</f>
        <v>249.99999999999957</v>
      </c>
      <c r="F3">
        <v>4</v>
      </c>
      <c r="G3">
        <v>20</v>
      </c>
      <c r="H3">
        <v>1000</v>
      </c>
      <c r="I3">
        <f t="shared" ref="I3:I14" si="2">(H3*G3*F3*D3)/60</f>
        <v>5.3333333333333428</v>
      </c>
    </row>
    <row r="4" spans="1:9" x14ac:dyDescent="0.25">
      <c r="A4" t="s">
        <v>7</v>
      </c>
      <c r="B4">
        <v>39</v>
      </c>
      <c r="C4">
        <v>3.4634450317704277</v>
      </c>
      <c r="D4">
        <f t="shared" si="0"/>
        <v>2.9070000000000012E-3</v>
      </c>
      <c r="E4">
        <f t="shared" si="1"/>
        <v>343.9972480220157</v>
      </c>
      <c r="F4">
        <v>4</v>
      </c>
      <c r="G4">
        <v>20</v>
      </c>
      <c r="H4">
        <v>1000</v>
      </c>
      <c r="I4">
        <f t="shared" si="2"/>
        <v>3.8760000000000017</v>
      </c>
    </row>
    <row r="5" spans="1:9" x14ac:dyDescent="0.25">
      <c r="A5" t="s">
        <v>8</v>
      </c>
      <c r="B5">
        <v>132</v>
      </c>
      <c r="C5">
        <v>3.6959192528313998</v>
      </c>
      <c r="D5">
        <f t="shared" si="0"/>
        <v>4.9650000000000015E-3</v>
      </c>
      <c r="E5">
        <f t="shared" si="1"/>
        <v>201.40986908358502</v>
      </c>
      <c r="F5">
        <v>4</v>
      </c>
      <c r="G5">
        <v>20</v>
      </c>
      <c r="H5">
        <v>1000</v>
      </c>
      <c r="I5">
        <f t="shared" si="2"/>
        <v>6.6200000000000019</v>
      </c>
    </row>
    <row r="6" spans="1:9" x14ac:dyDescent="0.25">
      <c r="A6" t="s">
        <v>17</v>
      </c>
      <c r="B6">
        <v>4876</v>
      </c>
      <c r="C6">
        <v>5.4405359950748213</v>
      </c>
      <c r="D6">
        <f t="shared" si="0"/>
        <v>0.27576300000000048</v>
      </c>
      <c r="E6">
        <f t="shared" si="1"/>
        <v>3.6263022958119771</v>
      </c>
      <c r="F6">
        <v>4</v>
      </c>
      <c r="G6">
        <v>20</v>
      </c>
      <c r="H6">
        <v>1000</v>
      </c>
      <c r="I6">
        <f t="shared" si="2"/>
        <v>367.68400000000059</v>
      </c>
    </row>
    <row r="7" spans="1:9" x14ac:dyDescent="0.25">
      <c r="A7" t="s">
        <v>9</v>
      </c>
      <c r="B7">
        <v>907</v>
      </c>
      <c r="C7">
        <v>3.7113009599161657</v>
      </c>
      <c r="D7">
        <f t="shared" si="0"/>
        <v>5.1440000000000088E-3</v>
      </c>
      <c r="E7">
        <f t="shared" si="1"/>
        <v>194.40124416796235</v>
      </c>
      <c r="F7">
        <v>4</v>
      </c>
      <c r="G7">
        <v>20</v>
      </c>
      <c r="H7">
        <v>1000</v>
      </c>
      <c r="I7">
        <f t="shared" si="2"/>
        <v>6.8586666666666787</v>
      </c>
    </row>
    <row r="8" spans="1:9" x14ac:dyDescent="0.25">
      <c r="A8" t="s">
        <v>24</v>
      </c>
      <c r="B8">
        <v>390</v>
      </c>
      <c r="C8" s="15">
        <v>4.0813833174622856</v>
      </c>
      <c r="D8">
        <f t="shared" si="0"/>
        <v>1.2061000000000023E-2</v>
      </c>
      <c r="E8">
        <f t="shared" si="1"/>
        <v>82.911864687836669</v>
      </c>
      <c r="F8">
        <v>4</v>
      </c>
      <c r="G8">
        <v>20</v>
      </c>
      <c r="H8">
        <v>1000</v>
      </c>
      <c r="I8">
        <f t="shared" si="2"/>
        <v>16.081333333333365</v>
      </c>
    </row>
    <row r="9" spans="1:9" x14ac:dyDescent="0.25">
      <c r="A9" s="6" t="s">
        <v>14</v>
      </c>
      <c r="B9" s="6">
        <v>2998</v>
      </c>
      <c r="C9">
        <v>4.50948478922394</v>
      </c>
      <c r="D9">
        <f t="shared" si="0"/>
        <v>3.2321000000000009E-2</v>
      </c>
      <c r="E9">
        <f t="shared" si="1"/>
        <v>30.939636768664325</v>
      </c>
      <c r="F9">
        <v>4</v>
      </c>
      <c r="G9">
        <v>20</v>
      </c>
      <c r="H9">
        <v>1000</v>
      </c>
      <c r="I9">
        <f t="shared" si="2"/>
        <v>43.094666666666676</v>
      </c>
    </row>
    <row r="10" spans="1:9" x14ac:dyDescent="0.25">
      <c r="A10" t="s">
        <v>15</v>
      </c>
      <c r="B10">
        <v>1255</v>
      </c>
      <c r="C10">
        <v>4.2417954312951984</v>
      </c>
      <c r="D10">
        <f t="shared" si="0"/>
        <v>1.7450000000000004E-2</v>
      </c>
      <c r="E10">
        <f t="shared" si="1"/>
        <v>57.306590257879641</v>
      </c>
      <c r="F10">
        <v>4</v>
      </c>
      <c r="G10">
        <v>20</v>
      </c>
      <c r="H10">
        <v>1000</v>
      </c>
      <c r="I10">
        <f t="shared" si="2"/>
        <v>23.266666666666669</v>
      </c>
    </row>
    <row r="11" spans="1:9" x14ac:dyDescent="0.25">
      <c r="A11" t="s">
        <v>16</v>
      </c>
      <c r="B11">
        <v>6058</v>
      </c>
      <c r="C11" s="15">
        <v>4.9442605329428515</v>
      </c>
      <c r="D11">
        <f t="shared" si="0"/>
        <v>8.7955000000000019E-2</v>
      </c>
      <c r="E11">
        <f t="shared" si="1"/>
        <v>11.369450287078617</v>
      </c>
      <c r="F11">
        <v>4</v>
      </c>
      <c r="G11">
        <v>20</v>
      </c>
      <c r="H11">
        <v>1000</v>
      </c>
      <c r="I11">
        <f t="shared" si="2"/>
        <v>117.27333333333335</v>
      </c>
    </row>
    <row r="12" spans="1:9" x14ac:dyDescent="0.25">
      <c r="A12" s="6" t="s">
        <v>21</v>
      </c>
      <c r="B12" s="6">
        <v>4888</v>
      </c>
      <c r="C12">
        <v>4.4196088349081029</v>
      </c>
      <c r="D12">
        <f t="shared" si="0"/>
        <v>2.6279000000000014E-2</v>
      </c>
      <c r="E12">
        <f t="shared" si="1"/>
        <v>38.053198371323091</v>
      </c>
      <c r="F12">
        <v>4</v>
      </c>
      <c r="G12">
        <v>20</v>
      </c>
      <c r="H12">
        <v>1000</v>
      </c>
      <c r="I12">
        <f t="shared" si="2"/>
        <v>35.038666666666686</v>
      </c>
    </row>
    <row r="13" spans="1:9" x14ac:dyDescent="0.25">
      <c r="A13" t="s">
        <v>22</v>
      </c>
      <c r="B13">
        <v>1282</v>
      </c>
      <c r="C13">
        <v>4.3043397048923389</v>
      </c>
      <c r="D13">
        <f t="shared" si="0"/>
        <v>2.0153000000000025E-2</v>
      </c>
      <c r="E13">
        <f t="shared" si="1"/>
        <v>49.620403910087767</v>
      </c>
      <c r="F13">
        <v>4</v>
      </c>
      <c r="G13">
        <v>20</v>
      </c>
      <c r="H13">
        <v>1000</v>
      </c>
      <c r="I13">
        <f t="shared" si="2"/>
        <v>26.8706666666667</v>
      </c>
    </row>
    <row r="14" spans="1:9" x14ac:dyDescent="0.25">
      <c r="A14" t="s">
        <v>23</v>
      </c>
      <c r="B14">
        <v>2596</v>
      </c>
      <c r="C14" s="15">
        <v>4.4422915862860712</v>
      </c>
      <c r="D14">
        <f t="shared" si="0"/>
        <v>2.7688000000000022E-2</v>
      </c>
      <c r="E14">
        <f t="shared" si="1"/>
        <v>36.116729268997375</v>
      </c>
      <c r="F14">
        <v>4</v>
      </c>
      <c r="G14">
        <v>20</v>
      </c>
      <c r="H14">
        <v>1000</v>
      </c>
      <c r="I14">
        <f t="shared" si="2"/>
        <v>36.91733333333336</v>
      </c>
    </row>
  </sheetData>
  <conditionalFormatting sqref="C2:C14">
    <cfRule type="colorScale" priority="5">
      <colorScale>
        <cfvo type="min"/>
        <cfvo type="max"/>
        <color rgb="FFFCFCFF"/>
        <color rgb="FF63BE7B"/>
      </colorScale>
    </cfRule>
  </conditionalFormatting>
  <conditionalFormatting sqref="C2:C14">
    <cfRule type="colorScale" priority="4">
      <colorScale>
        <cfvo type="min"/>
        <cfvo type="max"/>
        <color rgb="FFFCFCFF"/>
        <color rgb="FF63BE7B"/>
      </colorScale>
    </cfRule>
  </conditionalFormatting>
  <conditionalFormatting sqref="C2:C14">
    <cfRule type="colorScale" priority="3">
      <colorScale>
        <cfvo type="min"/>
        <cfvo type="max"/>
        <color rgb="FFFCFCFF"/>
        <color rgb="FF63BE7B"/>
      </colorScale>
    </cfRule>
  </conditionalFormatting>
  <conditionalFormatting sqref="B2:B1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B1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master</vt:lpstr>
      <vt:lpstr>notes</vt:lpstr>
      <vt:lpstr>caps</vt:lpstr>
      <vt:lpstr>regs</vt:lpstr>
      <vt:lpstr>workflow</vt:lpstr>
      <vt:lpstr>legacy&gt;&gt;&gt;</vt:lpstr>
      <vt:lpstr>plotting</vt:lpstr>
      <vt:lpstr>sourceParams</vt:lpstr>
      <vt:lpstr>plotTts</vt:lpstr>
      <vt:lpstr>svdStuff</vt:lpstr>
      <vt:lpstr>varStuff</vt:lpstr>
      <vt:lpstr>varV2stuff</vt:lpstr>
      <vt:lpstr>quarterGenQuarterMax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2019-04-17T14:34:10Z</dcterms:modified>
</cp:coreProperties>
</file>